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Vander Auwera T\ENABEL\BURKINA FASO - 🔒 Contracts\21_Marchés_Publics\BFA2100311_Fragilité\BFA21003-10013 Travaux classes Koulpélogo\2_CSC\"/>
    </mc:Choice>
  </mc:AlternateContent>
  <xr:revisionPtr revIDLastSave="1" documentId="13_ncr:1_{B39B4ABC-034F-4415-AE58-15C2DA09BAF8}" xr6:coauthVersionLast="36" xr6:coauthVersionMax="47" xr10:uidLastSave="{499CD5BD-FBFB-41C2-AC1D-FA86A31F8E18}"/>
  <bookViews>
    <workbookView xWindow="-108" yWindow="-108" windowWidth="23256" windowHeight="12456" xr2:uid="{0DA33647-FB7F-40F5-AB47-2D9E603BDD66}"/>
  </bookViews>
  <sheets>
    <sheet name="LOT 3"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5" i="2" l="1"/>
  <c r="F93" i="2"/>
  <c r="F92" i="2"/>
  <c r="F9" i="2" l="1"/>
  <c r="F10" i="2"/>
  <c r="F11" i="2"/>
  <c r="F15" i="2"/>
  <c r="D16" i="2"/>
  <c r="F16" i="2" s="1"/>
  <c r="D17" i="2"/>
  <c r="F18" i="2"/>
  <c r="D25" i="2"/>
  <c r="F25" i="2" s="1"/>
  <c r="D26" i="2"/>
  <c r="F26" i="2" s="1"/>
  <c r="D27" i="2"/>
  <c r="F27" i="2" s="1"/>
  <c r="D28" i="2"/>
  <c r="F28" i="2" s="1"/>
  <c r="D29" i="2"/>
  <c r="F29" i="2" s="1"/>
  <c r="D30" i="2"/>
  <c r="F30" i="2" s="1"/>
  <c r="D31" i="2"/>
  <c r="F31" i="2" s="1"/>
  <c r="D32" i="2"/>
  <c r="F32" i="2" s="1"/>
  <c r="D33" i="2"/>
  <c r="F33" i="2" s="1"/>
  <c r="D34" i="2"/>
  <c r="F34" i="2" s="1"/>
  <c r="D35" i="2"/>
  <c r="F35" i="2" s="1"/>
  <c r="D36" i="2"/>
  <c r="F36" i="2" s="1"/>
  <c r="F37" i="2"/>
  <c r="D41" i="2"/>
  <c r="F41" i="2"/>
  <c r="D42" i="2"/>
  <c r="F42" i="2" s="1"/>
  <c r="D43" i="2"/>
  <c r="F43" i="2" s="1"/>
  <c r="D44" i="2"/>
  <c r="D77" i="2" s="1"/>
  <c r="F77" i="2" s="1"/>
  <c r="D45" i="2"/>
  <c r="F45" i="2" s="1"/>
  <c r="D46" i="2"/>
  <c r="F46" i="2" s="1"/>
  <c r="D47" i="2"/>
  <c r="F47" i="2" s="1"/>
  <c r="F51" i="2"/>
  <c r="F52" i="2"/>
  <c r="F53" i="2"/>
  <c r="D54" i="2"/>
  <c r="F54" i="2" s="1"/>
  <c r="D55" i="2"/>
  <c r="F55" i="2" s="1"/>
  <c r="D56" i="2"/>
  <c r="F56" i="2" s="1"/>
  <c r="D57" i="2"/>
  <c r="F57" i="2" s="1"/>
  <c r="D58" i="2"/>
  <c r="F58" i="2" s="1"/>
  <c r="F59" i="2"/>
  <c r="F60" i="2"/>
  <c r="F65" i="2"/>
  <c r="F66" i="2"/>
  <c r="F67" i="2"/>
  <c r="F68" i="2"/>
  <c r="F69" i="2"/>
  <c r="D70" i="2"/>
  <c r="F70" i="2" s="1"/>
  <c r="D74" i="2"/>
  <c r="F74" i="2" s="1"/>
  <c r="D75" i="2"/>
  <c r="F75" i="2" s="1"/>
  <c r="D76" i="2"/>
  <c r="F76" i="2" s="1"/>
  <c r="F78" i="2"/>
  <c r="D79" i="2"/>
  <c r="F79" i="2" s="1"/>
  <c r="F44" i="2" l="1"/>
  <c r="F48" i="2" s="1"/>
  <c r="F85" i="2" s="1"/>
  <c r="D20" i="2"/>
  <c r="F20" i="2" s="1"/>
  <c r="F12" i="2"/>
  <c r="F82" i="2" s="1"/>
  <c r="F80" i="2"/>
  <c r="F88" i="2" s="1"/>
  <c r="F17" i="2"/>
  <c r="D19" i="2"/>
  <c r="F19" i="2" s="1"/>
  <c r="F38" i="2"/>
  <c r="F84" i="2" s="1"/>
  <c r="F61" i="2"/>
  <c r="F86" i="2" s="1"/>
  <c r="F71" i="2"/>
  <c r="F87" i="2" s="1"/>
  <c r="F21" i="2" l="1"/>
  <c r="F83" i="2" s="1"/>
  <c r="F89" i="2" s="1"/>
</calcChain>
</file>

<file path=xl/sharedStrings.xml><?xml version="1.0" encoding="utf-8"?>
<sst xmlns="http://schemas.openxmlformats.org/spreadsheetml/2006/main" count="191" uniqueCount="147">
  <si>
    <t>TOTAL GENERAL HTVA</t>
  </si>
  <si>
    <t>DEUX (02) SALLES DE CLASSE</t>
  </si>
  <si>
    <t>Désignation des ouvrages</t>
  </si>
  <si>
    <t>UNITE</t>
  </si>
  <si>
    <t>QTE/NBRE</t>
  </si>
  <si>
    <t>P.U.</t>
  </si>
  <si>
    <t>Prix Total</t>
  </si>
  <si>
    <t>0 - PREPARATIONS GENERALES POUR L'ENSEMBLE DES BATIMENTS</t>
  </si>
  <si>
    <t>0.1</t>
  </si>
  <si>
    <t xml:space="preserve">Installation de l'ensemble du chantier, Amenée de matériel y compris élaboration du dossier d'exécution </t>
  </si>
  <si>
    <t>ff</t>
  </si>
  <si>
    <t>0.2</t>
  </si>
  <si>
    <t>m2</t>
  </si>
  <si>
    <t>0.3</t>
  </si>
  <si>
    <t>Nettoyage général du chantier et repli de chantier y compris élaboration des plans de recollement</t>
  </si>
  <si>
    <t>Sous Total 0</t>
  </si>
  <si>
    <t xml:space="preserve">I - PREPARATIONS-NETTOYAGE DE CHANTIER-IMPLANTATIONS - TERRASSEMENT </t>
  </si>
  <si>
    <t>1.1</t>
  </si>
  <si>
    <t>Implantation de l'ensemble  ouvrages (bâtiment , y compris VRD) avec des chaises</t>
  </si>
  <si>
    <t>1.2</t>
  </si>
  <si>
    <t>Fouilles en puits pour semelles isolées / Fouilles de profondeur 0,80m/TN</t>
  </si>
  <si>
    <r>
      <t>m</t>
    </r>
    <r>
      <rPr>
        <vertAlign val="superscript"/>
        <sz val="8"/>
        <rFont val="D-DIN Condensed"/>
        <family val="2"/>
      </rPr>
      <t>3</t>
    </r>
  </si>
  <si>
    <t>1.3</t>
  </si>
  <si>
    <t>Fouilles en tranchées pour soubassement maçonnerie pleine , fouilles sous bêches de marches et rampes, sous bordures de certaines parties de dallage (Fouilles de largeur 40cm / Profondeur 40cm)</t>
  </si>
  <si>
    <t>1.4</t>
  </si>
  <si>
    <t>Traitement anti-termites et anti-reptiles pour dallage de sol y compris film polyane</t>
  </si>
  <si>
    <t>1.5</t>
  </si>
  <si>
    <t>Remblai sans apport (pour fouilles de semelles isolées et fouilles pour semelles filantes)</t>
  </si>
  <si>
    <t>1.6</t>
  </si>
  <si>
    <t>Remblai avec apport latéritique d'épaisseur 45cm en moyenne sur emprise du bâtiment côté dammé,compacté puis arrosé par couches successives de 20cm</t>
  </si>
  <si>
    <t>Sous Total I</t>
  </si>
  <si>
    <t>II  - BETON - BETON ARME</t>
  </si>
  <si>
    <t xml:space="preserve">NB: Tous les bétons des éléments structurels (semelles, poteaux,chainage, dalles et élements préfabriqués) seront en quartz. Ils feront l'objet d'une approbation par la mission de contrôle avant leur mise en oeuvre </t>
  </si>
  <si>
    <t>2.1</t>
  </si>
  <si>
    <t xml:space="preserve">Béton de propreté dosé à 150kg/m3 pour semelles isolées </t>
  </si>
  <si>
    <t>2.2</t>
  </si>
  <si>
    <t>Béton de propreté dosé à 150kg/m3 pour éléments de soubassement (en semelles filantes, en béton cyclopéen, en maçonneries pleines etc…)</t>
  </si>
  <si>
    <t>2.3</t>
  </si>
  <si>
    <t>Béton cyclopéen dosé à 250kg/m3 pour soubassement, massifs et fondations (voir plans et descriptif)</t>
  </si>
  <si>
    <t>2.4</t>
  </si>
  <si>
    <t xml:space="preserve">Béton armé dosé à 350kg/m3 pour semelles isolées </t>
  </si>
  <si>
    <t>2.5</t>
  </si>
  <si>
    <r>
      <t>Béton armé pour chainage bas, chainage rampant sous rampe, renforts sous dallages et arrêts de dallage dosé à 350kg/m</t>
    </r>
    <r>
      <rPr>
        <b/>
        <vertAlign val="superscript"/>
        <sz val="8"/>
        <rFont val="D-DIN Condensed"/>
        <family val="2"/>
      </rPr>
      <t>3</t>
    </r>
  </si>
  <si>
    <t>2.6</t>
  </si>
  <si>
    <r>
      <t>Béton  armé dosé à 350kg/m</t>
    </r>
    <r>
      <rPr>
        <b/>
        <vertAlign val="superscript"/>
        <sz val="8"/>
        <rFont val="D-DIN Condensed"/>
        <family val="2"/>
      </rPr>
      <t>3</t>
    </r>
    <r>
      <rPr>
        <b/>
        <sz val="8"/>
        <rFont val="D-DIN Condensed"/>
        <family val="2"/>
      </rPr>
      <t xml:space="preserve"> pour chainage intermediaire</t>
    </r>
  </si>
  <si>
    <t>2.7</t>
  </si>
  <si>
    <r>
      <t>Béton  armé dosé à 350kg/m</t>
    </r>
    <r>
      <rPr>
        <b/>
        <vertAlign val="superscript"/>
        <sz val="8"/>
        <rFont val="D-DIN Condensed"/>
        <family val="2"/>
      </rPr>
      <t>3</t>
    </r>
    <r>
      <rPr>
        <b/>
        <sz val="8"/>
        <rFont val="D-DIN Condensed"/>
        <family val="2"/>
      </rPr>
      <t xml:space="preserve"> pour chainage rampant recevant les platines (hauteur du chainage = 20cm)</t>
    </r>
  </si>
  <si>
    <t>2.8</t>
  </si>
  <si>
    <t>Béton armé dosé à 350kg/m² pour poteaux (infrastructure et superstructure)</t>
  </si>
  <si>
    <t>2.9</t>
  </si>
  <si>
    <t>Béton armé dosé à 350kg/m² pour bêche</t>
  </si>
  <si>
    <t>2.10</t>
  </si>
  <si>
    <t xml:space="preserve">Béton légèrement armé en treillis dosé à 300kg/m3 pour dallage au sol  Y COMPRIS CHAPE LISSEE ET BOUCHARCHEE AVEC JOINT CREUX TOUS LES 10M2- Rampe et Marche -  Epaisseur 10cm  et toutes sujétions de mise en œuvre </t>
  </si>
  <si>
    <t>2.11</t>
  </si>
  <si>
    <t>Gros béton non armé dosé à 300kg/m² pour protection de soubassement - Epaisseur 10cm</t>
  </si>
  <si>
    <t>2.12</t>
  </si>
  <si>
    <t>Béton armé dosé à 350 kg/m3 pour  banquettes  et  appuis baies filants coulés sur place</t>
  </si>
  <si>
    <t>2.13</t>
  </si>
  <si>
    <t>Plus-value pour bétons divers</t>
  </si>
  <si>
    <t>Sous Total II</t>
  </si>
  <si>
    <t>III -  MACONNERIE</t>
  </si>
  <si>
    <t>3.1</t>
  </si>
  <si>
    <t>Maçonnerie en agglos pleins de 15x20x40 (1 couches)</t>
  </si>
  <si>
    <t>m²</t>
  </si>
  <si>
    <t>3.2</t>
  </si>
  <si>
    <t>Maçonnerie en agglos creux de 15x20x40</t>
  </si>
  <si>
    <t>3.3</t>
  </si>
  <si>
    <t>Enduit intérieur lissé de 1,5cm d'épaisseur (dosé à 300kg/m3 pour le gobetis et 250kg/m3 pour le corps d'enduit)</t>
  </si>
  <si>
    <t>3.4</t>
  </si>
  <si>
    <t>Enduit extérieur lissé de 2cm d'épaisseur  (dosé à 300kg/m3 pour le gobetis et 250kg/m3 pour le corps d'enduit)</t>
  </si>
  <si>
    <t>3.5</t>
  </si>
  <si>
    <t>Surenduit pour tableau au grillage poulailler</t>
  </si>
  <si>
    <t>3.6</t>
  </si>
  <si>
    <t>Raccordements et calfeutrements divers</t>
  </si>
  <si>
    <t>ml</t>
  </si>
  <si>
    <t>3.7</t>
  </si>
  <si>
    <t>Claustras de ventilation grillagés y compris toutes sujétions de pose</t>
  </si>
  <si>
    <t>u</t>
  </si>
  <si>
    <t>Sous Total III</t>
  </si>
  <si>
    <t xml:space="preserve">IV - CHARPENTE  ET COUVERTURE METALLIQUE </t>
  </si>
  <si>
    <t>4.1</t>
  </si>
  <si>
    <t>Fourniture et pose de tôles bac prélaquée 35/100e à 4 ondulations sur toiture  y compris bande de feutre bitumineux entre IPE, scellement des tôles par crochets, relevé d'étanchéité sur murs en contact avec la toiture y compris toutes sujétions de pose</t>
  </si>
  <si>
    <t>4.2</t>
  </si>
  <si>
    <t>4.3</t>
  </si>
  <si>
    <t>Fourniture et pose de ferme composée  d' IPE de 120, IPE DE 100 et des IPE DE 80 pour charpente y compris  toutes sujétions de pose</t>
  </si>
  <si>
    <t>U</t>
  </si>
  <si>
    <t>4.4</t>
  </si>
  <si>
    <t>Fourniture et pose de traverse en IPE de 120 pour charpente y  toutes sujétions de pose</t>
  </si>
  <si>
    <t>4.5</t>
  </si>
  <si>
    <t>4.6</t>
  </si>
  <si>
    <r>
      <t xml:space="preserve">Fourniture et pose de tube carre 40x40 lourd - </t>
    </r>
    <r>
      <rPr>
        <b/>
        <sz val="8"/>
        <color theme="1"/>
        <rFont val="D-DIN Condensed"/>
        <family val="2"/>
      </rPr>
      <t>Epaisseur 1,5mm</t>
    </r>
    <r>
      <rPr>
        <b/>
        <sz val="8"/>
        <rFont val="D-DIN Condensed"/>
        <family val="2"/>
      </rPr>
      <t xml:space="preserve"> pour bardage y compris  toutes sujétions de pose</t>
    </r>
  </si>
  <si>
    <t>4.7</t>
  </si>
  <si>
    <t>Fourniture et pose de tôle Epaisseur 2,00 mm  et de largeur 0,25m pour bardage y compris  toutes sujétions de pose</t>
  </si>
  <si>
    <t>4.8</t>
  </si>
  <si>
    <t>Fourniture et pose de platines pour pannes (uniquement sur les extrémités) de dimensions de 15x15 en tôle de 5mm avec 4 crochets en Acier HA 14 y compris  toutes sujétions de pose</t>
  </si>
  <si>
    <t>4.9</t>
  </si>
  <si>
    <t>Fourniture et pose de platines sur potelets pour  garde-corps de rampe  de dimensions de 10x10 en tôle de 5mm avec 4 crochets en Acier HA 12 y compris  toutes sujétions de pose</t>
  </si>
  <si>
    <t>4.10</t>
  </si>
  <si>
    <t>Fourniture et pose de platines pour traverse et ferme de 15x15 en tôles de 5mm avec 4 crochets en Acier HA 14 y compris  toutes sujétions de pose</t>
  </si>
  <si>
    <t>Sous Total IV</t>
  </si>
  <si>
    <t>V -MENUISERIE  - MENUISERIE METALLIQUE et BOIS</t>
  </si>
  <si>
    <t xml:space="preserve">MENUISERIE METALLIQUE - NB: TOUTES LES MENUISERIES METALLIQUES SERONT CONFORMES AUX DETAILS DES PLANS D'ARCHITECTURE. LA TOLE METALLIQUE  DES CADRES ET DES PERSIENNES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t>
  </si>
  <si>
    <t>5.1</t>
  </si>
  <si>
    <t xml:space="preserve"> Fenêtre métallique persienne de dimensions 60x200/50cm ayant 4 châssis dont 3 ouvrants, le dernier en bas étant fixe  avec cadre métallique en simple H en tôle de 2mm suivant plan de l'architecte</t>
  </si>
  <si>
    <t>5.2</t>
  </si>
  <si>
    <t>5.3</t>
  </si>
  <si>
    <t>5.4</t>
  </si>
  <si>
    <t xml:space="preserve"> Porte métallique pleine pour placard de dimensions 60x250 cm  ouvrant à la francaise suivant plan de l'architecte</t>
  </si>
  <si>
    <t>5.5</t>
  </si>
  <si>
    <t>Gardes -corps pour rampe suivant plan de l'architecte</t>
  </si>
  <si>
    <t>5.6</t>
  </si>
  <si>
    <t>Etagères en bois blanc massif d'épaisseur 5cm pour placard / 4 étagères par placard y compris cornieres lourd de 50 pour pose</t>
  </si>
  <si>
    <t>Sous Total V</t>
  </si>
  <si>
    <t>VI - PEINTURE - REVETEMENTS MURAUX FACADE - CARRELAGE - ETANCHEITE</t>
  </si>
  <si>
    <t>6.1</t>
  </si>
  <si>
    <t>Badigeon à la chaux vive  sur enduit intérieur jusqu'à la charpente</t>
  </si>
  <si>
    <t>6.2</t>
  </si>
  <si>
    <t>Peinture VINYLIQUE de chez SAPEC aux  couleurs  du maitre d'ouvrage/d'œuvre sur enduit intérieur + Peintures VINYLIQUE aux couleurs VERTE, BLEUE, ORANGE et MAUVE sous galeries suivant plan de l'architecte</t>
  </si>
  <si>
    <t>6.3</t>
  </si>
  <si>
    <t>Enduit tyrolien  écrasé  sur 1,60 m aux  couleurs  du maitre d'ouvrage/d'oeuvre pour  intérieur</t>
  </si>
  <si>
    <t>6.4</t>
  </si>
  <si>
    <t>6.5</t>
  </si>
  <si>
    <t>Peinture gycéro sur menuiseries métalliques aux couleurs du maitre d'œuvre</t>
  </si>
  <si>
    <t>6.6</t>
  </si>
  <si>
    <t>Adoisine sur tableau</t>
  </si>
  <si>
    <t>Sous Total I :  PREPARATIONS - INSTALLATION ET REPLI DE CHANTIER - NETTOYAGE DE CHANTIER</t>
  </si>
  <si>
    <t>Sous Total I : TERRASSEMENTS - IMPLANTATIONS - NETTOYAGE DE CHANTIER</t>
  </si>
  <si>
    <t>Sous Total II : BETON-BETON ARME</t>
  </si>
  <si>
    <t>Sous Total III :  MACONNERIE</t>
  </si>
  <si>
    <t>Sous Total IV :CHARPENTE  ET COUVERTURE METALLIQUE</t>
  </si>
  <si>
    <t>TOTAL HTVA</t>
  </si>
  <si>
    <t>Décapage complet pour l'ensemble de bâtiments du site, retrait de la terre organique   vers dépotoirs hors site y compris débord  de cinq (02) mètre de part et d'autre du bâtiment + désherbage et dessouchage</t>
  </si>
  <si>
    <t xml:space="preserve"> Porte métallique persienne à deux battants avec imposte de dimensions 160x250 cm avec cadre métallique double H  ouvrant à la francaise suivant plan de l'architecte</t>
  </si>
  <si>
    <t xml:space="preserve"> Porte métallique persienne à deux battants avec imposte de dimensions 120x250 cm avec cadre métallique double H  ouvrant à la francaise suivant plan de l'architecte</t>
  </si>
  <si>
    <t>Fourniture et pose de faitière en tôles  de 60/100e y compris toutes sujétions de pose</t>
  </si>
  <si>
    <t>Sous Total V : MENUISERIES METALLIQUES ET BOIS</t>
  </si>
  <si>
    <t xml:space="preserve">Sous Total VI : PEINTURE - REVETEMENTS MURAUX ET FACADE </t>
  </si>
  <si>
    <t>Sous Total VI</t>
  </si>
  <si>
    <t>Enduit tyrolien aux  couleurs du maitre d'ouvrage/d'oeuvre pour enduit extérieur (les panneaux de murs recevant les portes et fenêtres ne reçoivent pas de l'enduit tyrolien. Ils seront revêtus de peinture VINYLIQUE ( Cf point 6.2  du devis).</t>
  </si>
  <si>
    <t xml:space="preserve">DEVIS QUANTITATIF ET ESTIMATIF </t>
  </si>
  <si>
    <t>Fourniture et pose de pannes en tube rectangulaire 40*80 lourd 1,5 mm pour charpente y compris toutes sujétions de pose</t>
  </si>
  <si>
    <t>ECOLE DE OUARGAYE ''A''</t>
  </si>
  <si>
    <t>ECOLE DE OUARGAYE "A" HTVA</t>
  </si>
  <si>
    <t>CONSTRUCTION DE SALLES DE CLASSE (LOT 3)</t>
  </si>
  <si>
    <t>TVA</t>
  </si>
  <si>
    <t xml:space="preserve">TOTAL GENERAL TTC </t>
  </si>
  <si>
    <t>RECAPITULATIF 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</si>
</sst>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4"/>
      <color theme="1"/>
      <name val="Franklin Gothic Medium Cond"/>
      <family val="2"/>
    </font>
    <font>
      <b/>
      <sz val="9"/>
      <name val="D-DIN Condensed"/>
      <family val="2"/>
    </font>
    <font>
      <b/>
      <sz val="14"/>
      <name val="D-DIN Condensed"/>
      <family val="2"/>
    </font>
    <font>
      <sz val="9"/>
      <name val="D-DIN Condensed"/>
      <family val="2"/>
    </font>
    <font>
      <b/>
      <sz val="20"/>
      <name val="D-DIN Condensed"/>
      <family val="2"/>
    </font>
    <font>
      <b/>
      <sz val="10"/>
      <name val="D-DIN Condensed"/>
      <family val="2"/>
    </font>
    <font>
      <b/>
      <i/>
      <sz val="10"/>
      <color rgb="FF00B050"/>
      <name val="D-DIN Condensed"/>
      <family val="2"/>
    </font>
    <font>
      <b/>
      <i/>
      <u/>
      <sz val="22"/>
      <name val="D-DIN Condensed"/>
      <family val="2"/>
    </font>
    <font>
      <sz val="8"/>
      <name val="D-DIN Condensed"/>
      <family val="2"/>
    </font>
    <font>
      <b/>
      <sz val="8"/>
      <name val="D-DIN Condensed"/>
      <family val="2"/>
    </font>
    <font>
      <b/>
      <i/>
      <sz val="8"/>
      <color rgb="FF00B050"/>
      <name val="D-DIN Condensed"/>
      <family val="2"/>
    </font>
    <font>
      <b/>
      <sz val="8"/>
      <color theme="1"/>
      <name val="D-DIN Condensed"/>
      <family val="2"/>
    </font>
    <font>
      <b/>
      <sz val="8"/>
      <color theme="4"/>
      <name val="D-DIN Condensed"/>
      <family val="2"/>
    </font>
    <font>
      <b/>
      <i/>
      <sz val="8"/>
      <name val="D-DIN Condensed"/>
      <family val="2"/>
    </font>
    <font>
      <b/>
      <i/>
      <sz val="9"/>
      <color rgb="FF00B050"/>
      <name val="D-DIN Condensed"/>
      <family val="2"/>
    </font>
    <font>
      <vertAlign val="superscript"/>
      <sz val="8"/>
      <name val="D-DIN Condensed"/>
      <family val="2"/>
    </font>
    <font>
      <b/>
      <sz val="8"/>
      <color rgb="FFFF0000"/>
      <name val="D-DIN Condensed"/>
      <family val="2"/>
    </font>
    <font>
      <b/>
      <vertAlign val="superscript"/>
      <sz val="8"/>
      <name val="D-DIN Condensed"/>
      <family val="2"/>
    </font>
    <font>
      <sz val="9"/>
      <color rgb="FFFF0000"/>
      <name val="D-DIN Condensed"/>
      <family val="2"/>
    </font>
    <font>
      <b/>
      <sz val="9"/>
      <color theme="4"/>
      <name val="D-DIN Condensed"/>
      <family val="2"/>
    </font>
    <font>
      <b/>
      <i/>
      <sz val="22"/>
      <color rgb="FFFF0000"/>
      <name val="D-DIN Condensed"/>
      <family val="2"/>
    </font>
    <font>
      <sz val="9"/>
      <name val="D-DIN Condensed"/>
    </font>
  </fonts>
  <fills count="7">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9FF99"/>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8">
    <xf numFmtId="0" fontId="0" fillId="0" borderId="0" xfId="0"/>
    <xf numFmtId="0" fontId="4" fillId="0" borderId="0" xfId="0" applyFont="1"/>
    <xf numFmtId="0" fontId="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horizontal="center" vertical="center"/>
    </xf>
    <xf numFmtId="2" fontId="11" fillId="0" borderId="4" xfId="0" applyNumberFormat="1" applyFont="1" applyBorder="1" applyAlignment="1">
      <alignment horizontal="center" vertical="center"/>
    </xf>
    <xf numFmtId="3" fontId="12" fillId="0" borderId="4"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0" fontId="9" fillId="3" borderId="4" xfId="0" applyFont="1" applyFill="1" applyBorder="1" applyAlignment="1">
      <alignment horizontal="center" vertical="center"/>
    </xf>
    <xf numFmtId="0" fontId="10" fillId="3" borderId="4" xfId="0" applyFont="1" applyFill="1" applyBorder="1" applyAlignment="1">
      <alignment vertical="center" wrapText="1"/>
    </xf>
    <xf numFmtId="2" fontId="11" fillId="3" borderId="4" xfId="0" applyNumberFormat="1" applyFont="1" applyFill="1" applyBorder="1" applyAlignment="1">
      <alignment horizontal="right" vertical="center"/>
    </xf>
    <xf numFmtId="3" fontId="13" fillId="3" borderId="4" xfId="0" applyNumberFormat="1" applyFont="1" applyFill="1" applyBorder="1" applyAlignment="1">
      <alignment horizontal="right" vertical="center"/>
    </xf>
    <xf numFmtId="3" fontId="10" fillId="3" borderId="4" xfId="0" applyNumberFormat="1" applyFont="1" applyFill="1" applyBorder="1" applyAlignment="1">
      <alignment vertical="center"/>
    </xf>
    <xf numFmtId="0" fontId="12" fillId="0" borderId="4" xfId="0" applyFont="1" applyBorder="1" applyAlignment="1">
      <alignment vertical="center" wrapText="1"/>
    </xf>
    <xf numFmtId="2" fontId="11" fillId="0" borderId="4" xfId="0" applyNumberFormat="1" applyFont="1" applyBorder="1" applyAlignment="1">
      <alignment horizontal="right" vertical="center"/>
    </xf>
    <xf numFmtId="3" fontId="13" fillId="0" borderId="4" xfId="0" applyNumberFormat="1" applyFont="1" applyBorder="1" applyAlignment="1">
      <alignment horizontal="right" vertical="center"/>
    </xf>
    <xf numFmtId="3" fontId="9" fillId="0" borderId="4" xfId="0" applyNumberFormat="1" applyFont="1" applyBorder="1" applyAlignment="1">
      <alignment horizontal="right" vertical="center"/>
    </xf>
    <xf numFmtId="0" fontId="14" fillId="0" borderId="4" xfId="0" applyFont="1" applyBorder="1" applyAlignment="1">
      <alignment vertical="center" wrapText="1"/>
    </xf>
    <xf numFmtId="3" fontId="10" fillId="0" borderId="4" xfId="0" applyNumberFormat="1" applyFont="1" applyBorder="1" applyAlignment="1">
      <alignment horizontal="right" vertical="center"/>
    </xf>
    <xf numFmtId="3" fontId="9" fillId="3" borderId="4" xfId="0" applyNumberFormat="1" applyFont="1" applyFill="1" applyBorder="1" applyAlignment="1">
      <alignment horizontal="right" vertical="center"/>
    </xf>
    <xf numFmtId="3" fontId="10" fillId="0" borderId="4" xfId="0" applyNumberFormat="1" applyFont="1" applyBorder="1" applyAlignment="1">
      <alignment horizontal="right" vertical="center" wrapText="1"/>
    </xf>
    <xf numFmtId="3" fontId="10" fillId="0" borderId="4" xfId="0" applyNumberFormat="1" applyFont="1" applyBorder="1" applyAlignment="1">
      <alignment vertical="center"/>
    </xf>
    <xf numFmtId="0" fontId="19" fillId="0" borderId="0" xfId="0" applyFont="1"/>
    <xf numFmtId="0" fontId="9" fillId="3" borderId="9" xfId="0" applyFont="1" applyFill="1" applyBorder="1" applyAlignment="1">
      <alignment horizontal="center" vertical="center"/>
    </xf>
    <xf numFmtId="2" fontId="11" fillId="3" borderId="10" xfId="0" applyNumberFormat="1" applyFont="1" applyFill="1" applyBorder="1" applyAlignment="1">
      <alignment horizontal="right" vertical="center"/>
    </xf>
    <xf numFmtId="3" fontId="13" fillId="3" borderId="10" xfId="0" applyNumberFormat="1" applyFont="1" applyFill="1" applyBorder="1" applyAlignment="1">
      <alignment horizontal="right" vertical="center"/>
    </xf>
    <xf numFmtId="3" fontId="10" fillId="3" borderId="11" xfId="0" applyNumberFormat="1" applyFont="1" applyFill="1" applyBorder="1" applyAlignment="1">
      <alignment vertical="center"/>
    </xf>
    <xf numFmtId="3" fontId="10" fillId="3" borderId="4" xfId="0" applyNumberFormat="1" applyFont="1" applyFill="1" applyBorder="1" applyAlignment="1">
      <alignment horizontal="center" vertical="center"/>
    </xf>
    <xf numFmtId="0" fontId="9" fillId="5" borderId="4" xfId="0" applyFont="1" applyFill="1" applyBorder="1" applyAlignment="1">
      <alignment horizontal="center" vertical="center"/>
    </xf>
    <xf numFmtId="0" fontId="10" fillId="5" borderId="4" xfId="0" applyFont="1" applyFill="1" applyBorder="1" applyAlignment="1">
      <alignment vertical="top" wrapText="1"/>
    </xf>
    <xf numFmtId="2" fontId="11" fillId="5" borderId="4" xfId="0" applyNumberFormat="1" applyFont="1" applyFill="1" applyBorder="1" applyAlignment="1">
      <alignment horizontal="right" vertical="center"/>
    </xf>
    <xf numFmtId="3" fontId="13" fillId="5" borderId="4" xfId="0" applyNumberFormat="1" applyFont="1" applyFill="1" applyBorder="1" applyAlignment="1">
      <alignment horizontal="right" vertical="center"/>
    </xf>
    <xf numFmtId="3" fontId="10" fillId="5" borderId="4" xfId="0" applyNumberFormat="1" applyFont="1" applyFill="1" applyBorder="1" applyAlignment="1">
      <alignment horizontal="center" vertical="center"/>
    </xf>
    <xf numFmtId="0" fontId="9" fillId="0" borderId="4" xfId="0" applyFont="1" applyBorder="1" applyAlignment="1">
      <alignment horizontal="center" vertical="center" wrapText="1"/>
    </xf>
    <xf numFmtId="2" fontId="11" fillId="0" borderId="4" xfId="0" applyNumberFormat="1" applyFont="1" applyBorder="1" applyAlignment="1">
      <alignment horizontal="right" vertical="center" wrapText="1"/>
    </xf>
    <xf numFmtId="0" fontId="10" fillId="0" borderId="4" xfId="0" applyFont="1" applyBorder="1" applyAlignment="1">
      <alignment horizontal="center" vertical="center" wrapText="1"/>
    </xf>
    <xf numFmtId="0" fontId="10" fillId="6" borderId="4" xfId="0" applyFont="1" applyFill="1" applyBorder="1" applyAlignment="1">
      <alignment horizontal="center" vertical="center" wrapText="1"/>
    </xf>
    <xf numFmtId="3" fontId="10" fillId="6" borderId="4" xfId="0" applyNumberFormat="1" applyFont="1" applyFill="1" applyBorder="1" applyAlignment="1">
      <alignment horizontal="right" vertical="center"/>
    </xf>
    <xf numFmtId="0" fontId="2" fillId="0" borderId="0" xfId="0" applyFont="1" applyAlignment="1">
      <alignment vertical="center"/>
    </xf>
    <xf numFmtId="2" fontId="15" fillId="0" borderId="0" xfId="0" applyNumberFormat="1" applyFont="1" applyAlignment="1">
      <alignment horizontal="right" vertical="center"/>
    </xf>
    <xf numFmtId="3" fontId="20" fillId="0" borderId="0" xfId="0" applyNumberFormat="1" applyFont="1" applyAlignment="1">
      <alignment horizontal="right" vertical="center"/>
    </xf>
    <xf numFmtId="3" fontId="2" fillId="0" borderId="0" xfId="0" applyNumberFormat="1" applyFont="1" applyAlignment="1">
      <alignment vertical="center"/>
    </xf>
    <xf numFmtId="0" fontId="9" fillId="0" borderId="9" xfId="0" applyFont="1" applyBorder="1" applyAlignment="1">
      <alignment horizontal="left" wrapText="1"/>
    </xf>
    <xf numFmtId="0" fontId="9" fillId="0" borderId="10" xfId="0" applyFont="1" applyBorder="1" applyAlignment="1">
      <alignment horizontal="left" wrapText="1"/>
    </xf>
    <xf numFmtId="0" fontId="9" fillId="0" borderId="11" xfId="0" applyFont="1" applyBorder="1" applyAlignment="1">
      <alignment horizontal="left"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9" fillId="0" borderId="4" xfId="0" applyFont="1" applyBorder="1" applyAlignment="1">
      <alignment horizontal="left" wrapText="1"/>
    </xf>
    <xf numFmtId="0" fontId="21"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3" fontId="2" fillId="0" borderId="14" xfId="0" applyNumberFormat="1" applyFont="1" applyBorder="1" applyAlignment="1">
      <alignmen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13"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3" fontId="2" fillId="0" borderId="7" xfId="0" applyNumberFormat="1" applyFont="1" applyBorder="1" applyAlignment="1">
      <alignmen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3" fontId="22" fillId="0" borderId="12"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A6CF-5999-40FF-B485-7084C3A42530}">
  <dimension ref="A1:F95"/>
  <sheetViews>
    <sheetView tabSelected="1" zoomScaleNormal="100" zoomScaleSheetLayoutView="100" workbookViewId="0">
      <selection activeCell="B84" sqref="B84:E84"/>
    </sheetView>
  </sheetViews>
  <sheetFormatPr baseColWidth="10" defaultColWidth="11.44140625" defaultRowHeight="12"/>
  <cols>
    <col min="1" max="1" width="4.6640625" style="2" customWidth="1"/>
    <col min="2" max="2" width="59.33203125" style="42" customWidth="1"/>
    <col min="3" max="3" width="4.88671875" style="2" customWidth="1"/>
    <col min="4" max="4" width="7.88671875" style="43" customWidth="1"/>
    <col min="5" max="5" width="9.33203125" style="44" customWidth="1"/>
    <col min="6" max="6" width="11.109375" style="45" customWidth="1"/>
    <col min="7" max="16384" width="11.44140625" style="1"/>
  </cols>
  <sheetData>
    <row r="1" spans="1:6" ht="18" thickBot="1">
      <c r="A1" s="59" t="s">
        <v>143</v>
      </c>
      <c r="B1" s="60"/>
      <c r="C1" s="60"/>
      <c r="D1" s="60"/>
      <c r="E1" s="60"/>
      <c r="F1" s="61"/>
    </row>
    <row r="3" spans="1:6" ht="24.6">
      <c r="B3" s="54" t="s">
        <v>139</v>
      </c>
      <c r="C3" s="54"/>
      <c r="D3" s="54"/>
      <c r="E3" s="54"/>
      <c r="F3" s="54"/>
    </row>
    <row r="4" spans="1:6" ht="13.2">
      <c r="A4" s="3"/>
      <c r="B4" s="3"/>
      <c r="C4" s="3"/>
      <c r="D4" s="4"/>
      <c r="E4" s="3"/>
      <c r="F4" s="3"/>
    </row>
    <row r="5" spans="1:6" ht="27.6">
      <c r="A5" s="55" t="s">
        <v>1</v>
      </c>
      <c r="B5" s="55"/>
      <c r="C5" s="55"/>
      <c r="D5" s="55"/>
      <c r="E5" s="55"/>
      <c r="F5" s="55"/>
    </row>
    <row r="6" spans="1:6" ht="27.6">
      <c r="A6" s="5"/>
      <c r="B6" s="53" t="s">
        <v>141</v>
      </c>
      <c r="C6" s="53"/>
      <c r="D6" s="53"/>
      <c r="E6" s="53"/>
      <c r="F6" s="5"/>
    </row>
    <row r="7" spans="1:6" ht="11.4">
      <c r="A7" s="6"/>
      <c r="B7" s="7" t="s">
        <v>2</v>
      </c>
      <c r="C7" s="8" t="s">
        <v>3</v>
      </c>
      <c r="D7" s="9" t="s">
        <v>4</v>
      </c>
      <c r="E7" s="10" t="s">
        <v>5</v>
      </c>
      <c r="F7" s="11" t="s">
        <v>6</v>
      </c>
    </row>
    <row r="8" spans="1:6" ht="11.4">
      <c r="A8" s="12"/>
      <c r="B8" s="13" t="s">
        <v>7</v>
      </c>
      <c r="C8" s="12"/>
      <c r="D8" s="14"/>
      <c r="E8" s="15"/>
      <c r="F8" s="16"/>
    </row>
    <row r="9" spans="1:6" ht="20.399999999999999">
      <c r="A9" s="6" t="s">
        <v>8</v>
      </c>
      <c r="B9" s="17" t="s">
        <v>9</v>
      </c>
      <c r="C9" s="6" t="s">
        <v>10</v>
      </c>
      <c r="D9" s="18">
        <v>1</v>
      </c>
      <c r="E9" s="19"/>
      <c r="F9" s="20">
        <f>+E9*D9</f>
        <v>0</v>
      </c>
    </row>
    <row r="10" spans="1:6" ht="30.6">
      <c r="A10" s="6" t="s">
        <v>11</v>
      </c>
      <c r="B10" s="7" t="s">
        <v>131</v>
      </c>
      <c r="C10" s="6" t="s">
        <v>12</v>
      </c>
      <c r="D10" s="18">
        <v>415</v>
      </c>
      <c r="E10" s="19"/>
      <c r="F10" s="20">
        <f>+E10*D10</f>
        <v>0</v>
      </c>
    </row>
    <row r="11" spans="1:6" ht="20.399999999999999">
      <c r="A11" s="6" t="s">
        <v>13</v>
      </c>
      <c r="B11" s="17" t="s">
        <v>14</v>
      </c>
      <c r="C11" s="6" t="s">
        <v>10</v>
      </c>
      <c r="D11" s="18">
        <v>1</v>
      </c>
      <c r="E11" s="19"/>
      <c r="F11" s="20">
        <f t="shared" ref="F11" si="0">+E11*D11</f>
        <v>0</v>
      </c>
    </row>
    <row r="12" spans="1:6" ht="11.4">
      <c r="A12" s="6"/>
      <c r="B12" s="21" t="s">
        <v>15</v>
      </c>
      <c r="C12" s="6"/>
      <c r="D12" s="18"/>
      <c r="E12" s="19"/>
      <c r="F12" s="22">
        <f>SUM(F9:F11)</f>
        <v>0</v>
      </c>
    </row>
    <row r="13" spans="1:6" ht="11.4">
      <c r="A13" s="1"/>
      <c r="B13" s="1"/>
      <c r="C13" s="1"/>
      <c r="D13" s="1"/>
      <c r="E13" s="1"/>
      <c r="F13" s="1"/>
    </row>
    <row r="14" spans="1:6" ht="19.95" customHeight="1">
      <c r="A14" s="12"/>
      <c r="B14" s="13" t="s">
        <v>16</v>
      </c>
      <c r="C14" s="12"/>
      <c r="D14" s="14"/>
      <c r="E14" s="15"/>
      <c r="F14" s="16"/>
    </row>
    <row r="15" spans="1:6" ht="20.399999999999999">
      <c r="A15" s="6" t="s">
        <v>17</v>
      </c>
      <c r="B15" s="7" t="s">
        <v>18</v>
      </c>
      <c r="C15" s="6" t="s">
        <v>10</v>
      </c>
      <c r="D15" s="18">
        <v>1</v>
      </c>
      <c r="E15" s="19"/>
      <c r="F15" s="20">
        <f t="shared" ref="F15:F20" si="1">+E15*D15</f>
        <v>0</v>
      </c>
    </row>
    <row r="16" spans="1:6" ht="11.4">
      <c r="A16" s="6" t="s">
        <v>19</v>
      </c>
      <c r="B16" s="7" t="s">
        <v>20</v>
      </c>
      <c r="C16" s="6" t="s">
        <v>21</v>
      </c>
      <c r="D16" s="18">
        <f>48.04*1</f>
        <v>48.04</v>
      </c>
      <c r="E16" s="19"/>
      <c r="F16" s="20">
        <f t="shared" si="1"/>
        <v>0</v>
      </c>
    </row>
    <row r="17" spans="1:6" ht="30.6">
      <c r="A17" s="6" t="s">
        <v>22</v>
      </c>
      <c r="B17" s="7" t="s">
        <v>23</v>
      </c>
      <c r="C17" s="6" t="s">
        <v>21</v>
      </c>
      <c r="D17" s="18">
        <f>25.53*0.4</f>
        <v>10.212000000000002</v>
      </c>
      <c r="E17" s="19"/>
      <c r="F17" s="20">
        <f t="shared" si="1"/>
        <v>0</v>
      </c>
    </row>
    <row r="18" spans="1:6" ht="20.399999999999999">
      <c r="A18" s="6" t="s">
        <v>24</v>
      </c>
      <c r="B18" s="7" t="s">
        <v>25</v>
      </c>
      <c r="C18" s="6" t="s">
        <v>12</v>
      </c>
      <c r="D18" s="18">
        <v>215.89</v>
      </c>
      <c r="E18" s="19"/>
      <c r="F18" s="20">
        <f t="shared" si="1"/>
        <v>0</v>
      </c>
    </row>
    <row r="19" spans="1:6" ht="20.399999999999999">
      <c r="A19" s="6" t="s">
        <v>26</v>
      </c>
      <c r="B19" s="7" t="s">
        <v>27</v>
      </c>
      <c r="C19" s="6" t="s">
        <v>21</v>
      </c>
      <c r="D19" s="18">
        <f>D17+D16</f>
        <v>58.252000000000002</v>
      </c>
      <c r="E19" s="19"/>
      <c r="F19" s="20">
        <f t="shared" si="1"/>
        <v>0</v>
      </c>
    </row>
    <row r="20" spans="1:6" ht="20.399999999999999">
      <c r="A20" s="6" t="s">
        <v>28</v>
      </c>
      <c r="B20" s="7" t="s">
        <v>29</v>
      </c>
      <c r="C20" s="6" t="s">
        <v>21</v>
      </c>
      <c r="D20" s="18">
        <f>(215.89*0.35)-D17-(D16/4)</f>
        <v>53.339499999999994</v>
      </c>
      <c r="E20" s="19"/>
      <c r="F20" s="20">
        <f t="shared" si="1"/>
        <v>0</v>
      </c>
    </row>
    <row r="21" spans="1:6" ht="11.4">
      <c r="A21" s="6"/>
      <c r="B21" s="21" t="s">
        <v>30</v>
      </c>
      <c r="C21" s="6"/>
      <c r="D21" s="18"/>
      <c r="E21" s="19"/>
      <c r="F21" s="22">
        <f>SUM(F15:F20)</f>
        <v>0</v>
      </c>
    </row>
    <row r="22" spans="1:6" ht="11.4">
      <c r="A22" s="1"/>
      <c r="B22" s="1"/>
      <c r="C22" s="1"/>
      <c r="D22" s="1"/>
      <c r="E22" s="1"/>
      <c r="F22" s="1"/>
    </row>
    <row r="23" spans="1:6" ht="11.4">
      <c r="A23" s="12"/>
      <c r="B23" s="13" t="s">
        <v>31</v>
      </c>
      <c r="C23" s="12"/>
      <c r="D23" s="14"/>
      <c r="E23" s="15"/>
      <c r="F23" s="23"/>
    </row>
    <row r="24" spans="1:6" ht="24.6" customHeight="1">
      <c r="A24" s="56" t="s">
        <v>32</v>
      </c>
      <c r="B24" s="57"/>
      <c r="C24" s="57"/>
      <c r="D24" s="57"/>
      <c r="E24" s="57"/>
      <c r="F24" s="58"/>
    </row>
    <row r="25" spans="1:6" ht="11.4">
      <c r="A25" s="6" t="s">
        <v>33</v>
      </c>
      <c r="B25" s="7" t="s">
        <v>34</v>
      </c>
      <c r="C25" s="6" t="s">
        <v>21</v>
      </c>
      <c r="D25" s="18">
        <f>48.04*0.05</f>
        <v>2.4020000000000001</v>
      </c>
      <c r="E25" s="19"/>
      <c r="F25" s="20">
        <f>E25*D25</f>
        <v>0</v>
      </c>
    </row>
    <row r="26" spans="1:6" ht="20.399999999999999">
      <c r="A26" s="6" t="s">
        <v>35</v>
      </c>
      <c r="B26" s="7" t="s">
        <v>36</v>
      </c>
      <c r="C26" s="6" t="s">
        <v>21</v>
      </c>
      <c r="D26" s="18">
        <f>25.53*0.05</f>
        <v>1.2765000000000002</v>
      </c>
      <c r="E26" s="19"/>
      <c r="F26" s="20">
        <f t="shared" ref="F26:F37" si="2">E26*D26</f>
        <v>0</v>
      </c>
    </row>
    <row r="27" spans="1:6" ht="20.399999999999999">
      <c r="A27" s="6" t="s">
        <v>37</v>
      </c>
      <c r="B27" s="7" t="s">
        <v>38</v>
      </c>
      <c r="C27" s="6" t="s">
        <v>21</v>
      </c>
      <c r="D27" s="18">
        <f>25.53*0.4</f>
        <v>10.212000000000002</v>
      </c>
      <c r="E27" s="19"/>
      <c r="F27" s="20">
        <f>E27*D27</f>
        <v>0</v>
      </c>
    </row>
    <row r="28" spans="1:6" ht="11.4">
      <c r="A28" s="6" t="s">
        <v>39</v>
      </c>
      <c r="B28" s="7" t="s">
        <v>40</v>
      </c>
      <c r="C28" s="6" t="s">
        <v>21</v>
      </c>
      <c r="D28" s="18">
        <f>(1*1.2*0.3*4)+(1*1.1*0.3*14)+(1*1*0.25*24)+(0.8*0.8*0.25*6)</f>
        <v>13.020000000000001</v>
      </c>
      <c r="E28" s="19"/>
      <c r="F28" s="20">
        <f>E28*D28</f>
        <v>0</v>
      </c>
    </row>
    <row r="29" spans="1:6" ht="21.6">
      <c r="A29" s="6" t="s">
        <v>41</v>
      </c>
      <c r="B29" s="7" t="s">
        <v>42</v>
      </c>
      <c r="C29" s="6" t="s">
        <v>21</v>
      </c>
      <c r="D29" s="18">
        <f>(109.42*0.15*0.2)+(9.475*0.15*0.15)+(9.2*0.2*0.1)</f>
        <v>3.6797875000000007</v>
      </c>
      <c r="E29" s="19"/>
      <c r="F29" s="20">
        <f t="shared" si="2"/>
        <v>0</v>
      </c>
    </row>
    <row r="30" spans="1:6" ht="11.4">
      <c r="A30" s="6" t="s">
        <v>43</v>
      </c>
      <c r="B30" s="7" t="s">
        <v>44</v>
      </c>
      <c r="C30" s="6" t="s">
        <v>21</v>
      </c>
      <c r="D30" s="18">
        <f>114.95*0.15*0.2</f>
        <v>3.4485000000000001</v>
      </c>
      <c r="E30" s="19"/>
      <c r="F30" s="20">
        <f t="shared" si="2"/>
        <v>0</v>
      </c>
    </row>
    <row r="31" spans="1:6" ht="21.6">
      <c r="A31" s="6" t="s">
        <v>45</v>
      </c>
      <c r="B31" s="7" t="s">
        <v>46</v>
      </c>
      <c r="C31" s="6" t="s">
        <v>21</v>
      </c>
      <c r="D31" s="18">
        <f>33.3*0.15*0.2</f>
        <v>0.99899999999999989</v>
      </c>
      <c r="E31" s="19"/>
      <c r="F31" s="20">
        <f>E31*D31</f>
        <v>0</v>
      </c>
    </row>
    <row r="32" spans="1:6" ht="11.4">
      <c r="A32" s="6" t="s">
        <v>47</v>
      </c>
      <c r="B32" s="7" t="s">
        <v>48</v>
      </c>
      <c r="C32" s="6" t="s">
        <v>21</v>
      </c>
      <c r="D32" s="18">
        <f>(0.15*0.3*4.45*18)+(0.15*0.55*4.95*14)+(0.2*0.55*4.95*4)+(0.15*0.2*5.1*6)+(0.15*0.15*1.225*6)</f>
        <v>12.583125000000001</v>
      </c>
      <c r="E32" s="19"/>
      <c r="F32" s="20">
        <f t="shared" ref="F32:F34" si="3">E32*D32</f>
        <v>0</v>
      </c>
    </row>
    <row r="33" spans="1:6" ht="11.4">
      <c r="A33" s="6" t="s">
        <v>49</v>
      </c>
      <c r="B33" s="7" t="s">
        <v>50</v>
      </c>
      <c r="C33" s="6" t="s">
        <v>21</v>
      </c>
      <c r="D33" s="18">
        <f>9.9*0.15*0.3</f>
        <v>0.44550000000000001</v>
      </c>
      <c r="E33" s="19"/>
      <c r="F33" s="20">
        <f t="shared" si="3"/>
        <v>0</v>
      </c>
    </row>
    <row r="34" spans="1:6" ht="30.6">
      <c r="A34" s="6" t="s">
        <v>51</v>
      </c>
      <c r="B34" s="7" t="s">
        <v>52</v>
      </c>
      <c r="C34" s="6" t="s">
        <v>21</v>
      </c>
      <c r="D34" s="18">
        <f>222*0.1</f>
        <v>22.200000000000003</v>
      </c>
      <c r="E34" s="19"/>
      <c r="F34" s="20">
        <f t="shared" si="3"/>
        <v>0</v>
      </c>
    </row>
    <row r="35" spans="1:6" ht="20.399999999999999">
      <c r="A35" s="6" t="s">
        <v>53</v>
      </c>
      <c r="B35" s="7" t="s">
        <v>54</v>
      </c>
      <c r="C35" s="6" t="s">
        <v>21</v>
      </c>
      <c r="D35" s="18">
        <f>33.78*0.1</f>
        <v>3.3780000000000001</v>
      </c>
      <c r="E35" s="19"/>
      <c r="F35" s="20">
        <f t="shared" si="2"/>
        <v>0</v>
      </c>
    </row>
    <row r="36" spans="1:6" ht="20.399999999999999">
      <c r="A36" s="6" t="s">
        <v>55</v>
      </c>
      <c r="B36" s="7" t="s">
        <v>56</v>
      </c>
      <c r="C36" s="6" t="s">
        <v>21</v>
      </c>
      <c r="D36" s="18">
        <f>19.2*0.15*0.1</f>
        <v>0.28799999999999998</v>
      </c>
      <c r="E36" s="19"/>
      <c r="F36" s="20">
        <f t="shared" si="2"/>
        <v>0</v>
      </c>
    </row>
    <row r="37" spans="1:6" ht="11.4">
      <c r="A37" s="6" t="s">
        <v>57</v>
      </c>
      <c r="B37" s="7" t="s">
        <v>58</v>
      </c>
      <c r="C37" s="6" t="s">
        <v>21</v>
      </c>
      <c r="D37" s="18">
        <v>0.5</v>
      </c>
      <c r="E37" s="19"/>
      <c r="F37" s="20">
        <f t="shared" si="2"/>
        <v>0</v>
      </c>
    </row>
    <row r="38" spans="1:6" ht="11.4">
      <c r="A38" s="6"/>
      <c r="B38" s="21" t="s">
        <v>59</v>
      </c>
      <c r="C38" s="6"/>
      <c r="D38" s="18"/>
      <c r="E38" s="19"/>
      <c r="F38" s="24">
        <f>SUM(F25:F37)</f>
        <v>0</v>
      </c>
    </row>
    <row r="39" spans="1:6" ht="11.4">
      <c r="A39" s="1"/>
      <c r="B39" s="1"/>
      <c r="C39" s="1"/>
      <c r="D39" s="1"/>
      <c r="E39" s="1"/>
      <c r="F39" s="1"/>
    </row>
    <row r="40" spans="1:6" ht="11.4">
      <c r="A40" s="12"/>
      <c r="B40" s="13" t="s">
        <v>60</v>
      </c>
      <c r="C40" s="12"/>
      <c r="D40" s="14"/>
      <c r="E40" s="15"/>
      <c r="F40" s="16"/>
    </row>
    <row r="41" spans="1:6" ht="11.4">
      <c r="A41" s="6" t="s">
        <v>61</v>
      </c>
      <c r="B41" s="7" t="s">
        <v>62</v>
      </c>
      <c r="C41" s="6" t="s">
        <v>63</v>
      </c>
      <c r="D41" s="18">
        <f>111.27*0.25+9.4*0.2</f>
        <v>29.697499999999998</v>
      </c>
      <c r="E41" s="19"/>
      <c r="F41" s="20">
        <f>E41*D41</f>
        <v>0</v>
      </c>
    </row>
    <row r="42" spans="1:6" ht="11.4">
      <c r="A42" s="6" t="s">
        <v>64</v>
      </c>
      <c r="B42" s="7" t="s">
        <v>65</v>
      </c>
      <c r="C42" s="6" t="s">
        <v>63</v>
      </c>
      <c r="D42" s="18">
        <f>7.32*2+23.55*4+34*3</f>
        <v>210.84</v>
      </c>
      <c r="E42" s="19"/>
      <c r="F42" s="20">
        <f t="shared" ref="F42:F47" si="4">E42*D42</f>
        <v>0</v>
      </c>
    </row>
    <row r="43" spans="1:6" ht="23.4" customHeight="1">
      <c r="A43" s="6" t="s">
        <v>66</v>
      </c>
      <c r="B43" s="7" t="s">
        <v>67</v>
      </c>
      <c r="C43" s="6" t="s">
        <v>63</v>
      </c>
      <c r="D43" s="18">
        <f>22.09*4+9.1*4+28.97*4</f>
        <v>240.64</v>
      </c>
      <c r="E43" s="19"/>
      <c r="F43" s="20">
        <f t="shared" si="4"/>
        <v>0</v>
      </c>
    </row>
    <row r="44" spans="1:6" ht="20.399999999999999">
      <c r="A44" s="6" t="s">
        <v>68</v>
      </c>
      <c r="B44" s="7" t="s">
        <v>69</v>
      </c>
      <c r="C44" s="6" t="s">
        <v>63</v>
      </c>
      <c r="D44" s="18">
        <f>40.72*2+22.09*4+7*4+3.03*4+10.98*4</f>
        <v>253.84000000000003</v>
      </c>
      <c r="E44" s="19"/>
      <c r="F44" s="20">
        <f t="shared" si="4"/>
        <v>0</v>
      </c>
    </row>
    <row r="45" spans="1:6" s="26" customFormat="1" ht="11.4">
      <c r="A45" s="6" t="s">
        <v>70</v>
      </c>
      <c r="B45" s="7" t="s">
        <v>71</v>
      </c>
      <c r="C45" s="6" t="s">
        <v>63</v>
      </c>
      <c r="D45" s="18">
        <f>5.15*4</f>
        <v>20.6</v>
      </c>
      <c r="E45" s="19"/>
      <c r="F45" s="20">
        <f t="shared" si="4"/>
        <v>0</v>
      </c>
    </row>
    <row r="46" spans="1:6" ht="11.4">
      <c r="A46" s="6" t="s">
        <v>72</v>
      </c>
      <c r="B46" s="7" t="s">
        <v>73</v>
      </c>
      <c r="C46" s="6" t="s">
        <v>74</v>
      </c>
      <c r="D46" s="18">
        <f>0.9*3*18</f>
        <v>48.6</v>
      </c>
      <c r="E46" s="19"/>
      <c r="F46" s="20">
        <f t="shared" si="4"/>
        <v>0</v>
      </c>
    </row>
    <row r="47" spans="1:6" ht="11.4">
      <c r="A47" s="6" t="s">
        <v>75</v>
      </c>
      <c r="B47" s="7" t="s">
        <v>76</v>
      </c>
      <c r="C47" s="6" t="s">
        <v>77</v>
      </c>
      <c r="D47" s="18">
        <f>14*2</f>
        <v>28</v>
      </c>
      <c r="E47" s="19"/>
      <c r="F47" s="20">
        <f t="shared" si="4"/>
        <v>0</v>
      </c>
    </row>
    <row r="48" spans="1:6" ht="11.4">
      <c r="A48" s="6"/>
      <c r="B48" s="21" t="s">
        <v>78</v>
      </c>
      <c r="C48" s="6"/>
      <c r="D48" s="18"/>
      <c r="E48" s="19"/>
      <c r="F48" s="22">
        <f>SUM(F41:F47)</f>
        <v>0</v>
      </c>
    </row>
    <row r="49" spans="1:6" ht="11.4">
      <c r="A49" s="1"/>
      <c r="B49" s="1"/>
      <c r="C49" s="1"/>
      <c r="D49" s="1"/>
      <c r="E49" s="1"/>
      <c r="F49" s="1"/>
    </row>
    <row r="50" spans="1:6" ht="11.4">
      <c r="A50" s="12"/>
      <c r="B50" s="13" t="s">
        <v>79</v>
      </c>
      <c r="C50" s="27"/>
      <c r="D50" s="28"/>
      <c r="E50" s="29"/>
      <c r="F50" s="30"/>
    </row>
    <row r="51" spans="1:6" ht="40.799999999999997">
      <c r="A51" s="6" t="s">
        <v>80</v>
      </c>
      <c r="B51" s="17" t="s">
        <v>81</v>
      </c>
      <c r="C51" s="6" t="s">
        <v>63</v>
      </c>
      <c r="D51" s="18">
        <v>225</v>
      </c>
      <c r="E51" s="19"/>
      <c r="F51" s="20">
        <f t="shared" ref="F51:F60" si="5">E51*D51</f>
        <v>0</v>
      </c>
    </row>
    <row r="52" spans="1:6" ht="20.399999999999999">
      <c r="A52" s="6" t="s">
        <v>82</v>
      </c>
      <c r="B52" s="17" t="s">
        <v>134</v>
      </c>
      <c r="C52" s="6" t="s">
        <v>74</v>
      </c>
      <c r="D52" s="18">
        <v>19</v>
      </c>
      <c r="E52" s="19"/>
      <c r="F52" s="20">
        <f t="shared" si="5"/>
        <v>0</v>
      </c>
    </row>
    <row r="53" spans="1:6" ht="20.399999999999999">
      <c r="A53" s="6" t="s">
        <v>83</v>
      </c>
      <c r="B53" s="7" t="s">
        <v>84</v>
      </c>
      <c r="C53" s="6" t="s">
        <v>85</v>
      </c>
      <c r="D53" s="18">
        <v>2</v>
      </c>
      <c r="E53" s="19"/>
      <c r="F53" s="20">
        <f t="shared" si="5"/>
        <v>0</v>
      </c>
    </row>
    <row r="54" spans="1:6" ht="20.399999999999999">
      <c r="A54" s="6" t="s">
        <v>86</v>
      </c>
      <c r="B54" s="7" t="s">
        <v>87</v>
      </c>
      <c r="C54" s="6" t="s">
        <v>74</v>
      </c>
      <c r="D54" s="18">
        <f>2.6*6</f>
        <v>15.600000000000001</v>
      </c>
      <c r="E54" s="19"/>
      <c r="F54" s="20">
        <f t="shared" si="5"/>
        <v>0</v>
      </c>
    </row>
    <row r="55" spans="1:6" ht="20.399999999999999">
      <c r="A55" s="6" t="s">
        <v>88</v>
      </c>
      <c r="B55" s="7" t="s">
        <v>140</v>
      </c>
      <c r="C55" s="6" t="s">
        <v>74</v>
      </c>
      <c r="D55" s="18">
        <f>19*14</f>
        <v>266</v>
      </c>
      <c r="E55" s="19"/>
      <c r="F55" s="20">
        <f t="shared" si="5"/>
        <v>0</v>
      </c>
    </row>
    <row r="56" spans="1:6" ht="20.399999999999999">
      <c r="A56" s="6" t="s">
        <v>89</v>
      </c>
      <c r="B56" s="7" t="s">
        <v>90</v>
      </c>
      <c r="C56" s="6" t="s">
        <v>74</v>
      </c>
      <c r="D56" s="18">
        <f>61.95*2</f>
        <v>123.9</v>
      </c>
      <c r="E56" s="19"/>
      <c r="F56" s="20">
        <f t="shared" si="5"/>
        <v>0</v>
      </c>
    </row>
    <row r="57" spans="1:6" ht="20.399999999999999">
      <c r="A57" s="6" t="s">
        <v>91</v>
      </c>
      <c r="B57" s="7" t="s">
        <v>92</v>
      </c>
      <c r="C57" s="6" t="s">
        <v>74</v>
      </c>
      <c r="D57" s="18">
        <f>61.95</f>
        <v>61.95</v>
      </c>
      <c r="E57" s="19"/>
      <c r="F57" s="20">
        <f t="shared" si="5"/>
        <v>0</v>
      </c>
    </row>
    <row r="58" spans="1:6" ht="30.6">
      <c r="A58" s="6" t="s">
        <v>93</v>
      </c>
      <c r="B58" s="7" t="s">
        <v>94</v>
      </c>
      <c r="C58" s="6" t="s">
        <v>77</v>
      </c>
      <c r="D58" s="18">
        <f>14*3</f>
        <v>42</v>
      </c>
      <c r="E58" s="19"/>
      <c r="F58" s="20">
        <f t="shared" si="5"/>
        <v>0</v>
      </c>
    </row>
    <row r="59" spans="1:6" ht="30.6">
      <c r="A59" s="6" t="s">
        <v>95</v>
      </c>
      <c r="B59" s="7" t="s">
        <v>96</v>
      </c>
      <c r="C59" s="6" t="s">
        <v>77</v>
      </c>
      <c r="D59" s="18">
        <v>6</v>
      </c>
      <c r="E59" s="19"/>
      <c r="F59" s="20">
        <f t="shared" si="5"/>
        <v>0</v>
      </c>
    </row>
    <row r="60" spans="1:6" ht="20.399999999999999">
      <c r="A60" s="6" t="s">
        <v>97</v>
      </c>
      <c r="B60" s="7" t="s">
        <v>98</v>
      </c>
      <c r="C60" s="6" t="s">
        <v>77</v>
      </c>
      <c r="D60" s="18">
        <v>4</v>
      </c>
      <c r="E60" s="19"/>
      <c r="F60" s="20">
        <f t="shared" si="5"/>
        <v>0</v>
      </c>
    </row>
    <row r="61" spans="1:6" ht="11.4">
      <c r="A61" s="6"/>
      <c r="B61" s="21" t="s">
        <v>99</v>
      </c>
      <c r="C61" s="6"/>
      <c r="D61" s="18"/>
      <c r="E61" s="19"/>
      <c r="F61" s="24">
        <f>SUM(F51:F60)</f>
        <v>0</v>
      </c>
    </row>
    <row r="62" spans="1:6" ht="11.4">
      <c r="A62" s="1"/>
      <c r="B62" s="1"/>
      <c r="C62" s="1"/>
      <c r="D62" s="1"/>
      <c r="E62" s="1"/>
      <c r="F62" s="1"/>
    </row>
    <row r="63" spans="1:6" ht="11.4">
      <c r="A63" s="12"/>
      <c r="B63" s="13" t="s">
        <v>100</v>
      </c>
      <c r="C63" s="12"/>
      <c r="D63" s="14"/>
      <c r="E63" s="15"/>
      <c r="F63" s="31"/>
    </row>
    <row r="64" spans="1:6" ht="91.8">
      <c r="A64" s="32"/>
      <c r="B64" s="33" t="s">
        <v>101</v>
      </c>
      <c r="C64" s="32"/>
      <c r="D64" s="34"/>
      <c r="E64" s="35"/>
      <c r="F64" s="36"/>
    </row>
    <row r="65" spans="1:6" ht="30.6">
      <c r="A65" s="6" t="s">
        <v>102</v>
      </c>
      <c r="B65" s="7" t="s">
        <v>103</v>
      </c>
      <c r="C65" s="37" t="s">
        <v>77</v>
      </c>
      <c r="D65" s="18">
        <v>20</v>
      </c>
      <c r="E65" s="19"/>
      <c r="F65" s="20">
        <f t="shared" ref="F65:F68" si="6">E65*D65</f>
        <v>0</v>
      </c>
    </row>
    <row r="66" spans="1:6" ht="30.6">
      <c r="A66" s="6" t="s">
        <v>104</v>
      </c>
      <c r="B66" s="7" t="s">
        <v>132</v>
      </c>
      <c r="C66" s="37" t="s">
        <v>77</v>
      </c>
      <c r="D66" s="18">
        <v>2</v>
      </c>
      <c r="E66" s="19"/>
      <c r="F66" s="20">
        <f t="shared" si="6"/>
        <v>0</v>
      </c>
    </row>
    <row r="67" spans="1:6" ht="30.6">
      <c r="A67" s="6" t="s">
        <v>105</v>
      </c>
      <c r="B67" s="7" t="s">
        <v>133</v>
      </c>
      <c r="C67" s="37" t="s">
        <v>77</v>
      </c>
      <c r="D67" s="18">
        <v>2</v>
      </c>
      <c r="E67" s="19"/>
      <c r="F67" s="20">
        <f t="shared" si="6"/>
        <v>0</v>
      </c>
    </row>
    <row r="68" spans="1:6" ht="20.399999999999999">
      <c r="A68" s="6" t="s">
        <v>106</v>
      </c>
      <c r="B68" s="7" t="s">
        <v>107</v>
      </c>
      <c r="C68" s="37" t="s">
        <v>77</v>
      </c>
      <c r="D68" s="18">
        <v>8</v>
      </c>
      <c r="E68" s="19"/>
      <c r="F68" s="20">
        <f t="shared" si="6"/>
        <v>0</v>
      </c>
    </row>
    <row r="69" spans="1:6" ht="11.4">
      <c r="A69" s="6" t="s">
        <v>108</v>
      </c>
      <c r="B69" s="7" t="s">
        <v>109</v>
      </c>
      <c r="C69" s="37" t="s">
        <v>74</v>
      </c>
      <c r="D69" s="18">
        <v>13</v>
      </c>
      <c r="E69" s="19"/>
      <c r="F69" s="20">
        <f>E69*D69</f>
        <v>0</v>
      </c>
    </row>
    <row r="70" spans="1:6" ht="20.399999999999999">
      <c r="A70" s="6" t="s">
        <v>110</v>
      </c>
      <c r="B70" s="7" t="s">
        <v>111</v>
      </c>
      <c r="C70" s="37" t="s">
        <v>12</v>
      </c>
      <c r="D70" s="18">
        <f>16*0.6*0.4*2</f>
        <v>7.68</v>
      </c>
      <c r="E70" s="19"/>
      <c r="F70" s="20">
        <f t="shared" ref="F70" si="7">E70*D70</f>
        <v>0</v>
      </c>
    </row>
    <row r="71" spans="1:6" ht="11.4">
      <c r="A71" s="6"/>
      <c r="B71" s="21" t="s">
        <v>112</v>
      </c>
      <c r="C71" s="6"/>
      <c r="D71" s="38"/>
      <c r="E71" s="19"/>
      <c r="F71" s="24">
        <f>SUM(F65:F70)</f>
        <v>0</v>
      </c>
    </row>
    <row r="72" spans="1:6" ht="11.4">
      <c r="A72" s="1"/>
      <c r="B72" s="1"/>
      <c r="C72" s="1"/>
      <c r="D72" s="1"/>
      <c r="E72" s="1"/>
      <c r="F72" s="1"/>
    </row>
    <row r="73" spans="1:6" ht="11.4">
      <c r="A73" s="12"/>
      <c r="B73" s="13" t="s">
        <v>113</v>
      </c>
      <c r="C73" s="12"/>
      <c r="D73" s="14"/>
      <c r="E73" s="15"/>
      <c r="F73" s="16"/>
    </row>
    <row r="74" spans="1:6" ht="11.4">
      <c r="A74" s="6" t="s">
        <v>114</v>
      </c>
      <c r="B74" s="7" t="s">
        <v>115</v>
      </c>
      <c r="C74" s="6" t="s">
        <v>63</v>
      </c>
      <c r="D74" s="18">
        <f>22*4+13.15*4+18*2</f>
        <v>176.6</v>
      </c>
      <c r="E74" s="19"/>
      <c r="F74" s="20">
        <f t="shared" ref="F74:F79" si="8">E74*D74</f>
        <v>0</v>
      </c>
    </row>
    <row r="75" spans="1:6" ht="30.6">
      <c r="A75" s="6" t="s">
        <v>116</v>
      </c>
      <c r="B75" s="7" t="s">
        <v>117</v>
      </c>
      <c r="C75" s="6" t="s">
        <v>63</v>
      </c>
      <c r="D75" s="18">
        <f>22*4+13.15*4+18*2+26.3*2</f>
        <v>229.2</v>
      </c>
      <c r="E75" s="19"/>
      <c r="F75" s="20">
        <f t="shared" si="8"/>
        <v>0</v>
      </c>
    </row>
    <row r="76" spans="1:6" ht="20.399999999999999">
      <c r="A76" s="6" t="s">
        <v>118</v>
      </c>
      <c r="B76" s="7" t="s">
        <v>119</v>
      </c>
      <c r="C76" s="6" t="s">
        <v>63</v>
      </c>
      <c r="D76" s="18">
        <f>14.06*4+8.94*4</f>
        <v>92</v>
      </c>
      <c r="E76" s="19"/>
      <c r="F76" s="20">
        <f t="shared" si="8"/>
        <v>0</v>
      </c>
    </row>
    <row r="77" spans="1:6" ht="30.6">
      <c r="A77" s="6" t="s">
        <v>120</v>
      </c>
      <c r="B77" s="7" t="s">
        <v>138</v>
      </c>
      <c r="C77" s="6" t="s">
        <v>63</v>
      </c>
      <c r="D77" s="18">
        <f>+D44-(26.3*2)</f>
        <v>201.24000000000004</v>
      </c>
      <c r="E77" s="19"/>
      <c r="F77" s="20">
        <f t="shared" si="8"/>
        <v>0</v>
      </c>
    </row>
    <row r="78" spans="1:6" ht="11.4">
      <c r="A78" s="6" t="s">
        <v>121</v>
      </c>
      <c r="B78" s="7" t="s">
        <v>122</v>
      </c>
      <c r="C78" s="6" t="s">
        <v>10</v>
      </c>
      <c r="D78" s="18">
        <v>1</v>
      </c>
      <c r="E78" s="19"/>
      <c r="F78" s="20">
        <f t="shared" si="8"/>
        <v>0</v>
      </c>
    </row>
    <row r="79" spans="1:6" ht="11.4">
      <c r="A79" s="6" t="s">
        <v>123</v>
      </c>
      <c r="B79" s="7" t="s">
        <v>124</v>
      </c>
      <c r="C79" s="6" t="s">
        <v>63</v>
      </c>
      <c r="D79" s="18">
        <f>5.15*4</f>
        <v>20.6</v>
      </c>
      <c r="E79" s="19"/>
      <c r="F79" s="20">
        <f t="shared" si="8"/>
        <v>0</v>
      </c>
    </row>
    <row r="80" spans="1:6" ht="11.4">
      <c r="A80" s="6"/>
      <c r="B80" s="21" t="s">
        <v>137</v>
      </c>
      <c r="C80" s="6"/>
      <c r="D80" s="18"/>
      <c r="E80" s="19"/>
      <c r="F80" s="24">
        <f>SUM(F74:F79)</f>
        <v>0</v>
      </c>
    </row>
    <row r="81" spans="1:6" ht="11.4">
      <c r="A81" s="1"/>
      <c r="B81" s="1"/>
      <c r="C81" s="1"/>
      <c r="D81" s="1"/>
      <c r="E81" s="1"/>
      <c r="F81" s="1"/>
    </row>
    <row r="82" spans="1:6" ht="11.4">
      <c r="A82" s="39">
        <v>0</v>
      </c>
      <c r="B82" s="52" t="s">
        <v>125</v>
      </c>
      <c r="C82" s="52"/>
      <c r="D82" s="52"/>
      <c r="E82" s="52"/>
      <c r="F82" s="22">
        <f>F12</f>
        <v>0</v>
      </c>
    </row>
    <row r="83" spans="1:6" ht="11.4">
      <c r="A83" s="39">
        <v>1</v>
      </c>
      <c r="B83" s="52" t="s">
        <v>126</v>
      </c>
      <c r="C83" s="52"/>
      <c r="D83" s="52"/>
      <c r="E83" s="52"/>
      <c r="F83" s="22">
        <f>+F21</f>
        <v>0</v>
      </c>
    </row>
    <row r="84" spans="1:6" ht="11.4">
      <c r="A84" s="39">
        <v>2</v>
      </c>
      <c r="B84" s="46" t="s">
        <v>127</v>
      </c>
      <c r="C84" s="47"/>
      <c r="D84" s="47"/>
      <c r="E84" s="48"/>
      <c r="F84" s="22">
        <f>+F38</f>
        <v>0</v>
      </c>
    </row>
    <row r="85" spans="1:6" ht="11.4">
      <c r="A85" s="39">
        <v>3</v>
      </c>
      <c r="B85" s="46" t="s">
        <v>128</v>
      </c>
      <c r="C85" s="47"/>
      <c r="D85" s="47"/>
      <c r="E85" s="48"/>
      <c r="F85" s="22">
        <f>+F48</f>
        <v>0</v>
      </c>
    </row>
    <row r="86" spans="1:6" ht="11.4">
      <c r="A86" s="39">
        <v>4</v>
      </c>
      <c r="B86" s="46" t="s">
        <v>129</v>
      </c>
      <c r="C86" s="47"/>
      <c r="D86" s="47"/>
      <c r="E86" s="48"/>
      <c r="F86" s="25">
        <f>F61</f>
        <v>0</v>
      </c>
    </row>
    <row r="87" spans="1:6" ht="11.4">
      <c r="A87" s="39">
        <v>5</v>
      </c>
      <c r="B87" s="46" t="s">
        <v>135</v>
      </c>
      <c r="C87" s="47"/>
      <c r="D87" s="47"/>
      <c r="E87" s="48"/>
      <c r="F87" s="22">
        <f>+F71</f>
        <v>0</v>
      </c>
    </row>
    <row r="88" spans="1:6" ht="11.4">
      <c r="A88" s="39">
        <v>6</v>
      </c>
      <c r="B88" s="46" t="s">
        <v>136</v>
      </c>
      <c r="C88" s="47"/>
      <c r="D88" s="47"/>
      <c r="E88" s="48"/>
      <c r="F88" s="22">
        <f>+F80</f>
        <v>0</v>
      </c>
    </row>
    <row r="89" spans="1:6" ht="11.4">
      <c r="A89" s="40"/>
      <c r="B89" s="49" t="s">
        <v>130</v>
      </c>
      <c r="C89" s="50"/>
      <c r="D89" s="50"/>
      <c r="E89" s="51"/>
      <c r="F89" s="41">
        <f>SUM(F82:F88)</f>
        <v>0</v>
      </c>
    </row>
    <row r="91" spans="1:6" ht="19.2" thickBot="1">
      <c r="B91" s="62" t="s">
        <v>146</v>
      </c>
      <c r="C91" s="62"/>
      <c r="D91" s="62"/>
      <c r="E91" s="62"/>
      <c r="F91" s="62"/>
    </row>
    <row r="92" spans="1:6" ht="18.600000000000001" customHeight="1" thickBot="1">
      <c r="B92" s="74" t="s">
        <v>142</v>
      </c>
      <c r="C92" s="75"/>
      <c r="D92" s="75"/>
      <c r="E92" s="76"/>
      <c r="F92" s="77">
        <f>F89</f>
        <v>0</v>
      </c>
    </row>
    <row r="93" spans="1:6" ht="18.600000000000001" customHeight="1" thickBot="1">
      <c r="B93" s="63" t="s">
        <v>0</v>
      </c>
      <c r="C93" s="64"/>
      <c r="D93" s="64"/>
      <c r="E93" s="65"/>
      <c r="F93" s="66">
        <f>SUM(F92)</f>
        <v>0</v>
      </c>
    </row>
    <row r="94" spans="1:6" ht="18.600000000000001" customHeight="1" thickBot="1">
      <c r="B94" s="67" t="s">
        <v>144</v>
      </c>
      <c r="C94" s="68"/>
      <c r="D94" s="68"/>
      <c r="E94" s="69"/>
      <c r="F94" s="66"/>
    </row>
    <row r="95" spans="1:6" ht="18.600000000000001" customHeight="1" thickBot="1">
      <c r="B95" s="70" t="s">
        <v>145</v>
      </c>
      <c r="C95" s="71"/>
      <c r="D95" s="71"/>
      <c r="E95" s="72"/>
      <c r="F95" s="73">
        <f>F94+F93</f>
        <v>0</v>
      </c>
    </row>
  </sheetData>
  <mergeCells count="18">
    <mergeCell ref="B93:E93"/>
    <mergeCell ref="B94:E94"/>
    <mergeCell ref="B95:E95"/>
    <mergeCell ref="B92:E92"/>
    <mergeCell ref="B83:E83"/>
    <mergeCell ref="B6:E6"/>
    <mergeCell ref="A1:F1"/>
    <mergeCell ref="B3:F3"/>
    <mergeCell ref="A5:F5"/>
    <mergeCell ref="A24:F24"/>
    <mergeCell ref="B82:E82"/>
    <mergeCell ref="B91:F91"/>
    <mergeCell ref="B84:E84"/>
    <mergeCell ref="B85:E85"/>
    <mergeCell ref="B86:E86"/>
    <mergeCell ref="B87:E87"/>
    <mergeCell ref="B88:E88"/>
    <mergeCell ref="B89:E89"/>
  </mergeCells>
  <pageMargins left="0.7" right="0.7" top="0.75" bottom="0.75" header="0.3" footer="0.3"/>
  <pageSetup paperSize="9" scale="89"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08ba6eb-9e09-4fd5-92f2-2d9921329f2d">BFAENABEL-680963957-31607</_dlc_DocId>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https://enabelbe.sharepoint.com/sites/BFA/_layouts/15/DocIdRedir.aspx?ID=BFAENABEL-680963957-31607</Url>
      <Description>BFAENABEL-680963957-31607</Description>
    </_dlc_DocIdUrl>
    <j50cb40f2a0941d2947e6bcbd5d19dce xmlns="14a9c00f-d9e3-4eb9-aad3-f69239d17d9c">
      <Terms xmlns="http://schemas.microsoft.com/office/infopath/2007/PartnerControls"/>
    </j50cb40f2a0941d2947e6bcbd5d19d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e4cf752033bb7290fdf898415b0e7845">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b6f31932fc1f8e7be2f3e99fa195b041"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30270-F2F1-4E25-88BE-78D8C2206CB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c89b6ff-5735-4b3c-9dca-50e80957a65b"/>
    <ds:schemaRef ds:uri="14a9c00f-d9e3-4eb9-aad3-f69239d17d9c"/>
    <ds:schemaRef ds:uri="http://purl.org/dc/terms/"/>
    <ds:schemaRef ds:uri="017ef222-b715-482d-b25e-e029bead7086"/>
    <ds:schemaRef ds:uri="508ba6eb-9e09-4fd5-92f2-2d9921329f2d"/>
    <ds:schemaRef ds:uri="http://www.w3.org/XML/1998/namespace"/>
    <ds:schemaRef ds:uri="http://purl.org/dc/dcmitype/"/>
  </ds:schemaRefs>
</ds:datastoreItem>
</file>

<file path=customXml/itemProps2.xml><?xml version="1.0" encoding="utf-8"?>
<ds:datastoreItem xmlns:ds="http://schemas.openxmlformats.org/officeDocument/2006/customXml" ds:itemID="{B6422118-B634-4500-B2BB-496DC56BB473}">
  <ds:schemaRefs>
    <ds:schemaRef ds:uri="http://schemas.microsoft.com/sharepoint/v3/contenttype/forms"/>
  </ds:schemaRefs>
</ds:datastoreItem>
</file>

<file path=customXml/itemProps3.xml><?xml version="1.0" encoding="utf-8"?>
<ds:datastoreItem xmlns:ds="http://schemas.openxmlformats.org/officeDocument/2006/customXml" ds:itemID="{92E2EBC0-6998-4DB5-B1A2-E18556D69557}">
  <ds:schemaRefs>
    <ds:schemaRef ds:uri="http://schemas.microsoft.com/sharepoint/events"/>
  </ds:schemaRefs>
</ds:datastoreItem>
</file>

<file path=customXml/itemProps4.xml><?xml version="1.0" encoding="utf-8"?>
<ds:datastoreItem xmlns:ds="http://schemas.openxmlformats.org/officeDocument/2006/customXml" ds:itemID="{C1D83F42-5C0F-459C-8F21-E349132FB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LOT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Vander Auwera T</cp:lastModifiedBy>
  <cp:lastPrinted>2022-12-07T12:28:57Z</cp:lastPrinted>
  <dcterms:created xsi:type="dcterms:W3CDTF">2022-10-21T03:35:06Z</dcterms:created>
  <dcterms:modified xsi:type="dcterms:W3CDTF">2022-12-07T12:29:21Z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0x01010084FDA68FEA25C847A6128BBA7C1A6EC100DB6DE8DA9F5B134CB8F62B604C7D5447</vt:lpwstr>
  </property>
  <property fmtid="{D5CDD505-2E9C-101B-9397-08002B2CF9AE}" pid="4" name="Document_Language">
    <vt:lpwstr>2;#FR|e5b11214-e6fc-4287-b1cb-b050c041462c</vt:lpwstr>
  </property>
  <property fmtid="{D5CDD505-2E9C-101B-9397-08002B2CF9AE}" pid="5" name="Document_Type">
    <vt:lpwstr/>
  </property>
  <property fmtid="{D5CDD505-2E9C-101B-9397-08002B2CF9AE}" pid="6" name="Country">
    <vt:lpwstr>1;#BFA|5c109890-987f-4e01-800e-8d3dbccbd13c</vt:lpwstr>
  </property>
  <property fmtid="{D5CDD505-2E9C-101B-9397-08002B2CF9AE}" pid="7" name="_dlc_DocIdItemGuid">
    <vt:lpwstr>a86a6d29-cabe-4f9a-a6a8-a64f54000aac</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