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Vander Auwera T\ENABEL\BURKINA FASO - 🔒 Contracts\21_Marchés_Publics\BFA2100311_Fragilité\BFA21003-10028 Travaux classes Kouritenga\2_CSC\"/>
    </mc:Choice>
  </mc:AlternateContent>
  <xr:revisionPtr revIDLastSave="47" documentId="13_ncr:1_{420A6940-BAAA-4678-AB69-596BAD514C3D}" xr6:coauthVersionLast="36" xr6:coauthVersionMax="47" xr10:uidLastSave="{8F3D338E-C194-47C4-85A5-9C7673E0369D}"/>
  <bookViews>
    <workbookView xWindow="-108" yWindow="-108" windowWidth="23256" windowHeight="12456" xr2:uid="{AAC458E7-9332-4C05-9EA1-50600A692805}"/>
  </bookViews>
  <sheets>
    <sheet name="LOT 1" sheetId="2" r:id="rId1"/>
  </sheets>
  <externalReferences>
    <externalReference r:id="rId2"/>
  </externalReferences>
  <definedNames>
    <definedName name="_xlnm.Print_Area" localSheetId="0">'LOT 1'!$A$1:$F$173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2" l="1"/>
  <c r="D17" i="2"/>
  <c r="D18" i="2"/>
  <c r="F18" i="2" s="1"/>
  <c r="D25" i="2"/>
  <c r="F25" i="2" s="1"/>
  <c r="D26" i="2"/>
  <c r="F26" i="2" s="1"/>
  <c r="D27" i="2"/>
  <c r="F27" i="2" s="1"/>
  <c r="D28" i="2"/>
  <c r="F28" i="2" s="1"/>
  <c r="D29" i="2"/>
  <c r="F29" i="2" s="1"/>
  <c r="D30" i="2"/>
  <c r="F30" i="2" s="1"/>
  <c r="D31" i="2"/>
  <c r="F31" i="2" s="1"/>
  <c r="D32" i="2"/>
  <c r="F32" i="2" s="1"/>
  <c r="D33" i="2"/>
  <c r="F33" i="2" s="1"/>
  <c r="D34" i="2"/>
  <c r="F34" i="2" s="1"/>
  <c r="D35" i="2"/>
  <c r="F35" i="2" s="1"/>
  <c r="D36" i="2"/>
  <c r="F36" i="2" s="1"/>
  <c r="D37" i="2"/>
  <c r="F37" i="2" s="1"/>
  <c r="D41" i="2"/>
  <c r="F41" i="2" s="1"/>
  <c r="D42" i="2"/>
  <c r="F42" i="2" s="1"/>
  <c r="D43" i="2"/>
  <c r="F43" i="2" s="1"/>
  <c r="D44" i="2"/>
  <c r="D78" i="2" s="1"/>
  <c r="F78" i="2" s="1"/>
  <c r="D45" i="2"/>
  <c r="F45" i="2" s="1"/>
  <c r="D46" i="2"/>
  <c r="F46" i="2" s="1"/>
  <c r="D47" i="2"/>
  <c r="F47" i="2" s="1"/>
  <c r="D52" i="2"/>
  <c r="F52" i="2" s="1"/>
  <c r="D53" i="2"/>
  <c r="F53" i="2" s="1"/>
  <c r="D54" i="2"/>
  <c r="F54" i="2" s="1"/>
  <c r="D55" i="2"/>
  <c r="F55" i="2" s="1"/>
  <c r="D56" i="2"/>
  <c r="F56" i="2" s="1"/>
  <c r="D57" i="2"/>
  <c r="F57" i="2" s="1"/>
  <c r="D58" i="2"/>
  <c r="F58" i="2" s="1"/>
  <c r="D59" i="2"/>
  <c r="F59" i="2" s="1"/>
  <c r="D60" i="2"/>
  <c r="F60" i="2" s="1"/>
  <c r="D61" i="2"/>
  <c r="F61" i="2" s="1"/>
  <c r="D66" i="2"/>
  <c r="F66" i="2" s="1"/>
  <c r="F67" i="2"/>
  <c r="F68" i="2"/>
  <c r="D69" i="2"/>
  <c r="F69" i="2" s="1"/>
  <c r="D71" i="2"/>
  <c r="F71" i="2" s="1"/>
  <c r="D75" i="2"/>
  <c r="F75" i="2" s="1"/>
  <c r="D76" i="2"/>
  <c r="F76" i="2" s="1"/>
  <c r="D77" i="2"/>
  <c r="F77" i="2" s="1"/>
  <c r="D79" i="2"/>
  <c r="F79" i="2" s="1"/>
  <c r="D80" i="2"/>
  <c r="F80" i="2" s="1"/>
  <c r="F96" i="2"/>
  <c r="F97" i="2"/>
  <c r="D98" i="2"/>
  <c r="D99" i="2"/>
  <c r="F99" i="2" s="1"/>
  <c r="D100" i="2"/>
  <c r="F100" i="2" s="1"/>
  <c r="F101" i="2"/>
  <c r="D103" i="2"/>
  <c r="F103" i="2" s="1"/>
  <c r="F104" i="2"/>
  <c r="D109" i="2"/>
  <c r="F109" i="2" s="1"/>
  <c r="D110" i="2"/>
  <c r="F110" i="2" s="1"/>
  <c r="D111" i="2"/>
  <c r="F111" i="2" s="1"/>
  <c r="D112" i="2"/>
  <c r="F112" i="2" s="1"/>
  <c r="D113" i="2"/>
  <c r="F113" i="2" s="1"/>
  <c r="D114" i="2"/>
  <c r="F114" i="2" s="1"/>
  <c r="D115" i="2"/>
  <c r="F115" i="2" s="1"/>
  <c r="D116" i="2"/>
  <c r="F116" i="2" s="1"/>
  <c r="D117" i="2"/>
  <c r="F117" i="2" s="1"/>
  <c r="D118" i="2"/>
  <c r="F118" i="2" s="1"/>
  <c r="D119" i="2"/>
  <c r="F119" i="2" s="1"/>
  <c r="D120" i="2"/>
  <c r="F120" i="2" s="1"/>
  <c r="D121" i="2"/>
  <c r="F121" i="2" s="1"/>
  <c r="D122" i="2"/>
  <c r="F122" i="2" s="1"/>
  <c r="D123" i="2"/>
  <c r="F123" i="2" s="1"/>
  <c r="D124" i="2"/>
  <c r="F124" i="2" s="1"/>
  <c r="D125" i="2"/>
  <c r="F125" i="2" s="1"/>
  <c r="D129" i="2"/>
  <c r="F129" i="2" s="1"/>
  <c r="D130" i="2"/>
  <c r="F130" i="2"/>
  <c r="D131" i="2"/>
  <c r="F131" i="2" s="1"/>
  <c r="D132" i="2"/>
  <c r="F132" i="2" s="1"/>
  <c r="D133" i="2"/>
  <c r="F133" i="2" s="1"/>
  <c r="D134" i="2"/>
  <c r="D135" i="2"/>
  <c r="F135" i="2" s="1"/>
  <c r="F136" i="2"/>
  <c r="F137" i="2"/>
  <c r="F142" i="2"/>
  <c r="F143" i="2"/>
  <c r="F144" i="2"/>
  <c r="F149" i="2"/>
  <c r="F150" i="2"/>
  <c r="F151" i="2"/>
  <c r="F157" i="2"/>
  <c r="F158" i="2"/>
  <c r="F9" i="2"/>
  <c r="F10" i="2"/>
  <c r="F11" i="2"/>
  <c r="D16" i="2"/>
  <c r="F16" i="2" s="1"/>
  <c r="D48" i="2"/>
  <c r="F48" i="2" s="1"/>
  <c r="D70" i="2"/>
  <c r="F70" i="2" s="1"/>
  <c r="D156" i="2" l="1"/>
  <c r="F156" i="2" s="1"/>
  <c r="F159" i="2" s="1"/>
  <c r="F166" i="2" s="1"/>
  <c r="F44" i="2"/>
  <c r="F49" i="2" s="1"/>
  <c r="F86" i="2" s="1"/>
  <c r="D19" i="2"/>
  <c r="F19" i="2" s="1"/>
  <c r="F12" i="2"/>
  <c r="F83" i="2" s="1"/>
  <c r="F145" i="2"/>
  <c r="F164" i="2" s="1"/>
  <c r="F134" i="2"/>
  <c r="F139" i="2" s="1"/>
  <c r="F163" i="2" s="1"/>
  <c r="F153" i="2"/>
  <c r="F165" i="2" s="1"/>
  <c r="D102" i="2"/>
  <c r="F102" i="2" s="1"/>
  <c r="D20" i="2"/>
  <c r="F20" i="2" s="1"/>
  <c r="F62" i="2"/>
  <c r="F87" i="2" s="1"/>
  <c r="F126" i="2"/>
  <c r="F162" i="2" s="1"/>
  <c r="F17" i="2"/>
  <c r="F81" i="2"/>
  <c r="F89" i="2" s="1"/>
  <c r="F98" i="2"/>
  <c r="F38" i="2"/>
  <c r="F85" i="2" s="1"/>
  <c r="F72" i="2"/>
  <c r="F88" i="2" s="1"/>
  <c r="F21" i="2" l="1"/>
  <c r="F84" i="2" s="1"/>
  <c r="F90" i="2" s="1"/>
  <c r="F171" i="2" s="1"/>
  <c r="F105" i="2"/>
  <c r="F161" i="2" s="1"/>
  <c r="F167" i="2" s="1"/>
  <c r="F172" i="2" s="1"/>
  <c r="F173" i="2" l="1"/>
  <c r="F175" i="2" s="1"/>
</calcChain>
</file>

<file path=xl/sharedStrings.xml><?xml version="1.0" encoding="utf-8"?>
<sst xmlns="http://schemas.openxmlformats.org/spreadsheetml/2006/main" count="358" uniqueCount="194">
  <si>
    <t>TOTAL GENERAL HTVA</t>
  </si>
  <si>
    <t>TROIS (03) SALLES DE CLASSE</t>
  </si>
  <si>
    <t>Désignation des ouvrages</t>
  </si>
  <si>
    <t>UNITE</t>
  </si>
  <si>
    <t>QTE/NBRE</t>
  </si>
  <si>
    <t>P.U.</t>
  </si>
  <si>
    <t>Prix Total</t>
  </si>
  <si>
    <t>0 - PREPARATIONS GENERALES POUR L'ENSEMBLE DES BATIMENTS</t>
  </si>
  <si>
    <t>0.1</t>
  </si>
  <si>
    <t xml:space="preserve">Installation de l'ensemble du chantier, Amenée de matériel y compris élaboration du dossier d'exécution </t>
  </si>
  <si>
    <t>ff</t>
  </si>
  <si>
    <t>0.2</t>
  </si>
  <si>
    <t>m2</t>
  </si>
  <si>
    <t>0.3</t>
  </si>
  <si>
    <t>Nettoyage général du chantier et repli de chantier y compris élaboration des plans de recollement</t>
  </si>
  <si>
    <t>Sous Total 0</t>
  </si>
  <si>
    <t xml:space="preserve">I - PREPARATIONS-NETTOYAGE DE CHANTIER-IMPLANTATIONS - TERRASSEMENT </t>
  </si>
  <si>
    <t>1.1</t>
  </si>
  <si>
    <t>Implantation de l'ensemble  ouvrages (bâtiment , y compris VRD) avec des chaises</t>
  </si>
  <si>
    <t>1.2</t>
  </si>
  <si>
    <t>Fouilles en puits pour semelles isolées / Fouilles de profondeur 0,80m/TN</t>
  </si>
  <si>
    <r>
      <t>m</t>
    </r>
    <r>
      <rPr>
        <vertAlign val="superscript"/>
        <sz val="8"/>
        <rFont val="D-DIN Condensed"/>
        <family val="2"/>
      </rPr>
      <t>3</t>
    </r>
  </si>
  <si>
    <t>1.3</t>
  </si>
  <si>
    <t>Fouilles en tranchées pour soubassement maçonnerie pleine , fouilles sous bêches de marches et rampes, sous bordures de certaines parties de dallage (Fouilles de largeur 40cm / Profondeur 40cm)</t>
  </si>
  <si>
    <t>1.4</t>
  </si>
  <si>
    <t>Traitement anti-termites et anti-reptiles pour dallage de sol y compris film polyane</t>
  </si>
  <si>
    <t>1.5</t>
  </si>
  <si>
    <t>Remblai sans apport (pour fouilles de semelles isolées et fouilles pour semelles filantes)</t>
  </si>
  <si>
    <t>1.6</t>
  </si>
  <si>
    <t>Remblai avec apport latéritique d'épaisseur 45cm en moyenne sur emprise du bâtiment côté dammé,compacté puis arrosé par couches successives de 20cm</t>
  </si>
  <si>
    <t>Sous Total I</t>
  </si>
  <si>
    <t>II  - BETON - BETON ARME</t>
  </si>
  <si>
    <t xml:space="preserve">NB: Tous les bétons des éléments structurels (semelles, poteaux,chainage, dalles et élements préfabriqués) seront en quartz. Ils feront l'objet d'une approbation par la mission de contrôle avant leur mise en oeuvre </t>
  </si>
  <si>
    <t>2.1</t>
  </si>
  <si>
    <t xml:space="preserve">Béton de propreté dosé à 150kg/m3 pour semelles isolées </t>
  </si>
  <si>
    <t>2.2</t>
  </si>
  <si>
    <t>Béton de propreté dosé à 150kg/m3 pour éléments de soubassement (en semelles filantes, en béton cyclopéen, en maçonneries pleines etc…)</t>
  </si>
  <si>
    <t>2.3</t>
  </si>
  <si>
    <t>Béton cyclopéen dosé à 250kg/m3 pour soubassement, massifs et fondations (voir plans et descriptif)</t>
  </si>
  <si>
    <t>2.4</t>
  </si>
  <si>
    <t xml:space="preserve">Béton armé dosé à 350kg/m3 pour semelles isolées </t>
  </si>
  <si>
    <t>2.5</t>
  </si>
  <si>
    <r>
      <t>Béton armé pour chainage bas, chainage rampant sous rampe, renforts sous dallages et arrêts de dallage dosé à 350kg/m</t>
    </r>
    <r>
      <rPr>
        <b/>
        <vertAlign val="superscript"/>
        <sz val="8"/>
        <rFont val="D-DIN Condensed"/>
        <family val="2"/>
      </rPr>
      <t>3</t>
    </r>
  </si>
  <si>
    <t>2.6</t>
  </si>
  <si>
    <r>
      <t>Béton  armé dosé à 350kg/m</t>
    </r>
    <r>
      <rPr>
        <b/>
        <vertAlign val="superscript"/>
        <sz val="8"/>
        <rFont val="D-DIN Condensed"/>
        <family val="2"/>
      </rPr>
      <t>3</t>
    </r>
    <r>
      <rPr>
        <b/>
        <sz val="8"/>
        <rFont val="D-DIN Condensed"/>
        <family val="2"/>
      </rPr>
      <t xml:space="preserve"> pour chainage intermediaire</t>
    </r>
  </si>
  <si>
    <t>2.7</t>
  </si>
  <si>
    <r>
      <t>Béton  armé dosé à 350kg/m</t>
    </r>
    <r>
      <rPr>
        <b/>
        <vertAlign val="superscript"/>
        <sz val="8"/>
        <rFont val="D-DIN Condensed"/>
        <family val="2"/>
      </rPr>
      <t>3</t>
    </r>
    <r>
      <rPr>
        <b/>
        <sz val="8"/>
        <rFont val="D-DIN Condensed"/>
        <family val="2"/>
      </rPr>
      <t xml:space="preserve"> pour chainage rampant recevant les platines (hauteur du chainage = 20cm)</t>
    </r>
  </si>
  <si>
    <t>2.8</t>
  </si>
  <si>
    <t>Béton armé dosé à 350kg/m² pour poteaux (infrastructure et superstructure)</t>
  </si>
  <si>
    <t>2.9</t>
  </si>
  <si>
    <t>Béton armé dosé à 350kg/m² pour bêche</t>
  </si>
  <si>
    <t>2.10</t>
  </si>
  <si>
    <t xml:space="preserve">Béton légèrement armé en treillis dosé à 300kg/m3 pour dallage au sol  Y COMPRIS CHAPE LISSEE ET BOUCHARCHEE AVEC JOINT CREUX TOUS LES 10M2- Rampe et Marche -  Epaisseur 10cm  et toutes sujétions de mise en œuvre </t>
  </si>
  <si>
    <t>2.11</t>
  </si>
  <si>
    <t>Gros béton non armé dosé à 300kg/m² pour protection de soubassement - Epaisseur 10cm</t>
  </si>
  <si>
    <t>2.12</t>
  </si>
  <si>
    <t>Béton armé dosé à 350 kg/m3 pour  banquettes  et  appuis baies filants coulés sur place</t>
  </si>
  <si>
    <t>2.13</t>
  </si>
  <si>
    <t>2.14</t>
  </si>
  <si>
    <t>Plus-value pour bétons divers</t>
  </si>
  <si>
    <t>Sous Total II</t>
  </si>
  <si>
    <t>III -  MACONNERIE</t>
  </si>
  <si>
    <t>3.1</t>
  </si>
  <si>
    <t>Maçonnerie en agglos pleins de 15x20x40 (1 couches)</t>
  </si>
  <si>
    <t>m²</t>
  </si>
  <si>
    <t>3.2</t>
  </si>
  <si>
    <t>Maçonnerie en agglos creux de 15x20x40</t>
  </si>
  <si>
    <t>3.3</t>
  </si>
  <si>
    <t>Enduit intérieur lissé de 1,5cm d'épaisseur (dosé à 300kg/m3 pour le gobetis et 250kg/m3 pour le corps d'enduit)</t>
  </si>
  <si>
    <t>3.4</t>
  </si>
  <si>
    <t>Enduit extérieur lissé de 2cm d'épaisseur  (dosé à 300kg/m3 pour le gobetis et 250kg/m3 pour le corps d'enduit)</t>
  </si>
  <si>
    <t>3.5</t>
  </si>
  <si>
    <t>Surenduit pour tableau au grillage poulailler</t>
  </si>
  <si>
    <t>3.6</t>
  </si>
  <si>
    <t>Raccordements et calfeutrements divers</t>
  </si>
  <si>
    <t>ml</t>
  </si>
  <si>
    <t>3.7</t>
  </si>
  <si>
    <t>Claustras de ventilation grillagés y compris toutes sujétions de pose</t>
  </si>
  <si>
    <t>u</t>
  </si>
  <si>
    <t>3.8</t>
  </si>
  <si>
    <t>Polysterène pour joint de dilatation</t>
  </si>
  <si>
    <t>Sous Total III</t>
  </si>
  <si>
    <t xml:space="preserve">IV - CHARPENTE  ET COUVERTURE METALLIQUE </t>
  </si>
  <si>
    <t>4.1</t>
  </si>
  <si>
    <t>Fourniture et pose de tôles bac prélaquée 35/100e à 4 ondulations sur toiture  y compris bande de feutre bitumineux entre IPE, scellement des tôles par crochets, relevé d'étanchéité sur murs en contact avec la toiture y compris toutes sujétions de pose</t>
  </si>
  <si>
    <t>4.2</t>
  </si>
  <si>
    <t>4.3</t>
  </si>
  <si>
    <t>U</t>
  </si>
  <si>
    <t>4.4</t>
  </si>
  <si>
    <t>4.5</t>
  </si>
  <si>
    <t>4.6</t>
  </si>
  <si>
    <r>
      <t xml:space="preserve">Fourniture et pose de tube carre 40x40 lourd - </t>
    </r>
    <r>
      <rPr>
        <b/>
        <sz val="8"/>
        <color theme="1"/>
        <rFont val="D-DIN Condensed"/>
        <family val="2"/>
      </rPr>
      <t>Epaisseur 1,5mm</t>
    </r>
    <r>
      <rPr>
        <b/>
        <sz val="8"/>
        <rFont val="D-DIN Condensed"/>
        <family val="2"/>
      </rPr>
      <t xml:space="preserve"> pour bardage y compris  toutes sujétions de pose</t>
    </r>
  </si>
  <si>
    <t>4.7</t>
  </si>
  <si>
    <t>Fourniture et pose de tôle Epaisseur 2,00 mm  et de largeur 0,25m pour bardage y compris  toutes sujétions de pose</t>
  </si>
  <si>
    <t>4.8</t>
  </si>
  <si>
    <t>Fourniture et pose de platines pour pannes (uniquement sur les extrémités) de dimensions de 15x15 en tôle de 5mm avec 4 crochets en Acier HA 14 y compris  toutes sujétions de pose</t>
  </si>
  <si>
    <t>4.9</t>
  </si>
  <si>
    <t>Fourniture et pose de platines sur potelets pour  garde-corps de rampe  de dimensions de 10x10 en tôle de 5mm avec 4 crochets en Acier HA 12 y compris  toutes sujétions de pose</t>
  </si>
  <si>
    <t>4.10</t>
  </si>
  <si>
    <t>Fourniture et pose de platines pour traverse et ferme de 15x15 en tôles de 5mm avec 4 crochets en Acier HA 14 y compris  toutes sujétions de pose</t>
  </si>
  <si>
    <t>Sous Total IV</t>
  </si>
  <si>
    <t>V -MENUISERIE  - MENUISERIE METALLIQUE et BOIS</t>
  </si>
  <si>
    <t xml:space="preserve">MENUISERIE METALLIQUE - NB: TOUTES LES MENUISERIES METALLIQUES SERONT CONFORMES AUX DETAILS DES PLANS D'ARCHITECTURE. LA TOLE METALLIQUE  DES CADRES ET DES PERSIENNES SERA DE 2mm D'EPAISSEUR MINIMUM, IDEM POUR LES CADRES. LES MENUISERIES METALLIQUES ET LES ELEMENTS DE CHARPENTE RECEVRONT DEUX COUCHES D'ANTIROUILLE OBLIGATOIREMENT EFFECTUEES AU PISTOLET. LES POINTS/CORDONS DE SOUDURE SERONT SYSTEMATIQUEMENTS MEULES ET LES JONCTIONS ENTRE LES ELEMENTS SOUDES SERONT IMPERATIVEMENT MASTIQUES AVANT L'APPLICATION DE L'ANTIROUILLE ET LEUR LIVRAISON SUR CHANTIER. </t>
  </si>
  <si>
    <t>5.1</t>
  </si>
  <si>
    <t xml:space="preserve"> Fenêtre métallique persienne de dimensions 60x200/50cm ayant 4 châssis dont 3 ouvrants, le dernier en bas étant fixe  avec cadre métallique en  simple H en tôle de 2mm suivant plan de l'architecte</t>
  </si>
  <si>
    <t>5.2</t>
  </si>
  <si>
    <t>5.3</t>
  </si>
  <si>
    <t>5.4</t>
  </si>
  <si>
    <t xml:space="preserve"> Porte métallique pleine pour placard de dimensions 60x250 cm  ouvrant à la francaise suivant plan de l'architecte</t>
  </si>
  <si>
    <t>5.5</t>
  </si>
  <si>
    <t>5.6</t>
  </si>
  <si>
    <t>Gardes -corps pour rampe suivant plan de l'architecte</t>
  </si>
  <si>
    <t>Etagères en bois blanc massif d'épaisseur 5cm pour placard / 4 étagères par placard y compris cornieres lourd de 50 pour pose</t>
  </si>
  <si>
    <t>Sous Total V</t>
  </si>
  <si>
    <t>VI - PEINTURE - REVETEMENTS MURAUX FACADE - CARRELAGE - ETANCHEITE</t>
  </si>
  <si>
    <t>6.1</t>
  </si>
  <si>
    <t>Badigeon à la chaux vive  sur enduit intérieur jusqu'à la charpente</t>
  </si>
  <si>
    <t>6.2</t>
  </si>
  <si>
    <t>Peinture VINYLIQUE de chez SAPEC aux  couleurs  du maitre d'ouvrage/d'œuvre sur enduit intérieur + Peintures VINYLIQUE aux couleurs VERTE, BLEUE, ORANGE et MAUVE sous galeries suivant plan de l'architecte</t>
  </si>
  <si>
    <t>6.3</t>
  </si>
  <si>
    <t>Enduit tyrolien  écrasé  sur 1,60 m aux  couleurs  du maitre d'ouvrage/d'oeuvre pour  intérieur</t>
  </si>
  <si>
    <t>6.4</t>
  </si>
  <si>
    <t>6.5</t>
  </si>
  <si>
    <t>Peinture gycéro sur menuiseries métalliques aux couleurs du maitre d'œuvre</t>
  </si>
  <si>
    <t>6.6</t>
  </si>
  <si>
    <t>Adoisine sur tableau</t>
  </si>
  <si>
    <t>Sous Total VI</t>
  </si>
  <si>
    <t>Sous Total I :  PREPARATIONS - INSTALLATION ET REPLI DE CHANTIER - NETTOYAGE DE CHANTIER</t>
  </si>
  <si>
    <t>Sous Total I : TERRASSEMENTS - IMPLANTATIONS - NETTOYAGE DE CHANTIER</t>
  </si>
  <si>
    <t>Sous Total II : BETON-BETON ARME</t>
  </si>
  <si>
    <t>Sous Total III :  MACONNERIE</t>
  </si>
  <si>
    <t>Sous Total IV :CHARPENTE  ET COUVERTURE METALLIQUE</t>
  </si>
  <si>
    <t>TOTAL HTVA</t>
  </si>
  <si>
    <t>Implantation de l'ensemble  ouvrages (bâtiment , y compris VRD)</t>
  </si>
  <si>
    <t>Fouilles en puits pour semelles isolées / Fouilles de profondeur 0,8m/TN</t>
  </si>
  <si>
    <t>Fouilles en excavation pour fosse de dimensions (L=675, l=260, Profondeur=3,00TN) et (L=375, l=260, Profondeur=3,00TN) y compris semelle fillante en fond de fosse</t>
  </si>
  <si>
    <t>1.7</t>
  </si>
  <si>
    <t>Remblai sans apport (pour fouilles de semelles isolées , fouilles pour semelles filantes et des fosses)</t>
  </si>
  <si>
    <t>1.8</t>
  </si>
  <si>
    <t>Remblai avec apport latéritique d'épaisseur 30cm en moyenne sur emprise du bâtiment côté dammé,compacté puis arrosé par couches successives de 20cm</t>
  </si>
  <si>
    <t>1.9</t>
  </si>
  <si>
    <t xml:space="preserve">Béton de propreté dosé à 150kg/m3 pour semelle fillante en fond de fosse </t>
  </si>
  <si>
    <t xml:space="preserve">Béton armé  dosé à  350kg/m3  pour semelle fillqnte en fond de fosse  - Epaisseur 25 cm - 1 nappe de HA 8 </t>
  </si>
  <si>
    <t>Béton légèrement armé en treillis dosé à 300kg/m3 pour dallage au sol  - Renformis placards -  Epaisseur 10cm  et toutes sujétions de mise en œuvre</t>
  </si>
  <si>
    <t>Béton armé  dosé à  350kg/m3  pour dalle supérieure de fosse - Epaisseur 15 cm - Double nappe de HA 8 - Espacement 15cm</t>
  </si>
  <si>
    <t>Béton armé dosé à 350kg/m² pour raidisseurs en infrastructure pour la fosse</t>
  </si>
  <si>
    <t xml:space="preserve">Béton armé dosé à 350kg/m² pour raidisseurs en superstructure </t>
  </si>
  <si>
    <t>Béton armé dosé à 300 kg/m3 pour  appuis baies filants coulés sur place</t>
  </si>
  <si>
    <t>Béton armé dosé à 300kg/m3 pour chaînage rampant devant recevoir les platines (hauteur du chainage = 15cm)</t>
  </si>
  <si>
    <t>Béton armé dosé à 300kg/m3 pour couronnement</t>
  </si>
  <si>
    <t>2.15</t>
  </si>
  <si>
    <t xml:space="preserve">Béton armé dosé à 300kg/m3 pour appui de tôle </t>
  </si>
  <si>
    <t>2.16</t>
  </si>
  <si>
    <t xml:space="preserve">Béton armé dosé à 350 kg/m3 pour  chainage intermédiaire </t>
  </si>
  <si>
    <t>2.17</t>
  </si>
  <si>
    <t>Rampes et marches d'acccès en béton armé dosé à 300kg/m3 y compris bêches et arrêtements divers</t>
  </si>
  <si>
    <t>Maçonnerie en agglos pleins de 15x20x40 (1 couches) pour soubassement</t>
  </si>
  <si>
    <t>Maçonnerie en agglos pleins de 15x20x40 pour fosse</t>
  </si>
  <si>
    <t>Maçonnerie en claustras creux pour ventilation de la fosse de dimension 30*30</t>
  </si>
  <si>
    <t>Enduit intérieur lissé de 1,5cm d'épaisseur</t>
  </si>
  <si>
    <t>Enduit extérieur lissé de 2cm d'épaisseur</t>
  </si>
  <si>
    <t>3.9</t>
  </si>
  <si>
    <t>Claustras  de type boite a lettre rectangulaire de ventilation grillagés y compris toutes sujétions de pose</t>
  </si>
  <si>
    <t>Fourniture et pose de tôles bac prélaquées 35/100e sur toiture  y compris bande de feutre bitumineux entre IPE, scellement des tôles par crochets, relevé d'étanchéité sur murs en contact avec la toiture y compris toutes sujétions de pose</t>
  </si>
  <si>
    <t>Fourniture et pose de tube rectangulaire 40x80 lourd - Epaisseur 1,5mm pour charpente y compris  toutes sujétions de pose</t>
  </si>
  <si>
    <t>Fourniture et pose de platines pour pannes de dimensions de 15x15 en tôle de 5mm avec 4 crochets en Acier HA 12 y compris  toutes sujétions de pose</t>
  </si>
  <si>
    <t>V -MENUISERIE  MENUISERIE METALLIQUE et BOIS</t>
  </si>
  <si>
    <t xml:space="preserve">MENUISERIE METALLIQUE </t>
  </si>
  <si>
    <t>Porte métallique double face en tôle de 1,5mm à un vantail  avec cadre métallique en H en tôle de 2mm ouvrant à  la française de dimensions 80x220cm  suivant plan de l'architecte</t>
  </si>
  <si>
    <t>Porte métallique double face en tôle de 1,5mm à un vantail  avec cadre métallique en H en tôle de 2mm ouvrant à  la française de dimensions 100x220cm  suivant plan de l'architecte</t>
  </si>
  <si>
    <t>Enduit tyrolien aux  couleurs aux choix du maitre d'ouvrage/d'oeuvre pour enduit extérieur et intérieur (tyrolien écrasé)</t>
  </si>
  <si>
    <t>Chape de sol lissée et bouchardée</t>
  </si>
  <si>
    <t>Décapage complet pour l'ensemble de bâtiments du site, retrait de la terre organique   vers dépotoirs hors site y compris débord  de cinq (02) mètre de part et d'autre du bâtiment + désherbage et dessouchage</t>
  </si>
  <si>
    <t>ECOLE BONNESSIN</t>
  </si>
  <si>
    <t>Enduit tyrolien aux  couleurs du maitre d'ouvrage/d'oeuvre pour enduit extérieur (les panneaux de murs recevant les portes et fenêtres ne reçoivent pas de l'enduit tyrolien. Ils seront revêtus de peinture VINYLIQUE ( Cf point 6.2  du devis).</t>
  </si>
  <si>
    <t>Fourniture et pose de faitière en tôles  de 60/100e y compris toutes sujétions de pose</t>
  </si>
  <si>
    <t>Fourniture, assemblage et pose des élements de la ferme composée  d' IPE de 120, IPE DE 100 et des IPE DE 80 pour charpente y compris  toutes sujétions de pose</t>
  </si>
  <si>
    <t>Fourniture, assemblage et pose de traverse en IPE de 120 pour charpente y  toutes sujétions de pose</t>
  </si>
  <si>
    <t>Sous Total V : MENUISERIES  METALLIQUES ET BOIS</t>
  </si>
  <si>
    <t xml:space="preserve">Sous Total VI : PEINTURE - REVETEMENTS MURAUX ET FACADE </t>
  </si>
  <si>
    <t xml:space="preserve">DEVIS QUANTITATIF ET ESTIMATIF </t>
  </si>
  <si>
    <t>3.10</t>
  </si>
  <si>
    <t>Fourniture et pose de dispositif de lavage des mains en béton y compris support et toutes sujétions de pose</t>
  </si>
  <si>
    <t xml:space="preserve">Enduit intérieur étanche lissé de 2 cm d'épaisseur pour intérieur de la fosse </t>
  </si>
  <si>
    <t xml:space="preserve"> Porte métallique persienne à deux battants avec imposte de dimensions 160x250 cm avec cadre métallique double H  ouvrant à la francaise suivant plan de l'architecte y compris buttoire et loquetaux</t>
  </si>
  <si>
    <t xml:space="preserve"> Porte métallique persienne à deux battants avec imposte de dimensions 120x250 cm avec cadre métallique double H  ouvrant à la francaise suivant plan de l'architecte y compris buttoire et loquetaux</t>
  </si>
  <si>
    <t>Fourniture et pose de pannes en tube rectangulaire 40*80 lourd 1,5 mm pour charpente y compris toutes sujétions de pose</t>
  </si>
  <si>
    <t>TVA</t>
  </si>
  <si>
    <t>BLOC TOILETTES EXTERNES (quatres postes) HTVA</t>
  </si>
  <si>
    <t xml:space="preserve">TOTAL GENERAL TTC </t>
  </si>
  <si>
    <t>BLOC TOILETTES EXTERNES (quatres postes)</t>
  </si>
  <si>
    <t>ECOLE BONNESSIN HTVA</t>
  </si>
  <si>
    <t>CONSTRUCTION DE SALLES DE CLASSE (LOT 1 GOUNGHIN)</t>
  </si>
  <si>
    <t>RECAPITULATIF LOT 1 GOUNGHIN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</si>
</sst>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4"/>
      <color theme="1"/>
      <name val="Franklin Gothic Medium Cond"/>
      <family val="2"/>
    </font>
    <font>
      <b/>
      <sz val="9"/>
      <name val="D-DIN Condensed"/>
      <family val="2"/>
    </font>
    <font>
      <b/>
      <sz val="14"/>
      <name val="D-DIN Condensed"/>
      <family val="2"/>
    </font>
    <font>
      <sz val="9"/>
      <name val="D-DIN Condensed"/>
      <family val="2"/>
    </font>
    <font>
      <b/>
      <sz val="20"/>
      <name val="D-DIN Condensed"/>
      <family val="2"/>
    </font>
    <font>
      <b/>
      <sz val="10"/>
      <name val="D-DIN Condensed"/>
      <family val="2"/>
    </font>
    <font>
      <b/>
      <i/>
      <sz val="10"/>
      <color rgb="FF00B050"/>
      <name val="D-DIN Condensed"/>
      <family val="2"/>
    </font>
    <font>
      <b/>
      <i/>
      <u/>
      <sz val="22"/>
      <name val="D-DIN Condensed"/>
      <family val="2"/>
    </font>
    <font>
      <sz val="8"/>
      <name val="D-DIN Condensed"/>
      <family val="2"/>
    </font>
    <font>
      <b/>
      <sz val="8"/>
      <name val="D-DIN Condensed"/>
      <family val="2"/>
    </font>
    <font>
      <b/>
      <i/>
      <sz val="8"/>
      <color rgb="FF00B050"/>
      <name val="D-DIN Condensed"/>
      <family val="2"/>
    </font>
    <font>
      <b/>
      <sz val="8"/>
      <color theme="1"/>
      <name val="D-DIN Condensed"/>
      <family val="2"/>
    </font>
    <font>
      <sz val="9"/>
      <color rgb="FFFF0000"/>
      <name val="D-DIN Condensed"/>
      <family val="2"/>
    </font>
    <font>
      <b/>
      <sz val="8"/>
      <color theme="4"/>
      <name val="D-DIN Condensed"/>
      <family val="2"/>
    </font>
    <font>
      <b/>
      <i/>
      <sz val="8"/>
      <name val="D-DIN Condensed"/>
      <family val="2"/>
    </font>
    <font>
      <b/>
      <i/>
      <sz val="9"/>
      <color rgb="FF00B050"/>
      <name val="D-DIN Condensed"/>
      <family val="2"/>
    </font>
    <font>
      <vertAlign val="superscript"/>
      <sz val="8"/>
      <name val="D-DIN Condensed"/>
      <family val="2"/>
    </font>
    <font>
      <b/>
      <sz val="8"/>
      <color rgb="FFFF0000"/>
      <name val="D-DIN Condensed"/>
      <family val="2"/>
    </font>
    <font>
      <b/>
      <vertAlign val="superscript"/>
      <sz val="8"/>
      <name val="D-DIN Condensed"/>
      <family val="2"/>
    </font>
    <font>
      <b/>
      <sz val="9"/>
      <color theme="4"/>
      <name val="D-DIN Condensed"/>
      <family val="2"/>
    </font>
    <font>
      <b/>
      <i/>
      <sz val="22"/>
      <color rgb="FFFF0000"/>
      <name val="D-DIN Condensed"/>
      <family val="2"/>
    </font>
    <font>
      <sz val="8"/>
      <name val="Calibri"/>
      <family val="2"/>
      <scheme val="minor"/>
    </font>
    <font>
      <sz val="9"/>
      <name val="D-DIN Condensed"/>
    </font>
  </fonts>
  <fills count="7">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99FF99"/>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s>
  <cellStyleXfs count="1">
    <xf numFmtId="0" fontId="0" fillId="0" borderId="0"/>
  </cellStyleXfs>
  <cellXfs count="99">
    <xf numFmtId="0" fontId="0" fillId="0" borderId="0" xfId="0"/>
    <xf numFmtId="0" fontId="4" fillId="0" borderId="0" xfId="0" applyFont="1"/>
    <xf numFmtId="0" fontId="4"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xf>
    <xf numFmtId="0" fontId="9" fillId="0" borderId="6" xfId="0" applyFont="1" applyBorder="1" applyAlignment="1">
      <alignment horizontal="center" vertical="center"/>
    </xf>
    <xf numFmtId="0" fontId="10" fillId="0" borderId="6" xfId="0" applyFont="1" applyBorder="1" applyAlignment="1">
      <alignment vertical="center" wrapText="1"/>
    </xf>
    <xf numFmtId="0" fontId="10" fillId="0" borderId="6" xfId="0" applyFont="1" applyBorder="1" applyAlignment="1">
      <alignment horizontal="center" vertical="center"/>
    </xf>
    <xf numFmtId="2" fontId="11" fillId="0" borderId="6" xfId="0" applyNumberFormat="1" applyFont="1" applyBorder="1" applyAlignment="1">
      <alignment horizontal="center" vertical="center"/>
    </xf>
    <xf numFmtId="3" fontId="12" fillId="0" borderId="6" xfId="0" applyNumberFormat="1" applyFont="1" applyBorder="1" applyAlignment="1">
      <alignment horizontal="center" vertical="center" wrapText="1"/>
    </xf>
    <xf numFmtId="3" fontId="10" fillId="0" borderId="6" xfId="0" applyNumberFormat="1" applyFont="1" applyBorder="1" applyAlignment="1">
      <alignment horizontal="center" vertical="center" wrapText="1"/>
    </xf>
    <xf numFmtId="0" fontId="9" fillId="3" borderId="6" xfId="0" applyFont="1" applyFill="1" applyBorder="1" applyAlignment="1">
      <alignment horizontal="center" vertical="center"/>
    </xf>
    <xf numFmtId="0" fontId="10" fillId="3" borderId="6" xfId="0" applyFont="1" applyFill="1" applyBorder="1" applyAlignment="1">
      <alignment vertical="center" wrapText="1"/>
    </xf>
    <xf numFmtId="2" fontId="11" fillId="3" borderId="6" xfId="0" applyNumberFormat="1" applyFont="1" applyFill="1" applyBorder="1" applyAlignment="1">
      <alignment horizontal="right" vertical="center"/>
    </xf>
    <xf numFmtId="3" fontId="14" fillId="3" borderId="6" xfId="0" applyNumberFormat="1" applyFont="1" applyFill="1" applyBorder="1" applyAlignment="1">
      <alignment horizontal="right" vertical="center"/>
    </xf>
    <xf numFmtId="3" fontId="10" fillId="3" borderId="6" xfId="0" applyNumberFormat="1" applyFont="1" applyFill="1" applyBorder="1" applyAlignment="1">
      <alignment vertical="center"/>
    </xf>
    <xf numFmtId="3" fontId="10" fillId="3" borderId="0" xfId="0" applyNumberFormat="1" applyFont="1" applyFill="1" applyAlignment="1">
      <alignment vertical="center"/>
    </xf>
    <xf numFmtId="0" fontId="13" fillId="0" borderId="0" xfId="0" applyFont="1"/>
    <xf numFmtId="0" fontId="12" fillId="0" borderId="6" xfId="0" applyFont="1" applyBorder="1" applyAlignment="1">
      <alignment vertical="center" wrapText="1"/>
    </xf>
    <xf numFmtId="2" fontId="11" fillId="0" borderId="6" xfId="0" applyNumberFormat="1" applyFont="1" applyBorder="1" applyAlignment="1">
      <alignment horizontal="right" vertical="center"/>
    </xf>
    <xf numFmtId="3" fontId="14" fillId="0" borderId="6" xfId="0" applyNumberFormat="1" applyFont="1" applyBorder="1" applyAlignment="1">
      <alignment horizontal="right" vertical="center"/>
    </xf>
    <xf numFmtId="3" fontId="9" fillId="0" borderId="6" xfId="0" applyNumberFormat="1" applyFont="1" applyBorder="1" applyAlignment="1">
      <alignment horizontal="right" vertical="center"/>
    </xf>
    <xf numFmtId="0" fontId="15" fillId="0" borderId="6" xfId="0" applyFont="1" applyBorder="1" applyAlignment="1">
      <alignment vertical="center" wrapText="1"/>
    </xf>
    <xf numFmtId="3" fontId="10" fillId="0" borderId="6" xfId="0" applyNumberFormat="1" applyFont="1" applyBorder="1" applyAlignment="1">
      <alignment horizontal="right" vertical="center"/>
    </xf>
    <xf numFmtId="0" fontId="2" fillId="0" borderId="0" xfId="0" applyFont="1" applyAlignment="1">
      <alignment horizontal="center" vertical="center" wrapText="1"/>
    </xf>
    <xf numFmtId="0" fontId="16" fillId="0" borderId="0" xfId="0" applyFont="1" applyAlignment="1">
      <alignment horizontal="center" vertical="center" wrapText="1"/>
    </xf>
    <xf numFmtId="3" fontId="9" fillId="3" borderId="6" xfId="0" applyNumberFormat="1" applyFont="1" applyFill="1" applyBorder="1" applyAlignment="1">
      <alignment horizontal="right" vertical="center"/>
    </xf>
    <xf numFmtId="3" fontId="10" fillId="0" borderId="6" xfId="0" applyNumberFormat="1" applyFont="1" applyBorder="1" applyAlignment="1">
      <alignment horizontal="right" vertical="center" wrapText="1"/>
    </xf>
    <xf numFmtId="3" fontId="10" fillId="0" borderId="6" xfId="0" applyNumberFormat="1" applyFont="1" applyBorder="1" applyAlignment="1">
      <alignment vertical="center"/>
    </xf>
    <xf numFmtId="0" fontId="9" fillId="0" borderId="0" xfId="0" applyFont="1" applyAlignment="1">
      <alignment horizontal="center" vertical="center"/>
    </xf>
    <xf numFmtId="3" fontId="14" fillId="0" borderId="0" xfId="0" applyNumberFormat="1" applyFont="1" applyAlignment="1">
      <alignment horizontal="right" vertical="center"/>
    </xf>
    <xf numFmtId="0" fontId="9" fillId="3" borderId="11" xfId="0" applyFont="1" applyFill="1" applyBorder="1" applyAlignment="1">
      <alignment horizontal="center" vertical="center"/>
    </xf>
    <xf numFmtId="2" fontId="11" fillId="3" borderId="12" xfId="0" applyNumberFormat="1" applyFont="1" applyFill="1" applyBorder="1" applyAlignment="1">
      <alignment horizontal="right" vertical="center"/>
    </xf>
    <xf numFmtId="3" fontId="14" fillId="3" borderId="12" xfId="0" applyNumberFormat="1" applyFont="1" applyFill="1" applyBorder="1" applyAlignment="1">
      <alignment horizontal="right" vertical="center"/>
    </xf>
    <xf numFmtId="3" fontId="10" fillId="3" borderId="13" xfId="0" applyNumberFormat="1" applyFont="1" applyFill="1" applyBorder="1" applyAlignment="1">
      <alignment vertical="center"/>
    </xf>
    <xf numFmtId="3" fontId="10" fillId="3" borderId="6" xfId="0" applyNumberFormat="1" applyFont="1" applyFill="1" applyBorder="1" applyAlignment="1">
      <alignment horizontal="center" vertical="center"/>
    </xf>
    <xf numFmtId="0" fontId="9" fillId="5" borderId="6" xfId="0" applyFont="1" applyFill="1" applyBorder="1" applyAlignment="1">
      <alignment horizontal="center" vertical="center"/>
    </xf>
    <xf numFmtId="0" fontId="10" fillId="5" borderId="6" xfId="0" applyFont="1" applyFill="1" applyBorder="1" applyAlignment="1">
      <alignment vertical="top" wrapText="1"/>
    </xf>
    <xf numFmtId="2" fontId="11" fillId="5" borderId="6" xfId="0" applyNumberFormat="1" applyFont="1" applyFill="1" applyBorder="1" applyAlignment="1">
      <alignment horizontal="right" vertical="center"/>
    </xf>
    <xf numFmtId="3" fontId="14" fillId="5" borderId="6" xfId="0" applyNumberFormat="1" applyFont="1" applyFill="1" applyBorder="1" applyAlignment="1">
      <alignment horizontal="right" vertical="center"/>
    </xf>
    <xf numFmtId="3" fontId="10" fillId="5" borderId="6" xfId="0" applyNumberFormat="1" applyFont="1" applyFill="1" applyBorder="1" applyAlignment="1">
      <alignment horizontal="center" vertical="center"/>
    </xf>
    <xf numFmtId="0" fontId="9" fillId="0" borderId="6" xfId="0" applyFont="1" applyBorder="1" applyAlignment="1">
      <alignment horizontal="center" vertical="center" wrapText="1"/>
    </xf>
    <xf numFmtId="2" fontId="11" fillId="0" borderId="6" xfId="0" applyNumberFormat="1" applyFont="1" applyBorder="1" applyAlignment="1">
      <alignment horizontal="right" vertical="center" wrapText="1"/>
    </xf>
    <xf numFmtId="0" fontId="10" fillId="0" borderId="0" xfId="0" applyFont="1" applyAlignment="1">
      <alignment vertical="center" wrapText="1"/>
    </xf>
    <xf numFmtId="2" fontId="11" fillId="0" borderId="0" xfId="0" applyNumberFormat="1" applyFont="1" applyAlignment="1">
      <alignment horizontal="center" vertical="center"/>
    </xf>
    <xf numFmtId="3" fontId="10" fillId="0" borderId="0" xfId="0" applyNumberFormat="1" applyFont="1" applyAlignment="1">
      <alignment horizontal="center" vertical="center"/>
    </xf>
    <xf numFmtId="0" fontId="10" fillId="0" borderId="6" xfId="0" applyFont="1" applyBorder="1" applyAlignment="1">
      <alignment horizontal="center" vertical="center" wrapText="1"/>
    </xf>
    <xf numFmtId="0" fontId="10" fillId="6" borderId="6" xfId="0" applyFont="1" applyFill="1" applyBorder="1" applyAlignment="1">
      <alignment horizontal="center" vertical="center" wrapText="1"/>
    </xf>
    <xf numFmtId="3" fontId="10" fillId="6" borderId="6" xfId="0" applyNumberFormat="1" applyFont="1" applyFill="1" applyBorder="1" applyAlignment="1">
      <alignment horizontal="right" vertical="center"/>
    </xf>
    <xf numFmtId="0" fontId="2" fillId="0" borderId="0" xfId="0" applyFont="1" applyAlignment="1">
      <alignment vertical="center"/>
    </xf>
    <xf numFmtId="2" fontId="16" fillId="0" borderId="0" xfId="0" applyNumberFormat="1" applyFont="1" applyAlignment="1">
      <alignment horizontal="right" vertical="center"/>
    </xf>
    <xf numFmtId="3" fontId="20" fillId="0" borderId="0" xfId="0" applyNumberFormat="1" applyFont="1" applyAlignment="1">
      <alignment horizontal="right" vertical="center"/>
    </xf>
    <xf numFmtId="3" fontId="2" fillId="0" borderId="0" xfId="0" applyNumberFormat="1" applyFont="1" applyAlignment="1">
      <alignment vertical="center"/>
    </xf>
    <xf numFmtId="0" fontId="9" fillId="3" borderId="0" xfId="0" applyFont="1" applyFill="1" applyAlignment="1">
      <alignment horizontal="center" vertical="center"/>
    </xf>
    <xf numFmtId="2" fontId="11" fillId="3" borderId="0" xfId="0" applyNumberFormat="1" applyFont="1" applyFill="1" applyAlignment="1">
      <alignment horizontal="right" vertical="center"/>
    </xf>
    <xf numFmtId="3" fontId="14" fillId="3" borderId="0" xfId="0" applyNumberFormat="1" applyFont="1" applyFill="1" applyAlignment="1">
      <alignment horizontal="right" vertical="center"/>
    </xf>
    <xf numFmtId="0" fontId="10" fillId="0" borderId="6" xfId="0" applyFont="1" applyBorder="1" applyAlignment="1">
      <alignment vertical="top" wrapText="1"/>
    </xf>
    <xf numFmtId="0" fontId="2" fillId="0" borderId="0" xfId="0" applyFont="1" applyBorder="1" applyAlignment="1">
      <alignment vertical="center"/>
    </xf>
    <xf numFmtId="0" fontId="4" fillId="0" borderId="0" xfId="0" applyFont="1" applyBorder="1" applyAlignment="1">
      <alignment horizontal="center" vertical="center"/>
    </xf>
    <xf numFmtId="2" fontId="16" fillId="0" borderId="0" xfId="0" applyNumberFormat="1" applyFont="1" applyBorder="1" applyAlignment="1">
      <alignment horizontal="right" vertical="center"/>
    </xf>
    <xf numFmtId="3" fontId="20" fillId="0" borderId="0" xfId="0" applyNumberFormat="1" applyFont="1" applyBorder="1" applyAlignment="1">
      <alignment horizontal="right" vertical="center"/>
    </xf>
    <xf numFmtId="3" fontId="2" fillId="0" borderId="0" xfId="0" applyNumberFormat="1" applyFont="1" applyBorder="1" applyAlignment="1">
      <alignment vertical="center"/>
    </xf>
    <xf numFmtId="3" fontId="23" fillId="0" borderId="14" xfId="0" applyNumberFormat="1" applyFont="1" applyBorder="1" applyAlignment="1">
      <alignment vertical="center"/>
    </xf>
    <xf numFmtId="3" fontId="23" fillId="0" borderId="19" xfId="0" applyNumberFormat="1" applyFont="1" applyBorder="1" applyAlignment="1">
      <alignment vertical="center"/>
    </xf>
    <xf numFmtId="3" fontId="2" fillId="0" borderId="21" xfId="0" applyNumberFormat="1" applyFont="1" applyBorder="1" applyAlignment="1">
      <alignment vertical="center"/>
    </xf>
    <xf numFmtId="3" fontId="2" fillId="0" borderId="9" xfId="0" applyNumberFormat="1" applyFont="1" applyBorder="1" applyAlignment="1">
      <alignment vertical="center"/>
    </xf>
    <xf numFmtId="0" fontId="23" fillId="0" borderId="4" xfId="0" applyFont="1" applyBorder="1" applyAlignment="1">
      <alignment horizontal="left" vertical="center"/>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0" borderId="5" xfId="0" applyFont="1" applyBorder="1" applyAlignment="1">
      <alignment horizontal="lef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0" xfId="0" applyFont="1" applyBorder="1" applyAlignment="1">
      <alignment horizontal="left"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20" xfId="0" applyFont="1" applyBorder="1" applyAlignment="1">
      <alignment horizontal="left" vertical="center"/>
    </xf>
    <xf numFmtId="0" fontId="2" fillId="0" borderId="22"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9" fillId="0" borderId="6" xfId="0" applyFont="1" applyBorder="1" applyAlignment="1">
      <alignment horizontal="left"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18" fillId="4" borderId="11" xfId="0" applyFont="1" applyFill="1" applyBorder="1" applyAlignment="1">
      <alignment horizontal="left" vertical="center" wrapText="1"/>
    </xf>
    <xf numFmtId="0" fontId="18" fillId="4" borderId="12" xfId="0" applyFont="1" applyFill="1" applyBorder="1" applyAlignment="1">
      <alignment horizontal="left" vertical="center" wrapText="1"/>
    </xf>
    <xf numFmtId="0" fontId="18" fillId="4" borderId="13" xfId="0" applyFont="1" applyFill="1" applyBorder="1" applyAlignment="1">
      <alignment horizontal="left" vertical="center" wrapText="1"/>
    </xf>
    <xf numFmtId="0" fontId="21" fillId="0" borderId="10" xfId="0" applyFont="1" applyBorder="1" applyAlignment="1">
      <alignment horizontal="center" vertical="center"/>
    </xf>
    <xf numFmtId="0" fontId="9" fillId="0" borderId="11" xfId="0" applyFont="1" applyBorder="1" applyAlignment="1">
      <alignment horizontal="left" wrapText="1"/>
    </xf>
    <xf numFmtId="0" fontId="9" fillId="0" borderId="12" xfId="0" applyFont="1" applyBorder="1" applyAlignment="1">
      <alignment horizontal="left" wrapText="1"/>
    </xf>
    <xf numFmtId="0" fontId="9" fillId="0" borderId="13" xfId="0" applyFont="1" applyBorder="1" applyAlignment="1">
      <alignment horizontal="left" wrapText="1"/>
    </xf>
    <xf numFmtId="0" fontId="10" fillId="6" borderId="11"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 fillId="0" borderId="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02-A3A%202022\001-MARCHES%20PUBLIC\04-%20SALLE%20DE%20CLASSE%20ENABEL\07-%20DEVIS%20APRES%20OBS%20ENABEL\02__DEVIS__QUANTITATIF%20ET%20ESTIMATIF%20DES%20SALLES%20DES%20CLASSE_vrf-%20APRES%20Obs%20Enabel%2026-1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E( 01)- SALLE"/>
      <sheetName val="DEUX (02) SALLES"/>
      <sheetName val="TROIS (03) SALLES"/>
      <sheetName val="QUATRE (04) SALLES"/>
      <sheetName val="RECAP"/>
      <sheetName val="BLOC TOILETTES 4 postes"/>
      <sheetName val="BLOC TOILETTES 3 postes"/>
      <sheetName val="BLOC TOILETTES 2 postes"/>
    </sheetNames>
    <sheetDataSet>
      <sheetData sheetId="0">
        <row r="17">
          <cell r="D17">
            <v>6.5720000000000001</v>
          </cell>
        </row>
        <row r="18">
          <cell r="D18">
            <v>120.8</v>
          </cell>
        </row>
        <row r="19">
          <cell r="D19">
            <v>29.803999999999998</v>
          </cell>
        </row>
        <row r="20">
          <cell r="D20">
            <v>29.619999999999997</v>
          </cell>
        </row>
        <row r="25">
          <cell r="D25">
            <v>1.452</v>
          </cell>
        </row>
        <row r="26">
          <cell r="D26">
            <v>0.82150000000000001</v>
          </cell>
        </row>
        <row r="27">
          <cell r="D27">
            <v>6.5720000000000001</v>
          </cell>
        </row>
        <row r="28">
          <cell r="D28">
            <v>7.82</v>
          </cell>
        </row>
        <row r="29">
          <cell r="D29">
            <v>2.0601875000000001</v>
          </cell>
        </row>
        <row r="30">
          <cell r="D30">
            <v>1.893</v>
          </cell>
        </row>
        <row r="31">
          <cell r="D31">
            <v>0.66599999999999993</v>
          </cell>
        </row>
        <row r="32">
          <cell r="D32">
            <v>7.1358750000000013</v>
          </cell>
        </row>
        <row r="33">
          <cell r="D33">
            <v>0.26100000000000001</v>
          </cell>
        </row>
        <row r="34">
          <cell r="D34">
            <v>12</v>
          </cell>
        </row>
        <row r="35">
          <cell r="D35">
            <v>1.6680000000000001</v>
          </cell>
        </row>
        <row r="36">
          <cell r="D36">
            <v>0.66300000000000014</v>
          </cell>
        </row>
        <row r="38">
          <cell r="D38">
            <v>0.5</v>
          </cell>
        </row>
        <row r="42">
          <cell r="D42">
            <v>17.23</v>
          </cell>
        </row>
        <row r="43">
          <cell r="D43">
            <v>122.41999999999999</v>
          </cell>
        </row>
        <row r="44">
          <cell r="D44">
            <v>134.69999999999999</v>
          </cell>
        </row>
        <row r="45">
          <cell r="D45">
            <v>188.60000000000002</v>
          </cell>
        </row>
        <row r="46">
          <cell r="D46">
            <v>14</v>
          </cell>
        </row>
        <row r="47">
          <cell r="D47">
            <v>27</v>
          </cell>
        </row>
        <row r="48">
          <cell r="D48">
            <v>18</v>
          </cell>
        </row>
        <row r="52">
          <cell r="D52">
            <v>121.4</v>
          </cell>
        </row>
        <row r="53">
          <cell r="D53">
            <v>10</v>
          </cell>
        </row>
        <row r="54">
          <cell r="D54">
            <v>1</v>
          </cell>
        </row>
        <row r="55">
          <cell r="D55">
            <v>10.4</v>
          </cell>
        </row>
        <row r="56">
          <cell r="D56">
            <v>140</v>
          </cell>
        </row>
        <row r="57">
          <cell r="D57">
            <v>90</v>
          </cell>
        </row>
        <row r="58">
          <cell r="D58">
            <v>45</v>
          </cell>
        </row>
        <row r="59">
          <cell r="D59">
            <v>28</v>
          </cell>
        </row>
        <row r="60">
          <cell r="D60">
            <v>6</v>
          </cell>
        </row>
        <row r="61">
          <cell r="D61">
            <v>10</v>
          </cell>
        </row>
        <row r="66">
          <cell r="D66">
            <v>10</v>
          </cell>
        </row>
        <row r="69">
          <cell r="D69">
            <v>4</v>
          </cell>
        </row>
        <row r="71">
          <cell r="D71">
            <v>13</v>
          </cell>
        </row>
        <row r="72">
          <cell r="D72">
            <v>3.84</v>
          </cell>
        </row>
        <row r="78">
          <cell r="D78">
            <v>88.3</v>
          </cell>
        </row>
        <row r="79">
          <cell r="D79">
            <v>114.6</v>
          </cell>
        </row>
        <row r="80">
          <cell r="D80">
            <v>46</v>
          </cell>
        </row>
        <row r="81">
          <cell r="D81">
            <v>162.30000000000001</v>
          </cell>
        </row>
        <row r="83">
          <cell r="D83">
            <v>14</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D174-1150-4067-AD33-36A2FF8B7DA3}">
  <dimension ref="A1:F175"/>
  <sheetViews>
    <sheetView tabSelected="1" topLeftCell="A151" zoomScale="115" zoomScaleNormal="115" zoomScaleSheetLayoutView="100" workbookViewId="0">
      <selection activeCell="B159" sqref="B159"/>
    </sheetView>
  </sheetViews>
  <sheetFormatPr baseColWidth="10" defaultColWidth="11.44140625" defaultRowHeight="12"/>
  <cols>
    <col min="1" max="1" width="4.6640625" style="2" customWidth="1"/>
    <col min="2" max="2" width="59.33203125" style="50" customWidth="1"/>
    <col min="3" max="3" width="4.88671875" style="2" customWidth="1"/>
    <col min="4" max="4" width="7.88671875" style="51" customWidth="1"/>
    <col min="5" max="5" width="9.33203125" style="52" customWidth="1"/>
    <col min="6" max="6" width="12.109375" style="53" customWidth="1"/>
    <col min="7" max="16384" width="11.44140625" style="1"/>
  </cols>
  <sheetData>
    <row r="1" spans="1:6" ht="18" thickBot="1">
      <c r="A1" s="83" t="s">
        <v>192</v>
      </c>
      <c r="B1" s="84"/>
      <c r="C1" s="84"/>
      <c r="D1" s="84"/>
      <c r="E1" s="84"/>
      <c r="F1" s="85"/>
    </row>
    <row r="3" spans="1:6" ht="24.6">
      <c r="B3" s="86" t="s">
        <v>180</v>
      </c>
      <c r="C3" s="86"/>
      <c r="D3" s="86"/>
      <c r="E3" s="86"/>
      <c r="F3" s="86"/>
    </row>
    <row r="4" spans="1:6" ht="13.2">
      <c r="A4" s="3"/>
      <c r="B4" s="3"/>
      <c r="C4" s="3"/>
      <c r="D4" s="4"/>
      <c r="E4" s="3"/>
      <c r="F4" s="3"/>
    </row>
    <row r="5" spans="1:6" ht="27.6">
      <c r="A5" s="87" t="s">
        <v>1</v>
      </c>
      <c r="B5" s="87"/>
      <c r="C5" s="87"/>
      <c r="D5" s="87"/>
      <c r="E5" s="87"/>
      <c r="F5" s="87"/>
    </row>
    <row r="6" spans="1:6" ht="27.6">
      <c r="A6" s="5"/>
      <c r="B6" s="91" t="s">
        <v>173</v>
      </c>
      <c r="C6" s="91"/>
      <c r="D6" s="91"/>
      <c r="E6" s="91"/>
      <c r="F6" s="5"/>
    </row>
    <row r="7" spans="1:6" ht="11.4">
      <c r="A7" s="6"/>
      <c r="B7" s="7" t="s">
        <v>2</v>
      </c>
      <c r="C7" s="8" t="s">
        <v>3</v>
      </c>
      <c r="D7" s="9" t="s">
        <v>4</v>
      </c>
      <c r="E7" s="10" t="s">
        <v>5</v>
      </c>
      <c r="F7" s="11" t="s">
        <v>6</v>
      </c>
    </row>
    <row r="8" spans="1:6" ht="11.4">
      <c r="A8" s="12"/>
      <c r="B8" s="13" t="s">
        <v>7</v>
      </c>
      <c r="C8" s="12"/>
      <c r="D8" s="14"/>
      <c r="E8" s="15"/>
      <c r="F8" s="16"/>
    </row>
    <row r="9" spans="1:6" ht="20.399999999999999">
      <c r="A9" s="6" t="s">
        <v>8</v>
      </c>
      <c r="B9" s="19" t="s">
        <v>9</v>
      </c>
      <c r="C9" s="6" t="s">
        <v>10</v>
      </c>
      <c r="D9" s="20">
        <v>1</v>
      </c>
      <c r="E9" s="21"/>
      <c r="F9" s="22">
        <f>+E9*D9</f>
        <v>0</v>
      </c>
    </row>
    <row r="10" spans="1:6" ht="30.6">
      <c r="A10" s="6" t="s">
        <v>11</v>
      </c>
      <c r="B10" s="7" t="s">
        <v>172</v>
      </c>
      <c r="C10" s="6" t="s">
        <v>12</v>
      </c>
      <c r="D10" s="20">
        <v>594</v>
      </c>
      <c r="E10" s="21"/>
      <c r="F10" s="22">
        <f>+E10*D10</f>
        <v>0</v>
      </c>
    </row>
    <row r="11" spans="1:6" ht="20.399999999999999">
      <c r="A11" s="6" t="s">
        <v>13</v>
      </c>
      <c r="B11" s="19" t="s">
        <v>14</v>
      </c>
      <c r="C11" s="6" t="s">
        <v>10</v>
      </c>
      <c r="D11" s="20">
        <v>1</v>
      </c>
      <c r="E11" s="21"/>
      <c r="F11" s="22">
        <f t="shared" ref="F11" si="0">+E11*D11</f>
        <v>0</v>
      </c>
    </row>
    <row r="12" spans="1:6" ht="11.4">
      <c r="A12" s="6"/>
      <c r="B12" s="23" t="s">
        <v>15</v>
      </c>
      <c r="C12" s="6"/>
      <c r="D12" s="20"/>
      <c r="E12" s="21"/>
      <c r="F12" s="24">
        <f>SUM(F9:F11)</f>
        <v>0</v>
      </c>
    </row>
    <row r="13" spans="1:6">
      <c r="A13" s="25"/>
      <c r="B13" s="25"/>
      <c r="C13" s="25"/>
      <c r="D13" s="26"/>
      <c r="E13" s="25"/>
      <c r="F13" s="25"/>
    </row>
    <row r="14" spans="1:6" ht="11.4">
      <c r="A14" s="12"/>
      <c r="B14" s="13" t="s">
        <v>16</v>
      </c>
      <c r="C14" s="12"/>
      <c r="D14" s="14"/>
      <c r="E14" s="15"/>
      <c r="F14" s="16"/>
    </row>
    <row r="15" spans="1:6" ht="20.399999999999999">
      <c r="A15" s="6" t="s">
        <v>17</v>
      </c>
      <c r="B15" s="7" t="s">
        <v>18</v>
      </c>
      <c r="C15" s="6" t="s">
        <v>10</v>
      </c>
      <c r="D15" s="20">
        <v>1</v>
      </c>
      <c r="E15" s="21"/>
      <c r="F15" s="22">
        <f t="shared" ref="F15:F20" si="1">+E15*D15</f>
        <v>0</v>
      </c>
    </row>
    <row r="16" spans="1:6" ht="11.4">
      <c r="A16" s="6" t="s">
        <v>19</v>
      </c>
      <c r="B16" s="7" t="s">
        <v>20</v>
      </c>
      <c r="C16" s="6" t="s">
        <v>21</v>
      </c>
      <c r="D16" s="20">
        <f>70.89*1</f>
        <v>70.89</v>
      </c>
      <c r="E16" s="21"/>
      <c r="F16" s="22">
        <f t="shared" si="1"/>
        <v>0</v>
      </c>
    </row>
    <row r="17" spans="1:6" ht="30.6">
      <c r="A17" s="6" t="s">
        <v>22</v>
      </c>
      <c r="B17" s="7" t="s">
        <v>23</v>
      </c>
      <c r="C17" s="6" t="s">
        <v>21</v>
      </c>
      <c r="D17" s="20">
        <f>25.53*0.4+'[1]UNE( 01)- SALLE'!D17</f>
        <v>16.784000000000002</v>
      </c>
      <c r="E17" s="21"/>
      <c r="F17" s="22">
        <f t="shared" si="1"/>
        <v>0</v>
      </c>
    </row>
    <row r="18" spans="1:6" ht="20.399999999999999">
      <c r="A18" s="6" t="s">
        <v>24</v>
      </c>
      <c r="B18" s="7" t="s">
        <v>25</v>
      </c>
      <c r="C18" s="6" t="s">
        <v>12</v>
      </c>
      <c r="D18" s="20">
        <f>215.89+'[1]UNE( 01)- SALLE'!D18</f>
        <v>336.69</v>
      </c>
      <c r="E18" s="21"/>
      <c r="F18" s="22">
        <f t="shared" si="1"/>
        <v>0</v>
      </c>
    </row>
    <row r="19" spans="1:6" ht="20.399999999999999">
      <c r="A19" s="6" t="s">
        <v>26</v>
      </c>
      <c r="B19" s="7" t="s">
        <v>27</v>
      </c>
      <c r="C19" s="6" t="s">
        <v>21</v>
      </c>
      <c r="D19" s="20">
        <f>D17+D16+'[1]UNE( 01)- SALLE'!D19</f>
        <v>117.47800000000001</v>
      </c>
      <c r="E19" s="21"/>
      <c r="F19" s="22">
        <f t="shared" si="1"/>
        <v>0</v>
      </c>
    </row>
    <row r="20" spans="1:6" ht="20.399999999999999">
      <c r="A20" s="6" t="s">
        <v>28</v>
      </c>
      <c r="B20" s="7" t="s">
        <v>29</v>
      </c>
      <c r="C20" s="6" t="s">
        <v>21</v>
      </c>
      <c r="D20" s="20">
        <f>(215.89*0.35)-D17-(D16/4)+'[1]UNE( 01)- SALLE'!D20</f>
        <v>70.674999999999983</v>
      </c>
      <c r="E20" s="21"/>
      <c r="F20" s="22">
        <f t="shared" si="1"/>
        <v>0</v>
      </c>
    </row>
    <row r="21" spans="1:6" ht="11.4">
      <c r="A21" s="6"/>
      <c r="B21" s="23" t="s">
        <v>30</v>
      </c>
      <c r="C21" s="6"/>
      <c r="D21" s="20"/>
      <c r="E21" s="21"/>
      <c r="F21" s="24">
        <f>SUM(F15:F20)</f>
        <v>0</v>
      </c>
    </row>
    <row r="22" spans="1:6" ht="11.4">
      <c r="A22" s="1"/>
      <c r="B22" s="1"/>
      <c r="C22" s="1"/>
      <c r="D22" s="1"/>
      <c r="E22" s="1"/>
      <c r="F22" s="1"/>
    </row>
    <row r="23" spans="1:6" ht="11.4">
      <c r="A23" s="12"/>
      <c r="B23" s="13" t="s">
        <v>31</v>
      </c>
      <c r="C23" s="12"/>
      <c r="D23" s="14"/>
      <c r="E23" s="15"/>
      <c r="F23" s="27"/>
    </row>
    <row r="24" spans="1:6" ht="22.5" customHeight="1">
      <c r="A24" s="88" t="s">
        <v>32</v>
      </c>
      <c r="B24" s="89"/>
      <c r="C24" s="89"/>
      <c r="D24" s="89"/>
      <c r="E24" s="89"/>
      <c r="F24" s="90"/>
    </row>
    <row r="25" spans="1:6" ht="11.4">
      <c r="A25" s="6" t="s">
        <v>33</v>
      </c>
      <c r="B25" s="7" t="s">
        <v>34</v>
      </c>
      <c r="C25" s="6" t="s">
        <v>21</v>
      </c>
      <c r="D25" s="20">
        <f>48.04*0.05+'[1]UNE( 01)- SALLE'!D25</f>
        <v>3.8540000000000001</v>
      </c>
      <c r="E25" s="21"/>
      <c r="F25" s="22">
        <f>E25*D25</f>
        <v>0</v>
      </c>
    </row>
    <row r="26" spans="1:6" ht="20.399999999999999">
      <c r="A26" s="6" t="s">
        <v>35</v>
      </c>
      <c r="B26" s="7" t="s">
        <v>36</v>
      </c>
      <c r="C26" s="6" t="s">
        <v>21</v>
      </c>
      <c r="D26" s="20">
        <f>25.53*0.05+'[1]UNE( 01)- SALLE'!D26</f>
        <v>2.0980000000000003</v>
      </c>
      <c r="E26" s="21"/>
      <c r="F26" s="22">
        <f t="shared" ref="F26:F37" si="2">E26*D26</f>
        <v>0</v>
      </c>
    </row>
    <row r="27" spans="1:6" ht="20.399999999999999">
      <c r="A27" s="6" t="s">
        <v>37</v>
      </c>
      <c r="B27" s="7" t="s">
        <v>38</v>
      </c>
      <c r="C27" s="6" t="s">
        <v>21</v>
      </c>
      <c r="D27" s="20">
        <f>25.53*0.4+'[1]UNE( 01)- SALLE'!D27</f>
        <v>16.784000000000002</v>
      </c>
      <c r="E27" s="21"/>
      <c r="F27" s="22">
        <f>E27*D27</f>
        <v>0</v>
      </c>
    </row>
    <row r="28" spans="1:6" ht="11.4">
      <c r="A28" s="6" t="s">
        <v>39</v>
      </c>
      <c r="B28" s="7" t="s">
        <v>40</v>
      </c>
      <c r="C28" s="6" t="s">
        <v>21</v>
      </c>
      <c r="D28" s="20">
        <f>(1*1.2*0.3*4)+(1*1.1*0.3*14)+(1*1*0.25*24)+(0.8*0.8*0.25*6)+'[1]UNE( 01)- SALLE'!D28</f>
        <v>20.840000000000003</v>
      </c>
      <c r="E28" s="21"/>
      <c r="F28" s="22">
        <f>E28*D28</f>
        <v>0</v>
      </c>
    </row>
    <row r="29" spans="1:6" ht="21.6">
      <c r="A29" s="6" t="s">
        <v>41</v>
      </c>
      <c r="B29" s="7" t="s">
        <v>42</v>
      </c>
      <c r="C29" s="6" t="s">
        <v>21</v>
      </c>
      <c r="D29" s="20">
        <f>(109.42*0.15*0.2)+(9.475*0.15*0.15)+(9.2*0.2*0.1)+'[1]UNE( 01)- SALLE'!D29</f>
        <v>5.7399750000000012</v>
      </c>
      <c r="E29" s="21"/>
      <c r="F29" s="22">
        <f t="shared" si="2"/>
        <v>0</v>
      </c>
    </row>
    <row r="30" spans="1:6" ht="11.4">
      <c r="A30" s="6" t="s">
        <v>43</v>
      </c>
      <c r="B30" s="7" t="s">
        <v>44</v>
      </c>
      <c r="C30" s="6" t="s">
        <v>21</v>
      </c>
      <c r="D30" s="20">
        <f>114.95*0.15*0.2+'[1]UNE( 01)- SALLE'!D30</f>
        <v>5.3414999999999999</v>
      </c>
      <c r="E30" s="21"/>
      <c r="F30" s="22">
        <f t="shared" si="2"/>
        <v>0</v>
      </c>
    </row>
    <row r="31" spans="1:6" ht="21.6">
      <c r="A31" s="6" t="s">
        <v>45</v>
      </c>
      <c r="B31" s="7" t="s">
        <v>46</v>
      </c>
      <c r="C31" s="6" t="s">
        <v>21</v>
      </c>
      <c r="D31" s="20">
        <f>33.3*0.15*0.2+'[1]UNE( 01)- SALLE'!D31</f>
        <v>1.6649999999999998</v>
      </c>
      <c r="E31" s="21"/>
      <c r="F31" s="22">
        <f>E31*D31</f>
        <v>0</v>
      </c>
    </row>
    <row r="32" spans="1:6" ht="11.4">
      <c r="A32" s="6" t="s">
        <v>47</v>
      </c>
      <c r="B32" s="7" t="s">
        <v>48</v>
      </c>
      <c r="C32" s="6" t="s">
        <v>21</v>
      </c>
      <c r="D32" s="20">
        <f>(0.15*0.3*4.45*18)+(0.15*0.55*4.95*14)+(0.2*0.55*4.95*4)+(0.15*0.2*5.1*6)+(0.15*0.15*1.225*6)+'[1]UNE( 01)- SALLE'!D32</f>
        <v>19.719000000000001</v>
      </c>
      <c r="E32" s="21"/>
      <c r="F32" s="22">
        <f t="shared" ref="F32:F34" si="3">E32*D32</f>
        <v>0</v>
      </c>
    </row>
    <row r="33" spans="1:6" ht="11.4">
      <c r="A33" s="6" t="s">
        <v>49</v>
      </c>
      <c r="B33" s="7" t="s">
        <v>50</v>
      </c>
      <c r="C33" s="6" t="s">
        <v>21</v>
      </c>
      <c r="D33" s="20">
        <f>9.9*0.15*0.3+'[1]UNE( 01)- SALLE'!D33</f>
        <v>0.70650000000000002</v>
      </c>
      <c r="E33" s="21"/>
      <c r="F33" s="22">
        <f t="shared" si="3"/>
        <v>0</v>
      </c>
    </row>
    <row r="34" spans="1:6" ht="30.6">
      <c r="A34" s="6" t="s">
        <v>51</v>
      </c>
      <c r="B34" s="7" t="s">
        <v>52</v>
      </c>
      <c r="C34" s="6" t="s">
        <v>21</v>
      </c>
      <c r="D34" s="20">
        <f>222*0.1+'[1]UNE( 01)- SALLE'!D34</f>
        <v>34.200000000000003</v>
      </c>
      <c r="E34" s="21"/>
      <c r="F34" s="22">
        <f t="shared" si="3"/>
        <v>0</v>
      </c>
    </row>
    <row r="35" spans="1:6" ht="20.399999999999999">
      <c r="A35" s="6" t="s">
        <v>53</v>
      </c>
      <c r="B35" s="7" t="s">
        <v>54</v>
      </c>
      <c r="C35" s="6" t="s">
        <v>21</v>
      </c>
      <c r="D35" s="20">
        <f>29.13*0.1+'[1]UNE( 01)- SALLE'!D35</f>
        <v>4.5810000000000004</v>
      </c>
      <c r="E35" s="21"/>
      <c r="F35" s="22">
        <f t="shared" si="2"/>
        <v>0</v>
      </c>
    </row>
    <row r="36" spans="1:6" ht="20.399999999999999">
      <c r="A36" s="6" t="s">
        <v>55</v>
      </c>
      <c r="B36" s="7" t="s">
        <v>56</v>
      </c>
      <c r="C36" s="6" t="s">
        <v>21</v>
      </c>
      <c r="D36" s="20">
        <f>(19.2)*0.15*0.2+(7.68*0.1)+'[1]UNE( 01)- SALLE'!D36</f>
        <v>2.0070000000000001</v>
      </c>
      <c r="E36" s="21"/>
      <c r="F36" s="22">
        <f t="shared" si="2"/>
        <v>0</v>
      </c>
    </row>
    <row r="37" spans="1:6" ht="11.4">
      <c r="A37" s="6" t="s">
        <v>57</v>
      </c>
      <c r="B37" s="7" t="s">
        <v>59</v>
      </c>
      <c r="C37" s="6" t="s">
        <v>21</v>
      </c>
      <c r="D37" s="20">
        <f>0.5+'[1]UNE( 01)- SALLE'!D38</f>
        <v>1</v>
      </c>
      <c r="E37" s="21"/>
      <c r="F37" s="22">
        <f t="shared" si="2"/>
        <v>0</v>
      </c>
    </row>
    <row r="38" spans="1:6" ht="11.4">
      <c r="A38" s="6"/>
      <c r="B38" s="23" t="s">
        <v>60</v>
      </c>
      <c r="C38" s="6"/>
      <c r="D38" s="20"/>
      <c r="E38" s="21"/>
      <c r="F38" s="28">
        <f>SUM(F25:F37)</f>
        <v>0</v>
      </c>
    </row>
    <row r="39" spans="1:6" ht="11.4">
      <c r="A39" s="1"/>
      <c r="B39" s="1"/>
      <c r="C39" s="1"/>
      <c r="D39" s="1"/>
      <c r="E39" s="1"/>
      <c r="F39" s="1"/>
    </row>
    <row r="40" spans="1:6" ht="11.4">
      <c r="A40" s="12"/>
      <c r="B40" s="13" t="s">
        <v>61</v>
      </c>
      <c r="C40" s="12"/>
      <c r="D40" s="14"/>
      <c r="E40" s="15"/>
      <c r="F40" s="16"/>
    </row>
    <row r="41" spans="1:6" ht="11.4">
      <c r="A41" s="6" t="s">
        <v>62</v>
      </c>
      <c r="B41" s="7" t="s">
        <v>63</v>
      </c>
      <c r="C41" s="6" t="s">
        <v>64</v>
      </c>
      <c r="D41" s="20">
        <f>111.27*0.25+9.4*0.2+'[1]UNE( 01)- SALLE'!D42</f>
        <v>46.927499999999995</v>
      </c>
      <c r="E41" s="21"/>
      <c r="F41" s="22">
        <f>E41*D41</f>
        <v>0</v>
      </c>
    </row>
    <row r="42" spans="1:6" ht="11.4">
      <c r="A42" s="6" t="s">
        <v>65</v>
      </c>
      <c r="B42" s="7" t="s">
        <v>66</v>
      </c>
      <c r="C42" s="6" t="s">
        <v>64</v>
      </c>
      <c r="D42" s="20">
        <f>7.32*2+23.55*4+34*3+'[1]UNE( 01)- SALLE'!D43</f>
        <v>333.26</v>
      </c>
      <c r="E42" s="21"/>
      <c r="F42" s="22">
        <f t="shared" ref="F42:F48" si="4">E42*D42</f>
        <v>0</v>
      </c>
    </row>
    <row r="43" spans="1:6" ht="20.399999999999999">
      <c r="A43" s="6" t="s">
        <v>67</v>
      </c>
      <c r="B43" s="7" t="s">
        <v>68</v>
      </c>
      <c r="C43" s="6" t="s">
        <v>64</v>
      </c>
      <c r="D43" s="20">
        <f>22.09*4+9.1*4+28.97*4+'[1]UNE( 01)- SALLE'!D44</f>
        <v>375.34</v>
      </c>
      <c r="E43" s="21"/>
      <c r="F43" s="22">
        <f t="shared" si="4"/>
        <v>0</v>
      </c>
    </row>
    <row r="44" spans="1:6" ht="20.399999999999999">
      <c r="A44" s="6" t="s">
        <v>69</v>
      </c>
      <c r="B44" s="7" t="s">
        <v>70</v>
      </c>
      <c r="C44" s="6" t="s">
        <v>64</v>
      </c>
      <c r="D44" s="20">
        <f>40.72*2+22.09*4+7*4+3.03*4+10.98*4+'[1]UNE( 01)- SALLE'!D45</f>
        <v>442.44000000000005</v>
      </c>
      <c r="E44" s="21"/>
      <c r="F44" s="22">
        <f t="shared" si="4"/>
        <v>0</v>
      </c>
    </row>
    <row r="45" spans="1:6" s="18" customFormat="1" ht="11.4">
      <c r="A45" s="6" t="s">
        <v>71</v>
      </c>
      <c r="B45" s="7" t="s">
        <v>72</v>
      </c>
      <c r="C45" s="6" t="s">
        <v>64</v>
      </c>
      <c r="D45" s="20">
        <f>5.15*4+'[1]UNE( 01)- SALLE'!D46</f>
        <v>34.6</v>
      </c>
      <c r="E45" s="21"/>
      <c r="F45" s="22">
        <f t="shared" si="4"/>
        <v>0</v>
      </c>
    </row>
    <row r="46" spans="1:6" ht="11.4">
      <c r="A46" s="6" t="s">
        <v>73</v>
      </c>
      <c r="B46" s="7" t="s">
        <v>74</v>
      </c>
      <c r="C46" s="6" t="s">
        <v>75</v>
      </c>
      <c r="D46" s="20">
        <f>0.9*3*18+'[1]UNE( 01)- SALLE'!D47</f>
        <v>75.599999999999994</v>
      </c>
      <c r="E46" s="21"/>
      <c r="F46" s="22">
        <f t="shared" si="4"/>
        <v>0</v>
      </c>
    </row>
    <row r="47" spans="1:6" ht="11.4">
      <c r="A47" s="6" t="s">
        <v>76</v>
      </c>
      <c r="B47" s="7" t="s">
        <v>77</v>
      </c>
      <c r="C47" s="6" t="s">
        <v>78</v>
      </c>
      <c r="D47" s="20">
        <f>14*2+'[1]UNE( 01)- SALLE'!D48</f>
        <v>46</v>
      </c>
      <c r="E47" s="21"/>
      <c r="F47" s="22">
        <f t="shared" si="4"/>
        <v>0</v>
      </c>
    </row>
    <row r="48" spans="1:6" ht="11.4">
      <c r="A48" s="6" t="s">
        <v>79</v>
      </c>
      <c r="B48" s="7" t="s">
        <v>80</v>
      </c>
      <c r="C48" s="6" t="s">
        <v>64</v>
      </c>
      <c r="D48" s="20">
        <f>4.8*8.4+1.5*0.8*2</f>
        <v>42.72</v>
      </c>
      <c r="E48" s="21"/>
      <c r="F48" s="22">
        <f t="shared" si="4"/>
        <v>0</v>
      </c>
    </row>
    <row r="49" spans="1:6" ht="11.4">
      <c r="A49" s="6"/>
      <c r="B49" s="23" t="s">
        <v>81</v>
      </c>
      <c r="C49" s="6"/>
      <c r="D49" s="20"/>
      <c r="E49" s="21"/>
      <c r="F49" s="24">
        <f>SUM(F41:F48)</f>
        <v>0</v>
      </c>
    </row>
    <row r="50" spans="1:6" ht="11.4">
      <c r="A50" s="1"/>
      <c r="B50" s="1"/>
      <c r="C50" s="1"/>
      <c r="D50" s="1"/>
      <c r="E50" s="1"/>
      <c r="F50" s="1"/>
    </row>
    <row r="51" spans="1:6" ht="11.4">
      <c r="A51" s="12"/>
      <c r="B51" s="13" t="s">
        <v>82</v>
      </c>
      <c r="C51" s="32"/>
      <c r="D51" s="33"/>
      <c r="E51" s="34"/>
      <c r="F51" s="35"/>
    </row>
    <row r="52" spans="1:6" ht="40.799999999999997">
      <c r="A52" s="6" t="s">
        <v>83</v>
      </c>
      <c r="B52" s="19" t="s">
        <v>84</v>
      </c>
      <c r="C52" s="6" t="s">
        <v>64</v>
      </c>
      <c r="D52" s="20">
        <f>225+'[1]UNE( 01)- SALLE'!D52+'[1]UNE( 01)- SALLE'!D52</f>
        <v>467.79999999999995</v>
      </c>
      <c r="E52" s="21"/>
      <c r="F52" s="22">
        <f t="shared" ref="F52:F61" si="5">E52*D52</f>
        <v>0</v>
      </c>
    </row>
    <row r="53" spans="1:6" ht="20.399999999999999">
      <c r="A53" s="6" t="s">
        <v>85</v>
      </c>
      <c r="B53" s="19" t="s">
        <v>175</v>
      </c>
      <c r="C53" s="6" t="s">
        <v>75</v>
      </c>
      <c r="D53" s="20">
        <f>19+'[1]UNE( 01)- SALLE'!D53</f>
        <v>29</v>
      </c>
      <c r="E53" s="21"/>
      <c r="F53" s="22">
        <f t="shared" si="5"/>
        <v>0</v>
      </c>
    </row>
    <row r="54" spans="1:6" ht="30.6">
      <c r="A54" s="6" t="s">
        <v>86</v>
      </c>
      <c r="B54" s="7" t="s">
        <v>176</v>
      </c>
      <c r="C54" s="6" t="s">
        <v>87</v>
      </c>
      <c r="D54" s="20">
        <f>2+'[1]UNE( 01)- SALLE'!D54</f>
        <v>3</v>
      </c>
      <c r="E54" s="21"/>
      <c r="F54" s="22">
        <f t="shared" si="5"/>
        <v>0</v>
      </c>
    </row>
    <row r="55" spans="1:6" ht="20.399999999999999">
      <c r="A55" s="6" t="s">
        <v>88</v>
      </c>
      <c r="B55" s="7" t="s">
        <v>177</v>
      </c>
      <c r="C55" s="6" t="s">
        <v>75</v>
      </c>
      <c r="D55" s="20">
        <f>2.6*6+'[1]UNE( 01)- SALLE'!D55</f>
        <v>26</v>
      </c>
      <c r="E55" s="21"/>
      <c r="F55" s="22">
        <f t="shared" si="5"/>
        <v>0</v>
      </c>
    </row>
    <row r="56" spans="1:6" ht="20.399999999999999">
      <c r="A56" s="6" t="s">
        <v>89</v>
      </c>
      <c r="B56" s="7" t="s">
        <v>186</v>
      </c>
      <c r="C56" s="6" t="s">
        <v>75</v>
      </c>
      <c r="D56" s="20">
        <f>19*14+'[1]UNE( 01)- SALLE'!D56</f>
        <v>406</v>
      </c>
      <c r="E56" s="21"/>
      <c r="F56" s="22">
        <f t="shared" si="5"/>
        <v>0</v>
      </c>
    </row>
    <row r="57" spans="1:6" ht="20.399999999999999">
      <c r="A57" s="6" t="s">
        <v>90</v>
      </c>
      <c r="B57" s="7" t="s">
        <v>91</v>
      </c>
      <c r="C57" s="6" t="s">
        <v>75</v>
      </c>
      <c r="D57" s="20">
        <f>61.95*2+'[1]UNE( 01)- SALLE'!D57</f>
        <v>213.9</v>
      </c>
      <c r="E57" s="21"/>
      <c r="F57" s="22">
        <f t="shared" si="5"/>
        <v>0</v>
      </c>
    </row>
    <row r="58" spans="1:6" ht="20.399999999999999">
      <c r="A58" s="6" t="s">
        <v>92</v>
      </c>
      <c r="B58" s="7" t="s">
        <v>93</v>
      </c>
      <c r="C58" s="6" t="s">
        <v>75</v>
      </c>
      <c r="D58" s="20">
        <f>61.95+'[1]UNE( 01)- SALLE'!D58</f>
        <v>106.95</v>
      </c>
      <c r="E58" s="21"/>
      <c r="F58" s="22">
        <f t="shared" si="5"/>
        <v>0</v>
      </c>
    </row>
    <row r="59" spans="1:6" ht="30.6">
      <c r="A59" s="6" t="s">
        <v>94</v>
      </c>
      <c r="B59" s="7" t="s">
        <v>95</v>
      </c>
      <c r="C59" s="6" t="s">
        <v>78</v>
      </c>
      <c r="D59" s="20">
        <f>14*3+'[1]UNE( 01)- SALLE'!D59</f>
        <v>70</v>
      </c>
      <c r="E59" s="21"/>
      <c r="F59" s="22">
        <f t="shared" si="5"/>
        <v>0</v>
      </c>
    </row>
    <row r="60" spans="1:6" ht="30.6">
      <c r="A60" s="6" t="s">
        <v>96</v>
      </c>
      <c r="B60" s="7" t="s">
        <v>97</v>
      </c>
      <c r="C60" s="6" t="s">
        <v>78</v>
      </c>
      <c r="D60" s="20">
        <f>6+'[1]UNE( 01)- SALLE'!D60</f>
        <v>12</v>
      </c>
      <c r="E60" s="21"/>
      <c r="F60" s="22">
        <f t="shared" si="5"/>
        <v>0</v>
      </c>
    </row>
    <row r="61" spans="1:6" ht="20.399999999999999">
      <c r="A61" s="6" t="s">
        <v>98</v>
      </c>
      <c r="B61" s="7" t="s">
        <v>99</v>
      </c>
      <c r="C61" s="6" t="s">
        <v>78</v>
      </c>
      <c r="D61" s="20">
        <f>4+'[1]UNE( 01)- SALLE'!D61</f>
        <v>14</v>
      </c>
      <c r="E61" s="21"/>
      <c r="F61" s="22">
        <f t="shared" si="5"/>
        <v>0</v>
      </c>
    </row>
    <row r="62" spans="1:6" ht="11.4">
      <c r="A62" s="6"/>
      <c r="B62" s="23" t="s">
        <v>100</v>
      </c>
      <c r="C62" s="6"/>
      <c r="D62" s="20"/>
      <c r="E62" s="21"/>
      <c r="F62" s="28">
        <f>SUM(F52:F61)</f>
        <v>0</v>
      </c>
    </row>
    <row r="63" spans="1:6" ht="11.4">
      <c r="A63" s="1"/>
      <c r="B63" s="1"/>
      <c r="C63" s="1"/>
      <c r="D63" s="1"/>
      <c r="E63" s="1"/>
      <c r="F63" s="1"/>
    </row>
    <row r="64" spans="1:6" ht="11.4">
      <c r="A64" s="12"/>
      <c r="B64" s="13" t="s">
        <v>101</v>
      </c>
      <c r="C64" s="12"/>
      <c r="D64" s="14"/>
      <c r="E64" s="15"/>
      <c r="F64" s="36"/>
    </row>
    <row r="65" spans="1:6" ht="95.4" customHeight="1">
      <c r="A65" s="37"/>
      <c r="B65" s="38" t="s">
        <v>102</v>
      </c>
      <c r="C65" s="37"/>
      <c r="D65" s="39"/>
      <c r="E65" s="40"/>
      <c r="F65" s="41"/>
    </row>
    <row r="66" spans="1:6" ht="30.6">
      <c r="A66" s="6" t="s">
        <v>103</v>
      </c>
      <c r="B66" s="7" t="s">
        <v>104</v>
      </c>
      <c r="C66" s="42" t="s">
        <v>78</v>
      </c>
      <c r="D66" s="20">
        <f>20+'[1]UNE( 01)- SALLE'!D66</f>
        <v>30</v>
      </c>
      <c r="E66" s="21"/>
      <c r="F66" s="22">
        <f t="shared" ref="F66:F70" si="6">E66*D66</f>
        <v>0</v>
      </c>
    </row>
    <row r="67" spans="1:6" ht="30.6">
      <c r="A67" s="6" t="s">
        <v>105</v>
      </c>
      <c r="B67" s="7" t="s">
        <v>184</v>
      </c>
      <c r="C67" s="42" t="s">
        <v>78</v>
      </c>
      <c r="D67" s="20">
        <v>3</v>
      </c>
      <c r="E67" s="21"/>
      <c r="F67" s="22">
        <f t="shared" si="6"/>
        <v>0</v>
      </c>
    </row>
    <row r="68" spans="1:6" ht="30.6">
      <c r="A68" s="6" t="s">
        <v>106</v>
      </c>
      <c r="B68" s="7" t="s">
        <v>185</v>
      </c>
      <c r="C68" s="42" t="s">
        <v>78</v>
      </c>
      <c r="D68" s="20">
        <v>3</v>
      </c>
      <c r="E68" s="21"/>
      <c r="F68" s="22">
        <f t="shared" si="6"/>
        <v>0</v>
      </c>
    </row>
    <row r="69" spans="1:6" ht="20.399999999999999">
      <c r="A69" s="6" t="s">
        <v>107</v>
      </c>
      <c r="B69" s="7" t="s">
        <v>108</v>
      </c>
      <c r="C69" s="42" t="s">
        <v>78</v>
      </c>
      <c r="D69" s="20">
        <f>8+'[1]UNE( 01)- SALLE'!D69</f>
        <v>12</v>
      </c>
      <c r="E69" s="21"/>
      <c r="F69" s="22">
        <f t="shared" si="6"/>
        <v>0</v>
      </c>
    </row>
    <row r="70" spans="1:6" ht="11.4">
      <c r="A70" s="6" t="s">
        <v>109</v>
      </c>
      <c r="B70" s="7" t="s">
        <v>111</v>
      </c>
      <c r="C70" s="42" t="s">
        <v>75</v>
      </c>
      <c r="D70" s="20">
        <f>13+'[1]UNE( 01)- SALLE'!D71</f>
        <v>26</v>
      </c>
      <c r="E70" s="21"/>
      <c r="F70" s="22">
        <f t="shared" si="6"/>
        <v>0</v>
      </c>
    </row>
    <row r="71" spans="1:6" ht="20.399999999999999">
      <c r="A71" s="6" t="s">
        <v>110</v>
      </c>
      <c r="B71" s="7" t="s">
        <v>112</v>
      </c>
      <c r="C71" s="42" t="s">
        <v>12</v>
      </c>
      <c r="D71" s="20">
        <f>16*0.6*0.4*2+'[1]UNE( 01)- SALLE'!D72</f>
        <v>11.52</v>
      </c>
      <c r="E71" s="21"/>
      <c r="F71" s="22">
        <f t="shared" ref="F71" si="7">E71*D71</f>
        <v>0</v>
      </c>
    </row>
    <row r="72" spans="1:6" ht="11.4">
      <c r="A72" s="6"/>
      <c r="B72" s="23" t="s">
        <v>113</v>
      </c>
      <c r="C72" s="6"/>
      <c r="D72" s="43"/>
      <c r="E72" s="21"/>
      <c r="F72" s="28">
        <f>SUM(F66:F71)</f>
        <v>0</v>
      </c>
    </row>
    <row r="73" spans="1:6" ht="11.4">
      <c r="A73" s="1"/>
      <c r="B73" s="1"/>
      <c r="C73" s="1"/>
      <c r="D73" s="1"/>
      <c r="E73" s="1"/>
      <c r="F73" s="1"/>
    </row>
    <row r="74" spans="1:6" ht="11.4">
      <c r="A74" s="12"/>
      <c r="B74" s="13" t="s">
        <v>114</v>
      </c>
      <c r="C74" s="12"/>
      <c r="D74" s="14"/>
      <c r="E74" s="15"/>
      <c r="F74" s="16"/>
    </row>
    <row r="75" spans="1:6" ht="11.4">
      <c r="A75" s="6" t="s">
        <v>115</v>
      </c>
      <c r="B75" s="7" t="s">
        <v>116</v>
      </c>
      <c r="C75" s="6" t="s">
        <v>64</v>
      </c>
      <c r="D75" s="20">
        <f>22*4+13.15*4+18*2+'[1]UNE( 01)- SALLE'!D78</f>
        <v>264.89999999999998</v>
      </c>
      <c r="E75" s="21"/>
      <c r="F75" s="22">
        <f t="shared" ref="F75:F80" si="8">E75*D75</f>
        <v>0</v>
      </c>
    </row>
    <row r="76" spans="1:6" ht="30.6">
      <c r="A76" s="6" t="s">
        <v>117</v>
      </c>
      <c r="B76" s="7" t="s">
        <v>118</v>
      </c>
      <c r="C76" s="6" t="s">
        <v>64</v>
      </c>
      <c r="D76" s="20">
        <f>22*4+13.15*4+18*2+26.3*2+'[1]UNE( 01)- SALLE'!D79</f>
        <v>343.79999999999995</v>
      </c>
      <c r="E76" s="21"/>
      <c r="F76" s="22">
        <f t="shared" si="8"/>
        <v>0</v>
      </c>
    </row>
    <row r="77" spans="1:6" ht="20.399999999999999">
      <c r="A77" s="6" t="s">
        <v>119</v>
      </c>
      <c r="B77" s="7" t="s">
        <v>120</v>
      </c>
      <c r="C77" s="6" t="s">
        <v>64</v>
      </c>
      <c r="D77" s="20">
        <f>14.06*4+8.94*4+'[1]UNE( 01)- SALLE'!D80</f>
        <v>138</v>
      </c>
      <c r="E77" s="21"/>
      <c r="F77" s="22">
        <f t="shared" si="8"/>
        <v>0</v>
      </c>
    </row>
    <row r="78" spans="1:6" ht="30.6">
      <c r="A78" s="6" t="s">
        <v>121</v>
      </c>
      <c r="B78" s="7" t="s">
        <v>174</v>
      </c>
      <c r="C78" s="6" t="s">
        <v>64</v>
      </c>
      <c r="D78" s="20">
        <f>+D44-(26.3*2)+'[1]UNE( 01)- SALLE'!D81</f>
        <v>552.1400000000001</v>
      </c>
      <c r="E78" s="21"/>
      <c r="F78" s="22">
        <f t="shared" si="8"/>
        <v>0</v>
      </c>
    </row>
    <row r="79" spans="1:6" ht="11.4">
      <c r="A79" s="6" t="s">
        <v>122</v>
      </c>
      <c r="B79" s="7" t="s">
        <v>123</v>
      </c>
      <c r="C79" s="6" t="s">
        <v>10</v>
      </c>
      <c r="D79" s="20">
        <f>1</f>
        <v>1</v>
      </c>
      <c r="E79" s="21"/>
      <c r="F79" s="22">
        <f t="shared" si="8"/>
        <v>0</v>
      </c>
    </row>
    <row r="80" spans="1:6" ht="11.4">
      <c r="A80" s="6" t="s">
        <v>124</v>
      </c>
      <c r="B80" s="7" t="s">
        <v>125</v>
      </c>
      <c r="C80" s="6" t="s">
        <v>64</v>
      </c>
      <c r="D80" s="20">
        <f>5.15*4+'[1]UNE( 01)- SALLE'!D83</f>
        <v>34.6</v>
      </c>
      <c r="E80" s="21"/>
      <c r="F80" s="22">
        <f t="shared" si="8"/>
        <v>0</v>
      </c>
    </row>
    <row r="81" spans="1:6" ht="11.4">
      <c r="A81" s="6"/>
      <c r="B81" s="23" t="s">
        <v>126</v>
      </c>
      <c r="C81" s="6"/>
      <c r="D81" s="20"/>
      <c r="E81" s="21"/>
      <c r="F81" s="28">
        <f>SUM(F75:F80)</f>
        <v>0</v>
      </c>
    </row>
    <row r="82" spans="1:6" ht="11.4">
      <c r="A82" s="30"/>
      <c r="B82" s="44"/>
      <c r="C82" s="30"/>
      <c r="D82" s="45"/>
      <c r="E82" s="31"/>
      <c r="F82" s="46"/>
    </row>
    <row r="83" spans="1:6" ht="11.4">
      <c r="A83" s="47">
        <v>0</v>
      </c>
      <c r="B83" s="82" t="s">
        <v>127</v>
      </c>
      <c r="C83" s="82"/>
      <c r="D83" s="82"/>
      <c r="E83" s="82"/>
      <c r="F83" s="24">
        <f>F12</f>
        <v>0</v>
      </c>
    </row>
    <row r="84" spans="1:6" ht="11.4">
      <c r="A84" s="47">
        <v>1</v>
      </c>
      <c r="B84" s="82" t="s">
        <v>128</v>
      </c>
      <c r="C84" s="82"/>
      <c r="D84" s="82"/>
      <c r="E84" s="82"/>
      <c r="F84" s="24">
        <f>+F21</f>
        <v>0</v>
      </c>
    </row>
    <row r="85" spans="1:6" ht="11.4">
      <c r="A85" s="47">
        <v>2</v>
      </c>
      <c r="B85" s="92" t="s">
        <v>129</v>
      </c>
      <c r="C85" s="93"/>
      <c r="D85" s="93"/>
      <c r="E85" s="94"/>
      <c r="F85" s="24">
        <f>+F38</f>
        <v>0</v>
      </c>
    </row>
    <row r="86" spans="1:6" ht="11.4">
      <c r="A86" s="47">
        <v>3</v>
      </c>
      <c r="B86" s="92" t="s">
        <v>130</v>
      </c>
      <c r="C86" s="93"/>
      <c r="D86" s="93"/>
      <c r="E86" s="94"/>
      <c r="F86" s="24">
        <f>+F49</f>
        <v>0</v>
      </c>
    </row>
    <row r="87" spans="1:6" ht="11.4">
      <c r="A87" s="47">
        <v>5</v>
      </c>
      <c r="B87" s="92" t="s">
        <v>131</v>
      </c>
      <c r="C87" s="93"/>
      <c r="D87" s="93"/>
      <c r="E87" s="94"/>
      <c r="F87" s="29">
        <f>F62</f>
        <v>0</v>
      </c>
    </row>
    <row r="88" spans="1:6" ht="11.4">
      <c r="A88" s="47">
        <v>4</v>
      </c>
      <c r="B88" s="92" t="s">
        <v>178</v>
      </c>
      <c r="C88" s="93"/>
      <c r="D88" s="93"/>
      <c r="E88" s="94"/>
      <c r="F88" s="24">
        <f>+F72</f>
        <v>0</v>
      </c>
    </row>
    <row r="89" spans="1:6" ht="11.4">
      <c r="A89" s="47">
        <v>6</v>
      </c>
      <c r="B89" s="92" t="s">
        <v>179</v>
      </c>
      <c r="C89" s="93"/>
      <c r="D89" s="93"/>
      <c r="E89" s="94"/>
      <c r="F89" s="24">
        <f>+F81</f>
        <v>0</v>
      </c>
    </row>
    <row r="90" spans="1:6" ht="11.4">
      <c r="A90" s="48"/>
      <c r="B90" s="95" t="s">
        <v>132</v>
      </c>
      <c r="C90" s="96"/>
      <c r="D90" s="96"/>
      <c r="E90" s="97"/>
      <c r="F90" s="49">
        <f>SUM(F83:F89)</f>
        <v>0</v>
      </c>
    </row>
    <row r="92" spans="1:6" ht="27.6">
      <c r="A92" s="87" t="s">
        <v>190</v>
      </c>
      <c r="B92" s="87"/>
      <c r="C92" s="87"/>
      <c r="D92" s="87"/>
      <c r="E92" s="87"/>
      <c r="F92" s="87"/>
    </row>
    <row r="93" spans="1:6" ht="27.6">
      <c r="A93" s="5"/>
      <c r="B93" s="91" t="s">
        <v>173</v>
      </c>
      <c r="C93" s="91"/>
      <c r="D93" s="91"/>
      <c r="E93" s="91"/>
      <c r="F93" s="5"/>
    </row>
    <row r="94" spans="1:6" ht="11.4">
      <c r="A94" s="6"/>
      <c r="B94" s="7" t="s">
        <v>2</v>
      </c>
      <c r="C94" s="8" t="s">
        <v>3</v>
      </c>
      <c r="D94" s="9" t="s">
        <v>4</v>
      </c>
      <c r="E94" s="10" t="s">
        <v>5</v>
      </c>
      <c r="F94" s="11" t="s">
        <v>6</v>
      </c>
    </row>
    <row r="95" spans="1:6" ht="23.4" customHeight="1">
      <c r="A95" s="12"/>
      <c r="B95" s="13" t="s">
        <v>16</v>
      </c>
      <c r="C95" s="12"/>
      <c r="D95" s="14"/>
      <c r="E95" s="15"/>
      <c r="F95" s="16"/>
    </row>
    <row r="96" spans="1:6" ht="11.4">
      <c r="A96" s="6" t="s">
        <v>17</v>
      </c>
      <c r="B96" s="7" t="s">
        <v>133</v>
      </c>
      <c r="C96" s="6" t="s">
        <v>10</v>
      </c>
      <c r="D96" s="20">
        <v>1</v>
      </c>
      <c r="E96" s="21"/>
      <c r="F96" s="22">
        <f t="shared" ref="F96:F104" si="9">+E96*D96</f>
        <v>0</v>
      </c>
    </row>
    <row r="97" spans="1:6" ht="30.6">
      <c r="A97" s="6" t="s">
        <v>19</v>
      </c>
      <c r="B97" s="7" t="s">
        <v>172</v>
      </c>
      <c r="C97" s="6" t="s">
        <v>12</v>
      </c>
      <c r="D97" s="20">
        <v>195</v>
      </c>
      <c r="E97" s="21"/>
      <c r="F97" s="22">
        <f>+E97*D97</f>
        <v>0</v>
      </c>
    </row>
    <row r="98" spans="1:6" ht="11.4">
      <c r="A98" s="6" t="s">
        <v>22</v>
      </c>
      <c r="B98" s="7" t="s">
        <v>134</v>
      </c>
      <c r="C98" s="6" t="s">
        <v>21</v>
      </c>
      <c r="D98" s="20">
        <f>4.16*0.8</f>
        <v>3.3280000000000003</v>
      </c>
      <c r="E98" s="21"/>
      <c r="F98" s="22">
        <f t="shared" ref="F98:F100" si="10">+E98*D98</f>
        <v>0</v>
      </c>
    </row>
    <row r="99" spans="1:6" ht="30.6">
      <c r="A99" s="6" t="s">
        <v>24</v>
      </c>
      <c r="B99" s="7" t="s">
        <v>23</v>
      </c>
      <c r="C99" s="6" t="s">
        <v>21</v>
      </c>
      <c r="D99" s="20">
        <f>8.33*0.4</f>
        <v>3.3320000000000003</v>
      </c>
      <c r="E99" s="21"/>
      <c r="F99" s="22">
        <f t="shared" si="10"/>
        <v>0</v>
      </c>
    </row>
    <row r="100" spans="1:6" ht="30.6">
      <c r="A100" s="6" t="s">
        <v>26</v>
      </c>
      <c r="B100" s="7" t="s">
        <v>135</v>
      </c>
      <c r="C100" s="6" t="s">
        <v>21</v>
      </c>
      <c r="D100" s="20">
        <f>6.75*2.6*3+3.75*2.6*3+11.44*0.25</f>
        <v>84.76</v>
      </c>
      <c r="E100" s="21"/>
      <c r="F100" s="22">
        <f t="shared" si="10"/>
        <v>0</v>
      </c>
    </row>
    <row r="101" spans="1:6" ht="20.399999999999999">
      <c r="A101" s="6" t="s">
        <v>28</v>
      </c>
      <c r="B101" s="7" t="s">
        <v>25</v>
      </c>
      <c r="C101" s="6" t="s">
        <v>12</v>
      </c>
      <c r="D101" s="20">
        <v>25.6</v>
      </c>
      <c r="E101" s="21"/>
      <c r="F101" s="22">
        <f t="shared" si="9"/>
        <v>0</v>
      </c>
    </row>
    <row r="102" spans="1:6" ht="20.399999999999999">
      <c r="A102" s="6" t="s">
        <v>136</v>
      </c>
      <c r="B102" s="7" t="s">
        <v>137</v>
      </c>
      <c r="C102" s="6" t="s">
        <v>21</v>
      </c>
      <c r="D102" s="20">
        <f>+D98+D99+D100</f>
        <v>91.42</v>
      </c>
      <c r="E102" s="21"/>
      <c r="F102" s="22">
        <f t="shared" si="9"/>
        <v>0</v>
      </c>
    </row>
    <row r="103" spans="1:6" ht="20.399999999999999">
      <c r="A103" s="6" t="s">
        <v>138</v>
      </c>
      <c r="B103" s="7" t="s">
        <v>139</v>
      </c>
      <c r="C103" s="6" t="s">
        <v>21</v>
      </c>
      <c r="D103" s="20">
        <f>25*0.25</f>
        <v>6.25</v>
      </c>
      <c r="E103" s="21"/>
      <c r="F103" s="22">
        <f t="shared" si="9"/>
        <v>0</v>
      </c>
    </row>
    <row r="104" spans="1:6" ht="20.399999999999999">
      <c r="A104" s="6" t="s">
        <v>140</v>
      </c>
      <c r="B104" s="19" t="s">
        <v>14</v>
      </c>
      <c r="C104" s="6" t="s">
        <v>10</v>
      </c>
      <c r="D104" s="20">
        <v>1</v>
      </c>
      <c r="E104" s="21"/>
      <c r="F104" s="22">
        <f t="shared" si="9"/>
        <v>0</v>
      </c>
    </row>
    <row r="105" spans="1:6" ht="11.4">
      <c r="A105" s="6"/>
      <c r="B105" s="23" t="s">
        <v>30</v>
      </c>
      <c r="C105" s="6"/>
      <c r="D105" s="20"/>
      <c r="E105" s="21"/>
      <c r="F105" s="24">
        <f>SUM(F96:F104)</f>
        <v>0</v>
      </c>
    </row>
    <row r="106" spans="1:6" ht="11.4">
      <c r="A106" s="1"/>
      <c r="B106" s="1"/>
      <c r="C106" s="1"/>
      <c r="D106" s="1"/>
      <c r="E106" s="1"/>
      <c r="F106" s="1"/>
    </row>
    <row r="107" spans="1:6" ht="11.4">
      <c r="A107" s="12"/>
      <c r="B107" s="13" t="s">
        <v>31</v>
      </c>
      <c r="C107" s="12"/>
      <c r="D107" s="14"/>
      <c r="E107" s="15"/>
      <c r="F107" s="27"/>
    </row>
    <row r="108" spans="1:6" ht="25.5" customHeight="1">
      <c r="A108" s="88" t="s">
        <v>32</v>
      </c>
      <c r="B108" s="89"/>
      <c r="C108" s="89"/>
      <c r="D108" s="89"/>
      <c r="E108" s="89"/>
      <c r="F108" s="90"/>
    </row>
    <row r="109" spans="1:6" ht="11.4">
      <c r="A109" s="6" t="s">
        <v>33</v>
      </c>
      <c r="B109" s="7" t="s">
        <v>34</v>
      </c>
      <c r="C109" s="6" t="s">
        <v>21</v>
      </c>
      <c r="D109" s="20">
        <f>3.6*0.05</f>
        <v>0.18000000000000002</v>
      </c>
      <c r="E109" s="21"/>
      <c r="F109" s="22">
        <f>E109*D109</f>
        <v>0</v>
      </c>
    </row>
    <row r="110" spans="1:6" ht="20.399999999999999">
      <c r="A110" s="6" t="s">
        <v>35</v>
      </c>
      <c r="B110" s="7" t="s">
        <v>36</v>
      </c>
      <c r="C110" s="6" t="s">
        <v>21</v>
      </c>
      <c r="D110" s="20">
        <f>8.33*0.05</f>
        <v>0.41650000000000004</v>
      </c>
      <c r="E110" s="21"/>
      <c r="F110" s="22">
        <f t="shared" ref="F110:F125" si="11">E110*D110</f>
        <v>0</v>
      </c>
    </row>
    <row r="111" spans="1:6" ht="11.4">
      <c r="A111" s="6" t="s">
        <v>37</v>
      </c>
      <c r="B111" s="7" t="s">
        <v>141</v>
      </c>
      <c r="C111" s="6" t="s">
        <v>21</v>
      </c>
      <c r="D111" s="20">
        <f>11.44*0.05</f>
        <v>0.57199999999999995</v>
      </c>
      <c r="E111" s="21"/>
      <c r="F111" s="22">
        <f>E111*D111</f>
        <v>0</v>
      </c>
    </row>
    <row r="112" spans="1:6" ht="20.399999999999999">
      <c r="A112" s="6" t="s">
        <v>39</v>
      </c>
      <c r="B112" s="7" t="s">
        <v>38</v>
      </c>
      <c r="C112" s="6" t="s">
        <v>21</v>
      </c>
      <c r="D112" s="20">
        <f>8.33*0.4</f>
        <v>3.3320000000000003</v>
      </c>
      <c r="E112" s="21"/>
      <c r="F112" s="22">
        <f>E112*D112</f>
        <v>0</v>
      </c>
    </row>
    <row r="113" spans="1:6" ht="11.4">
      <c r="A113" s="6" t="s">
        <v>41</v>
      </c>
      <c r="B113" s="7" t="s">
        <v>40</v>
      </c>
      <c r="C113" s="6" t="s">
        <v>21</v>
      </c>
      <c r="D113" s="20">
        <f>3.6*0.25</f>
        <v>0.9</v>
      </c>
      <c r="E113" s="21"/>
      <c r="F113" s="22">
        <f>E113*D113</f>
        <v>0</v>
      </c>
    </row>
    <row r="114" spans="1:6" ht="20.399999999999999">
      <c r="A114" s="6" t="s">
        <v>43</v>
      </c>
      <c r="B114" s="7" t="s">
        <v>142</v>
      </c>
      <c r="C114" s="6" t="s">
        <v>21</v>
      </c>
      <c r="D114" s="20">
        <f>11.44*0.25</f>
        <v>2.86</v>
      </c>
      <c r="E114" s="21"/>
      <c r="F114" s="22">
        <f t="shared" ref="F114" si="12">E114*D114</f>
        <v>0</v>
      </c>
    </row>
    <row r="115" spans="1:6" ht="21.6">
      <c r="A115" s="6" t="s">
        <v>45</v>
      </c>
      <c r="B115" s="7" t="s">
        <v>42</v>
      </c>
      <c r="C115" s="6" t="s">
        <v>21</v>
      </c>
      <c r="D115" s="20">
        <f>10.675*0.15*0.2+17.69*0.15*0.15</f>
        <v>0.718275</v>
      </c>
      <c r="E115" s="21"/>
      <c r="F115" s="22">
        <f t="shared" si="11"/>
        <v>0</v>
      </c>
    </row>
    <row r="116" spans="1:6" ht="20.399999999999999">
      <c r="A116" s="6" t="s">
        <v>47</v>
      </c>
      <c r="B116" s="7" t="s">
        <v>143</v>
      </c>
      <c r="C116" s="6" t="s">
        <v>21</v>
      </c>
      <c r="D116" s="20">
        <f>(25.6)*0.1</f>
        <v>2.5600000000000005</v>
      </c>
      <c r="E116" s="21"/>
      <c r="F116" s="22">
        <f t="shared" si="11"/>
        <v>0</v>
      </c>
    </row>
    <row r="117" spans="1:6" ht="20.399999999999999">
      <c r="A117" s="6" t="s">
        <v>49</v>
      </c>
      <c r="B117" s="7" t="s">
        <v>144</v>
      </c>
      <c r="C117" s="6" t="s">
        <v>21</v>
      </c>
      <c r="D117" s="20">
        <f>27.3*0.15</f>
        <v>4.0949999999999998</v>
      </c>
      <c r="E117" s="21"/>
      <c r="F117" s="22">
        <f t="shared" si="11"/>
        <v>0</v>
      </c>
    </row>
    <row r="118" spans="1:6" ht="11.4">
      <c r="A118" s="6" t="s">
        <v>51</v>
      </c>
      <c r="B118" s="7" t="s">
        <v>145</v>
      </c>
      <c r="C118" s="6" t="s">
        <v>21</v>
      </c>
      <c r="D118" s="20">
        <f>0.41*3.3</f>
        <v>1.3529999999999998</v>
      </c>
      <c r="E118" s="21"/>
      <c r="F118" s="22">
        <f t="shared" si="11"/>
        <v>0</v>
      </c>
    </row>
    <row r="119" spans="1:6" ht="11.4">
      <c r="A119" s="6" t="s">
        <v>53</v>
      </c>
      <c r="B119" s="7" t="s">
        <v>146</v>
      </c>
      <c r="C119" s="6" t="s">
        <v>21</v>
      </c>
      <c r="D119" s="20">
        <f>0.38*2.8</f>
        <v>1.0639999999999998</v>
      </c>
      <c r="E119" s="21"/>
      <c r="F119" s="22">
        <f t="shared" si="11"/>
        <v>0</v>
      </c>
    </row>
    <row r="120" spans="1:6" ht="11.4">
      <c r="A120" s="6" t="s">
        <v>55</v>
      </c>
      <c r="B120" s="7" t="s">
        <v>147</v>
      </c>
      <c r="C120" s="6" t="s">
        <v>21</v>
      </c>
      <c r="D120" s="20">
        <f>5.25*0.15*0.1+2.3*0.15*0.1</f>
        <v>0.11324999999999999</v>
      </c>
      <c r="E120" s="21"/>
      <c r="F120" s="22">
        <f t="shared" si="11"/>
        <v>0</v>
      </c>
    </row>
    <row r="121" spans="1:6" ht="16.5" customHeight="1">
      <c r="A121" s="6" t="s">
        <v>57</v>
      </c>
      <c r="B121" s="7" t="s">
        <v>148</v>
      </c>
      <c r="C121" s="6" t="s">
        <v>21</v>
      </c>
      <c r="D121" s="20">
        <f>8.25*0.15*0.2</f>
        <v>0.24750000000000003</v>
      </c>
      <c r="E121" s="21"/>
      <c r="F121" s="22">
        <f t="shared" si="11"/>
        <v>0</v>
      </c>
    </row>
    <row r="122" spans="1:6" ht="11.4">
      <c r="A122" s="6" t="s">
        <v>58</v>
      </c>
      <c r="B122" s="7" t="s">
        <v>149</v>
      </c>
      <c r="C122" s="6" t="s">
        <v>21</v>
      </c>
      <c r="D122" s="20">
        <f>20.07*0.2*0.1</f>
        <v>0.40140000000000003</v>
      </c>
      <c r="E122" s="21"/>
      <c r="F122" s="22">
        <f t="shared" si="11"/>
        <v>0</v>
      </c>
    </row>
    <row r="123" spans="1:6" ht="11.4">
      <c r="A123" s="6" t="s">
        <v>150</v>
      </c>
      <c r="B123" s="7" t="s">
        <v>151</v>
      </c>
      <c r="C123" s="6" t="s">
        <v>21</v>
      </c>
      <c r="D123" s="20">
        <f>18.89*0.15*0.2</f>
        <v>0.56669999999999998</v>
      </c>
      <c r="E123" s="21"/>
      <c r="F123" s="22">
        <f t="shared" si="11"/>
        <v>0</v>
      </c>
    </row>
    <row r="124" spans="1:6" ht="11.4">
      <c r="A124" s="6" t="s">
        <v>152</v>
      </c>
      <c r="B124" s="7" t="s">
        <v>153</v>
      </c>
      <c r="C124" s="6" t="s">
        <v>21</v>
      </c>
      <c r="D124" s="20">
        <f>137.57*0.15*0.2</f>
        <v>4.1270999999999995</v>
      </c>
      <c r="E124" s="21"/>
      <c r="F124" s="22">
        <f t="shared" si="11"/>
        <v>0</v>
      </c>
    </row>
    <row r="125" spans="1:6" ht="20.399999999999999">
      <c r="A125" s="6" t="s">
        <v>154</v>
      </c>
      <c r="B125" s="7" t="s">
        <v>155</v>
      </c>
      <c r="C125" s="6" t="s">
        <v>21</v>
      </c>
      <c r="D125" s="20">
        <f>15.7*0.15*0.3+1.64*0.08</f>
        <v>0.8377</v>
      </c>
      <c r="E125" s="21"/>
      <c r="F125" s="22">
        <f t="shared" si="11"/>
        <v>0</v>
      </c>
    </row>
    <row r="126" spans="1:6" ht="11.4">
      <c r="A126" s="6"/>
      <c r="B126" s="23" t="s">
        <v>60</v>
      </c>
      <c r="C126" s="6"/>
      <c r="D126" s="20"/>
      <c r="E126" s="21"/>
      <c r="F126" s="28">
        <f>SUM(F109:F125)</f>
        <v>0</v>
      </c>
    </row>
    <row r="127" spans="1:6" ht="11.4">
      <c r="A127" s="1"/>
      <c r="B127" s="1"/>
      <c r="C127" s="1"/>
      <c r="D127" s="1"/>
      <c r="E127" s="1"/>
      <c r="F127" s="1"/>
    </row>
    <row r="128" spans="1:6" ht="11.4">
      <c r="A128" s="12"/>
      <c r="B128" s="13" t="s">
        <v>61</v>
      </c>
      <c r="C128" s="12"/>
      <c r="D128" s="14"/>
      <c r="E128" s="15"/>
      <c r="F128" s="16"/>
    </row>
    <row r="129" spans="1:6" ht="11.4">
      <c r="A129" s="6" t="s">
        <v>62</v>
      </c>
      <c r="B129" s="7" t="s">
        <v>156</v>
      </c>
      <c r="C129" s="6" t="s">
        <v>64</v>
      </c>
      <c r="D129" s="20">
        <f>10.675*0.25+17.69*0.225</f>
        <v>6.6490000000000009</v>
      </c>
      <c r="E129" s="21"/>
      <c r="F129" s="22">
        <f>E129*D129</f>
        <v>0</v>
      </c>
    </row>
    <row r="130" spans="1:6" ht="11.4">
      <c r="A130" s="6" t="s">
        <v>65</v>
      </c>
      <c r="B130" s="7" t="s">
        <v>157</v>
      </c>
      <c r="C130" s="6" t="s">
        <v>64</v>
      </c>
      <c r="D130" s="20">
        <f>38.2*3.15</f>
        <v>120.33000000000001</v>
      </c>
      <c r="E130" s="21"/>
      <c r="F130" s="22">
        <f>E130*D130</f>
        <v>0</v>
      </c>
    </row>
    <row r="131" spans="1:6" ht="11.4">
      <c r="A131" s="6" t="s">
        <v>67</v>
      </c>
      <c r="B131" s="7" t="s">
        <v>66</v>
      </c>
      <c r="C131" s="6" t="s">
        <v>64</v>
      </c>
      <c r="D131" s="20">
        <f>75</f>
        <v>75</v>
      </c>
      <c r="E131" s="21"/>
      <c r="F131" s="22">
        <f t="shared" ref="F131:F151" si="13">E131*D131</f>
        <v>0</v>
      </c>
    </row>
    <row r="132" spans="1:6" ht="11.4">
      <c r="A132" s="6" t="s">
        <v>69</v>
      </c>
      <c r="B132" s="7" t="s">
        <v>158</v>
      </c>
      <c r="C132" s="6" t="s">
        <v>75</v>
      </c>
      <c r="D132" s="20">
        <f>3.5*7</f>
        <v>24.5</v>
      </c>
      <c r="E132" s="21"/>
      <c r="F132" s="22">
        <f t="shared" si="13"/>
        <v>0</v>
      </c>
    </row>
    <row r="133" spans="1:6" ht="11.4">
      <c r="A133" s="6" t="s">
        <v>71</v>
      </c>
      <c r="B133" s="7" t="s">
        <v>159</v>
      </c>
      <c r="C133" s="6" t="s">
        <v>64</v>
      </c>
      <c r="D133" s="20">
        <f>82</f>
        <v>82</v>
      </c>
      <c r="E133" s="21"/>
      <c r="F133" s="22">
        <f t="shared" si="13"/>
        <v>0</v>
      </c>
    </row>
    <row r="134" spans="1:6" ht="11.4">
      <c r="A134" s="6" t="s">
        <v>73</v>
      </c>
      <c r="B134" s="7" t="s">
        <v>160</v>
      </c>
      <c r="C134" s="6" t="s">
        <v>64</v>
      </c>
      <c r="D134" s="20">
        <f>78</f>
        <v>78</v>
      </c>
      <c r="E134" s="21"/>
      <c r="F134" s="22">
        <f t="shared" si="13"/>
        <v>0</v>
      </c>
    </row>
    <row r="135" spans="1:6" ht="11.4">
      <c r="A135" s="6" t="s">
        <v>76</v>
      </c>
      <c r="B135" s="7" t="s">
        <v>183</v>
      </c>
      <c r="C135" s="6" t="s">
        <v>64</v>
      </c>
      <c r="D135" s="20">
        <f>(22.2+6.45)*2.8</f>
        <v>80.219999999999985</v>
      </c>
      <c r="E135" s="21"/>
      <c r="F135" s="22">
        <f t="shared" si="13"/>
        <v>0</v>
      </c>
    </row>
    <row r="136" spans="1:6" ht="11.4">
      <c r="A136" s="6" t="s">
        <v>79</v>
      </c>
      <c r="B136" s="7" t="s">
        <v>74</v>
      </c>
      <c r="C136" s="6" t="s">
        <v>75</v>
      </c>
      <c r="D136" s="20">
        <v>15</v>
      </c>
      <c r="E136" s="21"/>
      <c r="F136" s="22">
        <f t="shared" si="13"/>
        <v>0</v>
      </c>
    </row>
    <row r="137" spans="1:6" ht="20.399999999999999">
      <c r="A137" s="6" t="s">
        <v>161</v>
      </c>
      <c r="B137" s="7" t="s">
        <v>162</v>
      </c>
      <c r="C137" s="6" t="s">
        <v>78</v>
      </c>
      <c r="D137" s="20">
        <v>48</v>
      </c>
      <c r="E137" s="21"/>
      <c r="F137" s="22">
        <f t="shared" si="13"/>
        <v>0</v>
      </c>
    </row>
    <row r="138" spans="1:6" ht="20.399999999999999">
      <c r="A138" s="6" t="s">
        <v>181</v>
      </c>
      <c r="B138" s="7" t="s">
        <v>182</v>
      </c>
      <c r="C138" s="6" t="s">
        <v>78</v>
      </c>
      <c r="D138" s="20">
        <v>3</v>
      </c>
      <c r="E138" s="21"/>
      <c r="F138" s="22"/>
    </row>
    <row r="139" spans="1:6" ht="11.4">
      <c r="A139" s="6"/>
      <c r="B139" s="23" t="s">
        <v>81</v>
      </c>
      <c r="C139" s="6"/>
      <c r="D139" s="20"/>
      <c r="E139" s="21"/>
      <c r="F139" s="24">
        <f>SUM(F129:F138)</f>
        <v>0</v>
      </c>
    </row>
    <row r="140" spans="1:6" ht="11.4">
      <c r="A140" s="1"/>
      <c r="B140" s="1"/>
      <c r="C140" s="1"/>
      <c r="D140" s="1"/>
      <c r="E140" s="1"/>
      <c r="F140" s="1"/>
    </row>
    <row r="141" spans="1:6" ht="11.4">
      <c r="A141" s="12"/>
      <c r="B141" s="13" t="s">
        <v>82</v>
      </c>
      <c r="C141" s="54"/>
      <c r="D141" s="55"/>
      <c r="E141" s="56"/>
      <c r="F141" s="17"/>
    </row>
    <row r="142" spans="1:6" ht="40.799999999999997">
      <c r="A142" s="6" t="s">
        <v>83</v>
      </c>
      <c r="B142" s="7" t="s">
        <v>163</v>
      </c>
      <c r="C142" s="6" t="s">
        <v>64</v>
      </c>
      <c r="D142" s="20">
        <v>17.600000000000001</v>
      </c>
      <c r="E142" s="21"/>
      <c r="F142" s="22">
        <f t="shared" ref="F142:F144" si="14">E142*D142</f>
        <v>0</v>
      </c>
    </row>
    <row r="143" spans="1:6" ht="20.399999999999999">
      <c r="A143" s="6" t="s">
        <v>85</v>
      </c>
      <c r="B143" s="7" t="s">
        <v>164</v>
      </c>
      <c r="C143" s="6" t="s">
        <v>75</v>
      </c>
      <c r="D143" s="20">
        <v>25</v>
      </c>
      <c r="E143" s="21"/>
      <c r="F143" s="22">
        <f t="shared" si="14"/>
        <v>0</v>
      </c>
    </row>
    <row r="144" spans="1:6" ht="20.399999999999999">
      <c r="A144" s="6" t="s">
        <v>86</v>
      </c>
      <c r="B144" s="7" t="s">
        <v>165</v>
      </c>
      <c r="C144" s="6" t="s">
        <v>78</v>
      </c>
      <c r="D144" s="20">
        <v>10</v>
      </c>
      <c r="E144" s="21"/>
      <c r="F144" s="22">
        <f t="shared" si="14"/>
        <v>0</v>
      </c>
    </row>
    <row r="145" spans="1:6" ht="11.4">
      <c r="A145" s="6"/>
      <c r="B145" s="23" t="s">
        <v>100</v>
      </c>
      <c r="C145" s="6"/>
      <c r="D145" s="20"/>
      <c r="E145" s="21"/>
      <c r="F145" s="28">
        <f>SUM(F142:F144)</f>
        <v>0</v>
      </c>
    </row>
    <row r="146" spans="1:6" ht="11.4">
      <c r="A146" s="1"/>
      <c r="B146" s="1"/>
      <c r="C146" s="1"/>
      <c r="D146" s="1"/>
      <c r="E146" s="1"/>
      <c r="F146" s="1"/>
    </row>
    <row r="147" spans="1:6" ht="11.4">
      <c r="A147" s="12"/>
      <c r="B147" s="13" t="s">
        <v>166</v>
      </c>
      <c r="C147" s="12"/>
      <c r="D147" s="14"/>
      <c r="E147" s="15"/>
      <c r="F147" s="36"/>
    </row>
    <row r="148" spans="1:6" ht="11.4">
      <c r="A148" s="6"/>
      <c r="B148" s="57" t="s">
        <v>167</v>
      </c>
      <c r="C148" s="42"/>
      <c r="D148" s="20"/>
      <c r="E148" s="21"/>
      <c r="F148" s="22"/>
    </row>
    <row r="149" spans="1:6" ht="30.6">
      <c r="A149" s="6" t="s">
        <v>103</v>
      </c>
      <c r="B149" s="7" t="s">
        <v>168</v>
      </c>
      <c r="C149" s="42" t="s">
        <v>78</v>
      </c>
      <c r="D149" s="20">
        <v>4</v>
      </c>
      <c r="E149" s="21"/>
      <c r="F149" s="22">
        <f t="shared" si="13"/>
        <v>0</v>
      </c>
    </row>
    <row r="150" spans="1:6" ht="30.6">
      <c r="A150" s="6" t="s">
        <v>105</v>
      </c>
      <c r="B150" s="7" t="s">
        <v>169</v>
      </c>
      <c r="C150" s="42" t="s">
        <v>78</v>
      </c>
      <c r="D150" s="20">
        <v>1</v>
      </c>
      <c r="E150" s="21"/>
      <c r="F150" s="22">
        <f t="shared" si="13"/>
        <v>0</v>
      </c>
    </row>
    <row r="151" spans="1:6" ht="11.4">
      <c r="A151" s="6" t="s">
        <v>106</v>
      </c>
      <c r="B151" s="7" t="s">
        <v>111</v>
      </c>
      <c r="C151" s="42" t="s">
        <v>75</v>
      </c>
      <c r="D151" s="20">
        <v>20.7</v>
      </c>
      <c r="E151" s="21"/>
      <c r="F151" s="22">
        <f t="shared" si="13"/>
        <v>0</v>
      </c>
    </row>
    <row r="152" spans="1:6" ht="11.4">
      <c r="A152" s="6"/>
      <c r="B152" s="7"/>
      <c r="C152" s="42"/>
      <c r="D152" s="20"/>
      <c r="E152" s="21"/>
      <c r="F152" s="22"/>
    </row>
    <row r="153" spans="1:6" ht="11.4">
      <c r="A153" s="6"/>
      <c r="B153" s="23" t="s">
        <v>113</v>
      </c>
      <c r="C153" s="6"/>
      <c r="D153" s="43"/>
      <c r="E153" s="21"/>
      <c r="F153" s="28">
        <f>SUM(F149:F151)</f>
        <v>0</v>
      </c>
    </row>
    <row r="154" spans="1:6" ht="11.4">
      <c r="A154" s="1"/>
      <c r="B154" s="1"/>
      <c r="C154" s="1"/>
      <c r="D154" s="1"/>
      <c r="E154" s="1"/>
      <c r="F154" s="1"/>
    </row>
    <row r="155" spans="1:6" ht="11.4">
      <c r="A155" s="12"/>
      <c r="B155" s="13" t="s">
        <v>114</v>
      </c>
      <c r="C155" s="12"/>
      <c r="D155" s="14"/>
      <c r="E155" s="15"/>
      <c r="F155" s="16"/>
    </row>
    <row r="156" spans="1:6" ht="20.399999999999999">
      <c r="A156" s="6" t="s">
        <v>115</v>
      </c>
      <c r="B156" s="7" t="s">
        <v>170</v>
      </c>
      <c r="C156" s="6" t="s">
        <v>64</v>
      </c>
      <c r="D156" s="20">
        <f>+D134+D133</f>
        <v>160</v>
      </c>
      <c r="E156" s="21"/>
      <c r="F156" s="22">
        <f t="shared" ref="F156:F158" si="15">E156*D156</f>
        <v>0</v>
      </c>
    </row>
    <row r="157" spans="1:6" ht="11.4">
      <c r="A157" s="6" t="s">
        <v>117</v>
      </c>
      <c r="B157" s="7" t="s">
        <v>171</v>
      </c>
      <c r="C157" s="6" t="s">
        <v>64</v>
      </c>
      <c r="D157" s="20">
        <v>40</v>
      </c>
      <c r="E157" s="21"/>
      <c r="F157" s="22">
        <f t="shared" si="15"/>
        <v>0</v>
      </c>
    </row>
    <row r="158" spans="1:6" ht="11.4">
      <c r="A158" s="6" t="s">
        <v>119</v>
      </c>
      <c r="B158" s="7" t="s">
        <v>123</v>
      </c>
      <c r="C158" s="6" t="s">
        <v>10</v>
      </c>
      <c r="D158" s="20">
        <v>1</v>
      </c>
      <c r="E158" s="21"/>
      <c r="F158" s="22">
        <f t="shared" si="15"/>
        <v>0</v>
      </c>
    </row>
    <row r="159" spans="1:6" ht="11.4">
      <c r="A159" s="6"/>
      <c r="B159" s="23" t="s">
        <v>126</v>
      </c>
      <c r="C159" s="6"/>
      <c r="D159" s="20"/>
      <c r="E159" s="21"/>
      <c r="F159" s="28">
        <f>SUM(F156:F158)</f>
        <v>0</v>
      </c>
    </row>
    <row r="160" spans="1:6" ht="11.4">
      <c r="A160" s="30"/>
      <c r="B160" s="44"/>
      <c r="C160" s="30"/>
      <c r="D160" s="45"/>
      <c r="E160" s="31"/>
      <c r="F160" s="46"/>
    </row>
    <row r="161" spans="1:6" ht="11.4">
      <c r="A161" s="47">
        <v>1</v>
      </c>
      <c r="B161" s="82" t="s">
        <v>128</v>
      </c>
      <c r="C161" s="82"/>
      <c r="D161" s="82"/>
      <c r="E161" s="82"/>
      <c r="F161" s="24">
        <f>+F105</f>
        <v>0</v>
      </c>
    </row>
    <row r="162" spans="1:6" ht="11.4">
      <c r="A162" s="47">
        <v>2</v>
      </c>
      <c r="B162" s="92" t="s">
        <v>129</v>
      </c>
      <c r="C162" s="93"/>
      <c r="D162" s="93"/>
      <c r="E162" s="94"/>
      <c r="F162" s="24">
        <f>+F126</f>
        <v>0</v>
      </c>
    </row>
    <row r="163" spans="1:6" ht="11.4">
      <c r="A163" s="47">
        <v>3</v>
      </c>
      <c r="B163" s="92" t="s">
        <v>130</v>
      </c>
      <c r="C163" s="93"/>
      <c r="D163" s="93"/>
      <c r="E163" s="94"/>
      <c r="F163" s="24">
        <f>+F139</f>
        <v>0</v>
      </c>
    </row>
    <row r="164" spans="1:6" ht="11.4">
      <c r="A164" s="47">
        <v>4</v>
      </c>
      <c r="B164" s="92" t="s">
        <v>131</v>
      </c>
      <c r="C164" s="93"/>
      <c r="D164" s="93"/>
      <c r="E164" s="94"/>
      <c r="F164" s="29">
        <f>+F145</f>
        <v>0</v>
      </c>
    </row>
    <row r="165" spans="1:6" ht="11.4">
      <c r="A165" s="47">
        <v>5</v>
      </c>
      <c r="B165" s="92" t="s">
        <v>178</v>
      </c>
      <c r="C165" s="93"/>
      <c r="D165" s="93"/>
      <c r="E165" s="94"/>
      <c r="F165" s="24">
        <f>+F153</f>
        <v>0</v>
      </c>
    </row>
    <row r="166" spans="1:6" ht="11.4">
      <c r="A166" s="47">
        <v>6</v>
      </c>
      <c r="B166" s="92" t="s">
        <v>179</v>
      </c>
      <c r="C166" s="93"/>
      <c r="D166" s="93"/>
      <c r="E166" s="94"/>
      <c r="F166" s="24">
        <f>+F159</f>
        <v>0</v>
      </c>
    </row>
    <row r="167" spans="1:6" ht="11.4">
      <c r="A167" s="48"/>
      <c r="B167" s="95" t="s">
        <v>132</v>
      </c>
      <c r="C167" s="96"/>
      <c r="D167" s="96"/>
      <c r="E167" s="97"/>
      <c r="F167" s="49">
        <f>SUM(F161:F166)</f>
        <v>0</v>
      </c>
    </row>
    <row r="169" spans="1:6" ht="18.600000000000001">
      <c r="B169" s="98" t="s">
        <v>193</v>
      </c>
      <c r="C169" s="98"/>
      <c r="D169" s="98"/>
      <c r="E169" s="98"/>
      <c r="F169" s="98"/>
    </row>
    <row r="170" spans="1:6" ht="12.6" thickBot="1">
      <c r="B170" s="58"/>
      <c r="C170" s="59"/>
      <c r="D170" s="60"/>
      <c r="E170" s="61"/>
      <c r="F170" s="62"/>
    </row>
    <row r="171" spans="1:6" ht="18.600000000000001" customHeight="1">
      <c r="B171" s="67" t="s">
        <v>191</v>
      </c>
      <c r="C171" s="68"/>
      <c r="D171" s="68"/>
      <c r="E171" s="69"/>
      <c r="F171" s="63">
        <f>F90</f>
        <v>0</v>
      </c>
    </row>
    <row r="172" spans="1:6" ht="18.600000000000001" customHeight="1" thickBot="1">
      <c r="B172" s="70" t="s">
        <v>188</v>
      </c>
      <c r="C172" s="71"/>
      <c r="D172" s="71"/>
      <c r="E172" s="72"/>
      <c r="F172" s="64">
        <f>F167</f>
        <v>0</v>
      </c>
    </row>
    <row r="173" spans="1:6" ht="18.600000000000001" customHeight="1" thickBot="1">
      <c r="B173" s="73" t="s">
        <v>0</v>
      </c>
      <c r="C173" s="74"/>
      <c r="D173" s="74"/>
      <c r="E173" s="75"/>
      <c r="F173" s="65">
        <f>SUM(F171:F172)</f>
        <v>0</v>
      </c>
    </row>
    <row r="174" spans="1:6" ht="18.600000000000001" customHeight="1" thickBot="1">
      <c r="B174" s="76" t="s">
        <v>187</v>
      </c>
      <c r="C174" s="77"/>
      <c r="D174" s="77"/>
      <c r="E174" s="78"/>
      <c r="F174" s="65"/>
    </row>
    <row r="175" spans="1:6" ht="18.600000000000001" customHeight="1" thickBot="1">
      <c r="B175" s="79" t="s">
        <v>189</v>
      </c>
      <c r="C175" s="80"/>
      <c r="D175" s="80"/>
      <c r="E175" s="81"/>
      <c r="F175" s="66">
        <f>F174+F173</f>
        <v>0</v>
      </c>
    </row>
  </sheetData>
  <mergeCells count="29">
    <mergeCell ref="B169:F169"/>
    <mergeCell ref="B162:E162"/>
    <mergeCell ref="B163:E163"/>
    <mergeCell ref="B164:E164"/>
    <mergeCell ref="B165:E165"/>
    <mergeCell ref="B166:E166"/>
    <mergeCell ref="B167:E167"/>
    <mergeCell ref="B161:E161"/>
    <mergeCell ref="B85:E85"/>
    <mergeCell ref="B86:E86"/>
    <mergeCell ref="B87:E87"/>
    <mergeCell ref="B88:E88"/>
    <mergeCell ref="B89:E89"/>
    <mergeCell ref="B90:E90"/>
    <mergeCell ref="A92:F92"/>
    <mergeCell ref="A108:F108"/>
    <mergeCell ref="B93:E93"/>
    <mergeCell ref="B84:E84"/>
    <mergeCell ref="A1:F1"/>
    <mergeCell ref="B3:F3"/>
    <mergeCell ref="A5:F5"/>
    <mergeCell ref="A24:F24"/>
    <mergeCell ref="B83:E83"/>
    <mergeCell ref="B6:E6"/>
    <mergeCell ref="B171:E171"/>
    <mergeCell ref="B172:E172"/>
    <mergeCell ref="B173:E173"/>
    <mergeCell ref="B174:E174"/>
    <mergeCell ref="B175:E175"/>
  </mergeCells>
  <phoneticPr fontId="22" type="noConversion"/>
  <pageMargins left="0.7" right="0.7" top="0.75" bottom="0.75" header="0.3" footer="0.3"/>
  <pageSetup paperSize="9" scale="89" orientation="portrait"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50cb40f2a0941d2947e6bcbd5d19dce xmlns="14a9c00f-d9e3-4eb9-aad3-f69239d17d9c">
      <Terms xmlns="http://schemas.microsoft.com/office/infopath/2007/PartnerControls"/>
    </j50cb40f2a0941d2947e6bcbd5d19dce>
    <_dlc_DocId xmlns="508ba6eb-9e09-4fd5-92f2-2d9921329f2d">BFAENABEL-680963957-31967</_dlc_DocId>
    <e2b781e9cad840cd89b90f5a7e989839 xmlns="14a9c00f-d9e3-4eb9-aad3-f69239d17d9c">
      <Terms xmlns="http://schemas.microsoft.com/office/infopath/2007/PartnerControls"/>
    </e2b781e9cad840cd89b90f5a7e989839>
    <TaxCatchAll xmlns="1c89b6ff-5735-4b3c-9dca-50e80957a65b">
      <Value>2</Value>
      <Value>1</Value>
    </TaxCatchAll>
    <lcf76f155ced4ddcb4097134ff3c332f xmlns="017ef222-b715-482d-b25e-e029bead7086">
      <Terms xmlns="http://schemas.microsoft.com/office/infopath/2007/PartnerControls"/>
    </lcf76f155ced4ddcb4097134ff3c332f>
    <l9d65098618b4a8fbbe87718e7187e6b xmlns="14a9c00f-d9e3-4eb9-aad3-f69239d17d9c">
      <Terms xmlns="http://schemas.microsoft.com/office/infopath/2007/PartnerControl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dlc_DocIdUrl xmlns="508ba6eb-9e09-4fd5-92f2-2d9921329f2d">
      <Url>https://enabelbe.sharepoint.com/sites/BFA/_layouts/15/DocIdRedir.aspx?ID=BFAENABEL-680963957-31967</Url>
      <Description>BFAENABEL-680963957-31967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5" ma:contentTypeDescription="" ma:contentTypeScope="" ma:versionID="e4cf752033bb7290fdf898415b0e7845">
  <xsd:schema xmlns:xsd="http://www.w3.org/2001/XMLSchema" xmlns:xs="http://www.w3.org/2001/XMLSchema" xmlns:p="http://schemas.microsoft.com/office/2006/metadata/properties" xmlns:ns2="1c89b6ff-5735-4b3c-9dca-50e80957a65b" xmlns:ns3="14a9c00f-d9e3-4eb9-aad3-f69239d17d9c" xmlns:ns4="508ba6eb-9e09-4fd5-92f2-2d9921329f2d" xmlns:ns5="017ef222-b715-482d-b25e-e029bead7086" targetNamespace="http://schemas.microsoft.com/office/2006/metadata/properties" ma:root="true" ma:fieldsID="b6f31932fc1f8e7be2f3e99fa195b041" ns2:_="" ns3:_="" ns4:_="" ns5:_="">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A78BFB-23BC-41C2-9218-93D16B03A265}">
  <ds:schemaRefs>
    <ds:schemaRef ds:uri="http://schemas.microsoft.com/sharepoint/events"/>
  </ds:schemaRefs>
</ds:datastoreItem>
</file>

<file path=customXml/itemProps2.xml><?xml version="1.0" encoding="utf-8"?>
<ds:datastoreItem xmlns:ds="http://schemas.openxmlformats.org/officeDocument/2006/customXml" ds:itemID="{0ADAB378-259E-4C0A-960A-2AFE734036F5}">
  <ds:schemaRefs>
    <ds:schemaRef ds:uri="http://schemas.microsoft.com/sharepoint/v3/contenttype/forms"/>
  </ds:schemaRefs>
</ds:datastoreItem>
</file>

<file path=customXml/itemProps3.xml><?xml version="1.0" encoding="utf-8"?>
<ds:datastoreItem xmlns:ds="http://schemas.openxmlformats.org/officeDocument/2006/customXml" ds:itemID="{57FCB9E1-C206-4CAC-9AAA-6D978C30722B}">
  <ds:schemaRefs>
    <ds:schemaRef ds:uri="http://purl.org/dc/elements/1.1/"/>
    <ds:schemaRef ds:uri="http://schemas.microsoft.com/office/infopath/2007/PartnerControls"/>
    <ds:schemaRef ds:uri="http://purl.org/dc/terms/"/>
    <ds:schemaRef ds:uri="http://schemas.openxmlformats.org/package/2006/metadata/core-properties"/>
    <ds:schemaRef ds:uri="017ef222-b715-482d-b25e-e029bead7086"/>
    <ds:schemaRef ds:uri="1c89b6ff-5735-4b3c-9dca-50e80957a65b"/>
    <ds:schemaRef ds:uri="14a9c00f-d9e3-4eb9-aad3-f69239d17d9c"/>
    <ds:schemaRef ds:uri="http://schemas.microsoft.com/office/2006/documentManagement/types"/>
    <ds:schemaRef ds:uri="508ba6eb-9e09-4fd5-92f2-2d9921329f2d"/>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BCF255B9-3479-4BB2-837D-8B2AB2A571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LOT 1</vt:lpstr>
      <vt:lpstr>'LOT 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Vander Auwera T</cp:lastModifiedBy>
  <cp:lastPrinted>2022-12-07T11:38:50Z</cp:lastPrinted>
  <dcterms:created xsi:type="dcterms:W3CDTF">2022-10-21T04:19:53Z</dcterms:created>
  <dcterms:modified xsi:type="dcterms:W3CDTF">2022-12-07T12:19:55Z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ract_reference">
    <vt:lpwstr/>
  </property>
  <property fmtid="{D5CDD505-2E9C-101B-9397-08002B2CF9AE}" pid="3" name="Project_code">
    <vt:lpwstr/>
  </property>
  <property fmtid="{D5CDD505-2E9C-101B-9397-08002B2CF9AE}" pid="4" name="MediaServiceImageTags">
    <vt:lpwstr/>
  </property>
  <property fmtid="{D5CDD505-2E9C-101B-9397-08002B2CF9AE}" pid="5" name="ContentTypeId">
    <vt:lpwstr>0x01010084FDA68FEA25C847A6128BBA7C1A6EC100DB6DE8DA9F5B134CB8F62B604C7D5447</vt:lpwstr>
  </property>
  <property fmtid="{D5CDD505-2E9C-101B-9397-08002B2CF9AE}" pid="6" name="Document_Language">
    <vt:lpwstr>2;#FR|e5b11214-e6fc-4287-b1cb-b050c041462c</vt:lpwstr>
  </property>
  <property fmtid="{D5CDD505-2E9C-101B-9397-08002B2CF9AE}" pid="7" name="Document_Type">
    <vt:lpwstr/>
  </property>
  <property fmtid="{D5CDD505-2E9C-101B-9397-08002B2CF9AE}" pid="8" name="Country">
    <vt:lpwstr>1;#BFA|5c109890-987f-4e01-800e-8d3dbccbd13c</vt:lpwstr>
  </property>
  <property fmtid="{D5CDD505-2E9C-101B-9397-08002B2CF9AE}" pid="9" name="_dlc_DocIdItemGuid">
    <vt:lpwstr>aa1c57df-dbea-49d8-b5c3-e65762398986</vt:lpwstr>
  </property>
  <property fmtid="{D5CDD505-2E9C-101B-9397-08002B2CF9AE}" pid="10" name="Document_Status">
    <vt:lpwstr/>
  </property>
</Properties>
</file>