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C:\Users\Vander Auwera T\ENABEL\BURKINA FASO - 🔒 Contracts\21_Marchés_Publics\BFA2100311_Fragilité\BFA21003-10028 Travaux classes Kouritenga\2_CSC\"/>
    </mc:Choice>
  </mc:AlternateContent>
  <xr:revisionPtr revIDLastSave="41" documentId="13_ncr:1_{EF582C0B-6D91-45DE-A989-0383C3733BA8}" xr6:coauthVersionLast="36" xr6:coauthVersionMax="47" xr10:uidLastSave="{8636C03E-A2A1-4295-A5DD-669741BC64AB}"/>
  <bookViews>
    <workbookView xWindow="-108" yWindow="-108" windowWidth="23256" windowHeight="12456" xr2:uid="{CA386174-C09E-4F7F-8899-E22439B0DD98}"/>
  </bookViews>
  <sheets>
    <sheet name="LOT 3" sheetId="2" r:id="rId1"/>
  </sheets>
  <definedNames>
    <definedName name="_xlnm.Print_Area" localSheetId="0">'LOT 3'!$A$1:$F$369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7" i="2" l="1"/>
  <c r="F277" i="2" s="1"/>
  <c r="F187" i="2"/>
  <c r="F9" i="2"/>
  <c r="F10" i="2"/>
  <c r="F11" i="2"/>
  <c r="F15" i="2"/>
  <c r="D16" i="2"/>
  <c r="F16" i="2" s="1"/>
  <c r="D17" i="2"/>
  <c r="F18" i="2"/>
  <c r="D25" i="2"/>
  <c r="F25" i="2" s="1"/>
  <c r="D26" i="2"/>
  <c r="F26" i="2" s="1"/>
  <c r="D27" i="2"/>
  <c r="F27" i="2" s="1"/>
  <c r="D28" i="2"/>
  <c r="F28" i="2" s="1"/>
  <c r="D29" i="2"/>
  <c r="F29" i="2" s="1"/>
  <c r="D30" i="2"/>
  <c r="F30" i="2" s="1"/>
  <c r="D31" i="2"/>
  <c r="F31" i="2" s="1"/>
  <c r="D32" i="2"/>
  <c r="F32" i="2" s="1"/>
  <c r="D33" i="2"/>
  <c r="F33" i="2" s="1"/>
  <c r="D34" i="2"/>
  <c r="F34" i="2" s="1"/>
  <c r="D35" i="2"/>
  <c r="F35" i="2" s="1"/>
  <c r="D36" i="2"/>
  <c r="F36" i="2" s="1"/>
  <c r="F37" i="2"/>
  <c r="D41" i="2"/>
  <c r="F41" i="2" s="1"/>
  <c r="D42" i="2"/>
  <c r="F42" i="2" s="1"/>
  <c r="D43" i="2"/>
  <c r="F43" i="2" s="1"/>
  <c r="D44" i="2"/>
  <c r="F44" i="2" s="1"/>
  <c r="D45" i="2"/>
  <c r="F45" i="2" s="1"/>
  <c r="D46" i="2"/>
  <c r="F46" i="2" s="1"/>
  <c r="D47" i="2"/>
  <c r="F47" i="2" s="1"/>
  <c r="F51" i="2"/>
  <c r="F52" i="2"/>
  <c r="F53" i="2"/>
  <c r="D54" i="2"/>
  <c r="F54" i="2" s="1"/>
  <c r="D55" i="2"/>
  <c r="F55" i="2" s="1"/>
  <c r="D56" i="2"/>
  <c r="F56" i="2" s="1"/>
  <c r="D57" i="2"/>
  <c r="F57" i="2" s="1"/>
  <c r="D58" i="2"/>
  <c r="F58" i="2" s="1"/>
  <c r="F59" i="2"/>
  <c r="F60" i="2"/>
  <c r="F65" i="2"/>
  <c r="F66" i="2"/>
  <c r="F67" i="2"/>
  <c r="F68" i="2"/>
  <c r="F69" i="2"/>
  <c r="D70" i="2"/>
  <c r="F70" i="2" s="1"/>
  <c r="D74" i="2"/>
  <c r="F74" i="2" s="1"/>
  <c r="D75" i="2"/>
  <c r="F75" i="2" s="1"/>
  <c r="D76" i="2"/>
  <c r="F76" i="2" s="1"/>
  <c r="F78" i="2"/>
  <c r="D79" i="2"/>
  <c r="F79" i="2" s="1"/>
  <c r="F95" i="2"/>
  <c r="F96" i="2"/>
  <c r="F97" i="2"/>
  <c r="F101" i="2"/>
  <c r="D102" i="2"/>
  <c r="F102" i="2" s="1"/>
  <c r="D103" i="2"/>
  <c r="F104" i="2"/>
  <c r="D111" i="2"/>
  <c r="F111" i="2" s="1"/>
  <c r="D112" i="2"/>
  <c r="F112" i="2" s="1"/>
  <c r="D113" i="2"/>
  <c r="F113" i="2" s="1"/>
  <c r="D114" i="2"/>
  <c r="F114" i="2" s="1"/>
  <c r="D115" i="2"/>
  <c r="F115" i="2" s="1"/>
  <c r="D116" i="2"/>
  <c r="F116" i="2" s="1"/>
  <c r="D117" i="2"/>
  <c r="F117" i="2" s="1"/>
  <c r="D118" i="2"/>
  <c r="F118" i="2" s="1"/>
  <c r="D119" i="2"/>
  <c r="F119" i="2" s="1"/>
  <c r="D120" i="2"/>
  <c r="F120" i="2" s="1"/>
  <c r="D121" i="2"/>
  <c r="F121" i="2" s="1"/>
  <c r="D122" i="2"/>
  <c r="F122" i="2" s="1"/>
  <c r="F123" i="2"/>
  <c r="D127" i="2"/>
  <c r="F127" i="2" s="1"/>
  <c r="D128" i="2"/>
  <c r="F128" i="2" s="1"/>
  <c r="D129" i="2"/>
  <c r="F129" i="2" s="1"/>
  <c r="D130" i="2"/>
  <c r="F130" i="2" s="1"/>
  <c r="D131" i="2"/>
  <c r="F131" i="2" s="1"/>
  <c r="D132" i="2"/>
  <c r="F132" i="2" s="1"/>
  <c r="F133" i="2"/>
  <c r="D137" i="2"/>
  <c r="F137" i="2" s="1"/>
  <c r="F138" i="2"/>
  <c r="F139" i="2"/>
  <c r="D140" i="2"/>
  <c r="F140" i="2" s="1"/>
  <c r="D141" i="2"/>
  <c r="F141" i="2" s="1"/>
  <c r="D142" i="2"/>
  <c r="F142" i="2" s="1"/>
  <c r="D143" i="2"/>
  <c r="F143" i="2" s="1"/>
  <c r="D144" i="2"/>
  <c r="F144" i="2" s="1"/>
  <c r="F145" i="2"/>
  <c r="F146" i="2"/>
  <c r="F151" i="2"/>
  <c r="F152" i="2"/>
  <c r="F153" i="2"/>
  <c r="F154" i="2"/>
  <c r="F155" i="2"/>
  <c r="D156" i="2"/>
  <c r="F156" i="2" s="1"/>
  <c r="D160" i="2"/>
  <c r="F160" i="2" s="1"/>
  <c r="D161" i="2"/>
  <c r="F161" i="2" s="1"/>
  <c r="D162" i="2"/>
  <c r="F162" i="2" s="1"/>
  <c r="F164" i="2"/>
  <c r="D165" i="2"/>
  <c r="F165" i="2" s="1"/>
  <c r="F181" i="2"/>
  <c r="F182" i="2"/>
  <c r="F183" i="2"/>
  <c r="D188" i="2"/>
  <c r="D189" i="2"/>
  <c r="F189" i="2" s="1"/>
  <c r="F190" i="2"/>
  <c r="D197" i="2"/>
  <c r="F197" i="2" s="1"/>
  <c r="D198" i="2"/>
  <c r="F198" i="2" s="1"/>
  <c r="D199" i="2"/>
  <c r="F199" i="2" s="1"/>
  <c r="D200" i="2"/>
  <c r="F200" i="2" s="1"/>
  <c r="D201" i="2"/>
  <c r="F201" i="2" s="1"/>
  <c r="D202" i="2"/>
  <c r="F202" i="2" s="1"/>
  <c r="D203" i="2"/>
  <c r="F203" i="2" s="1"/>
  <c r="D204" i="2"/>
  <c r="F204" i="2" s="1"/>
  <c r="D205" i="2"/>
  <c r="F205" i="2" s="1"/>
  <c r="D206" i="2"/>
  <c r="F206" i="2" s="1"/>
  <c r="D207" i="2"/>
  <c r="F207" i="2" s="1"/>
  <c r="D208" i="2"/>
  <c r="F208" i="2" s="1"/>
  <c r="F209" i="2"/>
  <c r="D213" i="2"/>
  <c r="F213" i="2" s="1"/>
  <c r="D214" i="2"/>
  <c r="F214" i="2" s="1"/>
  <c r="D215" i="2"/>
  <c r="F215" i="2" s="1"/>
  <c r="D216" i="2"/>
  <c r="D249" i="2" s="1"/>
  <c r="F249" i="2" s="1"/>
  <c r="D217" i="2"/>
  <c r="F217" i="2" s="1"/>
  <c r="D218" i="2"/>
  <c r="F218" i="2" s="1"/>
  <c r="F219" i="2"/>
  <c r="D223" i="2"/>
  <c r="F223" i="2" s="1"/>
  <c r="F224" i="2"/>
  <c r="F225" i="2"/>
  <c r="D226" i="2"/>
  <c r="F226" i="2" s="1"/>
  <c r="D227" i="2"/>
  <c r="F227" i="2" s="1"/>
  <c r="D228" i="2"/>
  <c r="F228" i="2" s="1"/>
  <c r="D229" i="2"/>
  <c r="F229" i="2" s="1"/>
  <c r="D230" i="2"/>
  <c r="F230" i="2" s="1"/>
  <c r="F231" i="2"/>
  <c r="F232" i="2"/>
  <c r="F237" i="2"/>
  <c r="F238" i="2"/>
  <c r="F239" i="2"/>
  <c r="F240" i="2"/>
  <c r="F241" i="2"/>
  <c r="D242" i="2"/>
  <c r="F242" i="2" s="1"/>
  <c r="D246" i="2"/>
  <c r="F246" i="2" s="1"/>
  <c r="D247" i="2"/>
  <c r="F247" i="2" s="1"/>
  <c r="D248" i="2"/>
  <c r="F248" i="2" s="1"/>
  <c r="F250" i="2"/>
  <c r="D251" i="2"/>
  <c r="F251" i="2" s="1"/>
  <c r="F267" i="2"/>
  <c r="F268" i="2"/>
  <c r="F269" i="2"/>
  <c r="F270" i="2"/>
  <c r="F271" i="2"/>
  <c r="F275" i="2"/>
  <c r="D276" i="2"/>
  <c r="F276" i="2" s="1"/>
  <c r="F278" i="2"/>
  <c r="D285" i="2"/>
  <c r="F285" i="2" s="1"/>
  <c r="D286" i="2"/>
  <c r="F286" i="2" s="1"/>
  <c r="D287" i="2"/>
  <c r="F287" i="2" s="1"/>
  <c r="D288" i="2"/>
  <c r="F288" i="2" s="1"/>
  <c r="D289" i="2"/>
  <c r="F289" i="2" s="1"/>
  <c r="D290" i="2"/>
  <c r="F290" i="2" s="1"/>
  <c r="D291" i="2"/>
  <c r="F291" i="2" s="1"/>
  <c r="D292" i="2"/>
  <c r="F292" i="2" s="1"/>
  <c r="D293" i="2"/>
  <c r="F293" i="2" s="1"/>
  <c r="D294" i="2"/>
  <c r="F294" i="2" s="1"/>
  <c r="D295" i="2"/>
  <c r="F295" i="2" s="1"/>
  <c r="D296" i="2"/>
  <c r="F296" i="2" s="1"/>
  <c r="F298" i="2"/>
  <c r="D302" i="2"/>
  <c r="F302" i="2" s="1"/>
  <c r="D303" i="2"/>
  <c r="F303" i="2" s="1"/>
  <c r="D304" i="2"/>
  <c r="F304" i="2" s="1"/>
  <c r="D305" i="2"/>
  <c r="F305" i="2" s="1"/>
  <c r="D306" i="2"/>
  <c r="F306" i="2" s="1"/>
  <c r="D307" i="2"/>
  <c r="F307" i="2" s="1"/>
  <c r="F308" i="2"/>
  <c r="D312" i="2"/>
  <c r="F312" i="2" s="1"/>
  <c r="F313" i="2"/>
  <c r="F314" i="2"/>
  <c r="D315" i="2"/>
  <c r="F315" i="2" s="1"/>
  <c r="D316" i="2"/>
  <c r="F316" i="2" s="1"/>
  <c r="D317" i="2"/>
  <c r="F317" i="2" s="1"/>
  <c r="D318" i="2"/>
  <c r="F318" i="2" s="1"/>
  <c r="D319" i="2"/>
  <c r="F319" i="2" s="1"/>
  <c r="F320" i="2"/>
  <c r="F321" i="2"/>
  <c r="F326" i="2"/>
  <c r="F327" i="2"/>
  <c r="F328" i="2"/>
  <c r="F329" i="2"/>
  <c r="F330" i="2"/>
  <c r="F331" i="2"/>
  <c r="D332" i="2"/>
  <c r="F332" i="2" s="1"/>
  <c r="D336" i="2"/>
  <c r="F336" i="2" s="1"/>
  <c r="D337" i="2"/>
  <c r="F337" i="2" s="1"/>
  <c r="D338" i="2"/>
  <c r="F338" i="2" s="1"/>
  <c r="F340" i="2"/>
  <c r="D341" i="2"/>
  <c r="F341" i="2" s="1"/>
  <c r="F346" i="2"/>
  <c r="F347" i="2" s="1"/>
  <c r="F356" i="2" s="1"/>
  <c r="D297" i="2"/>
  <c r="D280" i="2" l="1"/>
  <c r="F280" i="2" s="1"/>
  <c r="F216" i="2"/>
  <c r="F220" i="2" s="1"/>
  <c r="F257" i="2" s="1"/>
  <c r="F184" i="2"/>
  <c r="F254" i="2" s="1"/>
  <c r="D279" i="2"/>
  <c r="F279" i="2" s="1"/>
  <c r="D339" i="2"/>
  <c r="F339" i="2" s="1"/>
  <c r="F342" i="2" s="1"/>
  <c r="F355" i="2" s="1"/>
  <c r="D20" i="2"/>
  <c r="F20" i="2" s="1"/>
  <c r="D192" i="2"/>
  <c r="F192" i="2" s="1"/>
  <c r="F252" i="2"/>
  <c r="F260" i="2" s="1"/>
  <c r="D105" i="2"/>
  <c r="F105" i="2" s="1"/>
  <c r="F272" i="2"/>
  <c r="F349" i="2" s="1"/>
  <c r="D191" i="2"/>
  <c r="F191" i="2" s="1"/>
  <c r="D19" i="2"/>
  <c r="F19" i="2" s="1"/>
  <c r="F147" i="2"/>
  <c r="F172" i="2" s="1"/>
  <c r="F61" i="2"/>
  <c r="F86" i="2" s="1"/>
  <c r="F12" i="2"/>
  <c r="F82" i="2" s="1"/>
  <c r="F188" i="2"/>
  <c r="D106" i="2"/>
  <c r="F106" i="2" s="1"/>
  <c r="F98" i="2"/>
  <c r="F168" i="2" s="1"/>
  <c r="F157" i="2"/>
  <c r="F173" i="2" s="1"/>
  <c r="F134" i="2"/>
  <c r="F171" i="2" s="1"/>
  <c r="F71" i="2"/>
  <c r="F87" i="2" s="1"/>
  <c r="F38" i="2"/>
  <c r="F84" i="2" s="1"/>
  <c r="F210" i="2"/>
  <c r="F256" i="2" s="1"/>
  <c r="F124" i="2"/>
  <c r="F170" i="2" s="1"/>
  <c r="F309" i="2"/>
  <c r="F352" i="2" s="1"/>
  <c r="F243" i="2"/>
  <c r="F259" i="2" s="1"/>
  <c r="F233" i="2"/>
  <c r="F258" i="2" s="1"/>
  <c r="F48" i="2"/>
  <c r="F85" i="2" s="1"/>
  <c r="F103" i="2"/>
  <c r="F17" i="2"/>
  <c r="D163" i="2"/>
  <c r="F163" i="2" s="1"/>
  <c r="F166" i="2" s="1"/>
  <c r="F174" i="2" s="1"/>
  <c r="D77" i="2"/>
  <c r="F77" i="2" s="1"/>
  <c r="F80" i="2" s="1"/>
  <c r="F88" i="2" s="1"/>
  <c r="F322" i="2"/>
  <c r="F353" i="2" s="1"/>
  <c r="F299" i="2"/>
  <c r="F351" i="2" s="1"/>
  <c r="F333" i="2"/>
  <c r="F354" i="2" s="1"/>
  <c r="F281" i="2" l="1"/>
  <c r="F350" i="2" s="1"/>
  <c r="F357" i="2" s="1"/>
  <c r="F365" i="2" s="1"/>
  <c r="F193" i="2"/>
  <c r="F255" i="2" s="1"/>
  <c r="F261" i="2" s="1"/>
  <c r="F364" i="2" s="1"/>
  <c r="F21" i="2"/>
  <c r="F83" i="2" s="1"/>
  <c r="F89" i="2" s="1"/>
  <c r="F362" i="2" s="1"/>
  <c r="F107" i="2"/>
  <c r="F169" i="2" s="1"/>
  <c r="F175" i="2" s="1"/>
  <c r="F363" i="2" s="1"/>
  <c r="F366" i="2" l="1"/>
  <c r="F368" i="2" s="1"/>
</calcChain>
</file>

<file path=xl/sharedStrings.xml><?xml version="1.0" encoding="utf-8"?>
<sst xmlns="http://schemas.openxmlformats.org/spreadsheetml/2006/main" count="766" uniqueCount="179">
  <si>
    <t>TOTAL GENERAL HTVA</t>
  </si>
  <si>
    <t>DEUX (02) SALLES DE CLASSE</t>
  </si>
  <si>
    <t>Désignation des ouvrages</t>
  </si>
  <si>
    <t>UNITE</t>
  </si>
  <si>
    <t>QTE/NBRE</t>
  </si>
  <si>
    <t>P.U.</t>
  </si>
  <si>
    <t>Prix Total</t>
  </si>
  <si>
    <t>0 - PREPARATIONS GENERALES POUR L'ENSEMBLE DES BATIMENTS</t>
  </si>
  <si>
    <t>0.1</t>
  </si>
  <si>
    <t xml:space="preserve">Installation de l'ensemble du chantier, Amenée de matériel y compris élaboration du dossier d'exécution </t>
  </si>
  <si>
    <t>ff</t>
  </si>
  <si>
    <t>0.2</t>
  </si>
  <si>
    <t>m2</t>
  </si>
  <si>
    <t>0.3</t>
  </si>
  <si>
    <t>Nettoyage général du chantier et repli de chantier y compris élaboration des plans de recollement</t>
  </si>
  <si>
    <t>Sous Total 0</t>
  </si>
  <si>
    <t xml:space="preserve">I - PREPARATIONS-NETTOYAGE DE CHANTIER-IMPLANTATIONS - TERRASSEMENT </t>
  </si>
  <si>
    <t>1.1</t>
  </si>
  <si>
    <t>Implantation de l'ensemble  ouvrages (bâtiment , y compris VRD) avec des chaises</t>
  </si>
  <si>
    <t>1.2</t>
  </si>
  <si>
    <t>Fouilles en puits pour semelles isolées / Fouilles de profondeur 0,80m/TN</t>
  </si>
  <si>
    <r>
      <t>m</t>
    </r>
    <r>
      <rPr>
        <vertAlign val="superscript"/>
        <sz val="8"/>
        <rFont val="D-DIN Condensed"/>
        <family val="2"/>
      </rPr>
      <t>3</t>
    </r>
  </si>
  <si>
    <t>1.3</t>
  </si>
  <si>
    <t>Fouilles en tranchées pour soubassement maçonnerie pleine , fouilles sous bêches de marches et rampes, sous bordures de certaines parties de dallage (Fouilles de largeur 40cm / Profondeur 40cm)</t>
  </si>
  <si>
    <t>1.4</t>
  </si>
  <si>
    <t>Traitement anti-termites et anti-reptiles pour dallage de sol y compris film polyane</t>
  </si>
  <si>
    <t>1.5</t>
  </si>
  <si>
    <t>Remblai sans apport (pour fouilles de semelles isolées et fouilles pour semelles filantes)</t>
  </si>
  <si>
    <t>1.6</t>
  </si>
  <si>
    <t>Remblai avec apport latéritique d'épaisseur 45cm en moyenne sur emprise du bâtiment côté dammé,compacté puis arrosé par couches successives de 20cm</t>
  </si>
  <si>
    <t>Sous Total I</t>
  </si>
  <si>
    <t>II  - BETON - BETON ARME</t>
  </si>
  <si>
    <t xml:space="preserve">NB: Tous les bétons des éléments structurels (semelles, poteaux,chainage, dalles et élements préfabriqués) seront en quartz. Ils feront l'objet d'une approbation par la mission de contrôle avant leur mise en oeuvre </t>
  </si>
  <si>
    <t>2.1</t>
  </si>
  <si>
    <t xml:space="preserve">Béton de propreté dosé à 150kg/m3 pour semelles isolées </t>
  </si>
  <si>
    <t>2.2</t>
  </si>
  <si>
    <t>Béton de propreté dosé à 150kg/m3 pour éléments de soubassement (en semelles filantes, en béton cyclopéen, en maçonneries pleines etc…)</t>
  </si>
  <si>
    <t>2.3</t>
  </si>
  <si>
    <t>Béton cyclopéen dosé à 250kg/m3 pour soubassement, massifs et fondations (voir plans et descriptif)</t>
  </si>
  <si>
    <t>2.4</t>
  </si>
  <si>
    <t xml:space="preserve">Béton armé dosé à 350kg/m3 pour semelles isolées </t>
  </si>
  <si>
    <t>2.5</t>
  </si>
  <si>
    <r>
      <t>Béton armé pour chainage bas, chainage rampant sous rampe, renforts sous dallages et arrêts de dallage dosé à 350kg/m</t>
    </r>
    <r>
      <rPr>
        <b/>
        <vertAlign val="superscript"/>
        <sz val="8"/>
        <rFont val="D-DIN Condensed"/>
        <family val="2"/>
      </rPr>
      <t>3</t>
    </r>
  </si>
  <si>
    <t>2.6</t>
  </si>
  <si>
    <r>
      <t>Béton  armé dosé à 350kg/m</t>
    </r>
    <r>
      <rPr>
        <b/>
        <vertAlign val="superscript"/>
        <sz val="8"/>
        <rFont val="D-DIN Condensed"/>
        <family val="2"/>
      </rPr>
      <t>3</t>
    </r>
    <r>
      <rPr>
        <b/>
        <sz val="8"/>
        <rFont val="D-DIN Condensed"/>
        <family val="2"/>
      </rPr>
      <t xml:space="preserve"> pour chainage intermediaire</t>
    </r>
  </si>
  <si>
    <t>2.7</t>
  </si>
  <si>
    <r>
      <t>Béton  armé dosé à 350kg/m</t>
    </r>
    <r>
      <rPr>
        <b/>
        <vertAlign val="superscript"/>
        <sz val="8"/>
        <rFont val="D-DIN Condensed"/>
        <family val="2"/>
      </rPr>
      <t>3</t>
    </r>
    <r>
      <rPr>
        <b/>
        <sz val="8"/>
        <rFont val="D-DIN Condensed"/>
        <family val="2"/>
      </rPr>
      <t xml:space="preserve"> pour chainage rampant recevant les platines (hauteur du chainage = 20cm)</t>
    </r>
  </si>
  <si>
    <t>2.8</t>
  </si>
  <si>
    <t>Béton armé dosé à 350kg/m² pour poteaux (infrastructure et superstructure)</t>
  </si>
  <si>
    <t>2.9</t>
  </si>
  <si>
    <t>Béton armé dosé à 350kg/m² pour bêche</t>
  </si>
  <si>
    <t>2.10</t>
  </si>
  <si>
    <t xml:space="preserve">Béton légèrement armé en treillis dosé à 300kg/m3 pour dallage au sol  Y COMPRIS CHAPE LISSEE ET BOUCHARCHEE AVEC JOINT CREUX TOUS LES 10M2- Rampe et Marche -  Epaisseur 10cm  et toutes sujétions de mise en œuvre </t>
  </si>
  <si>
    <t>2.11</t>
  </si>
  <si>
    <t>Gros béton non armé dosé à 300kg/m² pour protection de soubassement - Epaisseur 10cm</t>
  </si>
  <si>
    <t>2.12</t>
  </si>
  <si>
    <t>Béton armé dosé à 350 kg/m3 pour  banquettes  et  appuis baies filants coulés sur place</t>
  </si>
  <si>
    <t>2.13</t>
  </si>
  <si>
    <t>Béton armé dosé à 350Kg/m3 pour local battéries</t>
  </si>
  <si>
    <t>2.14</t>
  </si>
  <si>
    <t>Plus-value pour bétons divers</t>
  </si>
  <si>
    <t>Sous Total II</t>
  </si>
  <si>
    <t>III -  MACONNERIE</t>
  </si>
  <si>
    <t>3.1</t>
  </si>
  <si>
    <t>Maçonnerie en agglos pleins de 15x20x40 (1 couches)</t>
  </si>
  <si>
    <t>m²</t>
  </si>
  <si>
    <t>3.2</t>
  </si>
  <si>
    <t>Maçonnerie en agglos creux de 15x20x40</t>
  </si>
  <si>
    <t>3.3</t>
  </si>
  <si>
    <t>Enduit intérieur lissé de 1,5cm d'épaisseur (dosé à 300kg/m3 pour le gobetis et 250kg/m3 pour le corps d'enduit)</t>
  </si>
  <si>
    <t>3.4</t>
  </si>
  <si>
    <t>Enduit extérieur lissé de 2cm d'épaisseur  (dosé à 300kg/m3 pour le gobetis et 250kg/m3 pour le corps d'enduit)</t>
  </si>
  <si>
    <t>3.5</t>
  </si>
  <si>
    <t>Surenduit pour tableau au grillage poulailler</t>
  </si>
  <si>
    <t>3.6</t>
  </si>
  <si>
    <t>Raccordements et calfeutrements divers</t>
  </si>
  <si>
    <t>ml</t>
  </si>
  <si>
    <t>3.7</t>
  </si>
  <si>
    <t>Claustras de ventilation grillagés y compris toutes sujétions de pose</t>
  </si>
  <si>
    <t>u</t>
  </si>
  <si>
    <t>Sous Total III</t>
  </si>
  <si>
    <t xml:space="preserve">IV - CHARPENTE  ET COUVERTURE METALLIQUE </t>
  </si>
  <si>
    <t>4.1</t>
  </si>
  <si>
    <t>Fourniture et pose de tôles bac prélaquée 35/100e à 4 ondulations sur toiture  y compris bande de feutre bitumineux entre IPE, scellement des tôles par crochets, relevé d'étanchéité sur murs en contact avec la toiture y compris toutes sujétions de pose</t>
  </si>
  <si>
    <t>4.2</t>
  </si>
  <si>
    <t>Fourniture et pose de faitière en tôles  de 60/100e à    y compris toutes sujétions de pose</t>
  </si>
  <si>
    <t>4.3</t>
  </si>
  <si>
    <t>U</t>
  </si>
  <si>
    <t>4.4</t>
  </si>
  <si>
    <t>4.5</t>
  </si>
  <si>
    <t>4.6</t>
  </si>
  <si>
    <r>
      <t xml:space="preserve">Fourniture et pose de tube carre 40x40 lourd - </t>
    </r>
    <r>
      <rPr>
        <b/>
        <sz val="8"/>
        <color theme="1"/>
        <rFont val="D-DIN Condensed"/>
        <family val="2"/>
      </rPr>
      <t>Epaisseur 1,5mm</t>
    </r>
    <r>
      <rPr>
        <b/>
        <sz val="8"/>
        <rFont val="D-DIN Condensed"/>
        <family val="2"/>
      </rPr>
      <t xml:space="preserve"> pour bardage y compris  toutes sujétions de pose</t>
    </r>
  </si>
  <si>
    <t>4.7</t>
  </si>
  <si>
    <t>Fourniture et pose de tôle Epaisseur 2,00 mm  et de largeur 0,25m pour bardage y compris  toutes sujétions de pose</t>
  </si>
  <si>
    <t>4.8</t>
  </si>
  <si>
    <t>Fourniture et pose de platines pour pannes (uniquement sur les extrémités) de dimensions de 15x15 en tôle de 5mm avec 4 crochets en Acier HA 14 y compris  toutes sujétions de pose</t>
  </si>
  <si>
    <t>4.9</t>
  </si>
  <si>
    <t>Fourniture et pose de platines sur potelets pour  garde-corps de rampe  de dimensions de 10x10 en tôle de 5mm avec 4 crochets en Acier HA 12 y compris  toutes sujétions de pose</t>
  </si>
  <si>
    <t>4.10</t>
  </si>
  <si>
    <t>Fourniture et pose de platines pour traverse et ferme de 15x15 en tôles de 5mm avec 4 crochets en Acier HA 14 y compris  toutes sujétions de pose</t>
  </si>
  <si>
    <t>Sous Total IV</t>
  </si>
  <si>
    <t>V -MENUISERIE  - MENUISERIE METALLIQUE et BOIS</t>
  </si>
  <si>
    <t xml:space="preserve">MENUISERIE METALLIQUE - NB: TOUTES LES MENUISERIES METALLIQUES SERONT CONFORMES AUX DETAILS DES PLANS D'ARCHITECTURE. LA TOLE METALLIQUE  DES CADRES ET DES PERSIENNES SERA DE 2mm D'EPAISSEUR MINIMUM, IDEM POUR LES CADRES. LES MENUISERIES METALLIQUES ET LES ELEMENTS DE CHARPENTE RECEVRONT DEUX COUCHES D'ANTIROUILLE OBLIGATOIREMENT EFFECTUEES AU PISTOLET. LES POINTS/CORDONS DE SOUDURE SERONT SYSTEMATIQUEMENTS MEULES ET LES JONCTIONS ENTRE LES ELEMENTS SOUDES SERONT IMPERATIVEMENT MASTIQUES AVANT L'APPLICATION DE L'ANTIROUILLE ET LEUR LIVRAISON SUR CHANTIER. </t>
  </si>
  <si>
    <t>5.1</t>
  </si>
  <si>
    <t xml:space="preserve"> Fenêtre métallique persienne de dimensions 60x200/50cm ayant 4 châssis dont 3 ouvrants, le dernier en bas étant fixe  avec cadre métallique en simple H en tôle de 2mm suivant plan de l'architecte</t>
  </si>
  <si>
    <t>5.2</t>
  </si>
  <si>
    <t>5.3</t>
  </si>
  <si>
    <t>5.4</t>
  </si>
  <si>
    <t xml:space="preserve"> Porte métallique pleine pour placard de dimensions 60x250 cm  ouvrant à la francaise suivant plan de l'architecte</t>
  </si>
  <si>
    <t>5.5</t>
  </si>
  <si>
    <t>Grille métallique en métal déployé pour local batteries  de dimensions 150x120cm suivant plan de l'architecte  y compris cadres en cornières de 30x30x3mm</t>
  </si>
  <si>
    <t>PM</t>
  </si>
  <si>
    <t>5.6</t>
  </si>
  <si>
    <t>Gardes -corps pour rampe suivant plan de l'architecte</t>
  </si>
  <si>
    <t>5.7</t>
  </si>
  <si>
    <t>Etagères en bois blanc massif d'épaisseur 5cm pour placard / 4 étagères par placard y compris cornieres lourd de 50 pour pose</t>
  </si>
  <si>
    <t>Sous Total V</t>
  </si>
  <si>
    <t>VI - PEINTURE - REVETEMENTS MURAUX FACADE - CARRELAGE - ETANCHEITE</t>
  </si>
  <si>
    <t>6.1</t>
  </si>
  <si>
    <t>Badigeon à la chaux vive  sur enduit intérieur jusqu'à la charpente</t>
  </si>
  <si>
    <t>6.2</t>
  </si>
  <si>
    <t>Peinture VINYLIQUE de chez SAPEC aux  couleurs  du maitre d'ouvrage/d'œuvre sur enduit intérieur + Peintures VINYLIQUE aux couleurs VERTE, BLEUE, ORANGE et MAUVE sous galeries suivant plan de l'architecte</t>
  </si>
  <si>
    <t>6.3</t>
  </si>
  <si>
    <t>Enduit tyrolien  écrasé  sur 1,60 m aux  couleurs  du maitre d'ouvrage/d'oeuvre pour  intérieur</t>
  </si>
  <si>
    <t>6.4</t>
  </si>
  <si>
    <t>6.5</t>
  </si>
  <si>
    <t>Peinture gycéro sur menuiseries métalliques aux couleurs du maitre d'œuvre</t>
  </si>
  <si>
    <t>6.6</t>
  </si>
  <si>
    <t>Adoisine sur tableau</t>
  </si>
  <si>
    <t>Sous Total VII</t>
  </si>
  <si>
    <t>VII - ELECTRICITE - CLIMATISATION - SECURITE INCENDIE</t>
  </si>
  <si>
    <t>FOURREAUTAGE-FILERIE</t>
  </si>
  <si>
    <t>7.1</t>
  </si>
  <si>
    <t>Ensemble de fourreutage  encastré (seuls les tubes ICT GRIS seront posés) y compris boîtes de dérivations et d'encastrement et toutes sujétions de pose . La fourniture et la pose des ferme boîtes aux emplacements des interrupteurs et prises est dûe et est comprise dans le prix.</t>
  </si>
  <si>
    <t>ens</t>
  </si>
  <si>
    <t>Sous Total I :  PREPARATIONS - INSTALLATION ET REPLI DE CHANTIER - NETTOYAGE DE CHANTIER</t>
  </si>
  <si>
    <t>Sous Total I : TERRASSEMENTS - IMPLANTATIONS - NETTOYAGE DE CHANTIER</t>
  </si>
  <si>
    <t>Sous Total II : BETON-BETON ARME</t>
  </si>
  <si>
    <t>Sous Total III :  MACONNERIE</t>
  </si>
  <si>
    <t>Sous Total IV :CHARPENTE  ET COUVERTURE METALLIQUE</t>
  </si>
  <si>
    <t>TOTAL HTVA</t>
  </si>
  <si>
    <t>ECOLE DE YARGO ''D''</t>
  </si>
  <si>
    <t>Maçonnerie en agglos pleins de 15x20x40 (2 couches)</t>
  </si>
  <si>
    <t>UNE (01) SALLE DE CLASSE</t>
  </si>
  <si>
    <t>Fourniture et pose de faitière en tôles  de 60/100e  y compris toutes sujétions de pose</t>
  </si>
  <si>
    <t>Fourniture et pose de pannes en tube rectangulaire 40*80 lourd 1,5 mm  pour charpente y  toutes sujétions de pose</t>
  </si>
  <si>
    <t>Fourniture et pose de tôle Epaisseur 2,00 mm  et de largeur 0,25 m pour bardage y compris  toutes sujétions de pose</t>
  </si>
  <si>
    <t xml:space="preserve"> Fenêtre métallique persienne de dimensions 60x200/50cm ayant 4 châssis dont 3 ouvrants, le dernier en bas étant fixe  avec cadre métallique en  simple H  en tôle de 2mm suivant plan de l'architecte</t>
  </si>
  <si>
    <t>Sous Total VI</t>
  </si>
  <si>
    <t>ECOLE DE TENGSOBDGO</t>
  </si>
  <si>
    <t>ECOLE SAKANGO ''A''</t>
  </si>
  <si>
    <t>LYCEE MUNICIPAL DE POUYTENGA</t>
  </si>
  <si>
    <t>Fourniture et pose de platines pourtrqverse et ferme de 15x15 en tôles de 5mm avec 4 crochets en Acier HA 14 y compris  toutes sujétions de pose</t>
  </si>
  <si>
    <t>0.4</t>
  </si>
  <si>
    <t>0.5</t>
  </si>
  <si>
    <t>ECOLE SAKANGO(01 salle) HTVA</t>
  </si>
  <si>
    <t>LYCEE MUNICIPAL DE PUYTENGA (01 salle) HTVA</t>
  </si>
  <si>
    <t>Reboisement de cinq ''05'' arbres, le tye arbre sera au choix du maitre d'ouvrage'' planes y compris entretein jusqu'a la reception definitif  '' 1 an''</t>
  </si>
  <si>
    <t>Abattage d'arbre - dessouchage  et evacuation des racines, troc ,branche et feuilles hors du cite</t>
  </si>
  <si>
    <t>Décapage complet pour l'ensemble de bâtiments du site, retrait de la terre organique   vers dépotoirs hors site y compris débord  de cinq (02) mètre de part et d'autre du bâtiment + désherbage et dessouchage</t>
  </si>
  <si>
    <t>Sous Total VII : ELECTRICITE - CLIMATISATION - SECURITE INCENDIE</t>
  </si>
  <si>
    <t xml:space="preserve">Sous Total VI : PEINTURE - REVETEMENTS MURAUX ET FACADE </t>
  </si>
  <si>
    <t>Sous Total V : MENUISERIES  METALLIQUES ET BOIS</t>
  </si>
  <si>
    <t>Enduit tyrolien aux  couleurs du maitre d'ouvrage/d'oeuvre pour enduit extérieur (les panneaux de murs recevant les portes et fenêtres ne reçoivent pas de l'enduit tyrolien. Ils seront revêtus de peinture VINYLIQUE ( Cf point 6.2  du devis).</t>
  </si>
  <si>
    <t xml:space="preserve"> Porte métallique persienne à deux battants avec imposte de dimensions 160x250 cm avec cadre métallique double H  ouvrant à la francaise suivant plan de l'architecte</t>
  </si>
  <si>
    <t xml:space="preserve"> Porte métallique persienne à deux battants avec imposte de dimensions 120x250 cm avec cadre métallique double H  ouvrant à la francaise suivant plan de l'architecte</t>
  </si>
  <si>
    <t>Fourniture, assemblage et pose de traverse en IPE de 120 pour charpente y  toutes sujétions de pose</t>
  </si>
  <si>
    <t>Fourniture, assemblage et pose de ferme composée  d' IPE de 120, IPE DE 100 et des IPE DE 80 pour charpente y  compris toutes sujétions de pose</t>
  </si>
  <si>
    <t xml:space="preserve">DEVIS QUANTITATIF ET ESTIMATIF </t>
  </si>
  <si>
    <t>Sous Total V : MENUISERIES METALLIQUES ET BOIS</t>
  </si>
  <si>
    <t>Fourniture, assemblage et pose de ferme composée  d' IPE de 120, IPE DE 100 et des IPE DE 80 pour charpente y compris  toutes sujétions de pose</t>
  </si>
  <si>
    <t>Sous Total VI : PEINTURE - REVETEMENTS MURAUX ET FACADE</t>
  </si>
  <si>
    <t xml:space="preserve">ECOLE DE YARGO ''D''(02 salles) HTVA </t>
  </si>
  <si>
    <t>Fourniture et pose de pannes en tube rectangulaire 40*80 lourd 1,5 mm pour charpente y  toutes sujétions de pose</t>
  </si>
  <si>
    <t>TVA</t>
  </si>
  <si>
    <t>ECOLE  DE TENGSOBDGO  (01 salle) HTVA</t>
  </si>
  <si>
    <t>CONSTRUCTION DE SALLES DE CLASSE (LOT 3 POUYTENGA)</t>
  </si>
  <si>
    <t>RECAPITULATIF LOT 3 POUYTENGA</t>
  </si>
  <si>
    <t xml:space="preserve">TOTAL GENERAL TTC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</si>
</sst>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b/>
      <sz val="14"/>
      <color theme="1"/>
      <name val="Franklin Gothic Medium Cond"/>
      <family val="2"/>
    </font>
    <font>
      <b/>
      <sz val="9"/>
      <name val="D-DIN Condensed"/>
      <family val="2"/>
    </font>
    <font>
      <b/>
      <sz val="14"/>
      <name val="D-DIN Condensed"/>
      <family val="2"/>
    </font>
    <font>
      <sz val="9"/>
      <name val="D-DIN Condensed"/>
      <family val="2"/>
    </font>
    <font>
      <b/>
      <sz val="20"/>
      <name val="D-DIN Condensed"/>
      <family val="2"/>
    </font>
    <font>
      <b/>
      <sz val="10"/>
      <name val="D-DIN Condensed"/>
      <family val="2"/>
    </font>
    <font>
      <b/>
      <i/>
      <sz val="10"/>
      <color rgb="FF00B050"/>
      <name val="D-DIN Condensed"/>
      <family val="2"/>
    </font>
    <font>
      <b/>
      <i/>
      <u/>
      <sz val="22"/>
      <name val="D-DIN Condensed"/>
      <family val="2"/>
    </font>
    <font>
      <sz val="8"/>
      <name val="D-DIN Condensed"/>
      <family val="2"/>
    </font>
    <font>
      <b/>
      <sz val="8"/>
      <name val="D-DIN Condensed"/>
      <family val="2"/>
    </font>
    <font>
      <b/>
      <i/>
      <sz val="8"/>
      <color rgb="FF00B050"/>
      <name val="D-DIN Condensed"/>
      <family val="2"/>
    </font>
    <font>
      <b/>
      <sz val="8"/>
      <color theme="1"/>
      <name val="D-DIN Condensed"/>
      <family val="2"/>
    </font>
    <font>
      <b/>
      <sz val="8"/>
      <color theme="4"/>
      <name val="D-DIN Condensed"/>
      <family val="2"/>
    </font>
    <font>
      <b/>
      <i/>
      <sz val="8"/>
      <name val="D-DIN Condensed"/>
      <family val="2"/>
    </font>
    <font>
      <b/>
      <i/>
      <sz val="9"/>
      <color rgb="FF00B050"/>
      <name val="D-DIN Condensed"/>
      <family val="2"/>
    </font>
    <font>
      <vertAlign val="superscript"/>
      <sz val="8"/>
      <name val="D-DIN Condensed"/>
      <family val="2"/>
    </font>
    <font>
      <b/>
      <sz val="8"/>
      <color rgb="FFFF0000"/>
      <name val="D-DIN Condensed"/>
      <family val="2"/>
    </font>
    <font>
      <b/>
      <vertAlign val="superscript"/>
      <sz val="8"/>
      <name val="D-DIN Condensed"/>
      <family val="2"/>
    </font>
    <font>
      <sz val="9"/>
      <color rgb="FFFF0000"/>
      <name val="D-DIN Condensed"/>
      <family val="2"/>
    </font>
    <font>
      <b/>
      <sz val="9"/>
      <color theme="4"/>
      <name val="D-DIN Condensed"/>
      <family val="2"/>
    </font>
    <font>
      <b/>
      <i/>
      <sz val="22"/>
      <color rgb="FFFF0000"/>
      <name val="D-DIN Condensed"/>
      <family val="2"/>
    </font>
    <font>
      <sz val="8"/>
      <name val="Calibri"/>
      <family val="2"/>
      <scheme val="minor"/>
    </font>
    <font>
      <sz val="9"/>
      <name val="D-DIN Condensed"/>
    </font>
  </fonts>
  <fills count="7">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99FF99"/>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04">
    <xf numFmtId="0" fontId="0" fillId="0" borderId="0" xfId="0"/>
    <xf numFmtId="0" fontId="4" fillId="0" borderId="0" xfId="0" applyFont="1"/>
    <xf numFmtId="0" fontId="4"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xf>
    <xf numFmtId="0" fontId="9" fillId="0" borderId="4" xfId="0" applyFont="1" applyBorder="1" applyAlignment="1">
      <alignment horizontal="center" vertical="center"/>
    </xf>
    <xf numFmtId="0" fontId="10" fillId="0" borderId="4" xfId="0" applyFont="1" applyBorder="1" applyAlignment="1">
      <alignment vertical="center" wrapText="1"/>
    </xf>
    <xf numFmtId="0" fontId="10" fillId="0" borderId="4" xfId="0" applyFont="1" applyBorder="1" applyAlignment="1">
      <alignment horizontal="center" vertical="center"/>
    </xf>
    <xf numFmtId="2" fontId="11" fillId="0" borderId="4" xfId="0" applyNumberFormat="1" applyFont="1" applyBorder="1" applyAlignment="1">
      <alignment horizontal="center" vertical="center"/>
    </xf>
    <xf numFmtId="3" fontId="12" fillId="0" borderId="4" xfId="0" applyNumberFormat="1" applyFont="1" applyBorder="1" applyAlignment="1">
      <alignment horizontal="center" vertical="center" wrapText="1"/>
    </xf>
    <xf numFmtId="3" fontId="10" fillId="0" borderId="4" xfId="0" applyNumberFormat="1" applyFont="1" applyBorder="1" applyAlignment="1">
      <alignment horizontal="center" vertical="center" wrapText="1"/>
    </xf>
    <xf numFmtId="0" fontId="9" fillId="3" borderId="4" xfId="0" applyFont="1" applyFill="1" applyBorder="1" applyAlignment="1">
      <alignment horizontal="center" vertical="center"/>
    </xf>
    <xf numFmtId="0" fontId="10" fillId="3" borderId="4" xfId="0" applyFont="1" applyFill="1" applyBorder="1" applyAlignment="1">
      <alignment vertical="center" wrapText="1"/>
    </xf>
    <xf numFmtId="2" fontId="11" fillId="3" borderId="4" xfId="0" applyNumberFormat="1" applyFont="1" applyFill="1" applyBorder="1" applyAlignment="1">
      <alignment horizontal="right" vertical="center"/>
    </xf>
    <xf numFmtId="3" fontId="13" fillId="3" borderId="4" xfId="0" applyNumberFormat="1" applyFont="1" applyFill="1" applyBorder="1" applyAlignment="1">
      <alignment horizontal="right" vertical="center"/>
    </xf>
    <xf numFmtId="3" fontId="10" fillId="3" borderId="4" xfId="0" applyNumberFormat="1" applyFont="1" applyFill="1" applyBorder="1" applyAlignment="1">
      <alignment vertical="center"/>
    </xf>
    <xf numFmtId="0" fontId="12" fillId="0" borderId="4" xfId="0" applyFont="1" applyBorder="1" applyAlignment="1">
      <alignment vertical="center" wrapText="1"/>
    </xf>
    <xf numFmtId="2" fontId="11" fillId="0" borderId="4" xfId="0" applyNumberFormat="1" applyFont="1" applyBorder="1" applyAlignment="1">
      <alignment horizontal="right" vertical="center"/>
    </xf>
    <xf numFmtId="3" fontId="13" fillId="0" borderId="4" xfId="0" applyNumberFormat="1" applyFont="1" applyBorder="1" applyAlignment="1">
      <alignment horizontal="right" vertical="center"/>
    </xf>
    <xf numFmtId="3" fontId="9" fillId="0" borderId="4" xfId="0" applyNumberFormat="1" applyFont="1" applyBorder="1" applyAlignment="1">
      <alignment horizontal="right" vertical="center"/>
    </xf>
    <xf numFmtId="0" fontId="14" fillId="0" borderId="4" xfId="0" applyFont="1" applyBorder="1" applyAlignment="1">
      <alignment vertical="center" wrapText="1"/>
    </xf>
    <xf numFmtId="3" fontId="10" fillId="0" borderId="4" xfId="0" applyNumberFormat="1" applyFont="1" applyBorder="1" applyAlignment="1">
      <alignment horizontal="right" vertical="center"/>
    </xf>
    <xf numFmtId="0" fontId="2" fillId="0" borderId="0" xfId="0" applyFont="1" applyAlignment="1">
      <alignment horizontal="center" vertical="center" wrapText="1"/>
    </xf>
    <xf numFmtId="0" fontId="15" fillId="0" borderId="0" xfId="0" applyFont="1" applyAlignment="1">
      <alignment horizontal="center" vertical="center" wrapText="1"/>
    </xf>
    <xf numFmtId="3" fontId="9" fillId="3" borderId="4" xfId="0" applyNumberFormat="1" applyFont="1" applyFill="1" applyBorder="1" applyAlignment="1">
      <alignment horizontal="right" vertical="center"/>
    </xf>
    <xf numFmtId="3" fontId="10" fillId="0" borderId="4" xfId="0" applyNumberFormat="1" applyFont="1" applyBorder="1" applyAlignment="1">
      <alignment horizontal="right" vertical="center" wrapText="1"/>
    </xf>
    <xf numFmtId="3" fontId="10" fillId="0" borderId="4" xfId="0" applyNumberFormat="1" applyFont="1" applyBorder="1" applyAlignment="1">
      <alignment vertical="center"/>
    </xf>
    <xf numFmtId="0" fontId="19" fillId="0" borderId="0" xfId="0" applyFont="1"/>
    <xf numFmtId="0" fontId="9" fillId="0" borderId="0" xfId="0" applyFont="1" applyAlignment="1">
      <alignment horizontal="center" vertical="center"/>
    </xf>
    <xf numFmtId="3" fontId="13" fillId="0" borderId="0" xfId="0" applyNumberFormat="1" applyFont="1" applyAlignment="1">
      <alignment horizontal="right" vertical="center"/>
    </xf>
    <xf numFmtId="0" fontId="9" fillId="3" borderId="12" xfId="0" applyFont="1" applyFill="1" applyBorder="1" applyAlignment="1">
      <alignment horizontal="center" vertical="center"/>
    </xf>
    <xf numFmtId="2" fontId="11" fillId="3" borderId="13" xfId="0" applyNumberFormat="1" applyFont="1" applyFill="1" applyBorder="1" applyAlignment="1">
      <alignment horizontal="right" vertical="center"/>
    </xf>
    <xf numFmtId="3" fontId="13" fillId="3" borderId="13" xfId="0" applyNumberFormat="1" applyFont="1" applyFill="1" applyBorder="1" applyAlignment="1">
      <alignment horizontal="right" vertical="center"/>
    </xf>
    <xf numFmtId="3" fontId="10" fillId="3" borderId="14" xfId="0" applyNumberFormat="1" applyFont="1" applyFill="1" applyBorder="1" applyAlignment="1">
      <alignment vertical="center"/>
    </xf>
    <xf numFmtId="3" fontId="10" fillId="3" borderId="4" xfId="0" applyNumberFormat="1" applyFont="1" applyFill="1" applyBorder="1" applyAlignment="1">
      <alignment horizontal="center" vertical="center"/>
    </xf>
    <xf numFmtId="0" fontId="9" fillId="5" borderId="4" xfId="0" applyFont="1" applyFill="1" applyBorder="1" applyAlignment="1">
      <alignment horizontal="center" vertical="center"/>
    </xf>
    <xf numFmtId="0" fontId="10" fillId="5" borderId="4" xfId="0" applyFont="1" applyFill="1" applyBorder="1" applyAlignment="1">
      <alignment vertical="top" wrapText="1"/>
    </xf>
    <xf numFmtId="2" fontId="11" fillId="5" borderId="4" xfId="0" applyNumberFormat="1" applyFont="1" applyFill="1" applyBorder="1" applyAlignment="1">
      <alignment horizontal="right" vertical="center"/>
    </xf>
    <xf numFmtId="3" fontId="13" fillId="5" borderId="4" xfId="0" applyNumberFormat="1" applyFont="1" applyFill="1" applyBorder="1" applyAlignment="1">
      <alignment horizontal="right" vertical="center"/>
    </xf>
    <xf numFmtId="3" fontId="10" fillId="5" borderId="4" xfId="0" applyNumberFormat="1" applyFont="1" applyFill="1" applyBorder="1" applyAlignment="1">
      <alignment horizontal="center" vertical="center"/>
    </xf>
    <xf numFmtId="0" fontId="9" fillId="0" borderId="4" xfId="0" applyFont="1" applyBorder="1" applyAlignment="1">
      <alignment horizontal="center" vertical="center" wrapText="1"/>
    </xf>
    <xf numFmtId="2" fontId="11" fillId="0" borderId="4" xfId="0" applyNumberFormat="1" applyFont="1" applyBorder="1" applyAlignment="1">
      <alignment horizontal="right" vertical="center" wrapText="1"/>
    </xf>
    <xf numFmtId="0" fontId="10" fillId="3" borderId="4"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4" xfId="0" applyFont="1" applyFill="1" applyBorder="1" applyAlignment="1">
      <alignment vertical="center" wrapText="1"/>
    </xf>
    <xf numFmtId="3" fontId="10" fillId="5" borderId="4" xfId="0" applyNumberFormat="1" applyFont="1" applyFill="1" applyBorder="1" applyAlignment="1">
      <alignment vertical="center"/>
    </xf>
    <xf numFmtId="0" fontId="10" fillId="0" borderId="0" xfId="0" applyFont="1" applyAlignment="1">
      <alignment vertical="center" wrapText="1"/>
    </xf>
    <xf numFmtId="2" fontId="11" fillId="0" borderId="0" xfId="0" applyNumberFormat="1" applyFont="1" applyAlignment="1">
      <alignment horizontal="center" vertical="center"/>
    </xf>
    <xf numFmtId="3" fontId="10" fillId="0" borderId="0" xfId="0" applyNumberFormat="1" applyFont="1" applyAlignment="1">
      <alignment horizontal="center" vertical="center"/>
    </xf>
    <xf numFmtId="0" fontId="10" fillId="0" borderId="4" xfId="0" applyFont="1" applyBorder="1" applyAlignment="1">
      <alignment horizontal="center" vertical="center" wrapText="1"/>
    </xf>
    <xf numFmtId="0" fontId="10" fillId="6" borderId="4" xfId="0" applyFont="1" applyFill="1" applyBorder="1" applyAlignment="1">
      <alignment horizontal="center" vertical="center" wrapText="1"/>
    </xf>
    <xf numFmtId="3" fontId="10" fillId="6" borderId="4" xfId="0" applyNumberFormat="1" applyFont="1" applyFill="1" applyBorder="1" applyAlignment="1">
      <alignment horizontal="right" vertical="center"/>
    </xf>
    <xf numFmtId="0" fontId="2" fillId="0" borderId="0" xfId="0" applyFont="1" applyAlignment="1">
      <alignment vertical="center"/>
    </xf>
    <xf numFmtId="2" fontId="15" fillId="0" borderId="0" xfId="0" applyNumberFormat="1" applyFont="1" applyAlignment="1">
      <alignment horizontal="right" vertical="center"/>
    </xf>
    <xf numFmtId="3" fontId="20" fillId="0" borderId="0" xfId="0" applyNumberFormat="1" applyFont="1" applyAlignment="1">
      <alignment horizontal="right" vertical="center"/>
    </xf>
    <xf numFmtId="3" fontId="2" fillId="0" borderId="0" xfId="0" applyNumberFormat="1" applyFont="1" applyAlignment="1">
      <alignment vertical="center"/>
    </xf>
    <xf numFmtId="3" fontId="13" fillId="0" borderId="4" xfId="0" applyNumberFormat="1" applyFont="1" applyFill="1" applyBorder="1" applyAlignment="1">
      <alignment horizontal="right" vertical="center"/>
    </xf>
    <xf numFmtId="0" fontId="9" fillId="0" borderId="4" xfId="0" applyFont="1" applyBorder="1" applyAlignment="1">
      <alignment horizontal="left" wrapText="1"/>
    </xf>
    <xf numFmtId="0" fontId="9" fillId="0" borderId="12" xfId="0" applyFont="1" applyBorder="1" applyAlignment="1">
      <alignment horizontal="left" wrapText="1"/>
    </xf>
    <xf numFmtId="0" fontId="9" fillId="0" borderId="13" xfId="0" applyFont="1" applyBorder="1" applyAlignment="1">
      <alignment horizontal="left" wrapText="1"/>
    </xf>
    <xf numFmtId="0" fontId="9" fillId="0" borderId="14" xfId="0" applyFont="1" applyBorder="1" applyAlignment="1">
      <alignment horizontal="left" wrapText="1"/>
    </xf>
    <xf numFmtId="0" fontId="10" fillId="6" borderId="12"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0" fillId="6" borderId="14" xfId="0" applyFont="1" applyFill="1" applyBorder="1" applyAlignment="1">
      <alignment horizontal="left"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center" vertical="center"/>
    </xf>
    <xf numFmtId="0" fontId="17" fillId="4" borderId="12" xfId="0" applyFont="1" applyFill="1" applyBorder="1" applyAlignment="1">
      <alignment horizontal="left" vertical="center" wrapText="1"/>
    </xf>
    <xf numFmtId="0" fontId="17" fillId="4" borderId="13" xfId="0" applyFont="1" applyFill="1" applyBorder="1" applyAlignment="1">
      <alignment horizontal="left" vertical="center" wrapText="1"/>
    </xf>
    <xf numFmtId="0" fontId="17" fillId="4" borderId="14" xfId="0" applyFont="1" applyFill="1" applyBorder="1" applyAlignment="1">
      <alignment horizontal="left" vertical="center" wrapText="1"/>
    </xf>
    <xf numFmtId="0" fontId="21" fillId="0" borderId="10" xfId="0" applyFont="1" applyBorder="1" applyAlignment="1">
      <alignment horizontal="center" vertical="center"/>
    </xf>
    <xf numFmtId="0" fontId="8" fillId="0" borderId="10" xfId="0" applyFont="1" applyBorder="1" applyAlignment="1">
      <alignment horizontal="center" vertical="center"/>
    </xf>
    <xf numFmtId="0" fontId="9" fillId="0" borderId="13" xfId="0" applyFont="1" applyBorder="1" applyAlignment="1">
      <alignment horizontal="left"/>
    </xf>
    <xf numFmtId="0" fontId="9" fillId="0" borderId="14" xfId="0" applyFont="1" applyBorder="1" applyAlignment="1">
      <alignment horizontal="left"/>
    </xf>
    <xf numFmtId="0" fontId="1" fillId="0" borderId="0" xfId="0" applyFont="1" applyBorder="1" applyAlignment="1">
      <alignment horizontal="center" vertical="center"/>
    </xf>
    <xf numFmtId="0" fontId="2" fillId="0" borderId="0" xfId="0" applyFont="1" applyBorder="1" applyAlignment="1">
      <alignment vertical="center"/>
    </xf>
    <xf numFmtId="0" fontId="4" fillId="0" borderId="0" xfId="0" applyFont="1" applyBorder="1" applyAlignment="1">
      <alignment horizontal="center" vertical="center"/>
    </xf>
    <xf numFmtId="2" fontId="15" fillId="0" borderId="0" xfId="0" applyNumberFormat="1" applyFont="1" applyBorder="1" applyAlignment="1">
      <alignment horizontal="right" vertical="center"/>
    </xf>
    <xf numFmtId="3" fontId="20" fillId="0" borderId="0" xfId="0" applyNumberFormat="1" applyFont="1" applyBorder="1" applyAlignment="1">
      <alignment horizontal="right" vertical="center"/>
    </xf>
    <xf numFmtId="3" fontId="2" fillId="0" borderId="0" xfId="0" applyNumberFormat="1" applyFont="1" applyBorder="1" applyAlignment="1">
      <alignment vertical="center"/>
    </xf>
    <xf numFmtId="3" fontId="2" fillId="0" borderId="0" xfId="0" applyNumberFormat="1" applyFont="1" applyBorder="1" applyAlignment="1">
      <alignment horizontal="center" vertical="center"/>
    </xf>
    <xf numFmtId="3" fontId="2" fillId="0" borderId="19" xfId="0" applyNumberFormat="1" applyFont="1" applyBorder="1" applyAlignment="1">
      <alignment vertical="center"/>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18"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3" fontId="2" fillId="0" borderId="8" xfId="0" applyNumberFormat="1" applyFont="1" applyBorder="1" applyAlignment="1">
      <alignment vertical="center"/>
    </xf>
    <xf numFmtId="0" fontId="23" fillId="0" borderId="3" xfId="0" applyFont="1" applyBorder="1" applyAlignment="1">
      <alignment horizontal="left" vertical="center"/>
    </xf>
    <xf numFmtId="0" fontId="23" fillId="0" borderId="21" xfId="0" applyFont="1" applyBorder="1" applyAlignment="1">
      <alignment horizontal="left" vertical="center"/>
    </xf>
    <xf numFmtId="0" fontId="23" fillId="0" borderId="22" xfId="0" applyFont="1" applyBorder="1" applyAlignment="1">
      <alignment horizontal="left" vertical="center"/>
    </xf>
    <xf numFmtId="0" fontId="23" fillId="0" borderId="23" xfId="0" applyFont="1" applyBorder="1" applyAlignment="1">
      <alignment horizontal="left" vertical="center"/>
    </xf>
    <xf numFmtId="0" fontId="23" fillId="0" borderId="13" xfId="0" applyFont="1" applyBorder="1" applyAlignment="1">
      <alignment horizontal="left" vertical="center"/>
    </xf>
    <xf numFmtId="0" fontId="23" fillId="0" borderId="14" xfId="0" applyFont="1" applyBorder="1" applyAlignment="1">
      <alignment horizontal="left" vertical="center"/>
    </xf>
    <xf numFmtId="0" fontId="23" fillId="0" borderId="5" xfId="0" applyFont="1" applyBorder="1" applyAlignment="1">
      <alignment horizontal="left"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3" fontId="23" fillId="0" borderId="15" xfId="0" applyNumberFormat="1" applyFont="1" applyBorder="1" applyAlignment="1">
      <alignment horizontal="right" vertical="center"/>
    </xf>
    <xf numFmtId="3" fontId="23" fillId="0" borderId="16" xfId="0" applyNumberFormat="1" applyFont="1" applyBorder="1" applyAlignment="1">
      <alignment horizontal="right" vertical="center"/>
    </xf>
    <xf numFmtId="3" fontId="23" fillId="0" borderId="17"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7D6AF-5870-4C89-8414-01C327E77891}">
  <dimension ref="A1:F369"/>
  <sheetViews>
    <sheetView tabSelected="1" zoomScaleNormal="100" zoomScaleSheetLayoutView="100" workbookViewId="0">
      <selection activeCell="B330" sqref="B330"/>
    </sheetView>
  </sheetViews>
  <sheetFormatPr baseColWidth="10" defaultColWidth="11.44140625" defaultRowHeight="12"/>
  <cols>
    <col min="1" max="1" width="4.6640625" style="2" customWidth="1"/>
    <col min="2" max="2" width="59.33203125" style="53" customWidth="1"/>
    <col min="3" max="3" width="4.88671875" style="2" customWidth="1"/>
    <col min="4" max="4" width="7.88671875" style="54" customWidth="1"/>
    <col min="5" max="5" width="9.33203125" style="55" customWidth="1"/>
    <col min="6" max="6" width="11.109375" style="56" customWidth="1"/>
    <col min="7" max="16384" width="11.44140625" style="1"/>
  </cols>
  <sheetData>
    <row r="1" spans="1:6" ht="17.399999999999999">
      <c r="A1" s="65" t="s">
        <v>176</v>
      </c>
      <c r="B1" s="66"/>
      <c r="C1" s="66"/>
      <c r="D1" s="66"/>
      <c r="E1" s="66"/>
      <c r="F1" s="67"/>
    </row>
    <row r="3" spans="1:6" ht="24.6">
      <c r="B3" s="68" t="s">
        <v>168</v>
      </c>
      <c r="C3" s="68"/>
      <c r="D3" s="68"/>
      <c r="E3" s="68"/>
      <c r="F3" s="68"/>
    </row>
    <row r="4" spans="1:6" ht="13.2">
      <c r="A4" s="3"/>
      <c r="B4" s="3"/>
      <c r="C4" s="3"/>
      <c r="D4" s="4"/>
      <c r="E4" s="3"/>
      <c r="F4" s="3"/>
    </row>
    <row r="5" spans="1:6" ht="27.6">
      <c r="A5" s="69" t="s">
        <v>1</v>
      </c>
      <c r="B5" s="69"/>
      <c r="C5" s="69"/>
      <c r="D5" s="69"/>
      <c r="E5" s="69"/>
      <c r="F5" s="69"/>
    </row>
    <row r="6" spans="1:6" ht="27.6">
      <c r="A6" s="5"/>
      <c r="B6" s="73" t="s">
        <v>141</v>
      </c>
      <c r="C6" s="74"/>
      <c r="D6" s="74"/>
      <c r="E6" s="74"/>
      <c r="F6" s="5"/>
    </row>
    <row r="7" spans="1:6" ht="11.4">
      <c r="A7" s="6"/>
      <c r="B7" s="7" t="s">
        <v>2</v>
      </c>
      <c r="C7" s="8" t="s">
        <v>3</v>
      </c>
      <c r="D7" s="9" t="s">
        <v>4</v>
      </c>
      <c r="E7" s="10" t="s">
        <v>5</v>
      </c>
      <c r="F7" s="11" t="s">
        <v>6</v>
      </c>
    </row>
    <row r="8" spans="1:6" ht="11.4">
      <c r="A8" s="12"/>
      <c r="B8" s="13" t="s">
        <v>7</v>
      </c>
      <c r="C8" s="12"/>
      <c r="D8" s="14"/>
      <c r="E8" s="15"/>
      <c r="F8" s="16"/>
    </row>
    <row r="9" spans="1:6" ht="20.399999999999999">
      <c r="A9" s="6" t="s">
        <v>8</v>
      </c>
      <c r="B9" s="17" t="s">
        <v>9</v>
      </c>
      <c r="C9" s="6" t="s">
        <v>10</v>
      </c>
      <c r="D9" s="18">
        <v>1</v>
      </c>
      <c r="E9" s="19"/>
      <c r="F9" s="20">
        <f>+E9*D9</f>
        <v>0</v>
      </c>
    </row>
    <row r="10" spans="1:6" ht="30.6">
      <c r="A10" s="6" t="s">
        <v>11</v>
      </c>
      <c r="B10" s="7" t="s">
        <v>159</v>
      </c>
      <c r="C10" s="6" t="s">
        <v>12</v>
      </c>
      <c r="D10" s="18">
        <v>415</v>
      </c>
      <c r="E10" s="19"/>
      <c r="F10" s="20">
        <f>+E10*D10</f>
        <v>0</v>
      </c>
    </row>
    <row r="11" spans="1:6" ht="20.399999999999999">
      <c r="A11" s="6" t="s">
        <v>13</v>
      </c>
      <c r="B11" s="17" t="s">
        <v>14</v>
      </c>
      <c r="C11" s="6" t="s">
        <v>10</v>
      </c>
      <c r="D11" s="18">
        <v>1</v>
      </c>
      <c r="E11" s="19"/>
      <c r="F11" s="20">
        <f t="shared" ref="F11" si="0">+E11*D11</f>
        <v>0</v>
      </c>
    </row>
    <row r="12" spans="1:6" ht="11.4">
      <c r="A12" s="6"/>
      <c r="B12" s="21" t="s">
        <v>15</v>
      </c>
      <c r="C12" s="6"/>
      <c r="D12" s="18"/>
      <c r="E12" s="19"/>
      <c r="F12" s="22">
        <f>SUM(F9:F11)</f>
        <v>0</v>
      </c>
    </row>
    <row r="13" spans="1:6">
      <c r="A13" s="23"/>
      <c r="B13" s="23"/>
      <c r="C13" s="23"/>
      <c r="D13" s="24"/>
      <c r="E13" s="23"/>
      <c r="F13" s="23"/>
    </row>
    <row r="14" spans="1:6" ht="19.95" customHeight="1">
      <c r="A14" s="12"/>
      <c r="B14" s="13" t="s">
        <v>16</v>
      </c>
      <c r="C14" s="12"/>
      <c r="D14" s="14"/>
      <c r="E14" s="15"/>
      <c r="F14" s="16"/>
    </row>
    <row r="15" spans="1:6" ht="20.399999999999999">
      <c r="A15" s="6" t="s">
        <v>17</v>
      </c>
      <c r="B15" s="7" t="s">
        <v>18</v>
      </c>
      <c r="C15" s="6" t="s">
        <v>10</v>
      </c>
      <c r="D15" s="18">
        <v>1</v>
      </c>
      <c r="E15" s="19"/>
      <c r="F15" s="20">
        <f t="shared" ref="F15:F20" si="1">+E15*D15</f>
        <v>0</v>
      </c>
    </row>
    <row r="16" spans="1:6" ht="11.4">
      <c r="A16" s="6" t="s">
        <v>19</v>
      </c>
      <c r="B16" s="7" t="s">
        <v>20</v>
      </c>
      <c r="C16" s="6" t="s">
        <v>21</v>
      </c>
      <c r="D16" s="18">
        <f>48.04*1</f>
        <v>48.04</v>
      </c>
      <c r="E16" s="19"/>
      <c r="F16" s="20">
        <f t="shared" si="1"/>
        <v>0</v>
      </c>
    </row>
    <row r="17" spans="1:6" ht="30.6">
      <c r="A17" s="6" t="s">
        <v>22</v>
      </c>
      <c r="B17" s="7" t="s">
        <v>23</v>
      </c>
      <c r="C17" s="6" t="s">
        <v>21</v>
      </c>
      <c r="D17" s="18">
        <f>25.53*0.4</f>
        <v>10.212000000000002</v>
      </c>
      <c r="E17" s="19"/>
      <c r="F17" s="20">
        <f t="shared" si="1"/>
        <v>0</v>
      </c>
    </row>
    <row r="18" spans="1:6" ht="20.399999999999999">
      <c r="A18" s="6" t="s">
        <v>24</v>
      </c>
      <c r="B18" s="7" t="s">
        <v>25</v>
      </c>
      <c r="C18" s="6" t="s">
        <v>12</v>
      </c>
      <c r="D18" s="18">
        <v>215.89</v>
      </c>
      <c r="E18" s="19"/>
      <c r="F18" s="20">
        <f t="shared" si="1"/>
        <v>0</v>
      </c>
    </row>
    <row r="19" spans="1:6" ht="20.399999999999999">
      <c r="A19" s="6" t="s">
        <v>26</v>
      </c>
      <c r="B19" s="7" t="s">
        <v>27</v>
      </c>
      <c r="C19" s="6" t="s">
        <v>21</v>
      </c>
      <c r="D19" s="18">
        <f>D17+D16</f>
        <v>58.252000000000002</v>
      </c>
      <c r="E19" s="19"/>
      <c r="F19" s="20">
        <f t="shared" si="1"/>
        <v>0</v>
      </c>
    </row>
    <row r="20" spans="1:6" ht="20.399999999999999">
      <c r="A20" s="6" t="s">
        <v>28</v>
      </c>
      <c r="B20" s="7" t="s">
        <v>29</v>
      </c>
      <c r="C20" s="6" t="s">
        <v>21</v>
      </c>
      <c r="D20" s="18">
        <f>(215.89*0.35)-D17-(D16/4)</f>
        <v>53.339499999999994</v>
      </c>
      <c r="E20" s="19"/>
      <c r="F20" s="20">
        <f t="shared" si="1"/>
        <v>0</v>
      </c>
    </row>
    <row r="21" spans="1:6" ht="11.4">
      <c r="A21" s="6"/>
      <c r="B21" s="21" t="s">
        <v>30</v>
      </c>
      <c r="C21" s="6"/>
      <c r="D21" s="18"/>
      <c r="E21" s="19"/>
      <c r="F21" s="22">
        <f>SUM(F15:F20)</f>
        <v>0</v>
      </c>
    </row>
    <row r="22" spans="1:6" ht="11.4">
      <c r="A22" s="1"/>
      <c r="B22" s="1"/>
      <c r="C22" s="1"/>
      <c r="D22" s="1"/>
      <c r="E22" s="1"/>
      <c r="F22" s="1"/>
    </row>
    <row r="23" spans="1:6" ht="11.4">
      <c r="A23" s="12"/>
      <c r="B23" s="13" t="s">
        <v>31</v>
      </c>
      <c r="C23" s="12"/>
      <c r="D23" s="14"/>
      <c r="E23" s="15"/>
      <c r="F23" s="25"/>
    </row>
    <row r="24" spans="1:6" ht="34.200000000000003" customHeight="1">
      <c r="A24" s="70" t="s">
        <v>32</v>
      </c>
      <c r="B24" s="71"/>
      <c r="C24" s="71"/>
      <c r="D24" s="71"/>
      <c r="E24" s="71"/>
      <c r="F24" s="72"/>
    </row>
    <row r="25" spans="1:6" ht="11.4">
      <c r="A25" s="6" t="s">
        <v>33</v>
      </c>
      <c r="B25" s="7" t="s">
        <v>34</v>
      </c>
      <c r="C25" s="6" t="s">
        <v>21</v>
      </c>
      <c r="D25" s="18">
        <f>48.04*0.05</f>
        <v>2.4020000000000001</v>
      </c>
      <c r="E25" s="19"/>
      <c r="F25" s="20">
        <f>E25*D25</f>
        <v>0</v>
      </c>
    </row>
    <row r="26" spans="1:6" ht="20.399999999999999">
      <c r="A26" s="6" t="s">
        <v>35</v>
      </c>
      <c r="B26" s="7" t="s">
        <v>36</v>
      </c>
      <c r="C26" s="6" t="s">
        <v>21</v>
      </c>
      <c r="D26" s="18">
        <f>25.53*0.05</f>
        <v>1.2765000000000002</v>
      </c>
      <c r="E26" s="19"/>
      <c r="F26" s="20">
        <f t="shared" ref="F26:F37" si="2">E26*D26</f>
        <v>0</v>
      </c>
    </row>
    <row r="27" spans="1:6" ht="20.399999999999999">
      <c r="A27" s="6" t="s">
        <v>37</v>
      </c>
      <c r="B27" s="7" t="s">
        <v>38</v>
      </c>
      <c r="C27" s="6" t="s">
        <v>21</v>
      </c>
      <c r="D27" s="18">
        <f>25.53*0.4</f>
        <v>10.212000000000002</v>
      </c>
      <c r="E27" s="19"/>
      <c r="F27" s="20">
        <f>E27*D27</f>
        <v>0</v>
      </c>
    </row>
    <row r="28" spans="1:6" ht="11.4">
      <c r="A28" s="6" t="s">
        <v>39</v>
      </c>
      <c r="B28" s="7" t="s">
        <v>40</v>
      </c>
      <c r="C28" s="6" t="s">
        <v>21</v>
      </c>
      <c r="D28" s="18">
        <f>(1*1.2*0.3*4)+(1*1.1*0.3*14)+(1*1*0.25*24)+(0.8*0.8*0.25*6)</f>
        <v>13.020000000000001</v>
      </c>
      <c r="E28" s="19"/>
      <c r="F28" s="20">
        <f>E28*D28</f>
        <v>0</v>
      </c>
    </row>
    <row r="29" spans="1:6" ht="21.6">
      <c r="A29" s="6" t="s">
        <v>41</v>
      </c>
      <c r="B29" s="7" t="s">
        <v>42</v>
      </c>
      <c r="C29" s="6" t="s">
        <v>21</v>
      </c>
      <c r="D29" s="18">
        <f>(109.42*0.15*0.2)+(9.475*0.15*0.15)+(9.2*0.2*0.1)</f>
        <v>3.6797875000000007</v>
      </c>
      <c r="E29" s="19"/>
      <c r="F29" s="20">
        <f t="shared" si="2"/>
        <v>0</v>
      </c>
    </row>
    <row r="30" spans="1:6" ht="11.4">
      <c r="A30" s="6" t="s">
        <v>43</v>
      </c>
      <c r="B30" s="7" t="s">
        <v>44</v>
      </c>
      <c r="C30" s="6" t="s">
        <v>21</v>
      </c>
      <c r="D30" s="18">
        <f>114.95*0.15*0.2</f>
        <v>3.4485000000000001</v>
      </c>
      <c r="E30" s="19"/>
      <c r="F30" s="20">
        <f t="shared" si="2"/>
        <v>0</v>
      </c>
    </row>
    <row r="31" spans="1:6" ht="21.6">
      <c r="A31" s="6" t="s">
        <v>45</v>
      </c>
      <c r="B31" s="7" t="s">
        <v>46</v>
      </c>
      <c r="C31" s="6" t="s">
        <v>21</v>
      </c>
      <c r="D31" s="18">
        <f>33.3*0.15*0.2</f>
        <v>0.99899999999999989</v>
      </c>
      <c r="E31" s="19"/>
      <c r="F31" s="20">
        <f>E31*D31</f>
        <v>0</v>
      </c>
    </row>
    <row r="32" spans="1:6" ht="11.4">
      <c r="A32" s="6" t="s">
        <v>47</v>
      </c>
      <c r="B32" s="7" t="s">
        <v>48</v>
      </c>
      <c r="C32" s="6" t="s">
        <v>21</v>
      </c>
      <c r="D32" s="18">
        <f>(0.15*0.3*4.45*18)+(0.15*0.55*4.95*14)+(0.2*0.55*4.95*4)+(0.15*0.2*5.1*6)+(0.15*0.15*1.225*6)</f>
        <v>12.583125000000001</v>
      </c>
      <c r="E32" s="19"/>
      <c r="F32" s="20">
        <f t="shared" ref="F32:F34" si="3">E32*D32</f>
        <v>0</v>
      </c>
    </row>
    <row r="33" spans="1:6" ht="11.4">
      <c r="A33" s="6" t="s">
        <v>49</v>
      </c>
      <c r="B33" s="7" t="s">
        <v>50</v>
      </c>
      <c r="C33" s="6" t="s">
        <v>21</v>
      </c>
      <c r="D33" s="18">
        <f>9.9*0.15*0.3</f>
        <v>0.44550000000000001</v>
      </c>
      <c r="E33" s="19"/>
      <c r="F33" s="20">
        <f t="shared" si="3"/>
        <v>0</v>
      </c>
    </row>
    <row r="34" spans="1:6" ht="35.4" customHeight="1">
      <c r="A34" s="6" t="s">
        <v>51</v>
      </c>
      <c r="B34" s="7" t="s">
        <v>52</v>
      </c>
      <c r="C34" s="6" t="s">
        <v>21</v>
      </c>
      <c r="D34" s="18">
        <f>222*0.1</f>
        <v>22.200000000000003</v>
      </c>
      <c r="E34" s="19"/>
      <c r="F34" s="20">
        <f t="shared" si="3"/>
        <v>0</v>
      </c>
    </row>
    <row r="35" spans="1:6" ht="20.399999999999999">
      <c r="A35" s="6" t="s">
        <v>53</v>
      </c>
      <c r="B35" s="7" t="s">
        <v>54</v>
      </c>
      <c r="C35" s="6" t="s">
        <v>21</v>
      </c>
      <c r="D35" s="18">
        <f>22.2*0.1</f>
        <v>2.2200000000000002</v>
      </c>
      <c r="E35" s="19"/>
      <c r="F35" s="20">
        <f t="shared" si="2"/>
        <v>0</v>
      </c>
    </row>
    <row r="36" spans="1:6" ht="20.399999999999999">
      <c r="A36" s="6" t="s">
        <v>55</v>
      </c>
      <c r="B36" s="7" t="s">
        <v>56</v>
      </c>
      <c r="C36" s="6" t="s">
        <v>21</v>
      </c>
      <c r="D36" s="18">
        <f>19.2*0.15*0.1</f>
        <v>0.28799999999999998</v>
      </c>
      <c r="E36" s="19"/>
      <c r="F36" s="20">
        <f t="shared" si="2"/>
        <v>0</v>
      </c>
    </row>
    <row r="37" spans="1:6" ht="11.4">
      <c r="A37" s="6" t="s">
        <v>57</v>
      </c>
      <c r="B37" s="7" t="s">
        <v>60</v>
      </c>
      <c r="C37" s="6" t="s">
        <v>21</v>
      </c>
      <c r="D37" s="18">
        <v>0.5</v>
      </c>
      <c r="E37" s="19"/>
      <c r="F37" s="20">
        <f t="shared" si="2"/>
        <v>0</v>
      </c>
    </row>
    <row r="38" spans="1:6" ht="11.4">
      <c r="A38" s="6"/>
      <c r="B38" s="21" t="s">
        <v>61</v>
      </c>
      <c r="C38" s="6"/>
      <c r="D38" s="18"/>
      <c r="E38" s="19"/>
      <c r="F38" s="26">
        <f>SUM(F25:F37)</f>
        <v>0</v>
      </c>
    </row>
    <row r="39" spans="1:6" ht="11.4">
      <c r="A39" s="1"/>
      <c r="B39" s="1"/>
      <c r="C39" s="1"/>
      <c r="D39" s="1"/>
      <c r="E39" s="1"/>
      <c r="F39" s="1"/>
    </row>
    <row r="40" spans="1:6" ht="11.4">
      <c r="A40" s="12"/>
      <c r="B40" s="13" t="s">
        <v>62</v>
      </c>
      <c r="C40" s="12"/>
      <c r="D40" s="14"/>
      <c r="E40" s="15"/>
      <c r="F40" s="16"/>
    </row>
    <row r="41" spans="1:6" ht="11.4">
      <c r="A41" s="6" t="s">
        <v>63</v>
      </c>
      <c r="B41" s="7" t="s">
        <v>142</v>
      </c>
      <c r="C41" s="6" t="s">
        <v>65</v>
      </c>
      <c r="D41" s="18">
        <f>111.27*0.45+9.4*0.25</f>
        <v>52.421500000000002</v>
      </c>
      <c r="E41" s="19"/>
      <c r="F41" s="20">
        <f>E41*D41</f>
        <v>0</v>
      </c>
    </row>
    <row r="42" spans="1:6" ht="11.4">
      <c r="A42" s="6" t="s">
        <v>66</v>
      </c>
      <c r="B42" s="7" t="s">
        <v>67</v>
      </c>
      <c r="C42" s="6" t="s">
        <v>65</v>
      </c>
      <c r="D42" s="18">
        <f>7.32*2+23.55*4+34*3</f>
        <v>210.84</v>
      </c>
      <c r="E42" s="19"/>
      <c r="F42" s="20">
        <f t="shared" ref="F42:F47" si="4">E42*D42</f>
        <v>0</v>
      </c>
    </row>
    <row r="43" spans="1:6" ht="23.4" customHeight="1">
      <c r="A43" s="6" t="s">
        <v>68</v>
      </c>
      <c r="B43" s="7" t="s">
        <v>69</v>
      </c>
      <c r="C43" s="6" t="s">
        <v>65</v>
      </c>
      <c r="D43" s="18">
        <f>22.09*4+9.1*4+28.97*4</f>
        <v>240.64</v>
      </c>
      <c r="E43" s="19"/>
      <c r="F43" s="20">
        <f t="shared" si="4"/>
        <v>0</v>
      </c>
    </row>
    <row r="44" spans="1:6" ht="20.399999999999999">
      <c r="A44" s="6" t="s">
        <v>70</v>
      </c>
      <c r="B44" s="7" t="s">
        <v>71</v>
      </c>
      <c r="C44" s="6" t="s">
        <v>65</v>
      </c>
      <c r="D44" s="18">
        <f>40.72*2+22.09*4+7*4+3.03*4+10.98*4</f>
        <v>253.84000000000003</v>
      </c>
      <c r="E44" s="19"/>
      <c r="F44" s="20">
        <f t="shared" si="4"/>
        <v>0</v>
      </c>
    </row>
    <row r="45" spans="1:6" s="28" customFormat="1" ht="11.4">
      <c r="A45" s="6" t="s">
        <v>72</v>
      </c>
      <c r="B45" s="7" t="s">
        <v>73</v>
      </c>
      <c r="C45" s="6" t="s">
        <v>65</v>
      </c>
      <c r="D45" s="18">
        <f>5.15*4</f>
        <v>20.6</v>
      </c>
      <c r="E45" s="19"/>
      <c r="F45" s="20">
        <f t="shared" si="4"/>
        <v>0</v>
      </c>
    </row>
    <row r="46" spans="1:6" ht="11.4">
      <c r="A46" s="6" t="s">
        <v>74</v>
      </c>
      <c r="B46" s="7" t="s">
        <v>75</v>
      </c>
      <c r="C46" s="6" t="s">
        <v>76</v>
      </c>
      <c r="D46" s="18">
        <f>0.9*3*18</f>
        <v>48.6</v>
      </c>
      <c r="E46" s="19"/>
      <c r="F46" s="20">
        <f t="shared" si="4"/>
        <v>0</v>
      </c>
    </row>
    <row r="47" spans="1:6" ht="11.4">
      <c r="A47" s="6" t="s">
        <v>77</v>
      </c>
      <c r="B47" s="7" t="s">
        <v>78</v>
      </c>
      <c r="C47" s="6" t="s">
        <v>79</v>
      </c>
      <c r="D47" s="18">
        <f>14*2</f>
        <v>28</v>
      </c>
      <c r="E47" s="19"/>
      <c r="F47" s="20">
        <f t="shared" si="4"/>
        <v>0</v>
      </c>
    </row>
    <row r="48" spans="1:6" ht="11.4">
      <c r="A48" s="6"/>
      <c r="B48" s="21" t="s">
        <v>80</v>
      </c>
      <c r="C48" s="6"/>
      <c r="D48" s="18"/>
      <c r="E48" s="19"/>
      <c r="F48" s="22">
        <f>SUM(F41:F47)</f>
        <v>0</v>
      </c>
    </row>
    <row r="49" spans="1:6" ht="11.4">
      <c r="A49" s="1"/>
      <c r="B49" s="1"/>
      <c r="C49" s="1"/>
      <c r="D49" s="1"/>
      <c r="E49" s="1"/>
      <c r="F49" s="1"/>
    </row>
    <row r="50" spans="1:6" ht="11.4">
      <c r="A50" s="12"/>
      <c r="B50" s="13" t="s">
        <v>81</v>
      </c>
      <c r="C50" s="31"/>
      <c r="D50" s="32"/>
      <c r="E50" s="33"/>
      <c r="F50" s="34"/>
    </row>
    <row r="51" spans="1:6" ht="40.799999999999997">
      <c r="A51" s="6" t="s">
        <v>82</v>
      </c>
      <c r="B51" s="17" t="s">
        <v>83</v>
      </c>
      <c r="C51" s="6" t="s">
        <v>65</v>
      </c>
      <c r="D51" s="18">
        <v>225</v>
      </c>
      <c r="E51" s="19"/>
      <c r="F51" s="20">
        <f t="shared" ref="F51:F60" si="5">E51*D51</f>
        <v>0</v>
      </c>
    </row>
    <row r="52" spans="1:6" ht="20.399999999999999">
      <c r="A52" s="6" t="s">
        <v>84</v>
      </c>
      <c r="B52" s="17" t="s">
        <v>85</v>
      </c>
      <c r="C52" s="6" t="s">
        <v>76</v>
      </c>
      <c r="D52" s="18">
        <v>19</v>
      </c>
      <c r="E52" s="19"/>
      <c r="F52" s="20">
        <f t="shared" si="5"/>
        <v>0</v>
      </c>
    </row>
    <row r="53" spans="1:6" ht="20.399999999999999">
      <c r="A53" s="6" t="s">
        <v>86</v>
      </c>
      <c r="B53" s="7" t="s">
        <v>170</v>
      </c>
      <c r="C53" s="6" t="s">
        <v>87</v>
      </c>
      <c r="D53" s="18">
        <v>2</v>
      </c>
      <c r="E53" s="19"/>
      <c r="F53" s="20">
        <f t="shared" si="5"/>
        <v>0</v>
      </c>
    </row>
    <row r="54" spans="1:6" ht="20.399999999999999">
      <c r="A54" s="6" t="s">
        <v>88</v>
      </c>
      <c r="B54" s="7" t="s">
        <v>166</v>
      </c>
      <c r="C54" s="6" t="s">
        <v>76</v>
      </c>
      <c r="D54" s="18">
        <f>2.6*6</f>
        <v>15.600000000000001</v>
      </c>
      <c r="E54" s="19"/>
      <c r="F54" s="20">
        <f t="shared" si="5"/>
        <v>0</v>
      </c>
    </row>
    <row r="55" spans="1:6" ht="20.399999999999999">
      <c r="A55" s="6" t="s">
        <v>89</v>
      </c>
      <c r="B55" s="7" t="s">
        <v>173</v>
      </c>
      <c r="C55" s="6" t="s">
        <v>76</v>
      </c>
      <c r="D55" s="18">
        <f>19*14</f>
        <v>266</v>
      </c>
      <c r="E55" s="19"/>
      <c r="F55" s="20">
        <f t="shared" si="5"/>
        <v>0</v>
      </c>
    </row>
    <row r="56" spans="1:6" ht="20.399999999999999">
      <c r="A56" s="6" t="s">
        <v>90</v>
      </c>
      <c r="B56" s="7" t="s">
        <v>91</v>
      </c>
      <c r="C56" s="6" t="s">
        <v>76</v>
      </c>
      <c r="D56" s="18">
        <f>61.95*2</f>
        <v>123.9</v>
      </c>
      <c r="E56" s="19"/>
      <c r="F56" s="20">
        <f t="shared" si="5"/>
        <v>0</v>
      </c>
    </row>
    <row r="57" spans="1:6" ht="20.399999999999999">
      <c r="A57" s="6" t="s">
        <v>92</v>
      </c>
      <c r="B57" s="7" t="s">
        <v>93</v>
      </c>
      <c r="C57" s="6" t="s">
        <v>76</v>
      </c>
      <c r="D57" s="18">
        <f>61.95</f>
        <v>61.95</v>
      </c>
      <c r="E57" s="19"/>
      <c r="F57" s="20">
        <f t="shared" si="5"/>
        <v>0</v>
      </c>
    </row>
    <row r="58" spans="1:6" ht="30.6">
      <c r="A58" s="6" t="s">
        <v>94</v>
      </c>
      <c r="B58" s="7" t="s">
        <v>95</v>
      </c>
      <c r="C58" s="6" t="s">
        <v>79</v>
      </c>
      <c r="D58" s="18">
        <f>14*3</f>
        <v>42</v>
      </c>
      <c r="E58" s="19"/>
      <c r="F58" s="20">
        <f t="shared" si="5"/>
        <v>0</v>
      </c>
    </row>
    <row r="59" spans="1:6" ht="30.6">
      <c r="A59" s="6" t="s">
        <v>96</v>
      </c>
      <c r="B59" s="7" t="s">
        <v>97</v>
      </c>
      <c r="C59" s="6" t="s">
        <v>79</v>
      </c>
      <c r="D59" s="18">
        <v>6</v>
      </c>
      <c r="E59" s="19"/>
      <c r="F59" s="20">
        <f t="shared" si="5"/>
        <v>0</v>
      </c>
    </row>
    <row r="60" spans="1:6" ht="20.399999999999999">
      <c r="A60" s="6" t="s">
        <v>98</v>
      </c>
      <c r="B60" s="7" t="s">
        <v>99</v>
      </c>
      <c r="C60" s="6" t="s">
        <v>79</v>
      </c>
      <c r="D60" s="18">
        <v>4</v>
      </c>
      <c r="E60" s="19"/>
      <c r="F60" s="20">
        <f t="shared" si="5"/>
        <v>0</v>
      </c>
    </row>
    <row r="61" spans="1:6" ht="11.4">
      <c r="A61" s="6"/>
      <c r="B61" s="21" t="s">
        <v>100</v>
      </c>
      <c r="C61" s="6"/>
      <c r="D61" s="18"/>
      <c r="E61" s="19"/>
      <c r="F61" s="26">
        <f>SUM(F51:F60)</f>
        <v>0</v>
      </c>
    </row>
    <row r="62" spans="1:6" ht="11.4">
      <c r="A62" s="1"/>
      <c r="B62" s="1"/>
      <c r="C62" s="1"/>
      <c r="D62" s="1"/>
      <c r="E62" s="1"/>
      <c r="F62" s="1"/>
    </row>
    <row r="63" spans="1:6" ht="11.4">
      <c r="A63" s="12"/>
      <c r="B63" s="13" t="s">
        <v>101</v>
      </c>
      <c r="C63" s="12"/>
      <c r="D63" s="14"/>
      <c r="E63" s="15"/>
      <c r="F63" s="35"/>
    </row>
    <row r="64" spans="1:6" ht="91.8">
      <c r="A64" s="36"/>
      <c r="B64" s="37" t="s">
        <v>102</v>
      </c>
      <c r="C64" s="36"/>
      <c r="D64" s="38"/>
      <c r="E64" s="39"/>
      <c r="F64" s="40"/>
    </row>
    <row r="65" spans="1:6" ht="30.6">
      <c r="A65" s="6" t="s">
        <v>103</v>
      </c>
      <c r="B65" s="7" t="s">
        <v>104</v>
      </c>
      <c r="C65" s="41" t="s">
        <v>79</v>
      </c>
      <c r="D65" s="18">
        <v>20</v>
      </c>
      <c r="E65" s="19"/>
      <c r="F65" s="20">
        <f t="shared" ref="F65:F68" si="6">E65*D65</f>
        <v>0</v>
      </c>
    </row>
    <row r="66" spans="1:6" ht="30.6">
      <c r="A66" s="6" t="s">
        <v>105</v>
      </c>
      <c r="B66" s="7" t="s">
        <v>164</v>
      </c>
      <c r="C66" s="41" t="s">
        <v>79</v>
      </c>
      <c r="D66" s="18">
        <v>2</v>
      </c>
      <c r="E66" s="19"/>
      <c r="F66" s="20">
        <f t="shared" si="6"/>
        <v>0</v>
      </c>
    </row>
    <row r="67" spans="1:6" ht="30.6">
      <c r="A67" s="6" t="s">
        <v>106</v>
      </c>
      <c r="B67" s="7" t="s">
        <v>165</v>
      </c>
      <c r="C67" s="41" t="s">
        <v>79</v>
      </c>
      <c r="D67" s="18">
        <v>2</v>
      </c>
      <c r="E67" s="19"/>
      <c r="F67" s="20">
        <f t="shared" si="6"/>
        <v>0</v>
      </c>
    </row>
    <row r="68" spans="1:6" ht="20.399999999999999">
      <c r="A68" s="6" t="s">
        <v>107</v>
      </c>
      <c r="B68" s="7" t="s">
        <v>108</v>
      </c>
      <c r="C68" s="41" t="s">
        <v>79</v>
      </c>
      <c r="D68" s="18">
        <v>8</v>
      </c>
      <c r="E68" s="19"/>
      <c r="F68" s="20">
        <f t="shared" si="6"/>
        <v>0</v>
      </c>
    </row>
    <row r="69" spans="1:6" ht="11.4">
      <c r="A69" s="6" t="s">
        <v>109</v>
      </c>
      <c r="B69" s="7" t="s">
        <v>113</v>
      </c>
      <c r="C69" s="41" t="s">
        <v>76</v>
      </c>
      <c r="D69" s="18">
        <v>13</v>
      </c>
      <c r="E69" s="19"/>
      <c r="F69" s="20">
        <f>E69*D69</f>
        <v>0</v>
      </c>
    </row>
    <row r="70" spans="1:6" ht="20.399999999999999">
      <c r="A70" s="6" t="s">
        <v>112</v>
      </c>
      <c r="B70" s="7" t="s">
        <v>115</v>
      </c>
      <c r="C70" s="41" t="s">
        <v>12</v>
      </c>
      <c r="D70" s="18">
        <f>16*0.6*0.4*2</f>
        <v>7.68</v>
      </c>
      <c r="E70" s="19"/>
      <c r="F70" s="20">
        <f t="shared" ref="F70" si="7">E70*D70</f>
        <v>0</v>
      </c>
    </row>
    <row r="71" spans="1:6" ht="11.4">
      <c r="A71" s="6"/>
      <c r="B71" s="21" t="s">
        <v>116</v>
      </c>
      <c r="C71" s="6"/>
      <c r="D71" s="42"/>
      <c r="E71" s="19"/>
      <c r="F71" s="26">
        <f>SUM(F65:F70)</f>
        <v>0</v>
      </c>
    </row>
    <row r="72" spans="1:6" ht="11.4">
      <c r="A72" s="1"/>
      <c r="B72" s="1"/>
      <c r="C72" s="1"/>
      <c r="D72" s="1"/>
      <c r="E72" s="1"/>
      <c r="F72" s="1"/>
    </row>
    <row r="73" spans="1:6" ht="11.4">
      <c r="A73" s="12"/>
      <c r="B73" s="13" t="s">
        <v>117</v>
      </c>
      <c r="C73" s="12"/>
      <c r="D73" s="14"/>
      <c r="E73" s="15"/>
      <c r="F73" s="16"/>
    </row>
    <row r="74" spans="1:6" ht="11.4">
      <c r="A74" s="6" t="s">
        <v>118</v>
      </c>
      <c r="B74" s="7" t="s">
        <v>119</v>
      </c>
      <c r="C74" s="6" t="s">
        <v>65</v>
      </c>
      <c r="D74" s="18">
        <f>22*4+13.15*4+18*2</f>
        <v>176.6</v>
      </c>
      <c r="E74" s="19"/>
      <c r="F74" s="20">
        <f t="shared" ref="F74:F79" si="8">E74*D74</f>
        <v>0</v>
      </c>
    </row>
    <row r="75" spans="1:6" ht="30.6">
      <c r="A75" s="6" t="s">
        <v>120</v>
      </c>
      <c r="B75" s="7" t="s">
        <v>121</v>
      </c>
      <c r="C75" s="6" t="s">
        <v>65</v>
      </c>
      <c r="D75" s="18">
        <f>22*4+13.15*4+18*2+26.3*2</f>
        <v>229.2</v>
      </c>
      <c r="E75" s="19"/>
      <c r="F75" s="20">
        <f t="shared" si="8"/>
        <v>0</v>
      </c>
    </row>
    <row r="76" spans="1:6" ht="20.399999999999999">
      <c r="A76" s="6" t="s">
        <v>122</v>
      </c>
      <c r="B76" s="7" t="s">
        <v>123</v>
      </c>
      <c r="C76" s="6" t="s">
        <v>65</v>
      </c>
      <c r="D76" s="18">
        <f>14.06*4+8.94*4</f>
        <v>92</v>
      </c>
      <c r="E76" s="19"/>
      <c r="F76" s="20">
        <f t="shared" si="8"/>
        <v>0</v>
      </c>
    </row>
    <row r="77" spans="1:6" ht="30.6">
      <c r="A77" s="6" t="s">
        <v>124</v>
      </c>
      <c r="B77" s="7" t="s">
        <v>163</v>
      </c>
      <c r="C77" s="6" t="s">
        <v>65</v>
      </c>
      <c r="D77" s="18">
        <f>+D44-(26.3*2)</f>
        <v>201.24000000000004</v>
      </c>
      <c r="E77" s="19"/>
      <c r="F77" s="20">
        <f t="shared" si="8"/>
        <v>0</v>
      </c>
    </row>
    <row r="78" spans="1:6" ht="11.4">
      <c r="A78" s="6" t="s">
        <v>125</v>
      </c>
      <c r="B78" s="7" t="s">
        <v>126</v>
      </c>
      <c r="C78" s="6" t="s">
        <v>10</v>
      </c>
      <c r="D78" s="18">
        <v>1</v>
      </c>
      <c r="E78" s="19"/>
      <c r="F78" s="20">
        <f t="shared" si="8"/>
        <v>0</v>
      </c>
    </row>
    <row r="79" spans="1:6" ht="11.4">
      <c r="A79" s="6" t="s">
        <v>127</v>
      </c>
      <c r="B79" s="7" t="s">
        <v>128</v>
      </c>
      <c r="C79" s="6" t="s">
        <v>65</v>
      </c>
      <c r="D79" s="18">
        <f>5.15*4</f>
        <v>20.6</v>
      </c>
      <c r="E79" s="19"/>
      <c r="F79" s="20">
        <f t="shared" si="8"/>
        <v>0</v>
      </c>
    </row>
    <row r="80" spans="1:6" ht="11.4">
      <c r="A80" s="6"/>
      <c r="B80" s="21" t="s">
        <v>129</v>
      </c>
      <c r="C80" s="6"/>
      <c r="D80" s="18"/>
      <c r="E80" s="19"/>
      <c r="F80" s="26">
        <f>SUM(F74:F79)</f>
        <v>0</v>
      </c>
    </row>
    <row r="81" spans="1:6" ht="11.4">
      <c r="A81" s="29"/>
      <c r="B81" s="47"/>
      <c r="C81" s="29"/>
      <c r="D81" s="48"/>
      <c r="E81" s="30"/>
      <c r="F81" s="49"/>
    </row>
    <row r="82" spans="1:6" ht="11.4">
      <c r="A82" s="50">
        <v>0</v>
      </c>
      <c r="B82" s="58" t="s">
        <v>135</v>
      </c>
      <c r="C82" s="58"/>
      <c r="D82" s="58"/>
      <c r="E82" s="58"/>
      <c r="F82" s="22">
        <f>F12</f>
        <v>0</v>
      </c>
    </row>
    <row r="83" spans="1:6" ht="11.4">
      <c r="A83" s="50">
        <v>1</v>
      </c>
      <c r="B83" s="58" t="s">
        <v>136</v>
      </c>
      <c r="C83" s="58"/>
      <c r="D83" s="58"/>
      <c r="E83" s="58"/>
      <c r="F83" s="22">
        <f>+F21</f>
        <v>0</v>
      </c>
    </row>
    <row r="84" spans="1:6" ht="11.4">
      <c r="A84" s="50">
        <v>2</v>
      </c>
      <c r="B84" s="59" t="s">
        <v>137</v>
      </c>
      <c r="C84" s="60"/>
      <c r="D84" s="60"/>
      <c r="E84" s="61"/>
      <c r="F84" s="22">
        <f>+F38</f>
        <v>0</v>
      </c>
    </row>
    <row r="85" spans="1:6" ht="11.4">
      <c r="A85" s="50">
        <v>3</v>
      </c>
      <c r="B85" s="59" t="s">
        <v>138</v>
      </c>
      <c r="C85" s="60"/>
      <c r="D85" s="60"/>
      <c r="E85" s="61"/>
      <c r="F85" s="22">
        <f>+F48</f>
        <v>0</v>
      </c>
    </row>
    <row r="86" spans="1:6" ht="11.4">
      <c r="A86" s="50">
        <v>4</v>
      </c>
      <c r="B86" s="59" t="s">
        <v>139</v>
      </c>
      <c r="C86" s="60"/>
      <c r="D86" s="60"/>
      <c r="E86" s="61"/>
      <c r="F86" s="27">
        <f>F61</f>
        <v>0</v>
      </c>
    </row>
    <row r="87" spans="1:6" ht="11.4">
      <c r="A87" s="50">
        <v>5</v>
      </c>
      <c r="B87" s="59" t="s">
        <v>169</v>
      </c>
      <c r="C87" s="60"/>
      <c r="D87" s="60"/>
      <c r="E87" s="61"/>
      <c r="F87" s="22">
        <f>+F71</f>
        <v>0</v>
      </c>
    </row>
    <row r="88" spans="1:6" ht="11.4">
      <c r="A88" s="50">
        <v>6</v>
      </c>
      <c r="B88" s="59" t="s">
        <v>171</v>
      </c>
      <c r="C88" s="60"/>
      <c r="D88" s="60"/>
      <c r="E88" s="61"/>
      <c r="F88" s="22">
        <f>+F80</f>
        <v>0</v>
      </c>
    </row>
    <row r="89" spans="1:6" ht="11.4">
      <c r="A89" s="51"/>
      <c r="B89" s="62" t="s">
        <v>140</v>
      </c>
      <c r="C89" s="63"/>
      <c r="D89" s="63"/>
      <c r="E89" s="64"/>
      <c r="F89" s="52">
        <f>SUM(F82:F88)</f>
        <v>0</v>
      </c>
    </row>
    <row r="91" spans="1:6" ht="27.6">
      <c r="A91" s="69" t="s">
        <v>143</v>
      </c>
      <c r="B91" s="69"/>
      <c r="C91" s="69"/>
      <c r="D91" s="69"/>
      <c r="E91" s="69"/>
      <c r="F91" s="69"/>
    </row>
    <row r="92" spans="1:6" ht="27.6">
      <c r="A92" s="5"/>
      <c r="B92" s="73" t="s">
        <v>149</v>
      </c>
      <c r="C92" s="74"/>
      <c r="D92" s="74"/>
      <c r="E92" s="74"/>
      <c r="F92" s="5"/>
    </row>
    <row r="93" spans="1:6" ht="11.4">
      <c r="A93" s="6"/>
      <c r="B93" s="7" t="s">
        <v>2</v>
      </c>
      <c r="C93" s="8" t="s">
        <v>3</v>
      </c>
      <c r="D93" s="9" t="s">
        <v>4</v>
      </c>
      <c r="E93" s="10" t="s">
        <v>5</v>
      </c>
      <c r="F93" s="11" t="s">
        <v>6</v>
      </c>
    </row>
    <row r="94" spans="1:6" ht="11.4">
      <c r="A94" s="12"/>
      <c r="B94" s="13" t="s">
        <v>7</v>
      </c>
      <c r="C94" s="12"/>
      <c r="D94" s="14"/>
      <c r="E94" s="15"/>
      <c r="F94" s="16"/>
    </row>
    <row r="95" spans="1:6" ht="20.399999999999999">
      <c r="A95" s="6" t="s">
        <v>8</v>
      </c>
      <c r="B95" s="17" t="s">
        <v>9</v>
      </c>
      <c r="C95" s="6" t="s">
        <v>10</v>
      </c>
      <c r="D95" s="18">
        <v>1</v>
      </c>
      <c r="E95" s="19"/>
      <c r="F95" s="20">
        <f>+E95*D95</f>
        <v>0</v>
      </c>
    </row>
    <row r="96" spans="1:6" ht="30.6">
      <c r="A96" s="6" t="s">
        <v>11</v>
      </c>
      <c r="B96" s="7" t="s">
        <v>159</v>
      </c>
      <c r="C96" s="6" t="s">
        <v>12</v>
      </c>
      <c r="D96" s="18">
        <v>251</v>
      </c>
      <c r="E96" s="19"/>
      <c r="F96" s="20">
        <f>+E96*D96</f>
        <v>0</v>
      </c>
    </row>
    <row r="97" spans="1:6" ht="20.399999999999999">
      <c r="A97" s="6" t="s">
        <v>13</v>
      </c>
      <c r="B97" s="17" t="s">
        <v>14</v>
      </c>
      <c r="C97" s="6" t="s">
        <v>10</v>
      </c>
      <c r="D97" s="18">
        <v>1</v>
      </c>
      <c r="E97" s="19"/>
      <c r="F97" s="20">
        <f t="shared" ref="F97" si="9">+E97*D97</f>
        <v>0</v>
      </c>
    </row>
    <row r="98" spans="1:6" ht="11.4">
      <c r="A98" s="6"/>
      <c r="B98" s="21" t="s">
        <v>15</v>
      </c>
      <c r="C98" s="6"/>
      <c r="D98" s="18"/>
      <c r="E98" s="19"/>
      <c r="F98" s="22">
        <f>SUM(F95:F97)</f>
        <v>0</v>
      </c>
    </row>
    <row r="99" spans="1:6" ht="11.4">
      <c r="A99" s="1"/>
      <c r="B99" s="1"/>
      <c r="C99" s="1"/>
      <c r="D99" s="1"/>
      <c r="E99" s="1"/>
      <c r="F99" s="1"/>
    </row>
    <row r="100" spans="1:6" ht="11.4">
      <c r="A100" s="12"/>
      <c r="B100" s="13" t="s">
        <v>16</v>
      </c>
      <c r="C100" s="12"/>
      <c r="D100" s="14"/>
      <c r="E100" s="15"/>
      <c r="F100" s="16"/>
    </row>
    <row r="101" spans="1:6" ht="20.399999999999999">
      <c r="A101" s="6" t="s">
        <v>17</v>
      </c>
      <c r="B101" s="7" t="s">
        <v>18</v>
      </c>
      <c r="C101" s="6" t="s">
        <v>10</v>
      </c>
      <c r="D101" s="18">
        <v>1</v>
      </c>
      <c r="E101" s="19"/>
      <c r="F101" s="20">
        <f t="shared" ref="F101:F106" si="10">+E101*D101</f>
        <v>0</v>
      </c>
    </row>
    <row r="102" spans="1:6" ht="11.4">
      <c r="A102" s="6" t="s">
        <v>19</v>
      </c>
      <c r="B102" s="7" t="s">
        <v>20</v>
      </c>
      <c r="C102" s="6" t="s">
        <v>21</v>
      </c>
      <c r="D102" s="18">
        <f>29.04*0.8</f>
        <v>23.231999999999999</v>
      </c>
      <c r="E102" s="19"/>
      <c r="F102" s="20">
        <f t="shared" si="10"/>
        <v>0</v>
      </c>
    </row>
    <row r="103" spans="1:6" ht="30.6">
      <c r="A103" s="6" t="s">
        <v>22</v>
      </c>
      <c r="B103" s="7" t="s">
        <v>23</v>
      </c>
      <c r="C103" s="6" t="s">
        <v>21</v>
      </c>
      <c r="D103" s="18">
        <f>16.43*0.4</f>
        <v>6.5720000000000001</v>
      </c>
      <c r="E103" s="19"/>
      <c r="F103" s="20">
        <f t="shared" si="10"/>
        <v>0</v>
      </c>
    </row>
    <row r="104" spans="1:6" ht="20.399999999999999">
      <c r="A104" s="6" t="s">
        <v>24</v>
      </c>
      <c r="B104" s="7" t="s">
        <v>25</v>
      </c>
      <c r="C104" s="6" t="s">
        <v>12</v>
      </c>
      <c r="D104" s="18">
        <v>120.8</v>
      </c>
      <c r="E104" s="19"/>
      <c r="F104" s="20">
        <f t="shared" si="10"/>
        <v>0</v>
      </c>
    </row>
    <row r="105" spans="1:6" ht="20.399999999999999">
      <c r="A105" s="6" t="s">
        <v>26</v>
      </c>
      <c r="B105" s="7" t="s">
        <v>27</v>
      </c>
      <c r="C105" s="6" t="s">
        <v>21</v>
      </c>
      <c r="D105" s="18">
        <f>D103+D102</f>
        <v>29.803999999999998</v>
      </c>
      <c r="E105" s="19"/>
      <c r="F105" s="20">
        <f t="shared" si="10"/>
        <v>0</v>
      </c>
    </row>
    <row r="106" spans="1:6" ht="20.399999999999999">
      <c r="A106" s="6" t="s">
        <v>28</v>
      </c>
      <c r="B106" s="7" t="s">
        <v>29</v>
      </c>
      <c r="C106" s="6" t="s">
        <v>21</v>
      </c>
      <c r="D106" s="18">
        <f>(120*0.35)-D103-(D102/4)</f>
        <v>29.619999999999997</v>
      </c>
      <c r="E106" s="19"/>
      <c r="F106" s="20">
        <f t="shared" si="10"/>
        <v>0</v>
      </c>
    </row>
    <row r="107" spans="1:6" ht="11.4">
      <c r="A107" s="6"/>
      <c r="B107" s="21" t="s">
        <v>30</v>
      </c>
      <c r="C107" s="6"/>
      <c r="D107" s="18"/>
      <c r="E107" s="19"/>
      <c r="F107" s="22">
        <f>SUM(F101:F106)</f>
        <v>0</v>
      </c>
    </row>
    <row r="108" spans="1:6" ht="11.4">
      <c r="A108" s="1"/>
      <c r="B108" s="1"/>
      <c r="C108" s="1"/>
      <c r="D108" s="1"/>
      <c r="E108" s="1"/>
      <c r="F108" s="1"/>
    </row>
    <row r="109" spans="1:6" ht="11.4">
      <c r="A109" s="12"/>
      <c r="B109" s="13" t="s">
        <v>31</v>
      </c>
      <c r="C109" s="12"/>
      <c r="D109" s="14"/>
      <c r="E109" s="15"/>
      <c r="F109" s="25"/>
    </row>
    <row r="110" spans="1:6" ht="19.5" customHeight="1">
      <c r="A110" s="70" t="s">
        <v>32</v>
      </c>
      <c r="B110" s="71"/>
      <c r="C110" s="71"/>
      <c r="D110" s="71"/>
      <c r="E110" s="71"/>
      <c r="F110" s="72"/>
    </row>
    <row r="111" spans="1:6" ht="11.4">
      <c r="A111" s="6" t="s">
        <v>33</v>
      </c>
      <c r="B111" s="7" t="s">
        <v>34</v>
      </c>
      <c r="C111" s="6" t="s">
        <v>21</v>
      </c>
      <c r="D111" s="18">
        <f>29.04*0.05</f>
        <v>1.452</v>
      </c>
      <c r="E111" s="19"/>
      <c r="F111" s="20">
        <f>E111*D111</f>
        <v>0</v>
      </c>
    </row>
    <row r="112" spans="1:6" ht="20.399999999999999">
      <c r="A112" s="6" t="s">
        <v>35</v>
      </c>
      <c r="B112" s="7" t="s">
        <v>36</v>
      </c>
      <c r="C112" s="6" t="s">
        <v>21</v>
      </c>
      <c r="D112" s="18">
        <f>16.43*0.05</f>
        <v>0.82150000000000001</v>
      </c>
      <c r="E112" s="19"/>
      <c r="F112" s="20">
        <f t="shared" ref="F112:F123" si="11">E112*D112</f>
        <v>0</v>
      </c>
    </row>
    <row r="113" spans="1:6" ht="20.399999999999999">
      <c r="A113" s="6" t="s">
        <v>37</v>
      </c>
      <c r="B113" s="7" t="s">
        <v>38</v>
      </c>
      <c r="C113" s="6" t="s">
        <v>21</v>
      </c>
      <c r="D113" s="18">
        <f>16.43*0.4</f>
        <v>6.5720000000000001</v>
      </c>
      <c r="E113" s="19"/>
      <c r="F113" s="20">
        <f>E113*D113</f>
        <v>0</v>
      </c>
    </row>
    <row r="114" spans="1:6" ht="11.4">
      <c r="A114" s="6" t="s">
        <v>39</v>
      </c>
      <c r="B114" s="7" t="s">
        <v>40</v>
      </c>
      <c r="C114" s="6" t="s">
        <v>21</v>
      </c>
      <c r="D114" s="18">
        <f>(1*1.2*0.3*2)+(1*1.1*0.3*8)+(1*1*0.25*14)+(0.8*0.8*0.25*6)</f>
        <v>7.82</v>
      </c>
      <c r="E114" s="19"/>
      <c r="F114" s="20">
        <f>E114*D114</f>
        <v>0</v>
      </c>
    </row>
    <row r="115" spans="1:6" ht="21.6">
      <c r="A115" s="6" t="s">
        <v>41</v>
      </c>
      <c r="B115" s="7" t="s">
        <v>42</v>
      </c>
      <c r="C115" s="6" t="s">
        <v>21</v>
      </c>
      <c r="D115" s="18">
        <f>(58.5*0.15*0.2)+(9.475*0.15*0.15)+(4.6*0.2*0.1)</f>
        <v>2.0601875000000001</v>
      </c>
      <c r="E115" s="19"/>
      <c r="F115" s="20">
        <f t="shared" si="11"/>
        <v>0</v>
      </c>
    </row>
    <row r="116" spans="1:6" ht="11.4">
      <c r="A116" s="6" t="s">
        <v>43</v>
      </c>
      <c r="B116" s="7" t="s">
        <v>44</v>
      </c>
      <c r="C116" s="6" t="s">
        <v>21</v>
      </c>
      <c r="D116" s="18">
        <f>63.1*0.15*0.2</f>
        <v>1.893</v>
      </c>
      <c r="E116" s="19"/>
      <c r="F116" s="20">
        <f t="shared" si="11"/>
        <v>0</v>
      </c>
    </row>
    <row r="117" spans="1:6" ht="21.6">
      <c r="A117" s="6" t="s">
        <v>45</v>
      </c>
      <c r="B117" s="7" t="s">
        <v>46</v>
      </c>
      <c r="C117" s="6" t="s">
        <v>21</v>
      </c>
      <c r="D117" s="18">
        <f>22.2*0.15*0.2</f>
        <v>0.66599999999999993</v>
      </c>
      <c r="E117" s="19"/>
      <c r="F117" s="20">
        <f>E117*D117</f>
        <v>0</v>
      </c>
    </row>
    <row r="118" spans="1:6" ht="11.4">
      <c r="A118" s="6" t="s">
        <v>47</v>
      </c>
      <c r="B118" s="7" t="s">
        <v>48</v>
      </c>
      <c r="C118" s="6" t="s">
        <v>21</v>
      </c>
      <c r="D118" s="18">
        <f>(0.15*0.3*4.45*10)+(0.15*0.55*4.95*8)+(0.2*0.55*4.95*2)+(0.15*0.2*5.1*4)+(0.15*0.15*1.225*6)</f>
        <v>7.1358750000000013</v>
      </c>
      <c r="E118" s="19"/>
      <c r="F118" s="20">
        <f t="shared" ref="F118:F120" si="12">E118*D118</f>
        <v>0</v>
      </c>
    </row>
    <row r="119" spans="1:6" ht="11.4">
      <c r="A119" s="6" t="s">
        <v>49</v>
      </c>
      <c r="B119" s="7" t="s">
        <v>50</v>
      </c>
      <c r="C119" s="6" t="s">
        <v>21</v>
      </c>
      <c r="D119" s="18">
        <f>5.8*0.15*0.3</f>
        <v>0.26100000000000001</v>
      </c>
      <c r="E119" s="19"/>
      <c r="F119" s="20">
        <f t="shared" si="12"/>
        <v>0</v>
      </c>
    </row>
    <row r="120" spans="1:6" ht="30.6">
      <c r="A120" s="6" t="s">
        <v>51</v>
      </c>
      <c r="B120" s="7" t="s">
        <v>52</v>
      </c>
      <c r="C120" s="6" t="s">
        <v>21</v>
      </c>
      <c r="D120" s="18">
        <f>120*0.1</f>
        <v>12</v>
      </c>
      <c r="E120" s="19"/>
      <c r="F120" s="20">
        <f t="shared" si="12"/>
        <v>0</v>
      </c>
    </row>
    <row r="121" spans="1:6" ht="20.399999999999999">
      <c r="A121" s="6" t="s">
        <v>53</v>
      </c>
      <c r="B121" s="7" t="s">
        <v>54</v>
      </c>
      <c r="C121" s="6" t="s">
        <v>21</v>
      </c>
      <c r="D121" s="18">
        <f>16.68*0.1</f>
        <v>1.6680000000000001</v>
      </c>
      <c r="E121" s="19"/>
      <c r="F121" s="20">
        <f t="shared" si="11"/>
        <v>0</v>
      </c>
    </row>
    <row r="122" spans="1:6" ht="20.399999999999999">
      <c r="A122" s="6" t="s">
        <v>55</v>
      </c>
      <c r="B122" s="7" t="s">
        <v>56</v>
      </c>
      <c r="C122" s="6" t="s">
        <v>21</v>
      </c>
      <c r="D122" s="18">
        <f>(2.05*2+2.1*2)*0.15*0.2+(0.83*2+0.82*2)*0.1+(1.2*0.15*0.2)+(0.24*2*0.1)</f>
        <v>0.66300000000000014</v>
      </c>
      <c r="E122" s="19"/>
      <c r="F122" s="20">
        <f t="shared" si="11"/>
        <v>0</v>
      </c>
    </row>
    <row r="123" spans="1:6" ht="11.4">
      <c r="A123" s="6" t="s">
        <v>57</v>
      </c>
      <c r="B123" s="7" t="s">
        <v>60</v>
      </c>
      <c r="C123" s="6" t="s">
        <v>21</v>
      </c>
      <c r="D123" s="18">
        <v>0.5</v>
      </c>
      <c r="E123" s="19"/>
      <c r="F123" s="20">
        <f t="shared" si="11"/>
        <v>0</v>
      </c>
    </row>
    <row r="124" spans="1:6" ht="11.4">
      <c r="A124" s="6"/>
      <c r="B124" s="21" t="s">
        <v>61</v>
      </c>
      <c r="C124" s="6"/>
      <c r="D124" s="18"/>
      <c r="E124" s="19"/>
      <c r="F124" s="26">
        <f>SUM(F111:F123)</f>
        <v>0</v>
      </c>
    </row>
    <row r="125" spans="1:6" ht="11.4">
      <c r="A125" s="1"/>
      <c r="B125" s="1"/>
      <c r="C125" s="1"/>
      <c r="D125" s="1"/>
      <c r="E125" s="1"/>
      <c r="F125" s="1"/>
    </row>
    <row r="126" spans="1:6" ht="11.4">
      <c r="A126" s="12"/>
      <c r="B126" s="13" t="s">
        <v>62</v>
      </c>
      <c r="C126" s="12"/>
      <c r="D126" s="14"/>
      <c r="E126" s="15"/>
      <c r="F126" s="16"/>
    </row>
    <row r="127" spans="1:6" ht="11.4">
      <c r="A127" s="6" t="s">
        <v>63</v>
      </c>
      <c r="B127" s="7" t="s">
        <v>64</v>
      </c>
      <c r="C127" s="6" t="s">
        <v>65</v>
      </c>
      <c r="D127" s="18">
        <f>61.4*0.25+9.4*0.2</f>
        <v>17.23</v>
      </c>
      <c r="E127" s="19"/>
      <c r="F127" s="20">
        <f>E127*D127</f>
        <v>0</v>
      </c>
    </row>
    <row r="128" spans="1:6" ht="11.4">
      <c r="A128" s="6" t="s">
        <v>66</v>
      </c>
      <c r="B128" s="7" t="s">
        <v>67</v>
      </c>
      <c r="C128" s="6" t="s">
        <v>65</v>
      </c>
      <c r="D128" s="18">
        <f>3.66*2+34*2+23.55*2</f>
        <v>122.41999999999999</v>
      </c>
      <c r="E128" s="19"/>
      <c r="F128" s="20">
        <f t="shared" ref="F128:F133" si="13">E128*D128</f>
        <v>0</v>
      </c>
    </row>
    <row r="129" spans="1:6" ht="20.399999999999999">
      <c r="A129" s="6" t="s">
        <v>68</v>
      </c>
      <c r="B129" s="7" t="s">
        <v>69</v>
      </c>
      <c r="C129" s="6" t="s">
        <v>65</v>
      </c>
      <c r="D129" s="18">
        <f>19.7*2+3.85*2+34*2+19.6</f>
        <v>134.69999999999999</v>
      </c>
      <c r="E129" s="19"/>
      <c r="F129" s="20">
        <f t="shared" si="13"/>
        <v>0</v>
      </c>
    </row>
    <row r="130" spans="1:6" ht="20.399999999999999">
      <c r="A130" s="6" t="s">
        <v>70</v>
      </c>
      <c r="B130" s="7" t="s">
        <v>71</v>
      </c>
      <c r="C130" s="6" t="s">
        <v>65</v>
      </c>
      <c r="D130" s="18">
        <f>32.8*2+40.72*2+3.66*4+3.03*4+14.8</f>
        <v>188.60000000000002</v>
      </c>
      <c r="E130" s="19"/>
      <c r="F130" s="20">
        <f t="shared" si="13"/>
        <v>0</v>
      </c>
    </row>
    <row r="131" spans="1:6" ht="11.4">
      <c r="A131" s="6" t="s">
        <v>72</v>
      </c>
      <c r="B131" s="7" t="s">
        <v>73</v>
      </c>
      <c r="C131" s="6" t="s">
        <v>65</v>
      </c>
      <c r="D131" s="18">
        <f>7*2</f>
        <v>14</v>
      </c>
      <c r="E131" s="19"/>
      <c r="F131" s="20">
        <f t="shared" si="13"/>
        <v>0</v>
      </c>
    </row>
    <row r="132" spans="1:6" ht="11.4">
      <c r="A132" s="6" t="s">
        <v>74</v>
      </c>
      <c r="B132" s="7" t="s">
        <v>75</v>
      </c>
      <c r="C132" s="6" t="s">
        <v>76</v>
      </c>
      <c r="D132" s="18">
        <f>0.9*3*10</f>
        <v>27</v>
      </c>
      <c r="E132" s="19"/>
      <c r="F132" s="20">
        <f t="shared" si="13"/>
        <v>0</v>
      </c>
    </row>
    <row r="133" spans="1:6" ht="11.4">
      <c r="A133" s="6" t="s">
        <v>77</v>
      </c>
      <c r="B133" s="7" t="s">
        <v>78</v>
      </c>
      <c r="C133" s="6" t="s">
        <v>79</v>
      </c>
      <c r="D133" s="18">
        <v>18</v>
      </c>
      <c r="E133" s="19"/>
      <c r="F133" s="20">
        <f t="shared" si="13"/>
        <v>0</v>
      </c>
    </row>
    <row r="134" spans="1:6" ht="11.4">
      <c r="A134" s="6"/>
      <c r="B134" s="21" t="s">
        <v>80</v>
      </c>
      <c r="C134" s="6"/>
      <c r="D134" s="18"/>
      <c r="E134" s="19"/>
      <c r="F134" s="22">
        <f>SUM(F127:F133)</f>
        <v>0</v>
      </c>
    </row>
    <row r="135" spans="1:6" ht="11.4">
      <c r="A135" s="1"/>
      <c r="B135" s="1"/>
      <c r="C135" s="1"/>
      <c r="D135" s="1"/>
      <c r="E135" s="1"/>
      <c r="F135" s="1"/>
    </row>
    <row r="136" spans="1:6" ht="11.4">
      <c r="A136" s="12"/>
      <c r="B136" s="13" t="s">
        <v>81</v>
      </c>
      <c r="C136" s="31"/>
      <c r="D136" s="32"/>
      <c r="E136" s="33"/>
      <c r="F136" s="34"/>
    </row>
    <row r="137" spans="1:6" ht="40.799999999999997">
      <c r="A137" s="6" t="s">
        <v>82</v>
      </c>
      <c r="B137" s="17" t="s">
        <v>83</v>
      </c>
      <c r="C137" s="6" t="s">
        <v>65</v>
      </c>
      <c r="D137" s="18">
        <f>60.7*2</f>
        <v>121.4</v>
      </c>
      <c r="E137" s="19"/>
      <c r="F137" s="20">
        <f t="shared" ref="F137:F146" si="14">E137*D137</f>
        <v>0</v>
      </c>
    </row>
    <row r="138" spans="1:6" ht="20.399999999999999">
      <c r="A138" s="6" t="s">
        <v>84</v>
      </c>
      <c r="B138" s="17" t="s">
        <v>144</v>
      </c>
      <c r="C138" s="6" t="s">
        <v>76</v>
      </c>
      <c r="D138" s="18">
        <v>10</v>
      </c>
      <c r="E138" s="19"/>
      <c r="F138" s="20">
        <f t="shared" si="14"/>
        <v>0</v>
      </c>
    </row>
    <row r="139" spans="1:6" ht="20.399999999999999">
      <c r="A139" s="6" t="s">
        <v>86</v>
      </c>
      <c r="B139" s="7" t="s">
        <v>167</v>
      </c>
      <c r="C139" s="6" t="s">
        <v>87</v>
      </c>
      <c r="D139" s="18">
        <v>1</v>
      </c>
      <c r="E139" s="19"/>
      <c r="F139" s="20">
        <f t="shared" si="14"/>
        <v>0</v>
      </c>
    </row>
    <row r="140" spans="1:6" ht="20.399999999999999">
      <c r="A140" s="6" t="s">
        <v>88</v>
      </c>
      <c r="B140" s="7" t="s">
        <v>166</v>
      </c>
      <c r="C140" s="6" t="s">
        <v>76</v>
      </c>
      <c r="D140" s="18">
        <f>2.6*4</f>
        <v>10.4</v>
      </c>
      <c r="E140" s="19"/>
      <c r="F140" s="20">
        <f t="shared" si="14"/>
        <v>0</v>
      </c>
    </row>
    <row r="141" spans="1:6" ht="20.399999999999999">
      <c r="A141" s="6" t="s">
        <v>89</v>
      </c>
      <c r="B141" s="7" t="s">
        <v>145</v>
      </c>
      <c r="C141" s="6" t="s">
        <v>76</v>
      </c>
      <c r="D141" s="18">
        <f>10*14</f>
        <v>140</v>
      </c>
      <c r="E141" s="19"/>
      <c r="F141" s="20">
        <f t="shared" si="14"/>
        <v>0</v>
      </c>
    </row>
    <row r="142" spans="1:6" ht="20.399999999999999">
      <c r="A142" s="6" t="s">
        <v>90</v>
      </c>
      <c r="B142" s="7" t="s">
        <v>91</v>
      </c>
      <c r="C142" s="6" t="s">
        <v>76</v>
      </c>
      <c r="D142" s="18">
        <f>45*2</f>
        <v>90</v>
      </c>
      <c r="E142" s="19"/>
      <c r="F142" s="20">
        <f t="shared" si="14"/>
        <v>0</v>
      </c>
    </row>
    <row r="143" spans="1:6" ht="20.399999999999999">
      <c r="A143" s="6" t="s">
        <v>92</v>
      </c>
      <c r="B143" s="7" t="s">
        <v>146</v>
      </c>
      <c r="C143" s="6" t="s">
        <v>76</v>
      </c>
      <c r="D143" s="18">
        <f>45</f>
        <v>45</v>
      </c>
      <c r="E143" s="19"/>
      <c r="F143" s="20">
        <f t="shared" si="14"/>
        <v>0</v>
      </c>
    </row>
    <row r="144" spans="1:6" ht="30.6">
      <c r="A144" s="6" t="s">
        <v>94</v>
      </c>
      <c r="B144" s="7" t="s">
        <v>95</v>
      </c>
      <c r="C144" s="6" t="s">
        <v>79</v>
      </c>
      <c r="D144" s="18">
        <f>14*2</f>
        <v>28</v>
      </c>
      <c r="E144" s="19"/>
      <c r="F144" s="20">
        <f t="shared" si="14"/>
        <v>0</v>
      </c>
    </row>
    <row r="145" spans="1:6" ht="30.6">
      <c r="A145" s="6" t="s">
        <v>96</v>
      </c>
      <c r="B145" s="7" t="s">
        <v>97</v>
      </c>
      <c r="C145" s="6" t="s">
        <v>79</v>
      </c>
      <c r="D145" s="18">
        <v>6</v>
      </c>
      <c r="E145" s="19"/>
      <c r="F145" s="20">
        <f t="shared" si="14"/>
        <v>0</v>
      </c>
    </row>
    <row r="146" spans="1:6" ht="20.399999999999999">
      <c r="A146" s="6" t="s">
        <v>98</v>
      </c>
      <c r="B146" s="7" t="s">
        <v>99</v>
      </c>
      <c r="C146" s="6" t="s">
        <v>79</v>
      </c>
      <c r="D146" s="18">
        <v>10</v>
      </c>
      <c r="E146" s="19"/>
      <c r="F146" s="20">
        <f t="shared" si="14"/>
        <v>0</v>
      </c>
    </row>
    <row r="147" spans="1:6" ht="11.4">
      <c r="A147" s="6"/>
      <c r="B147" s="21" t="s">
        <v>100</v>
      </c>
      <c r="C147" s="6"/>
      <c r="D147" s="18"/>
      <c r="E147" s="19"/>
      <c r="F147" s="26">
        <f>SUM(F137:F146)</f>
        <v>0</v>
      </c>
    </row>
    <row r="148" spans="1:6" ht="11.4">
      <c r="A148" s="1"/>
      <c r="B148" s="1"/>
      <c r="C148" s="1"/>
      <c r="D148" s="1"/>
      <c r="E148" s="1"/>
      <c r="F148" s="1"/>
    </row>
    <row r="149" spans="1:6" ht="11.4">
      <c r="A149" s="12"/>
      <c r="B149" s="13" t="s">
        <v>101</v>
      </c>
      <c r="C149" s="12"/>
      <c r="D149" s="14"/>
      <c r="E149" s="15"/>
      <c r="F149" s="35"/>
    </row>
    <row r="150" spans="1:6" ht="91.8">
      <c r="A150" s="36"/>
      <c r="B150" s="37" t="s">
        <v>102</v>
      </c>
      <c r="C150" s="36"/>
      <c r="D150" s="38"/>
      <c r="E150" s="39"/>
      <c r="F150" s="40"/>
    </row>
    <row r="151" spans="1:6" ht="30.6">
      <c r="A151" s="6" t="s">
        <v>103</v>
      </c>
      <c r="B151" s="7" t="s">
        <v>147</v>
      </c>
      <c r="C151" s="41" t="s">
        <v>79</v>
      </c>
      <c r="D151" s="18">
        <v>10</v>
      </c>
      <c r="E151" s="19"/>
      <c r="F151" s="20">
        <f t="shared" ref="F151:F154" si="15">E151*D151</f>
        <v>0</v>
      </c>
    </row>
    <row r="152" spans="1:6" ht="30.6">
      <c r="A152" s="6" t="s">
        <v>105</v>
      </c>
      <c r="B152" s="7" t="s">
        <v>164</v>
      </c>
      <c r="C152" s="41" t="s">
        <v>79</v>
      </c>
      <c r="D152" s="18">
        <v>1</v>
      </c>
      <c r="E152" s="19"/>
      <c r="F152" s="20">
        <f t="shared" si="15"/>
        <v>0</v>
      </c>
    </row>
    <row r="153" spans="1:6" ht="30.6">
      <c r="A153" s="6" t="s">
        <v>106</v>
      </c>
      <c r="B153" s="7" t="s">
        <v>165</v>
      </c>
      <c r="C153" s="41" t="s">
        <v>79</v>
      </c>
      <c r="D153" s="18">
        <v>1</v>
      </c>
      <c r="E153" s="19"/>
      <c r="F153" s="20">
        <f t="shared" si="15"/>
        <v>0</v>
      </c>
    </row>
    <row r="154" spans="1:6" ht="20.399999999999999">
      <c r="A154" s="6" t="s">
        <v>107</v>
      </c>
      <c r="B154" s="7" t="s">
        <v>108</v>
      </c>
      <c r="C154" s="41" t="s">
        <v>79</v>
      </c>
      <c r="D154" s="18">
        <v>4</v>
      </c>
      <c r="E154" s="19"/>
      <c r="F154" s="20">
        <f t="shared" si="15"/>
        <v>0</v>
      </c>
    </row>
    <row r="155" spans="1:6" ht="11.4">
      <c r="A155" s="6" t="s">
        <v>109</v>
      </c>
      <c r="B155" s="7" t="s">
        <v>113</v>
      </c>
      <c r="C155" s="41" t="s">
        <v>76</v>
      </c>
      <c r="D155" s="18">
        <v>13</v>
      </c>
      <c r="E155" s="19"/>
      <c r="F155" s="20">
        <f>+E155*D155</f>
        <v>0</v>
      </c>
    </row>
    <row r="156" spans="1:6" ht="20.399999999999999">
      <c r="A156" s="6" t="s">
        <v>112</v>
      </c>
      <c r="B156" s="7" t="s">
        <v>115</v>
      </c>
      <c r="C156" s="41" t="s">
        <v>12</v>
      </c>
      <c r="D156" s="18">
        <f>16*0.6*0.4</f>
        <v>3.84</v>
      </c>
      <c r="E156" s="19"/>
      <c r="F156" s="20">
        <f t="shared" ref="F156" si="16">E156*D156</f>
        <v>0</v>
      </c>
    </row>
    <row r="157" spans="1:6" ht="11.4">
      <c r="A157" s="6"/>
      <c r="B157" s="21" t="s">
        <v>116</v>
      </c>
      <c r="C157" s="6"/>
      <c r="D157" s="42"/>
      <c r="E157" s="19"/>
      <c r="F157" s="26">
        <f>SUM(F151:F156)</f>
        <v>0</v>
      </c>
    </row>
    <row r="158" spans="1:6" ht="11.4">
      <c r="A158" s="1"/>
      <c r="B158" s="1"/>
      <c r="C158" s="1"/>
      <c r="D158" s="1"/>
      <c r="E158" s="1"/>
      <c r="F158" s="1"/>
    </row>
    <row r="159" spans="1:6" ht="11.4">
      <c r="A159" s="12"/>
      <c r="B159" s="13" t="s">
        <v>117</v>
      </c>
      <c r="C159" s="12"/>
      <c r="D159" s="14"/>
      <c r="E159" s="15"/>
      <c r="F159" s="16"/>
    </row>
    <row r="160" spans="1:6" ht="11.4">
      <c r="A160" s="6" t="s">
        <v>118</v>
      </c>
      <c r="B160" s="7" t="s">
        <v>119</v>
      </c>
      <c r="C160" s="6" t="s">
        <v>65</v>
      </c>
      <c r="D160" s="18">
        <f>22*2+13.15*2+18</f>
        <v>88.3</v>
      </c>
      <c r="E160" s="19"/>
      <c r="F160" s="20">
        <f t="shared" ref="F160:F165" si="17">E160*D160</f>
        <v>0</v>
      </c>
    </row>
    <row r="161" spans="1:6" ht="30.6">
      <c r="A161" s="6" t="s">
        <v>120</v>
      </c>
      <c r="B161" s="7" t="s">
        <v>121</v>
      </c>
      <c r="C161" s="6" t="s">
        <v>65</v>
      </c>
      <c r="D161" s="18">
        <f>22*2+13.15*2+18+26.3</f>
        <v>114.6</v>
      </c>
      <c r="E161" s="19"/>
      <c r="F161" s="20">
        <f t="shared" si="17"/>
        <v>0</v>
      </c>
    </row>
    <row r="162" spans="1:6" ht="20.399999999999999">
      <c r="A162" s="6" t="s">
        <v>122</v>
      </c>
      <c r="B162" s="7" t="s">
        <v>123</v>
      </c>
      <c r="C162" s="6" t="s">
        <v>65</v>
      </c>
      <c r="D162" s="18">
        <f>14.06*2+8.94*2</f>
        <v>46</v>
      </c>
      <c r="E162" s="19"/>
      <c r="F162" s="20">
        <f t="shared" si="17"/>
        <v>0</v>
      </c>
    </row>
    <row r="163" spans="1:6" ht="30.6">
      <c r="A163" s="6" t="s">
        <v>124</v>
      </c>
      <c r="B163" s="7" t="s">
        <v>163</v>
      </c>
      <c r="C163" s="6" t="s">
        <v>65</v>
      </c>
      <c r="D163" s="18">
        <f>+D130-26.3</f>
        <v>162.30000000000001</v>
      </c>
      <c r="E163" s="19"/>
      <c r="F163" s="20">
        <f t="shared" si="17"/>
        <v>0</v>
      </c>
    </row>
    <row r="164" spans="1:6" ht="11.4">
      <c r="A164" s="6" t="s">
        <v>125</v>
      </c>
      <c r="B164" s="7" t="s">
        <v>126</v>
      </c>
      <c r="C164" s="6" t="s">
        <v>10</v>
      </c>
      <c r="D164" s="18">
        <v>1</v>
      </c>
      <c r="E164" s="19"/>
      <c r="F164" s="20">
        <f t="shared" si="17"/>
        <v>0</v>
      </c>
    </row>
    <row r="165" spans="1:6" ht="11.4">
      <c r="A165" s="6" t="s">
        <v>127</v>
      </c>
      <c r="B165" s="7" t="s">
        <v>128</v>
      </c>
      <c r="C165" s="6" t="s">
        <v>65</v>
      </c>
      <c r="D165" s="18">
        <f>7*2</f>
        <v>14</v>
      </c>
      <c r="E165" s="19"/>
      <c r="F165" s="20">
        <f t="shared" si="17"/>
        <v>0</v>
      </c>
    </row>
    <row r="166" spans="1:6" ht="11.4">
      <c r="A166" s="6"/>
      <c r="B166" s="21" t="s">
        <v>148</v>
      </c>
      <c r="C166" s="6"/>
      <c r="D166" s="18"/>
      <c r="E166" s="19"/>
      <c r="F166" s="26">
        <f>SUM(F160:F165)</f>
        <v>0</v>
      </c>
    </row>
    <row r="167" spans="1:6" ht="11.4">
      <c r="A167" s="29"/>
      <c r="B167" s="47"/>
      <c r="C167" s="29"/>
      <c r="D167" s="48"/>
      <c r="E167" s="30"/>
      <c r="F167" s="49"/>
    </row>
    <row r="168" spans="1:6" ht="11.4">
      <c r="A168" s="50">
        <v>0</v>
      </c>
      <c r="B168" s="58" t="s">
        <v>135</v>
      </c>
      <c r="C168" s="58"/>
      <c r="D168" s="58"/>
      <c r="E168" s="58"/>
      <c r="F168" s="22">
        <f>F98</f>
        <v>0</v>
      </c>
    </row>
    <row r="169" spans="1:6" ht="11.4">
      <c r="A169" s="50">
        <v>1</v>
      </c>
      <c r="B169" s="58" t="s">
        <v>136</v>
      </c>
      <c r="C169" s="58"/>
      <c r="D169" s="58"/>
      <c r="E169" s="58"/>
      <c r="F169" s="22">
        <f>+F107</f>
        <v>0</v>
      </c>
    </row>
    <row r="170" spans="1:6" ht="11.4">
      <c r="A170" s="50">
        <v>2</v>
      </c>
      <c r="B170" s="59" t="s">
        <v>137</v>
      </c>
      <c r="C170" s="60"/>
      <c r="D170" s="60"/>
      <c r="E170" s="61"/>
      <c r="F170" s="22">
        <f>+F124</f>
        <v>0</v>
      </c>
    </row>
    <row r="171" spans="1:6" ht="11.4">
      <c r="A171" s="50">
        <v>3</v>
      </c>
      <c r="B171" s="59" t="s">
        <v>138</v>
      </c>
      <c r="C171" s="60"/>
      <c r="D171" s="60"/>
      <c r="E171" s="61"/>
      <c r="F171" s="22">
        <f>+F134</f>
        <v>0</v>
      </c>
    </row>
    <row r="172" spans="1:6" ht="11.4">
      <c r="A172" s="50">
        <v>4</v>
      </c>
      <c r="B172" s="59" t="s">
        <v>139</v>
      </c>
      <c r="C172" s="60"/>
      <c r="D172" s="60"/>
      <c r="E172" s="61"/>
      <c r="F172" s="27">
        <f>F147</f>
        <v>0</v>
      </c>
    </row>
    <row r="173" spans="1:6" ht="11.4">
      <c r="A173" s="50">
        <v>5</v>
      </c>
      <c r="B173" s="59" t="s">
        <v>169</v>
      </c>
      <c r="C173" s="60"/>
      <c r="D173" s="60"/>
      <c r="E173" s="61"/>
      <c r="F173" s="22">
        <f>+F157</f>
        <v>0</v>
      </c>
    </row>
    <row r="174" spans="1:6" ht="11.4">
      <c r="A174" s="50">
        <v>6</v>
      </c>
      <c r="B174" s="59" t="s">
        <v>161</v>
      </c>
      <c r="C174" s="60"/>
      <c r="D174" s="60"/>
      <c r="E174" s="61"/>
      <c r="F174" s="22">
        <f>+F166</f>
        <v>0</v>
      </c>
    </row>
    <row r="175" spans="1:6" ht="11.4">
      <c r="A175" s="51"/>
      <c r="B175" s="62" t="s">
        <v>140</v>
      </c>
      <c r="C175" s="63"/>
      <c r="D175" s="63"/>
      <c r="E175" s="64"/>
      <c r="F175" s="52">
        <f>SUM(F168:F174)</f>
        <v>0</v>
      </c>
    </row>
    <row r="177" spans="1:6" ht="27.6">
      <c r="A177" s="69" t="s">
        <v>143</v>
      </c>
      <c r="B177" s="69"/>
      <c r="C177" s="69"/>
      <c r="D177" s="69"/>
      <c r="E177" s="69"/>
      <c r="F177" s="69"/>
    </row>
    <row r="178" spans="1:6" ht="27.6">
      <c r="A178" s="5"/>
      <c r="B178" s="73" t="s">
        <v>150</v>
      </c>
      <c r="C178" s="74"/>
      <c r="D178" s="74"/>
      <c r="E178" s="74"/>
      <c r="F178" s="5"/>
    </row>
    <row r="179" spans="1:6" ht="11.4">
      <c r="A179" s="6"/>
      <c r="B179" s="7" t="s">
        <v>2</v>
      </c>
      <c r="C179" s="8" t="s">
        <v>3</v>
      </c>
      <c r="D179" s="9" t="s">
        <v>4</v>
      </c>
      <c r="E179" s="10" t="s">
        <v>5</v>
      </c>
      <c r="F179" s="11" t="s">
        <v>6</v>
      </c>
    </row>
    <row r="180" spans="1:6" ht="11.4">
      <c r="A180" s="12"/>
      <c r="B180" s="13" t="s">
        <v>7</v>
      </c>
      <c r="C180" s="12"/>
      <c r="D180" s="14"/>
      <c r="E180" s="15"/>
      <c r="F180" s="16"/>
    </row>
    <row r="181" spans="1:6" ht="20.399999999999999">
      <c r="A181" s="6" t="s">
        <v>8</v>
      </c>
      <c r="B181" s="17" t="s">
        <v>9</v>
      </c>
      <c r="C181" s="6" t="s">
        <v>10</v>
      </c>
      <c r="D181" s="18">
        <v>1</v>
      </c>
      <c r="E181" s="19"/>
      <c r="F181" s="20">
        <f>+E181*D181</f>
        <v>0</v>
      </c>
    </row>
    <row r="182" spans="1:6" ht="30.6">
      <c r="A182" s="6" t="s">
        <v>11</v>
      </c>
      <c r="B182" s="7" t="s">
        <v>159</v>
      </c>
      <c r="C182" s="6" t="s">
        <v>12</v>
      </c>
      <c r="D182" s="18">
        <v>251</v>
      </c>
      <c r="E182" s="19"/>
      <c r="F182" s="20">
        <f>+E182*D182</f>
        <v>0</v>
      </c>
    </row>
    <row r="183" spans="1:6" ht="20.399999999999999">
      <c r="A183" s="6" t="s">
        <v>13</v>
      </c>
      <c r="B183" s="17" t="s">
        <v>14</v>
      </c>
      <c r="C183" s="6" t="s">
        <v>10</v>
      </c>
      <c r="D183" s="18">
        <v>1</v>
      </c>
      <c r="E183" s="19"/>
      <c r="F183" s="20">
        <f t="shared" ref="F183" si="18">+E183*D183</f>
        <v>0</v>
      </c>
    </row>
    <row r="184" spans="1:6" ht="11.4">
      <c r="A184" s="6"/>
      <c r="B184" s="21" t="s">
        <v>15</v>
      </c>
      <c r="C184" s="6"/>
      <c r="D184" s="18"/>
      <c r="E184" s="19"/>
      <c r="F184" s="22">
        <f>SUM(F181:F183)</f>
        <v>0</v>
      </c>
    </row>
    <row r="185" spans="1:6" ht="11.4">
      <c r="A185" s="1"/>
      <c r="B185" s="1"/>
      <c r="C185" s="1"/>
      <c r="D185" s="1"/>
      <c r="E185" s="1"/>
      <c r="F185" s="1"/>
    </row>
    <row r="186" spans="1:6" ht="11.4">
      <c r="A186" s="12"/>
      <c r="B186" s="13" t="s">
        <v>16</v>
      </c>
      <c r="C186" s="12"/>
      <c r="D186" s="14"/>
      <c r="E186" s="15"/>
      <c r="F186" s="16"/>
    </row>
    <row r="187" spans="1:6" ht="20.399999999999999">
      <c r="A187" s="6" t="s">
        <v>17</v>
      </c>
      <c r="B187" s="7" t="s">
        <v>18</v>
      </c>
      <c r="C187" s="6" t="s">
        <v>10</v>
      </c>
      <c r="D187" s="18">
        <v>1</v>
      </c>
      <c r="E187" s="19"/>
      <c r="F187" s="20">
        <f t="shared" ref="F187:F192" si="19">+E187*D187</f>
        <v>0</v>
      </c>
    </row>
    <row r="188" spans="1:6" ht="11.4">
      <c r="A188" s="6" t="s">
        <v>19</v>
      </c>
      <c r="B188" s="7" t="s">
        <v>20</v>
      </c>
      <c r="C188" s="6" t="s">
        <v>21</v>
      </c>
      <c r="D188" s="18">
        <f>29.04*0.8</f>
        <v>23.231999999999999</v>
      </c>
      <c r="E188" s="19"/>
      <c r="F188" s="20">
        <f t="shared" si="19"/>
        <v>0</v>
      </c>
    </row>
    <row r="189" spans="1:6" ht="30.6">
      <c r="A189" s="6" t="s">
        <v>22</v>
      </c>
      <c r="B189" s="7" t="s">
        <v>23</v>
      </c>
      <c r="C189" s="6" t="s">
        <v>21</v>
      </c>
      <c r="D189" s="18">
        <f>16.43*0.4</f>
        <v>6.5720000000000001</v>
      </c>
      <c r="E189" s="19"/>
      <c r="F189" s="20">
        <f t="shared" si="19"/>
        <v>0</v>
      </c>
    </row>
    <row r="190" spans="1:6" ht="20.399999999999999">
      <c r="A190" s="6" t="s">
        <v>24</v>
      </c>
      <c r="B190" s="7" t="s">
        <v>25</v>
      </c>
      <c r="C190" s="6" t="s">
        <v>12</v>
      </c>
      <c r="D190" s="18">
        <v>120.8</v>
      </c>
      <c r="E190" s="19"/>
      <c r="F190" s="20">
        <f t="shared" si="19"/>
        <v>0</v>
      </c>
    </row>
    <row r="191" spans="1:6" ht="20.399999999999999">
      <c r="A191" s="6" t="s">
        <v>26</v>
      </c>
      <c r="B191" s="7" t="s">
        <v>27</v>
      </c>
      <c r="C191" s="6" t="s">
        <v>21</v>
      </c>
      <c r="D191" s="18">
        <f>D189+D188</f>
        <v>29.803999999999998</v>
      </c>
      <c r="E191" s="19"/>
      <c r="F191" s="20">
        <f t="shared" si="19"/>
        <v>0</v>
      </c>
    </row>
    <row r="192" spans="1:6" ht="20.399999999999999">
      <c r="A192" s="6" t="s">
        <v>28</v>
      </c>
      <c r="B192" s="7" t="s">
        <v>29</v>
      </c>
      <c r="C192" s="6" t="s">
        <v>21</v>
      </c>
      <c r="D192" s="18">
        <f>(120*0.35)-D189-(D188/4)</f>
        <v>29.619999999999997</v>
      </c>
      <c r="E192" s="19"/>
      <c r="F192" s="20">
        <f t="shared" si="19"/>
        <v>0</v>
      </c>
    </row>
    <row r="193" spans="1:6" ht="11.4">
      <c r="A193" s="6"/>
      <c r="B193" s="21" t="s">
        <v>30</v>
      </c>
      <c r="C193" s="6"/>
      <c r="D193" s="18"/>
      <c r="E193" s="19"/>
      <c r="F193" s="22">
        <f>SUM(F187:F192)</f>
        <v>0</v>
      </c>
    </row>
    <row r="194" spans="1:6" ht="11.4">
      <c r="A194" s="1"/>
      <c r="B194" s="1"/>
      <c r="C194" s="1"/>
      <c r="D194" s="1"/>
      <c r="E194" s="1"/>
      <c r="F194" s="1"/>
    </row>
    <row r="195" spans="1:6" ht="11.4">
      <c r="A195" s="12"/>
      <c r="B195" s="13" t="s">
        <v>31</v>
      </c>
      <c r="C195" s="12"/>
      <c r="D195" s="14"/>
      <c r="E195" s="15"/>
      <c r="F195" s="25"/>
    </row>
    <row r="196" spans="1:6" ht="21.75" customHeight="1">
      <c r="A196" s="70" t="s">
        <v>32</v>
      </c>
      <c r="B196" s="71"/>
      <c r="C196" s="71"/>
      <c r="D196" s="71"/>
      <c r="E196" s="71"/>
      <c r="F196" s="72"/>
    </row>
    <row r="197" spans="1:6" ht="11.4">
      <c r="A197" s="6" t="s">
        <v>33</v>
      </c>
      <c r="B197" s="7" t="s">
        <v>34</v>
      </c>
      <c r="C197" s="6" t="s">
        <v>21</v>
      </c>
      <c r="D197" s="18">
        <f>29.04*0.05</f>
        <v>1.452</v>
      </c>
      <c r="E197" s="19"/>
      <c r="F197" s="20">
        <f>E197*D197</f>
        <v>0</v>
      </c>
    </row>
    <row r="198" spans="1:6" ht="20.399999999999999">
      <c r="A198" s="6" t="s">
        <v>35</v>
      </c>
      <c r="B198" s="7" t="s">
        <v>36</v>
      </c>
      <c r="C198" s="6" t="s">
        <v>21</v>
      </c>
      <c r="D198" s="18">
        <f>16.43*0.05</f>
        <v>0.82150000000000001</v>
      </c>
      <c r="E198" s="19"/>
      <c r="F198" s="20">
        <f t="shared" ref="F198:F209" si="20">E198*D198</f>
        <v>0</v>
      </c>
    </row>
    <row r="199" spans="1:6" ht="20.399999999999999">
      <c r="A199" s="6" t="s">
        <v>37</v>
      </c>
      <c r="B199" s="7" t="s">
        <v>38</v>
      </c>
      <c r="C199" s="6" t="s">
        <v>21</v>
      </c>
      <c r="D199" s="18">
        <f>16.43*0.4</f>
        <v>6.5720000000000001</v>
      </c>
      <c r="E199" s="19"/>
      <c r="F199" s="20">
        <f>E199*D199</f>
        <v>0</v>
      </c>
    </row>
    <row r="200" spans="1:6" ht="11.4">
      <c r="A200" s="6" t="s">
        <v>39</v>
      </c>
      <c r="B200" s="7" t="s">
        <v>40</v>
      </c>
      <c r="C200" s="6" t="s">
        <v>21</v>
      </c>
      <c r="D200" s="18">
        <f>(1*1.2*0.3*2)+(1*1.1*0.3*8)+(1*1*0.25*14)+(0.8*0.8*0.25*6)</f>
        <v>7.82</v>
      </c>
      <c r="E200" s="19"/>
      <c r="F200" s="20">
        <f>E200*D200</f>
        <v>0</v>
      </c>
    </row>
    <row r="201" spans="1:6" ht="21.6">
      <c r="A201" s="6" t="s">
        <v>41</v>
      </c>
      <c r="B201" s="7" t="s">
        <v>42</v>
      </c>
      <c r="C201" s="6" t="s">
        <v>21</v>
      </c>
      <c r="D201" s="18">
        <f>(58.5*0.15*0.2)+(9.475*0.15*0.15)+(4.6*0.2*0.1)</f>
        <v>2.0601875000000001</v>
      </c>
      <c r="E201" s="19"/>
      <c r="F201" s="20">
        <f t="shared" si="20"/>
        <v>0</v>
      </c>
    </row>
    <row r="202" spans="1:6" ht="11.4">
      <c r="A202" s="6" t="s">
        <v>43</v>
      </c>
      <c r="B202" s="7" t="s">
        <v>44</v>
      </c>
      <c r="C202" s="6" t="s">
        <v>21</v>
      </c>
      <c r="D202" s="18">
        <f>63.1*0.15*0.2</f>
        <v>1.893</v>
      </c>
      <c r="E202" s="19"/>
      <c r="F202" s="20">
        <f t="shared" si="20"/>
        <v>0</v>
      </c>
    </row>
    <row r="203" spans="1:6" ht="21.6">
      <c r="A203" s="6" t="s">
        <v>45</v>
      </c>
      <c r="B203" s="7" t="s">
        <v>46</v>
      </c>
      <c r="C203" s="6" t="s">
        <v>21</v>
      </c>
      <c r="D203" s="18">
        <f>22.2*0.15*0.2</f>
        <v>0.66599999999999993</v>
      </c>
      <c r="E203" s="19"/>
      <c r="F203" s="20">
        <f>E203*D203</f>
        <v>0</v>
      </c>
    </row>
    <row r="204" spans="1:6" ht="11.4">
      <c r="A204" s="6" t="s">
        <v>47</v>
      </c>
      <c r="B204" s="7" t="s">
        <v>48</v>
      </c>
      <c r="C204" s="6" t="s">
        <v>21</v>
      </c>
      <c r="D204" s="18">
        <f>(0.15*0.3*4.45*10)+(0.15*0.55*4.95*8)+(0.2*0.55*4.95*2)+(0.15*0.2*5.1*4)+(0.15*0.15*1.225*6)</f>
        <v>7.1358750000000013</v>
      </c>
      <c r="E204" s="19"/>
      <c r="F204" s="20">
        <f t="shared" ref="F204:F206" si="21">E204*D204</f>
        <v>0</v>
      </c>
    </row>
    <row r="205" spans="1:6" ht="11.4">
      <c r="A205" s="6" t="s">
        <v>49</v>
      </c>
      <c r="B205" s="7" t="s">
        <v>50</v>
      </c>
      <c r="C205" s="6" t="s">
        <v>21</v>
      </c>
      <c r="D205" s="18">
        <f>5.8*0.15*0.3</f>
        <v>0.26100000000000001</v>
      </c>
      <c r="E205" s="19"/>
      <c r="F205" s="20">
        <f t="shared" si="21"/>
        <v>0</v>
      </c>
    </row>
    <row r="206" spans="1:6" ht="30.6">
      <c r="A206" s="6" t="s">
        <v>51</v>
      </c>
      <c r="B206" s="7" t="s">
        <v>52</v>
      </c>
      <c r="C206" s="6" t="s">
        <v>21</v>
      </c>
      <c r="D206" s="18">
        <f>120*0.1</f>
        <v>12</v>
      </c>
      <c r="E206" s="19"/>
      <c r="F206" s="20">
        <f t="shared" si="21"/>
        <v>0</v>
      </c>
    </row>
    <row r="207" spans="1:6" ht="20.399999999999999">
      <c r="A207" s="6" t="s">
        <v>53</v>
      </c>
      <c r="B207" s="7" t="s">
        <v>54</v>
      </c>
      <c r="C207" s="6" t="s">
        <v>21</v>
      </c>
      <c r="D207" s="18">
        <f>16.68*0.1</f>
        <v>1.6680000000000001</v>
      </c>
      <c r="E207" s="19"/>
      <c r="F207" s="20">
        <f t="shared" si="20"/>
        <v>0</v>
      </c>
    </row>
    <row r="208" spans="1:6" ht="20.399999999999999">
      <c r="A208" s="6" t="s">
        <v>55</v>
      </c>
      <c r="B208" s="7" t="s">
        <v>56</v>
      </c>
      <c r="C208" s="6" t="s">
        <v>21</v>
      </c>
      <c r="D208" s="18">
        <f>(2.05*2+2.1*2)*0.15*0.2+(0.83*2+0.82*2)*0.1+(1.2*0.15*0.2)+(0.24*2*0.1)</f>
        <v>0.66300000000000014</v>
      </c>
      <c r="E208" s="19"/>
      <c r="F208" s="20">
        <f t="shared" si="20"/>
        <v>0</v>
      </c>
    </row>
    <row r="209" spans="1:6" ht="11.4">
      <c r="A209" s="6" t="s">
        <v>57</v>
      </c>
      <c r="B209" s="7" t="s">
        <v>60</v>
      </c>
      <c r="C209" s="6" t="s">
        <v>21</v>
      </c>
      <c r="D209" s="18">
        <v>0.5</v>
      </c>
      <c r="E209" s="19"/>
      <c r="F209" s="20">
        <f t="shared" si="20"/>
        <v>0</v>
      </c>
    </row>
    <row r="210" spans="1:6" ht="11.4">
      <c r="A210" s="6"/>
      <c r="B210" s="21" t="s">
        <v>61</v>
      </c>
      <c r="C210" s="6"/>
      <c r="D210" s="18"/>
      <c r="E210" s="19"/>
      <c r="F210" s="26">
        <f>SUM(F197:F209)</f>
        <v>0</v>
      </c>
    </row>
    <row r="211" spans="1:6" ht="11.4">
      <c r="A211" s="1"/>
      <c r="B211" s="1"/>
      <c r="C211" s="1"/>
      <c r="D211" s="1"/>
      <c r="E211" s="1"/>
      <c r="F211" s="1"/>
    </row>
    <row r="212" spans="1:6" ht="11.4">
      <c r="A212" s="12"/>
      <c r="B212" s="13" t="s">
        <v>62</v>
      </c>
      <c r="C212" s="12"/>
      <c r="D212" s="14"/>
      <c r="E212" s="15"/>
      <c r="F212" s="16"/>
    </row>
    <row r="213" spans="1:6" ht="11.4">
      <c r="A213" s="6" t="s">
        <v>63</v>
      </c>
      <c r="B213" s="7" t="s">
        <v>142</v>
      </c>
      <c r="C213" s="6" t="s">
        <v>65</v>
      </c>
      <c r="D213" s="18">
        <f>61.4*0.45+9.4*0.25</f>
        <v>29.98</v>
      </c>
      <c r="E213" s="19"/>
      <c r="F213" s="20">
        <f>E213*D213</f>
        <v>0</v>
      </c>
    </row>
    <row r="214" spans="1:6" ht="11.4">
      <c r="A214" s="6" t="s">
        <v>66</v>
      </c>
      <c r="B214" s="7" t="s">
        <v>67</v>
      </c>
      <c r="C214" s="6" t="s">
        <v>65</v>
      </c>
      <c r="D214" s="18">
        <f>3.66*2+34*2+23.55*2</f>
        <v>122.41999999999999</v>
      </c>
      <c r="E214" s="19"/>
      <c r="F214" s="20">
        <f t="shared" ref="F214:F219" si="22">E214*D214</f>
        <v>0</v>
      </c>
    </row>
    <row r="215" spans="1:6" ht="20.399999999999999">
      <c r="A215" s="6" t="s">
        <v>68</v>
      </c>
      <c r="B215" s="7" t="s">
        <v>69</v>
      </c>
      <c r="C215" s="6" t="s">
        <v>65</v>
      </c>
      <c r="D215" s="18">
        <f>19.7*2+3.85*2+34*2+19.6</f>
        <v>134.69999999999999</v>
      </c>
      <c r="E215" s="19"/>
      <c r="F215" s="20">
        <f t="shared" si="22"/>
        <v>0</v>
      </c>
    </row>
    <row r="216" spans="1:6" ht="20.399999999999999">
      <c r="A216" s="6" t="s">
        <v>70</v>
      </c>
      <c r="B216" s="7" t="s">
        <v>71</v>
      </c>
      <c r="C216" s="6" t="s">
        <v>65</v>
      </c>
      <c r="D216" s="18">
        <f>32.8*2+40.72*2+3.66*4+3.03*4+14.8</f>
        <v>188.60000000000002</v>
      </c>
      <c r="E216" s="19"/>
      <c r="F216" s="20">
        <f t="shared" si="22"/>
        <v>0</v>
      </c>
    </row>
    <row r="217" spans="1:6" ht="11.4">
      <c r="A217" s="6" t="s">
        <v>72</v>
      </c>
      <c r="B217" s="7" t="s">
        <v>73</v>
      </c>
      <c r="C217" s="6" t="s">
        <v>65</v>
      </c>
      <c r="D217" s="18">
        <f>7*2</f>
        <v>14</v>
      </c>
      <c r="E217" s="19"/>
      <c r="F217" s="20">
        <f t="shared" si="22"/>
        <v>0</v>
      </c>
    </row>
    <row r="218" spans="1:6" ht="11.4">
      <c r="A218" s="6" t="s">
        <v>74</v>
      </c>
      <c r="B218" s="7" t="s">
        <v>75</v>
      </c>
      <c r="C218" s="6" t="s">
        <v>76</v>
      </c>
      <c r="D218" s="18">
        <f>0.9*3*10</f>
        <v>27</v>
      </c>
      <c r="E218" s="19"/>
      <c r="F218" s="20">
        <f t="shared" si="22"/>
        <v>0</v>
      </c>
    </row>
    <row r="219" spans="1:6" ht="11.4">
      <c r="A219" s="6" t="s">
        <v>77</v>
      </c>
      <c r="B219" s="7" t="s">
        <v>78</v>
      </c>
      <c r="C219" s="6" t="s">
        <v>79</v>
      </c>
      <c r="D219" s="18">
        <v>18</v>
      </c>
      <c r="E219" s="19"/>
      <c r="F219" s="20">
        <f t="shared" si="22"/>
        <v>0</v>
      </c>
    </row>
    <row r="220" spans="1:6" ht="11.4">
      <c r="A220" s="6"/>
      <c r="B220" s="21" t="s">
        <v>80</v>
      </c>
      <c r="C220" s="6"/>
      <c r="D220" s="18"/>
      <c r="E220" s="19"/>
      <c r="F220" s="22">
        <f>SUM(F213:F219)</f>
        <v>0</v>
      </c>
    </row>
    <row r="221" spans="1:6" ht="11.4">
      <c r="A221" s="1"/>
      <c r="B221" s="1"/>
      <c r="C221" s="1"/>
      <c r="D221" s="1"/>
      <c r="E221" s="1"/>
      <c r="F221" s="1"/>
    </row>
    <row r="222" spans="1:6" ht="11.4">
      <c r="A222" s="12"/>
      <c r="B222" s="13" t="s">
        <v>81</v>
      </c>
      <c r="C222" s="31"/>
      <c r="D222" s="32"/>
      <c r="E222" s="33"/>
      <c r="F222" s="34"/>
    </row>
    <row r="223" spans="1:6" ht="40.799999999999997">
      <c r="A223" s="6" t="s">
        <v>82</v>
      </c>
      <c r="B223" s="17" t="s">
        <v>83</v>
      </c>
      <c r="C223" s="6" t="s">
        <v>65</v>
      </c>
      <c r="D223" s="18">
        <f>60.7*2</f>
        <v>121.4</v>
      </c>
      <c r="E223" s="19"/>
      <c r="F223" s="20">
        <f t="shared" ref="F223:F232" si="23">E223*D223</f>
        <v>0</v>
      </c>
    </row>
    <row r="224" spans="1:6" ht="20.399999999999999">
      <c r="A224" s="6" t="s">
        <v>84</v>
      </c>
      <c r="B224" s="17" t="s">
        <v>144</v>
      </c>
      <c r="C224" s="6" t="s">
        <v>76</v>
      </c>
      <c r="D224" s="18">
        <v>10</v>
      </c>
      <c r="E224" s="19"/>
      <c r="F224" s="20">
        <f t="shared" si="23"/>
        <v>0</v>
      </c>
    </row>
    <row r="225" spans="1:6" ht="20.399999999999999">
      <c r="A225" s="6" t="s">
        <v>86</v>
      </c>
      <c r="B225" s="7" t="s">
        <v>167</v>
      </c>
      <c r="C225" s="6" t="s">
        <v>87</v>
      </c>
      <c r="D225" s="18">
        <v>1</v>
      </c>
      <c r="E225" s="19"/>
      <c r="F225" s="20">
        <f t="shared" si="23"/>
        <v>0</v>
      </c>
    </row>
    <row r="226" spans="1:6" ht="20.399999999999999">
      <c r="A226" s="6" t="s">
        <v>88</v>
      </c>
      <c r="B226" s="7" t="s">
        <v>166</v>
      </c>
      <c r="C226" s="6" t="s">
        <v>76</v>
      </c>
      <c r="D226" s="18">
        <f>2.6*4</f>
        <v>10.4</v>
      </c>
      <c r="E226" s="19"/>
      <c r="F226" s="20">
        <f t="shared" si="23"/>
        <v>0</v>
      </c>
    </row>
    <row r="227" spans="1:6" ht="20.399999999999999">
      <c r="A227" s="6" t="s">
        <v>89</v>
      </c>
      <c r="B227" s="7" t="s">
        <v>145</v>
      </c>
      <c r="C227" s="6" t="s">
        <v>76</v>
      </c>
      <c r="D227" s="18">
        <f>10*14</f>
        <v>140</v>
      </c>
      <c r="E227" s="19"/>
      <c r="F227" s="20">
        <f t="shared" si="23"/>
        <v>0</v>
      </c>
    </row>
    <row r="228" spans="1:6" ht="20.399999999999999">
      <c r="A228" s="6" t="s">
        <v>90</v>
      </c>
      <c r="B228" s="7" t="s">
        <v>91</v>
      </c>
      <c r="C228" s="6" t="s">
        <v>76</v>
      </c>
      <c r="D228" s="18">
        <f>45*2</f>
        <v>90</v>
      </c>
      <c r="E228" s="19"/>
      <c r="F228" s="20">
        <f t="shared" si="23"/>
        <v>0</v>
      </c>
    </row>
    <row r="229" spans="1:6" ht="20.399999999999999">
      <c r="A229" s="6" t="s">
        <v>92</v>
      </c>
      <c r="B229" s="7" t="s">
        <v>146</v>
      </c>
      <c r="C229" s="6" t="s">
        <v>76</v>
      </c>
      <c r="D229" s="18">
        <f>45</f>
        <v>45</v>
      </c>
      <c r="E229" s="19"/>
      <c r="F229" s="20">
        <f t="shared" si="23"/>
        <v>0</v>
      </c>
    </row>
    <row r="230" spans="1:6" ht="30.6">
      <c r="A230" s="6" t="s">
        <v>94</v>
      </c>
      <c r="B230" s="7" t="s">
        <v>95</v>
      </c>
      <c r="C230" s="6" t="s">
        <v>79</v>
      </c>
      <c r="D230" s="18">
        <f>14*2</f>
        <v>28</v>
      </c>
      <c r="E230" s="19"/>
      <c r="F230" s="20">
        <f t="shared" si="23"/>
        <v>0</v>
      </c>
    </row>
    <row r="231" spans="1:6" ht="30.6">
      <c r="A231" s="6" t="s">
        <v>96</v>
      </c>
      <c r="B231" s="7" t="s">
        <v>97</v>
      </c>
      <c r="C231" s="6" t="s">
        <v>79</v>
      </c>
      <c r="D231" s="18">
        <v>6</v>
      </c>
      <c r="E231" s="19"/>
      <c r="F231" s="20">
        <f t="shared" si="23"/>
        <v>0</v>
      </c>
    </row>
    <row r="232" spans="1:6" ht="20.399999999999999">
      <c r="A232" s="6" t="s">
        <v>98</v>
      </c>
      <c r="B232" s="7" t="s">
        <v>99</v>
      </c>
      <c r="C232" s="6" t="s">
        <v>79</v>
      </c>
      <c r="D232" s="18">
        <v>10</v>
      </c>
      <c r="E232" s="19"/>
      <c r="F232" s="20">
        <f t="shared" si="23"/>
        <v>0</v>
      </c>
    </row>
    <row r="233" spans="1:6" ht="11.4">
      <c r="A233" s="6"/>
      <c r="B233" s="21" t="s">
        <v>100</v>
      </c>
      <c r="C233" s="6"/>
      <c r="D233" s="18"/>
      <c r="E233" s="19"/>
      <c r="F233" s="26">
        <f>SUM(F223:F232)</f>
        <v>0</v>
      </c>
    </row>
    <row r="234" spans="1:6" ht="11.4">
      <c r="A234" s="1"/>
      <c r="B234" s="1"/>
      <c r="C234" s="1"/>
      <c r="D234" s="1"/>
      <c r="E234" s="1"/>
      <c r="F234" s="1"/>
    </row>
    <row r="235" spans="1:6" ht="11.4">
      <c r="A235" s="12"/>
      <c r="B235" s="13" t="s">
        <v>101</v>
      </c>
      <c r="C235" s="12"/>
      <c r="D235" s="14"/>
      <c r="E235" s="15"/>
      <c r="F235" s="35"/>
    </row>
    <row r="236" spans="1:6" ht="91.8">
      <c r="A236" s="36"/>
      <c r="B236" s="37" t="s">
        <v>102</v>
      </c>
      <c r="C236" s="36"/>
      <c r="D236" s="38"/>
      <c r="E236" s="39"/>
      <c r="F236" s="40"/>
    </row>
    <row r="237" spans="1:6" ht="30.6">
      <c r="A237" s="6" t="s">
        <v>103</v>
      </c>
      <c r="B237" s="7" t="s">
        <v>147</v>
      </c>
      <c r="C237" s="41" t="s">
        <v>79</v>
      </c>
      <c r="D237" s="18">
        <v>10</v>
      </c>
      <c r="E237" s="19"/>
      <c r="F237" s="20">
        <f t="shared" ref="F237:F240" si="24">E237*D237</f>
        <v>0</v>
      </c>
    </row>
    <row r="238" spans="1:6" ht="30.6">
      <c r="A238" s="6" t="s">
        <v>105</v>
      </c>
      <c r="B238" s="7" t="s">
        <v>164</v>
      </c>
      <c r="C238" s="41" t="s">
        <v>79</v>
      </c>
      <c r="D238" s="18">
        <v>1</v>
      </c>
      <c r="E238" s="19"/>
      <c r="F238" s="20">
        <f t="shared" si="24"/>
        <v>0</v>
      </c>
    </row>
    <row r="239" spans="1:6" ht="30.6">
      <c r="A239" s="6" t="s">
        <v>106</v>
      </c>
      <c r="B239" s="7" t="s">
        <v>165</v>
      </c>
      <c r="C239" s="41" t="s">
        <v>79</v>
      </c>
      <c r="D239" s="18">
        <v>1</v>
      </c>
      <c r="E239" s="19"/>
      <c r="F239" s="20">
        <f t="shared" si="24"/>
        <v>0</v>
      </c>
    </row>
    <row r="240" spans="1:6" ht="20.399999999999999">
      <c r="A240" s="6" t="s">
        <v>107</v>
      </c>
      <c r="B240" s="7" t="s">
        <v>108</v>
      </c>
      <c r="C240" s="41" t="s">
        <v>79</v>
      </c>
      <c r="D240" s="18">
        <v>4</v>
      </c>
      <c r="E240" s="19"/>
      <c r="F240" s="20">
        <f t="shared" si="24"/>
        <v>0</v>
      </c>
    </row>
    <row r="241" spans="1:6" ht="11.4">
      <c r="A241" s="6" t="s">
        <v>109</v>
      </c>
      <c r="B241" s="7" t="s">
        <v>113</v>
      </c>
      <c r="C241" s="41" t="s">
        <v>76</v>
      </c>
      <c r="D241" s="18">
        <v>13</v>
      </c>
      <c r="E241" s="19"/>
      <c r="F241" s="20">
        <f>+E241*D241</f>
        <v>0</v>
      </c>
    </row>
    <row r="242" spans="1:6" ht="20.399999999999999">
      <c r="A242" s="6" t="s">
        <v>112</v>
      </c>
      <c r="B242" s="7" t="s">
        <v>115</v>
      </c>
      <c r="C242" s="41" t="s">
        <v>12</v>
      </c>
      <c r="D242" s="18">
        <f>16*0.6*0.4</f>
        <v>3.84</v>
      </c>
      <c r="E242" s="19"/>
      <c r="F242" s="20">
        <f t="shared" ref="F242" si="25">E242*D242</f>
        <v>0</v>
      </c>
    </row>
    <row r="243" spans="1:6" ht="11.4">
      <c r="A243" s="6"/>
      <c r="B243" s="21" t="s">
        <v>116</v>
      </c>
      <c r="C243" s="6"/>
      <c r="D243" s="42"/>
      <c r="E243" s="19"/>
      <c r="F243" s="26">
        <f>SUM(F237:F242)</f>
        <v>0</v>
      </c>
    </row>
    <row r="244" spans="1:6" ht="11.4">
      <c r="A244" s="1"/>
      <c r="B244" s="1"/>
      <c r="C244" s="1"/>
      <c r="D244" s="1"/>
      <c r="E244" s="1"/>
      <c r="F244" s="1"/>
    </row>
    <row r="245" spans="1:6" ht="11.4">
      <c r="A245" s="12"/>
      <c r="B245" s="13" t="s">
        <v>117</v>
      </c>
      <c r="C245" s="12"/>
      <c r="D245" s="14"/>
      <c r="E245" s="15"/>
      <c r="F245" s="16"/>
    </row>
    <row r="246" spans="1:6" ht="11.4">
      <c r="A246" s="6" t="s">
        <v>118</v>
      </c>
      <c r="B246" s="7" t="s">
        <v>119</v>
      </c>
      <c r="C246" s="6" t="s">
        <v>65</v>
      </c>
      <c r="D246" s="18">
        <f>22*2+13.15*2+18</f>
        <v>88.3</v>
      </c>
      <c r="E246" s="19"/>
      <c r="F246" s="20">
        <f t="shared" ref="F246:F251" si="26">E246*D246</f>
        <v>0</v>
      </c>
    </row>
    <row r="247" spans="1:6" ht="30.6">
      <c r="A247" s="6" t="s">
        <v>120</v>
      </c>
      <c r="B247" s="7" t="s">
        <v>121</v>
      </c>
      <c r="C247" s="6" t="s">
        <v>65</v>
      </c>
      <c r="D247" s="18">
        <f>22*2+13.15*2+18+26.3</f>
        <v>114.6</v>
      </c>
      <c r="E247" s="19"/>
      <c r="F247" s="20">
        <f t="shared" si="26"/>
        <v>0</v>
      </c>
    </row>
    <row r="248" spans="1:6" ht="20.399999999999999">
      <c r="A248" s="6" t="s">
        <v>122</v>
      </c>
      <c r="B248" s="7" t="s">
        <v>123</v>
      </c>
      <c r="C248" s="6" t="s">
        <v>65</v>
      </c>
      <c r="D248" s="18">
        <f>14.06*2+8.94*2</f>
        <v>46</v>
      </c>
      <c r="E248" s="19"/>
      <c r="F248" s="20">
        <f t="shared" si="26"/>
        <v>0</v>
      </c>
    </row>
    <row r="249" spans="1:6" ht="30.6">
      <c r="A249" s="6" t="s">
        <v>124</v>
      </c>
      <c r="B249" s="7" t="s">
        <v>163</v>
      </c>
      <c r="C249" s="6" t="s">
        <v>65</v>
      </c>
      <c r="D249" s="18">
        <f>+D216-26.3</f>
        <v>162.30000000000001</v>
      </c>
      <c r="E249" s="19"/>
      <c r="F249" s="20">
        <f t="shared" si="26"/>
        <v>0</v>
      </c>
    </row>
    <row r="250" spans="1:6" ht="11.4">
      <c r="A250" s="6" t="s">
        <v>125</v>
      </c>
      <c r="B250" s="7" t="s">
        <v>126</v>
      </c>
      <c r="C250" s="6" t="s">
        <v>10</v>
      </c>
      <c r="D250" s="18">
        <v>1</v>
      </c>
      <c r="E250" s="19"/>
      <c r="F250" s="20">
        <f t="shared" si="26"/>
        <v>0</v>
      </c>
    </row>
    <row r="251" spans="1:6" ht="11.4">
      <c r="A251" s="6" t="s">
        <v>127</v>
      </c>
      <c r="B251" s="7" t="s">
        <v>128</v>
      </c>
      <c r="C251" s="6" t="s">
        <v>65</v>
      </c>
      <c r="D251" s="18">
        <f>7*2</f>
        <v>14</v>
      </c>
      <c r="E251" s="19"/>
      <c r="F251" s="20">
        <f t="shared" si="26"/>
        <v>0</v>
      </c>
    </row>
    <row r="252" spans="1:6" ht="11.4">
      <c r="A252" s="6"/>
      <c r="B252" s="21" t="s">
        <v>148</v>
      </c>
      <c r="C252" s="6"/>
      <c r="D252" s="18"/>
      <c r="E252" s="19"/>
      <c r="F252" s="26">
        <f>SUM(F246:F251)</f>
        <v>0</v>
      </c>
    </row>
    <row r="253" spans="1:6" ht="11.4">
      <c r="A253" s="1"/>
      <c r="B253" s="1"/>
      <c r="C253" s="1"/>
      <c r="D253" s="1"/>
      <c r="E253" s="1"/>
      <c r="F253" s="1"/>
    </row>
    <row r="254" spans="1:6" ht="11.4">
      <c r="A254" s="50">
        <v>0</v>
      </c>
      <c r="B254" s="58" t="s">
        <v>135</v>
      </c>
      <c r="C254" s="58"/>
      <c r="D254" s="58"/>
      <c r="E254" s="58"/>
      <c r="F254" s="22">
        <f>F184</f>
        <v>0</v>
      </c>
    </row>
    <row r="255" spans="1:6" ht="11.4">
      <c r="A255" s="50">
        <v>1</v>
      </c>
      <c r="B255" s="58" t="s">
        <v>136</v>
      </c>
      <c r="C255" s="58"/>
      <c r="D255" s="58"/>
      <c r="E255" s="58"/>
      <c r="F255" s="22">
        <f>+F193</f>
        <v>0</v>
      </c>
    </row>
    <row r="256" spans="1:6" ht="11.4">
      <c r="A256" s="50">
        <v>2</v>
      </c>
      <c r="B256" s="59" t="s">
        <v>137</v>
      </c>
      <c r="C256" s="60"/>
      <c r="D256" s="60"/>
      <c r="E256" s="61"/>
      <c r="F256" s="22">
        <f>+F210</f>
        <v>0</v>
      </c>
    </row>
    <row r="257" spans="1:6" ht="11.4">
      <c r="A257" s="50">
        <v>3</v>
      </c>
      <c r="B257" s="59" t="s">
        <v>138</v>
      </c>
      <c r="C257" s="60"/>
      <c r="D257" s="60"/>
      <c r="E257" s="61"/>
      <c r="F257" s="22">
        <f>+F220</f>
        <v>0</v>
      </c>
    </row>
    <row r="258" spans="1:6" ht="11.4">
      <c r="A258" s="50">
        <v>4</v>
      </c>
      <c r="B258" s="59" t="s">
        <v>139</v>
      </c>
      <c r="C258" s="60"/>
      <c r="D258" s="60"/>
      <c r="E258" s="61"/>
      <c r="F258" s="27">
        <f>F233</f>
        <v>0</v>
      </c>
    </row>
    <row r="259" spans="1:6" ht="11.4">
      <c r="A259" s="50">
        <v>5</v>
      </c>
      <c r="B259" s="59" t="s">
        <v>162</v>
      </c>
      <c r="C259" s="60"/>
      <c r="D259" s="60"/>
      <c r="E259" s="61"/>
      <c r="F259" s="22">
        <f>+F243</f>
        <v>0</v>
      </c>
    </row>
    <row r="260" spans="1:6" ht="11.4">
      <c r="A260" s="50">
        <v>6</v>
      </c>
      <c r="B260" s="59" t="s">
        <v>161</v>
      </c>
      <c r="C260" s="60"/>
      <c r="D260" s="60"/>
      <c r="E260" s="61"/>
      <c r="F260" s="22">
        <f>+F252</f>
        <v>0</v>
      </c>
    </row>
    <row r="261" spans="1:6" ht="11.4">
      <c r="A261" s="51"/>
      <c r="B261" s="62" t="s">
        <v>140</v>
      </c>
      <c r="C261" s="63"/>
      <c r="D261" s="63"/>
      <c r="E261" s="64"/>
      <c r="F261" s="52">
        <f>SUM(F254:F260)</f>
        <v>0</v>
      </c>
    </row>
    <row r="263" spans="1:6" ht="23.4" customHeight="1">
      <c r="A263" s="69" t="s">
        <v>143</v>
      </c>
      <c r="B263" s="69"/>
      <c r="C263" s="69"/>
      <c r="D263" s="69"/>
      <c r="E263" s="69"/>
      <c r="F263" s="69"/>
    </row>
    <row r="264" spans="1:6" ht="27.6">
      <c r="A264" s="5"/>
      <c r="B264" s="73" t="s">
        <v>151</v>
      </c>
      <c r="C264" s="73"/>
      <c r="D264" s="73"/>
      <c r="E264" s="73"/>
      <c r="F264" s="5"/>
    </row>
    <row r="265" spans="1:6" ht="11.4">
      <c r="A265" s="6"/>
      <c r="B265" s="7" t="s">
        <v>2</v>
      </c>
      <c r="C265" s="8" t="s">
        <v>3</v>
      </c>
      <c r="D265" s="9" t="s">
        <v>4</v>
      </c>
      <c r="E265" s="10" t="s">
        <v>5</v>
      </c>
      <c r="F265" s="11" t="s">
        <v>6</v>
      </c>
    </row>
    <row r="266" spans="1:6" ht="11.4">
      <c r="A266" s="12"/>
      <c r="B266" s="13" t="s">
        <v>7</v>
      </c>
      <c r="C266" s="12"/>
      <c r="D266" s="14"/>
      <c r="E266" s="15"/>
      <c r="F266" s="16"/>
    </row>
    <row r="267" spans="1:6" ht="20.399999999999999">
      <c r="A267" s="6" t="s">
        <v>8</v>
      </c>
      <c r="B267" s="17" t="s">
        <v>9</v>
      </c>
      <c r="C267" s="6" t="s">
        <v>10</v>
      </c>
      <c r="D267" s="18">
        <v>1</v>
      </c>
      <c r="E267" s="19"/>
      <c r="F267" s="20">
        <f>+E267*D267</f>
        <v>0</v>
      </c>
    </row>
    <row r="268" spans="1:6" ht="30.6">
      <c r="A268" s="6" t="s">
        <v>11</v>
      </c>
      <c r="B268" s="7" t="s">
        <v>159</v>
      </c>
      <c r="C268" s="6" t="s">
        <v>12</v>
      </c>
      <c r="D268" s="18">
        <v>251</v>
      </c>
      <c r="E268" s="19"/>
      <c r="F268" s="20">
        <f>+E268*D268</f>
        <v>0</v>
      </c>
    </row>
    <row r="269" spans="1:6" ht="20.399999999999999">
      <c r="A269" s="6" t="s">
        <v>13</v>
      </c>
      <c r="B269" s="7" t="s">
        <v>158</v>
      </c>
      <c r="C269" s="6" t="s">
        <v>10</v>
      </c>
      <c r="D269" s="18">
        <v>1</v>
      </c>
      <c r="E269" s="19"/>
      <c r="F269" s="20">
        <f>+E269*D269</f>
        <v>0</v>
      </c>
    </row>
    <row r="270" spans="1:6" ht="20.399999999999999">
      <c r="A270" s="6" t="s">
        <v>153</v>
      </c>
      <c r="B270" s="7" t="s">
        <v>157</v>
      </c>
      <c r="C270" s="6" t="s">
        <v>87</v>
      </c>
      <c r="D270" s="18">
        <v>5</v>
      </c>
      <c r="E270" s="19"/>
      <c r="F270" s="20">
        <f>+E270*D270</f>
        <v>0</v>
      </c>
    </row>
    <row r="271" spans="1:6" ht="20.399999999999999">
      <c r="A271" s="6" t="s">
        <v>154</v>
      </c>
      <c r="B271" s="17" t="s">
        <v>14</v>
      </c>
      <c r="C271" s="6" t="s">
        <v>10</v>
      </c>
      <c r="D271" s="18">
        <v>1</v>
      </c>
      <c r="E271" s="19"/>
      <c r="F271" s="20">
        <f t="shared" ref="F271" si="27">+E271*D271</f>
        <v>0</v>
      </c>
    </row>
    <row r="272" spans="1:6" ht="11.4">
      <c r="A272" s="6"/>
      <c r="B272" s="21" t="s">
        <v>15</v>
      </c>
      <c r="C272" s="6"/>
      <c r="D272" s="18"/>
      <c r="E272" s="19"/>
      <c r="F272" s="22">
        <f>SUM(F267:F271)</f>
        <v>0</v>
      </c>
    </row>
    <row r="273" spans="1:6" ht="11.4">
      <c r="A273" s="1"/>
      <c r="B273" s="1"/>
      <c r="C273" s="1"/>
      <c r="D273" s="1"/>
      <c r="E273" s="1"/>
      <c r="F273" s="1"/>
    </row>
    <row r="274" spans="1:6" ht="11.4">
      <c r="A274" s="12"/>
      <c r="B274" s="13" t="s">
        <v>16</v>
      </c>
      <c r="C274" s="12"/>
      <c r="D274" s="14"/>
      <c r="E274" s="15"/>
      <c r="F274" s="16"/>
    </row>
    <row r="275" spans="1:6" ht="20.399999999999999">
      <c r="A275" s="6" t="s">
        <v>17</v>
      </c>
      <c r="B275" s="7" t="s">
        <v>18</v>
      </c>
      <c r="C275" s="6" t="s">
        <v>10</v>
      </c>
      <c r="D275" s="18">
        <v>1</v>
      </c>
      <c r="E275" s="19"/>
      <c r="F275" s="20">
        <f t="shared" ref="F275:F280" si="28">+E275*D275</f>
        <v>0</v>
      </c>
    </row>
    <row r="276" spans="1:6" ht="11.4">
      <c r="A276" s="6" t="s">
        <v>19</v>
      </c>
      <c r="B276" s="7" t="s">
        <v>20</v>
      </c>
      <c r="C276" s="6" t="s">
        <v>21</v>
      </c>
      <c r="D276" s="18">
        <f>29.04*0.8</f>
        <v>23.231999999999999</v>
      </c>
      <c r="E276" s="19"/>
      <c r="F276" s="20">
        <f t="shared" si="28"/>
        <v>0</v>
      </c>
    </row>
    <row r="277" spans="1:6" ht="30.6">
      <c r="A277" s="6" t="s">
        <v>22</v>
      </c>
      <c r="B277" s="7" t="s">
        <v>23</v>
      </c>
      <c r="C277" s="6" t="s">
        <v>21</v>
      </c>
      <c r="D277" s="18">
        <f>16.43*0.4</f>
        <v>6.5720000000000001</v>
      </c>
      <c r="E277" s="19"/>
      <c r="F277" s="20">
        <f t="shared" si="28"/>
        <v>0</v>
      </c>
    </row>
    <row r="278" spans="1:6" ht="20.399999999999999">
      <c r="A278" s="6" t="s">
        <v>24</v>
      </c>
      <c r="B278" s="7" t="s">
        <v>25</v>
      </c>
      <c r="C278" s="6" t="s">
        <v>12</v>
      </c>
      <c r="D278" s="18">
        <v>120.8</v>
      </c>
      <c r="E278" s="19"/>
      <c r="F278" s="20">
        <f t="shared" si="28"/>
        <v>0</v>
      </c>
    </row>
    <row r="279" spans="1:6" ht="20.399999999999999">
      <c r="A279" s="6" t="s">
        <v>26</v>
      </c>
      <c r="B279" s="7" t="s">
        <v>27</v>
      </c>
      <c r="C279" s="6" t="s">
        <v>21</v>
      </c>
      <c r="D279" s="18">
        <f>D277+D276</f>
        <v>29.803999999999998</v>
      </c>
      <c r="E279" s="19"/>
      <c r="F279" s="20">
        <f t="shared" si="28"/>
        <v>0</v>
      </c>
    </row>
    <row r="280" spans="1:6" ht="20.399999999999999">
      <c r="A280" s="6" t="s">
        <v>28</v>
      </c>
      <c r="B280" s="7" t="s">
        <v>29</v>
      </c>
      <c r="C280" s="6" t="s">
        <v>21</v>
      </c>
      <c r="D280" s="18">
        <f>(120*0.35)-D277-(D276/4)</f>
        <v>29.619999999999997</v>
      </c>
      <c r="E280" s="19"/>
      <c r="F280" s="20">
        <f t="shared" si="28"/>
        <v>0</v>
      </c>
    </row>
    <row r="281" spans="1:6" ht="11.4">
      <c r="A281" s="6"/>
      <c r="B281" s="21" t="s">
        <v>30</v>
      </c>
      <c r="C281" s="6"/>
      <c r="D281" s="18"/>
      <c r="E281" s="19"/>
      <c r="F281" s="22">
        <f>SUM(F275:F280)</f>
        <v>0</v>
      </c>
    </row>
    <row r="282" spans="1:6" ht="11.4">
      <c r="A282" s="1"/>
      <c r="B282" s="1"/>
      <c r="C282" s="1"/>
      <c r="D282" s="1"/>
      <c r="E282" s="1"/>
      <c r="F282" s="1"/>
    </row>
    <row r="283" spans="1:6" ht="11.4">
      <c r="A283" s="12"/>
      <c r="B283" s="13" t="s">
        <v>31</v>
      </c>
      <c r="C283" s="12"/>
      <c r="D283" s="14"/>
      <c r="E283" s="15"/>
      <c r="F283" s="25"/>
    </row>
    <row r="284" spans="1:6" ht="25.5" customHeight="1">
      <c r="A284" s="70" t="s">
        <v>32</v>
      </c>
      <c r="B284" s="71"/>
      <c r="C284" s="71"/>
      <c r="D284" s="71"/>
      <c r="E284" s="71"/>
      <c r="F284" s="72"/>
    </row>
    <row r="285" spans="1:6" ht="11.4">
      <c r="A285" s="6" t="s">
        <v>33</v>
      </c>
      <c r="B285" s="7" t="s">
        <v>34</v>
      </c>
      <c r="C285" s="6" t="s">
        <v>21</v>
      </c>
      <c r="D285" s="18">
        <f>29.04*0.05</f>
        <v>1.452</v>
      </c>
      <c r="E285" s="19"/>
      <c r="F285" s="20">
        <f>E285*D285</f>
        <v>0</v>
      </c>
    </row>
    <row r="286" spans="1:6" ht="20.399999999999999">
      <c r="A286" s="6" t="s">
        <v>35</v>
      </c>
      <c r="B286" s="7" t="s">
        <v>36</v>
      </c>
      <c r="C286" s="6" t="s">
        <v>21</v>
      </c>
      <c r="D286" s="18">
        <f>16.43*0.05</f>
        <v>0.82150000000000001</v>
      </c>
      <c r="E286" s="19"/>
      <c r="F286" s="20">
        <f t="shared" ref="F286:F298" si="29">E286*D286</f>
        <v>0</v>
      </c>
    </row>
    <row r="287" spans="1:6" ht="20.399999999999999">
      <c r="A287" s="6" t="s">
        <v>37</v>
      </c>
      <c r="B287" s="7" t="s">
        <v>38</v>
      </c>
      <c r="C287" s="6" t="s">
        <v>21</v>
      </c>
      <c r="D287" s="18">
        <f>16.43*0.4</f>
        <v>6.5720000000000001</v>
      </c>
      <c r="E287" s="19"/>
      <c r="F287" s="20">
        <f>E287*D287</f>
        <v>0</v>
      </c>
    </row>
    <row r="288" spans="1:6" ht="11.4">
      <c r="A288" s="6" t="s">
        <v>39</v>
      </c>
      <c r="B288" s="7" t="s">
        <v>40</v>
      </c>
      <c r="C288" s="6" t="s">
        <v>21</v>
      </c>
      <c r="D288" s="18">
        <f>(1*1.2*0.3*2)+(1*1.1*0.3*8)+(1*1*0.25*14)+(0.8*0.8*0.25*6)</f>
        <v>7.82</v>
      </c>
      <c r="E288" s="19"/>
      <c r="F288" s="20">
        <f>E288*D288</f>
        <v>0</v>
      </c>
    </row>
    <row r="289" spans="1:6" ht="21.6">
      <c r="A289" s="6" t="s">
        <v>41</v>
      </c>
      <c r="B289" s="7" t="s">
        <v>42</v>
      </c>
      <c r="C289" s="6" t="s">
        <v>21</v>
      </c>
      <c r="D289" s="18">
        <f>(58.5*0.15*0.2)+(9.475*0.15*0.15)+(4.6*0.2*0.1)</f>
        <v>2.0601875000000001</v>
      </c>
      <c r="E289" s="19"/>
      <c r="F289" s="20">
        <f t="shared" si="29"/>
        <v>0</v>
      </c>
    </row>
    <row r="290" spans="1:6" ht="11.4">
      <c r="A290" s="6" t="s">
        <v>43</v>
      </c>
      <c r="B290" s="7" t="s">
        <v>44</v>
      </c>
      <c r="C290" s="6" t="s">
        <v>21</v>
      </c>
      <c r="D290" s="18">
        <f>63.1*0.15*0.2</f>
        <v>1.893</v>
      </c>
      <c r="E290" s="19"/>
      <c r="F290" s="20">
        <f t="shared" si="29"/>
        <v>0</v>
      </c>
    </row>
    <row r="291" spans="1:6" ht="21.6">
      <c r="A291" s="6" t="s">
        <v>45</v>
      </c>
      <c r="B291" s="7" t="s">
        <v>46</v>
      </c>
      <c r="C291" s="6" t="s">
        <v>21</v>
      </c>
      <c r="D291" s="18">
        <f>22.2*0.15*0.2</f>
        <v>0.66599999999999993</v>
      </c>
      <c r="E291" s="19"/>
      <c r="F291" s="20">
        <f>E291*D291</f>
        <v>0</v>
      </c>
    </row>
    <row r="292" spans="1:6" ht="11.4">
      <c r="A292" s="6" t="s">
        <v>47</v>
      </c>
      <c r="B292" s="7" t="s">
        <v>48</v>
      </c>
      <c r="C292" s="6" t="s">
        <v>21</v>
      </c>
      <c r="D292" s="18">
        <f>(0.15*0.3*4.45*10)+(0.15*0.55*4.95*8)+(0.2*0.55*4.95*2)+(0.15*0.2*5.1*4)+(0.15*0.15*1.225*6)</f>
        <v>7.1358750000000013</v>
      </c>
      <c r="E292" s="19"/>
      <c r="F292" s="20">
        <f t="shared" ref="F292:F294" si="30">E292*D292</f>
        <v>0</v>
      </c>
    </row>
    <row r="293" spans="1:6" ht="11.4">
      <c r="A293" s="6" t="s">
        <v>49</v>
      </c>
      <c r="B293" s="7" t="s">
        <v>50</v>
      </c>
      <c r="C293" s="6" t="s">
        <v>21</v>
      </c>
      <c r="D293" s="18">
        <f>5.8*0.15*0.3</f>
        <v>0.26100000000000001</v>
      </c>
      <c r="E293" s="19"/>
      <c r="F293" s="20">
        <f t="shared" si="30"/>
        <v>0</v>
      </c>
    </row>
    <row r="294" spans="1:6" ht="30.6">
      <c r="A294" s="6" t="s">
        <v>51</v>
      </c>
      <c r="B294" s="7" t="s">
        <v>52</v>
      </c>
      <c r="C294" s="6" t="s">
        <v>21</v>
      </c>
      <c r="D294" s="18">
        <f>120*0.1</f>
        <v>12</v>
      </c>
      <c r="E294" s="19"/>
      <c r="F294" s="20">
        <f t="shared" si="30"/>
        <v>0</v>
      </c>
    </row>
    <row r="295" spans="1:6" ht="20.399999999999999">
      <c r="A295" s="6" t="s">
        <v>53</v>
      </c>
      <c r="B295" s="7" t="s">
        <v>54</v>
      </c>
      <c r="C295" s="6" t="s">
        <v>21</v>
      </c>
      <c r="D295" s="18">
        <f>16.68*0.1</f>
        <v>1.6680000000000001</v>
      </c>
      <c r="E295" s="19"/>
      <c r="F295" s="20">
        <f t="shared" si="29"/>
        <v>0</v>
      </c>
    </row>
    <row r="296" spans="1:6" ht="20.399999999999999">
      <c r="A296" s="6" t="s">
        <v>55</v>
      </c>
      <c r="B296" s="7" t="s">
        <v>56</v>
      </c>
      <c r="C296" s="6" t="s">
        <v>21</v>
      </c>
      <c r="D296" s="18">
        <f>(2.05*2+2.1*2)*0.15*0.2+(0.83*2+0.82*2)*0.1+(1.2*0.15*0.2)+(0.24*2*0.1)</f>
        <v>0.66300000000000014</v>
      </c>
      <c r="E296" s="19"/>
      <c r="F296" s="20">
        <f t="shared" si="29"/>
        <v>0</v>
      </c>
    </row>
    <row r="297" spans="1:6" ht="11.4">
      <c r="A297" s="6" t="s">
        <v>57</v>
      </c>
      <c r="B297" s="7" t="s">
        <v>58</v>
      </c>
      <c r="C297" s="6" t="s">
        <v>21</v>
      </c>
      <c r="D297" s="18">
        <f>0.44*0.6</f>
        <v>0.26400000000000001</v>
      </c>
      <c r="E297" s="19"/>
      <c r="F297" s="20" t="s">
        <v>111</v>
      </c>
    </row>
    <row r="298" spans="1:6" ht="11.4">
      <c r="A298" s="6" t="s">
        <v>59</v>
      </c>
      <c r="B298" s="7" t="s">
        <v>60</v>
      </c>
      <c r="C298" s="6" t="s">
        <v>21</v>
      </c>
      <c r="D298" s="18">
        <v>0.5</v>
      </c>
      <c r="E298" s="19"/>
      <c r="F298" s="20">
        <f t="shared" si="29"/>
        <v>0</v>
      </c>
    </row>
    <row r="299" spans="1:6" ht="11.4">
      <c r="A299" s="6"/>
      <c r="B299" s="21" t="s">
        <v>61</v>
      </c>
      <c r="C299" s="6"/>
      <c r="D299" s="18"/>
      <c r="E299" s="19"/>
      <c r="F299" s="26">
        <f>SUM(F285:F298)</f>
        <v>0</v>
      </c>
    </row>
    <row r="300" spans="1:6" ht="11.4">
      <c r="A300" s="1"/>
      <c r="B300" s="1"/>
      <c r="C300" s="1"/>
      <c r="D300" s="1"/>
      <c r="E300" s="1"/>
      <c r="F300" s="1"/>
    </row>
    <row r="301" spans="1:6" ht="11.4">
      <c r="A301" s="12"/>
      <c r="B301" s="13" t="s">
        <v>62</v>
      </c>
      <c r="C301" s="12"/>
      <c r="D301" s="14"/>
      <c r="E301" s="15"/>
      <c r="F301" s="16"/>
    </row>
    <row r="302" spans="1:6" ht="11.4">
      <c r="A302" s="6" t="s">
        <v>63</v>
      </c>
      <c r="B302" s="7" t="s">
        <v>64</v>
      </c>
      <c r="C302" s="6" t="s">
        <v>65</v>
      </c>
      <c r="D302" s="18">
        <f>61.4*0.25+9.4*0.2</f>
        <v>17.23</v>
      </c>
      <c r="E302" s="19"/>
      <c r="F302" s="20">
        <f>E302*D302</f>
        <v>0</v>
      </c>
    </row>
    <row r="303" spans="1:6" ht="11.4">
      <c r="A303" s="6" t="s">
        <v>66</v>
      </c>
      <c r="B303" s="7" t="s">
        <v>67</v>
      </c>
      <c r="C303" s="6" t="s">
        <v>65</v>
      </c>
      <c r="D303" s="18">
        <f>3.66*2+34*2+23.55*2</f>
        <v>122.41999999999999</v>
      </c>
      <c r="E303" s="19"/>
      <c r="F303" s="20">
        <f t="shared" ref="F303:F308" si="31">E303*D303</f>
        <v>0</v>
      </c>
    </row>
    <row r="304" spans="1:6" ht="20.399999999999999">
      <c r="A304" s="6" t="s">
        <v>68</v>
      </c>
      <c r="B304" s="7" t="s">
        <v>69</v>
      </c>
      <c r="C304" s="6" t="s">
        <v>65</v>
      </c>
      <c r="D304" s="18">
        <f>19.7*2+3.85*2+34*2+19.6</f>
        <v>134.69999999999999</v>
      </c>
      <c r="E304" s="19"/>
      <c r="F304" s="20">
        <f t="shared" si="31"/>
        <v>0</v>
      </c>
    </row>
    <row r="305" spans="1:6" ht="20.399999999999999">
      <c r="A305" s="6" t="s">
        <v>70</v>
      </c>
      <c r="B305" s="7" t="s">
        <v>71</v>
      </c>
      <c r="C305" s="6" t="s">
        <v>65</v>
      </c>
      <c r="D305" s="18">
        <f>32.8*2+40.72*2+3.66*4+3.03*4+14.8</f>
        <v>188.60000000000002</v>
      </c>
      <c r="E305" s="19"/>
      <c r="F305" s="20">
        <f t="shared" si="31"/>
        <v>0</v>
      </c>
    </row>
    <row r="306" spans="1:6" ht="11.4">
      <c r="A306" s="6" t="s">
        <v>72</v>
      </c>
      <c r="B306" s="7" t="s">
        <v>73</v>
      </c>
      <c r="C306" s="6" t="s">
        <v>65</v>
      </c>
      <c r="D306" s="18">
        <f>7*2</f>
        <v>14</v>
      </c>
      <c r="E306" s="19"/>
      <c r="F306" s="20">
        <f t="shared" si="31"/>
        <v>0</v>
      </c>
    </row>
    <row r="307" spans="1:6" ht="11.4">
      <c r="A307" s="6" t="s">
        <v>74</v>
      </c>
      <c r="B307" s="7" t="s">
        <v>75</v>
      </c>
      <c r="C307" s="6" t="s">
        <v>76</v>
      </c>
      <c r="D307" s="18">
        <f>0.9*3*10</f>
        <v>27</v>
      </c>
      <c r="E307" s="19"/>
      <c r="F307" s="20">
        <f t="shared" si="31"/>
        <v>0</v>
      </c>
    </row>
    <row r="308" spans="1:6" ht="11.4">
      <c r="A308" s="6" t="s">
        <v>77</v>
      </c>
      <c r="B308" s="7" t="s">
        <v>78</v>
      </c>
      <c r="C308" s="6" t="s">
        <v>79</v>
      </c>
      <c r="D308" s="18">
        <v>18</v>
      </c>
      <c r="E308" s="19"/>
      <c r="F308" s="20">
        <f t="shared" si="31"/>
        <v>0</v>
      </c>
    </row>
    <row r="309" spans="1:6" ht="11.4">
      <c r="A309" s="6"/>
      <c r="B309" s="21" t="s">
        <v>80</v>
      </c>
      <c r="C309" s="6"/>
      <c r="D309" s="18"/>
      <c r="E309" s="19"/>
      <c r="F309" s="22">
        <f>SUM(F302:F308)</f>
        <v>0</v>
      </c>
    </row>
    <row r="310" spans="1:6" ht="11.4">
      <c r="A310" s="1"/>
      <c r="B310" s="1"/>
      <c r="C310" s="1"/>
      <c r="D310" s="1"/>
      <c r="E310" s="1"/>
      <c r="F310" s="1"/>
    </row>
    <row r="311" spans="1:6" ht="11.4">
      <c r="A311" s="12"/>
      <c r="B311" s="13" t="s">
        <v>81</v>
      </c>
      <c r="C311" s="31"/>
      <c r="D311" s="32"/>
      <c r="E311" s="33"/>
      <c r="F311" s="34"/>
    </row>
    <row r="312" spans="1:6" ht="40.799999999999997">
      <c r="A312" s="6" t="s">
        <v>82</v>
      </c>
      <c r="B312" s="17" t="s">
        <v>83</v>
      </c>
      <c r="C312" s="6" t="s">
        <v>65</v>
      </c>
      <c r="D312" s="18">
        <f>60.7*2</f>
        <v>121.4</v>
      </c>
      <c r="E312" s="19"/>
      <c r="F312" s="20">
        <f t="shared" ref="F312:F321" si="32">E312*D312</f>
        <v>0</v>
      </c>
    </row>
    <row r="313" spans="1:6" ht="20.399999999999999">
      <c r="A313" s="6" t="s">
        <v>84</v>
      </c>
      <c r="B313" s="17" t="s">
        <v>144</v>
      </c>
      <c r="C313" s="6" t="s">
        <v>76</v>
      </c>
      <c r="D313" s="18">
        <v>10</v>
      </c>
      <c r="E313" s="19"/>
      <c r="F313" s="20">
        <f t="shared" si="32"/>
        <v>0</v>
      </c>
    </row>
    <row r="314" spans="1:6" ht="20.399999999999999">
      <c r="A314" s="6" t="s">
        <v>86</v>
      </c>
      <c r="B314" s="7" t="s">
        <v>167</v>
      </c>
      <c r="C314" s="6" t="s">
        <v>87</v>
      </c>
      <c r="D314" s="18">
        <v>1</v>
      </c>
      <c r="E314" s="19"/>
      <c r="F314" s="20">
        <f t="shared" si="32"/>
        <v>0</v>
      </c>
    </row>
    <row r="315" spans="1:6" ht="20.399999999999999">
      <c r="A315" s="6" t="s">
        <v>88</v>
      </c>
      <c r="B315" s="7" t="s">
        <v>166</v>
      </c>
      <c r="C315" s="6" t="s">
        <v>76</v>
      </c>
      <c r="D315" s="18">
        <f>2.6*4</f>
        <v>10.4</v>
      </c>
      <c r="E315" s="19"/>
      <c r="F315" s="20">
        <f t="shared" si="32"/>
        <v>0</v>
      </c>
    </row>
    <row r="316" spans="1:6" ht="20.399999999999999">
      <c r="A316" s="6" t="s">
        <v>89</v>
      </c>
      <c r="B316" s="7" t="s">
        <v>145</v>
      </c>
      <c r="C316" s="6" t="s">
        <v>76</v>
      </c>
      <c r="D316" s="18">
        <f>10*14</f>
        <v>140</v>
      </c>
      <c r="E316" s="19"/>
      <c r="F316" s="20">
        <f t="shared" si="32"/>
        <v>0</v>
      </c>
    </row>
    <row r="317" spans="1:6" ht="20.399999999999999">
      <c r="A317" s="6" t="s">
        <v>90</v>
      </c>
      <c r="B317" s="7" t="s">
        <v>91</v>
      </c>
      <c r="C317" s="6" t="s">
        <v>76</v>
      </c>
      <c r="D317" s="18">
        <f>45*2</f>
        <v>90</v>
      </c>
      <c r="E317" s="19"/>
      <c r="F317" s="20">
        <f t="shared" si="32"/>
        <v>0</v>
      </c>
    </row>
    <row r="318" spans="1:6" ht="20.399999999999999">
      <c r="A318" s="6" t="s">
        <v>92</v>
      </c>
      <c r="B318" s="7" t="s">
        <v>146</v>
      </c>
      <c r="C318" s="6" t="s">
        <v>76</v>
      </c>
      <c r="D318" s="18">
        <f>45</f>
        <v>45</v>
      </c>
      <c r="E318" s="19"/>
      <c r="F318" s="20">
        <f t="shared" si="32"/>
        <v>0</v>
      </c>
    </row>
    <row r="319" spans="1:6" ht="30.6">
      <c r="A319" s="6" t="s">
        <v>94</v>
      </c>
      <c r="B319" s="7" t="s">
        <v>95</v>
      </c>
      <c r="C319" s="6" t="s">
        <v>79</v>
      </c>
      <c r="D319" s="18">
        <f>14*2</f>
        <v>28</v>
      </c>
      <c r="E319" s="19"/>
      <c r="F319" s="20">
        <f t="shared" si="32"/>
        <v>0</v>
      </c>
    </row>
    <row r="320" spans="1:6" ht="30.6">
      <c r="A320" s="6" t="s">
        <v>96</v>
      </c>
      <c r="B320" s="7" t="s">
        <v>97</v>
      </c>
      <c r="C320" s="6" t="s">
        <v>79</v>
      </c>
      <c r="D320" s="18">
        <v>6</v>
      </c>
      <c r="E320" s="19"/>
      <c r="F320" s="20">
        <f t="shared" si="32"/>
        <v>0</v>
      </c>
    </row>
    <row r="321" spans="1:6" ht="20.399999999999999">
      <c r="A321" s="6" t="s">
        <v>98</v>
      </c>
      <c r="B321" s="7" t="s">
        <v>152</v>
      </c>
      <c r="C321" s="6" t="s">
        <v>79</v>
      </c>
      <c r="D321" s="18">
        <v>10</v>
      </c>
      <c r="E321" s="19"/>
      <c r="F321" s="20">
        <f t="shared" si="32"/>
        <v>0</v>
      </c>
    </row>
    <row r="322" spans="1:6" ht="11.4">
      <c r="A322" s="6"/>
      <c r="B322" s="21" t="s">
        <v>100</v>
      </c>
      <c r="C322" s="6"/>
      <c r="D322" s="18"/>
      <c r="E322" s="19"/>
      <c r="F322" s="26">
        <f>SUM(F312:F321)</f>
        <v>0</v>
      </c>
    </row>
    <row r="323" spans="1:6" ht="11.4">
      <c r="A323" s="1"/>
      <c r="B323" s="1"/>
      <c r="C323" s="1"/>
      <c r="D323" s="1"/>
      <c r="E323" s="1"/>
      <c r="F323" s="1"/>
    </row>
    <row r="324" spans="1:6" ht="11.4">
      <c r="A324" s="12"/>
      <c r="B324" s="13" t="s">
        <v>101</v>
      </c>
      <c r="C324" s="12"/>
      <c r="D324" s="14"/>
      <c r="E324" s="15"/>
      <c r="F324" s="35"/>
    </row>
    <row r="325" spans="1:6" ht="91.8">
      <c r="A325" s="36"/>
      <c r="B325" s="37" t="s">
        <v>102</v>
      </c>
      <c r="C325" s="36"/>
      <c r="D325" s="38"/>
      <c r="E325" s="39"/>
      <c r="F325" s="40"/>
    </row>
    <row r="326" spans="1:6" ht="30.6">
      <c r="A326" s="6" t="s">
        <v>103</v>
      </c>
      <c r="B326" s="7" t="s">
        <v>147</v>
      </c>
      <c r="C326" s="41" t="s">
        <v>79</v>
      </c>
      <c r="D326" s="18">
        <v>10</v>
      </c>
      <c r="E326" s="57"/>
      <c r="F326" s="20">
        <f t="shared" ref="F326:F331" si="33">E326*D326</f>
        <v>0</v>
      </c>
    </row>
    <row r="327" spans="1:6" ht="30.6">
      <c r="A327" s="6" t="s">
        <v>105</v>
      </c>
      <c r="B327" s="7" t="s">
        <v>164</v>
      </c>
      <c r="C327" s="41" t="s">
        <v>79</v>
      </c>
      <c r="D327" s="18">
        <v>1</v>
      </c>
      <c r="E327" s="57"/>
      <c r="F327" s="20">
        <f t="shared" si="33"/>
        <v>0</v>
      </c>
    </row>
    <row r="328" spans="1:6" ht="30.6">
      <c r="A328" s="6" t="s">
        <v>106</v>
      </c>
      <c r="B328" s="7" t="s">
        <v>165</v>
      </c>
      <c r="C328" s="41" t="s">
        <v>79</v>
      </c>
      <c r="D328" s="18">
        <v>1</v>
      </c>
      <c r="E328" s="57"/>
      <c r="F328" s="20">
        <f t="shared" si="33"/>
        <v>0</v>
      </c>
    </row>
    <row r="329" spans="1:6" ht="20.399999999999999">
      <c r="A329" s="6" t="s">
        <v>107</v>
      </c>
      <c r="B329" s="7" t="s">
        <v>108</v>
      </c>
      <c r="C329" s="41" t="s">
        <v>79</v>
      </c>
      <c r="D329" s="18">
        <v>4</v>
      </c>
      <c r="E329" s="57"/>
      <c r="F329" s="20">
        <f t="shared" si="33"/>
        <v>0</v>
      </c>
    </row>
    <row r="330" spans="1:6" ht="30.6">
      <c r="A330" s="6" t="s">
        <v>109</v>
      </c>
      <c r="B330" s="7" t="s">
        <v>110</v>
      </c>
      <c r="C330" s="41" t="s">
        <v>79</v>
      </c>
      <c r="D330" s="18">
        <v>1</v>
      </c>
      <c r="E330" s="57"/>
      <c r="F330" s="20">
        <f t="shared" si="33"/>
        <v>0</v>
      </c>
    </row>
    <row r="331" spans="1:6" ht="11.4">
      <c r="A331" s="6" t="s">
        <v>112</v>
      </c>
      <c r="B331" s="7" t="s">
        <v>113</v>
      </c>
      <c r="C331" s="41" t="s">
        <v>76</v>
      </c>
      <c r="D331" s="18">
        <v>13</v>
      </c>
      <c r="E331" s="57"/>
      <c r="F331" s="20">
        <f t="shared" si="33"/>
        <v>0</v>
      </c>
    </row>
    <row r="332" spans="1:6" ht="20.399999999999999">
      <c r="A332" s="6" t="s">
        <v>114</v>
      </c>
      <c r="B332" s="7" t="s">
        <v>115</v>
      </c>
      <c r="C332" s="41" t="s">
        <v>12</v>
      </c>
      <c r="D332" s="18">
        <f>16*0.6*0.4</f>
        <v>3.84</v>
      </c>
      <c r="E332" s="19"/>
      <c r="F332" s="20">
        <f t="shared" ref="F332" si="34">E332*D332</f>
        <v>0</v>
      </c>
    </row>
    <row r="333" spans="1:6" ht="11.4">
      <c r="A333" s="6"/>
      <c r="B333" s="21" t="s">
        <v>116</v>
      </c>
      <c r="C333" s="6"/>
      <c r="D333" s="42"/>
      <c r="E333" s="19"/>
      <c r="F333" s="26">
        <f>SUM(F326:F332)</f>
        <v>0</v>
      </c>
    </row>
    <row r="334" spans="1:6" ht="11.4">
      <c r="A334" s="1"/>
      <c r="B334" s="1"/>
      <c r="C334" s="1"/>
      <c r="D334" s="1"/>
      <c r="E334" s="1"/>
      <c r="F334" s="1"/>
    </row>
    <row r="335" spans="1:6" ht="11.4">
      <c r="A335" s="12"/>
      <c r="B335" s="13" t="s">
        <v>117</v>
      </c>
      <c r="C335" s="12"/>
      <c r="D335" s="14"/>
      <c r="E335" s="15"/>
      <c r="F335" s="16"/>
    </row>
    <row r="336" spans="1:6" ht="11.4">
      <c r="A336" s="6" t="s">
        <v>118</v>
      </c>
      <c r="B336" s="7" t="s">
        <v>119</v>
      </c>
      <c r="C336" s="6" t="s">
        <v>65</v>
      </c>
      <c r="D336" s="18">
        <f>22*2+13.15*2+18</f>
        <v>88.3</v>
      </c>
      <c r="E336" s="19"/>
      <c r="F336" s="20">
        <f t="shared" ref="F336:F341" si="35">E336*D336</f>
        <v>0</v>
      </c>
    </row>
    <row r="337" spans="1:6" ht="30.6">
      <c r="A337" s="6" t="s">
        <v>120</v>
      </c>
      <c r="B337" s="7" t="s">
        <v>121</v>
      </c>
      <c r="C337" s="6" t="s">
        <v>65</v>
      </c>
      <c r="D337" s="18">
        <f>22*2+13.15*2+18+26.3</f>
        <v>114.6</v>
      </c>
      <c r="E337" s="19"/>
      <c r="F337" s="20">
        <f t="shared" si="35"/>
        <v>0</v>
      </c>
    </row>
    <row r="338" spans="1:6" ht="20.399999999999999">
      <c r="A338" s="6" t="s">
        <v>122</v>
      </c>
      <c r="B338" s="7" t="s">
        <v>123</v>
      </c>
      <c r="C338" s="6" t="s">
        <v>65</v>
      </c>
      <c r="D338" s="18">
        <f>14.06*2+8.94*2</f>
        <v>46</v>
      </c>
      <c r="E338" s="19"/>
      <c r="F338" s="20">
        <f t="shared" si="35"/>
        <v>0</v>
      </c>
    </row>
    <row r="339" spans="1:6" ht="30.6">
      <c r="A339" s="6" t="s">
        <v>124</v>
      </c>
      <c r="B339" s="7" t="s">
        <v>163</v>
      </c>
      <c r="C339" s="6" t="s">
        <v>65</v>
      </c>
      <c r="D339" s="18">
        <f>+D305-26.3</f>
        <v>162.30000000000001</v>
      </c>
      <c r="E339" s="19"/>
      <c r="F339" s="20">
        <f t="shared" si="35"/>
        <v>0</v>
      </c>
    </row>
    <row r="340" spans="1:6" ht="11.4">
      <c r="A340" s="6" t="s">
        <v>125</v>
      </c>
      <c r="B340" s="7" t="s">
        <v>126</v>
      </c>
      <c r="C340" s="6" t="s">
        <v>10</v>
      </c>
      <c r="D340" s="18">
        <v>1</v>
      </c>
      <c r="E340" s="19"/>
      <c r="F340" s="20">
        <f t="shared" si="35"/>
        <v>0</v>
      </c>
    </row>
    <row r="341" spans="1:6" ht="11.4">
      <c r="A341" s="6" t="s">
        <v>127</v>
      </c>
      <c r="B341" s="7" t="s">
        <v>128</v>
      </c>
      <c r="C341" s="6" t="s">
        <v>65</v>
      </c>
      <c r="D341" s="18">
        <f>7*2</f>
        <v>14</v>
      </c>
      <c r="E341" s="19"/>
      <c r="F341" s="20">
        <f t="shared" si="35"/>
        <v>0</v>
      </c>
    </row>
    <row r="342" spans="1:6" ht="11.4">
      <c r="A342" s="6"/>
      <c r="B342" s="21" t="s">
        <v>148</v>
      </c>
      <c r="C342" s="6"/>
      <c r="D342" s="18"/>
      <c r="E342" s="19"/>
      <c r="F342" s="26">
        <f>SUM(F336:F341)</f>
        <v>0</v>
      </c>
    </row>
    <row r="343" spans="1:6" ht="11.4">
      <c r="A343" s="6"/>
      <c r="B343" s="7"/>
      <c r="C343" s="6"/>
      <c r="D343" s="18"/>
      <c r="E343" s="19"/>
      <c r="F343" s="20"/>
    </row>
    <row r="344" spans="1:6" ht="11.4">
      <c r="A344" s="43"/>
      <c r="B344" s="13" t="s">
        <v>130</v>
      </c>
      <c r="C344" s="12"/>
      <c r="D344" s="14"/>
      <c r="E344" s="15"/>
      <c r="F344" s="16"/>
    </row>
    <row r="345" spans="1:6" ht="11.4">
      <c r="A345" s="44"/>
      <c r="B345" s="45" t="s">
        <v>131</v>
      </c>
      <c r="C345" s="36"/>
      <c r="D345" s="38"/>
      <c r="E345" s="39"/>
      <c r="F345" s="46"/>
    </row>
    <row r="346" spans="1:6" ht="40.799999999999997">
      <c r="A346" s="41" t="s">
        <v>132</v>
      </c>
      <c r="B346" s="7" t="s">
        <v>133</v>
      </c>
      <c r="C346" s="6" t="s">
        <v>134</v>
      </c>
      <c r="D346" s="18">
        <v>1</v>
      </c>
      <c r="E346" s="19"/>
      <c r="F346" s="20">
        <f>E346*D346</f>
        <v>0</v>
      </c>
    </row>
    <row r="347" spans="1:6" ht="11.4">
      <c r="A347" s="41"/>
      <c r="B347" s="21" t="s">
        <v>129</v>
      </c>
      <c r="C347" s="41"/>
      <c r="D347" s="18"/>
      <c r="E347" s="19"/>
      <c r="F347" s="22">
        <f>SUM(F346:F346)</f>
        <v>0</v>
      </c>
    </row>
    <row r="348" spans="1:6" ht="11.4">
      <c r="A348" s="29"/>
      <c r="B348" s="47"/>
      <c r="C348" s="29"/>
      <c r="D348" s="48"/>
      <c r="E348" s="30"/>
      <c r="F348" s="49"/>
    </row>
    <row r="349" spans="1:6" ht="11.4">
      <c r="A349" s="50">
        <v>0</v>
      </c>
      <c r="B349" s="58" t="s">
        <v>135</v>
      </c>
      <c r="C349" s="58"/>
      <c r="D349" s="58"/>
      <c r="E349" s="58"/>
      <c r="F349" s="22">
        <f>F272</f>
        <v>0</v>
      </c>
    </row>
    <row r="350" spans="1:6" ht="11.4">
      <c r="A350" s="50">
        <v>1</v>
      </c>
      <c r="B350" s="58" t="s">
        <v>136</v>
      </c>
      <c r="C350" s="58"/>
      <c r="D350" s="58"/>
      <c r="E350" s="58"/>
      <c r="F350" s="22">
        <f>+F281</f>
        <v>0</v>
      </c>
    </row>
    <row r="351" spans="1:6" ht="11.4">
      <c r="A351" s="50">
        <v>2</v>
      </c>
      <c r="B351" s="59" t="s">
        <v>137</v>
      </c>
      <c r="C351" s="60"/>
      <c r="D351" s="60"/>
      <c r="E351" s="61"/>
      <c r="F351" s="22">
        <f>+F299</f>
        <v>0</v>
      </c>
    </row>
    <row r="352" spans="1:6" ht="11.4">
      <c r="A352" s="50">
        <v>3</v>
      </c>
      <c r="B352" s="59" t="s">
        <v>138</v>
      </c>
      <c r="C352" s="60"/>
      <c r="D352" s="60"/>
      <c r="E352" s="61"/>
      <c r="F352" s="22">
        <f>+F309</f>
        <v>0</v>
      </c>
    </row>
    <row r="353" spans="1:6" ht="11.4">
      <c r="A353" s="50">
        <v>4</v>
      </c>
      <c r="B353" s="59" t="s">
        <v>139</v>
      </c>
      <c r="C353" s="60"/>
      <c r="D353" s="60"/>
      <c r="E353" s="61"/>
      <c r="F353" s="27">
        <f>F322</f>
        <v>0</v>
      </c>
    </row>
    <row r="354" spans="1:6" ht="11.4">
      <c r="A354" s="50">
        <v>5</v>
      </c>
      <c r="B354" s="59" t="s">
        <v>162</v>
      </c>
      <c r="C354" s="60"/>
      <c r="D354" s="60"/>
      <c r="E354" s="61"/>
      <c r="F354" s="22">
        <f>+F333</f>
        <v>0</v>
      </c>
    </row>
    <row r="355" spans="1:6" ht="11.4">
      <c r="A355" s="50">
        <v>6</v>
      </c>
      <c r="B355" s="59" t="s">
        <v>161</v>
      </c>
      <c r="C355" s="60"/>
      <c r="D355" s="60"/>
      <c r="E355" s="61"/>
      <c r="F355" s="22">
        <f>+F342</f>
        <v>0</v>
      </c>
    </row>
    <row r="356" spans="1:6" ht="11.4">
      <c r="A356" s="50">
        <v>7</v>
      </c>
      <c r="B356" s="59" t="s">
        <v>160</v>
      </c>
      <c r="C356" s="75"/>
      <c r="D356" s="75"/>
      <c r="E356" s="76"/>
      <c r="F356" s="22">
        <f>+F347</f>
        <v>0</v>
      </c>
    </row>
    <row r="357" spans="1:6" ht="11.4">
      <c r="A357" s="51"/>
      <c r="B357" s="62" t="s">
        <v>140</v>
      </c>
      <c r="C357" s="63"/>
      <c r="D357" s="63"/>
      <c r="E357" s="64"/>
      <c r="F357" s="52">
        <f>SUM(F349:F356)</f>
        <v>0</v>
      </c>
    </row>
    <row r="360" spans="1:6" ht="18.600000000000001">
      <c r="B360" s="77" t="s">
        <v>177</v>
      </c>
      <c r="C360" s="77"/>
      <c r="D360" s="77"/>
      <c r="E360" s="77"/>
      <c r="F360" s="77"/>
    </row>
    <row r="361" spans="1:6" ht="12.6" thickBot="1">
      <c r="B361" s="78"/>
      <c r="C361" s="79"/>
      <c r="D361" s="80"/>
      <c r="E361" s="81"/>
      <c r="F361" s="82"/>
    </row>
    <row r="362" spans="1:6" ht="18.600000000000001" customHeight="1">
      <c r="B362" s="92" t="s">
        <v>172</v>
      </c>
      <c r="C362" s="93"/>
      <c r="D362" s="93"/>
      <c r="E362" s="94"/>
      <c r="F362" s="101">
        <f>F89</f>
        <v>0</v>
      </c>
    </row>
    <row r="363" spans="1:6" ht="18.600000000000001" customHeight="1">
      <c r="B363" s="95" t="s">
        <v>175</v>
      </c>
      <c r="C363" s="96"/>
      <c r="D363" s="96"/>
      <c r="E363" s="97"/>
      <c r="F363" s="102">
        <f>F175</f>
        <v>0</v>
      </c>
    </row>
    <row r="364" spans="1:6" ht="18.600000000000001" customHeight="1">
      <c r="B364" s="95" t="s">
        <v>155</v>
      </c>
      <c r="C364" s="96"/>
      <c r="D364" s="96"/>
      <c r="E364" s="97"/>
      <c r="F364" s="102">
        <f>F261</f>
        <v>0</v>
      </c>
    </row>
    <row r="365" spans="1:6" ht="18.600000000000001" customHeight="1" thickBot="1">
      <c r="B365" s="98" t="s">
        <v>156</v>
      </c>
      <c r="C365" s="99"/>
      <c r="D365" s="99"/>
      <c r="E365" s="100"/>
      <c r="F365" s="103">
        <f>F357</f>
        <v>0</v>
      </c>
    </row>
    <row r="366" spans="1:6" ht="18.600000000000001" customHeight="1" thickBot="1">
      <c r="B366" s="88" t="s">
        <v>0</v>
      </c>
      <c r="C366" s="89"/>
      <c r="D366" s="89"/>
      <c r="E366" s="90"/>
      <c r="F366" s="91">
        <f>SUM(F362:F365)</f>
        <v>0</v>
      </c>
    </row>
    <row r="367" spans="1:6" ht="18.600000000000001" customHeight="1" thickBot="1">
      <c r="B367" s="85" t="s">
        <v>174</v>
      </c>
      <c r="C367" s="86"/>
      <c r="D367" s="86"/>
      <c r="E367" s="87"/>
      <c r="F367" s="84"/>
    </row>
    <row r="368" spans="1:6" ht="18.600000000000001" customHeight="1" thickBot="1">
      <c r="B368" s="88" t="s">
        <v>178</v>
      </c>
      <c r="C368" s="89"/>
      <c r="D368" s="89"/>
      <c r="E368" s="90"/>
      <c r="F368" s="91">
        <f>F367+F366</f>
        <v>0</v>
      </c>
    </row>
    <row r="369" spans="2:6">
      <c r="B369" s="78"/>
      <c r="C369" s="79"/>
      <c r="D369" s="80"/>
      <c r="E369" s="81"/>
      <c r="F369" s="83"/>
    </row>
  </sheetData>
  <mergeCells count="55">
    <mergeCell ref="B366:E366"/>
    <mergeCell ref="B367:E367"/>
    <mergeCell ref="B368:E368"/>
    <mergeCell ref="B362:E362"/>
    <mergeCell ref="B363:E363"/>
    <mergeCell ref="B364:E364"/>
    <mergeCell ref="B365:E365"/>
    <mergeCell ref="B360:F360"/>
    <mergeCell ref="B353:E353"/>
    <mergeCell ref="B354:E354"/>
    <mergeCell ref="B355:E355"/>
    <mergeCell ref="B356:E356"/>
    <mergeCell ref="B357:E357"/>
    <mergeCell ref="B351:E351"/>
    <mergeCell ref="B352:E352"/>
    <mergeCell ref="B264:E264"/>
    <mergeCell ref="A263:F263"/>
    <mergeCell ref="A284:F284"/>
    <mergeCell ref="B349:E349"/>
    <mergeCell ref="B350:E350"/>
    <mergeCell ref="A91:F91"/>
    <mergeCell ref="B178:E178"/>
    <mergeCell ref="A196:F196"/>
    <mergeCell ref="B254:E254"/>
    <mergeCell ref="B255:E255"/>
    <mergeCell ref="B256:E256"/>
    <mergeCell ref="B257:E257"/>
    <mergeCell ref="B258:E258"/>
    <mergeCell ref="B259:E259"/>
    <mergeCell ref="B260:E260"/>
    <mergeCell ref="B261:E261"/>
    <mergeCell ref="A177:F177"/>
    <mergeCell ref="B173:E173"/>
    <mergeCell ref="B174:E174"/>
    <mergeCell ref="B175:E175"/>
    <mergeCell ref="A1:F1"/>
    <mergeCell ref="B3:F3"/>
    <mergeCell ref="A5:F5"/>
    <mergeCell ref="A24:F24"/>
    <mergeCell ref="B82:E82"/>
    <mergeCell ref="B6:E6"/>
    <mergeCell ref="B83:E83"/>
    <mergeCell ref="B172:E172"/>
    <mergeCell ref="B86:E86"/>
    <mergeCell ref="B87:E87"/>
    <mergeCell ref="B88:E88"/>
    <mergeCell ref="B89:E89"/>
    <mergeCell ref="B92:E92"/>
    <mergeCell ref="B84:E84"/>
    <mergeCell ref="B85:E85"/>
    <mergeCell ref="A110:F110"/>
    <mergeCell ref="B168:E168"/>
    <mergeCell ref="B169:E169"/>
    <mergeCell ref="B170:E170"/>
    <mergeCell ref="B171:E171"/>
  </mergeCells>
  <phoneticPr fontId="22" type="noConversion"/>
  <pageMargins left="0.7" right="0.7" top="0.75" bottom="0.75" header="0.3" footer="0.3"/>
  <pageSetup paperSize="9" scale="88" orientation="portrait" r:id="rId1"/>
  <headerFooter>
    <oddFooter>&amp;R&amp;P</oddFooter>
  </headerFooter>
  <rowBreaks count="3" manualBreakCount="3">
    <brk id="48" max="5" man="1"/>
    <brk id="176" max="5" man="1"/>
    <brk id="262"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25" ma:contentTypeDescription="" ma:contentTypeScope="" ma:versionID="e4cf752033bb7290fdf898415b0e7845">
  <xsd:schema xmlns:xsd="http://www.w3.org/2001/XMLSchema" xmlns:xs="http://www.w3.org/2001/XMLSchema" xmlns:p="http://schemas.microsoft.com/office/2006/metadata/properties" xmlns:ns2="1c89b6ff-5735-4b3c-9dca-50e80957a65b" xmlns:ns3="14a9c00f-d9e3-4eb9-aad3-f69239d17d9c" xmlns:ns4="508ba6eb-9e09-4fd5-92f2-2d9921329f2d" xmlns:ns5="017ef222-b715-482d-b25e-e029bead7086" targetNamespace="http://schemas.microsoft.com/office/2006/metadata/properties" ma:root="true" ma:fieldsID="b6f31932fc1f8e7be2f3e99fa195b041" ns2:_="" ns3:_="" ns4:_="" ns5:_="">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j50cb40f2a0941d2947e6bcbd5d19dce xmlns="14a9c00f-d9e3-4eb9-aad3-f69239d17d9c">
      <Terms xmlns="http://schemas.microsoft.com/office/infopath/2007/PartnerControls"/>
    </j50cb40f2a0941d2947e6bcbd5d19dce>
    <_dlc_DocId xmlns="508ba6eb-9e09-4fd5-92f2-2d9921329f2d">BFAENABEL-680963957-31963</_dlc_DocId>
    <e2b781e9cad840cd89b90f5a7e989839 xmlns="14a9c00f-d9e3-4eb9-aad3-f69239d17d9c">
      <Terms xmlns="http://schemas.microsoft.com/office/infopath/2007/PartnerControls"/>
    </e2b781e9cad840cd89b90f5a7e989839>
    <TaxCatchAll xmlns="1c89b6ff-5735-4b3c-9dca-50e80957a65b">
      <Value>2</Value>
      <Value>1</Value>
    </TaxCatchAll>
    <lcf76f155ced4ddcb4097134ff3c332f xmlns="017ef222-b715-482d-b25e-e029bead7086">
      <Terms xmlns="http://schemas.microsoft.com/office/infopath/2007/PartnerControls"/>
    </lcf76f155ced4ddcb4097134ff3c332f>
    <l9d65098618b4a8fbbe87718e7187e6b xmlns="14a9c00f-d9e3-4eb9-aad3-f69239d17d9c">
      <Terms xmlns="http://schemas.microsoft.com/office/infopath/2007/PartnerControls"/>
    </l9d65098618b4a8fbbe87718e7187e6b>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_dlc_DocIdUrl xmlns="508ba6eb-9e09-4fd5-92f2-2d9921329f2d">
      <Url>https://enabelbe.sharepoint.com/sites/BFA/_layouts/15/DocIdRedir.aspx?ID=BFAENABEL-680963957-31963</Url>
      <Description>BFAENABEL-680963957-31963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E486BCE-E08A-4AB7-857F-62379DBB42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89b6ff-5735-4b3c-9dca-50e80957a65b"/>
    <ds:schemaRef ds:uri="14a9c00f-d9e3-4eb9-aad3-f69239d17d9c"/>
    <ds:schemaRef ds:uri="508ba6eb-9e09-4fd5-92f2-2d9921329f2d"/>
    <ds:schemaRef ds:uri="017ef222-b715-482d-b25e-e029bead70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514A84-2664-4B9D-83E5-5CF9B8A3F35D}">
  <ds:schemaRefs>
    <ds:schemaRef ds:uri="1c89b6ff-5735-4b3c-9dca-50e80957a65b"/>
    <ds:schemaRef ds:uri="14a9c00f-d9e3-4eb9-aad3-f69239d17d9c"/>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017ef222-b715-482d-b25e-e029bead7086"/>
    <ds:schemaRef ds:uri="508ba6eb-9e09-4fd5-92f2-2d9921329f2d"/>
    <ds:schemaRef ds:uri="http://www.w3.org/XML/1998/namespace"/>
    <ds:schemaRef ds:uri="http://purl.org/dc/dcmitype/"/>
  </ds:schemaRefs>
</ds:datastoreItem>
</file>

<file path=customXml/itemProps3.xml><?xml version="1.0" encoding="utf-8"?>
<ds:datastoreItem xmlns:ds="http://schemas.openxmlformats.org/officeDocument/2006/customXml" ds:itemID="{D867877C-361F-4F85-AC7D-A910D40F72AB}">
  <ds:schemaRefs>
    <ds:schemaRef ds:uri="http://schemas.microsoft.com/sharepoint/v3/contenttype/forms"/>
  </ds:schemaRefs>
</ds:datastoreItem>
</file>

<file path=customXml/itemProps4.xml><?xml version="1.0" encoding="utf-8"?>
<ds:datastoreItem xmlns:ds="http://schemas.openxmlformats.org/officeDocument/2006/customXml" ds:itemID="{B47E9056-46B9-4324-84EB-966DDD310BD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LOT 3</vt:lpstr>
      <vt:lpstr>'LOT 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Vander Auwera T</cp:lastModifiedBy>
  <cp:lastPrinted>2022-12-07T11:46:45Z</cp:lastPrinted>
  <dcterms:created xsi:type="dcterms:W3CDTF">2022-10-21T07:37:53Z</dcterms:created>
  <dcterms:modified xsi:type="dcterms:W3CDTF">2022-12-07T11:46:52Z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ract_reference">
    <vt:lpwstr/>
  </property>
  <property fmtid="{D5CDD505-2E9C-101B-9397-08002B2CF9AE}" pid="3" name="Project_code">
    <vt:lpwstr/>
  </property>
  <property fmtid="{D5CDD505-2E9C-101B-9397-08002B2CF9AE}" pid="4" name="MediaServiceImageTags">
    <vt:lpwstr/>
  </property>
  <property fmtid="{D5CDD505-2E9C-101B-9397-08002B2CF9AE}" pid="5" name="ContentTypeId">
    <vt:lpwstr>0x01010084FDA68FEA25C847A6128BBA7C1A6EC100DB6DE8DA9F5B134CB8F62B604C7D5447</vt:lpwstr>
  </property>
  <property fmtid="{D5CDD505-2E9C-101B-9397-08002B2CF9AE}" pid="6" name="Document_Language">
    <vt:lpwstr>2;#FR|e5b11214-e6fc-4287-b1cb-b050c041462c</vt:lpwstr>
  </property>
  <property fmtid="{D5CDD505-2E9C-101B-9397-08002B2CF9AE}" pid="7" name="Document_Type">
    <vt:lpwstr/>
  </property>
  <property fmtid="{D5CDD505-2E9C-101B-9397-08002B2CF9AE}" pid="8" name="Country">
    <vt:lpwstr>1;#BFA|5c109890-987f-4e01-800e-8d3dbccbd13c</vt:lpwstr>
  </property>
  <property fmtid="{D5CDD505-2E9C-101B-9397-08002B2CF9AE}" pid="9" name="_dlc_DocIdItemGuid">
    <vt:lpwstr>19d4b534-735f-403e-8b01-646e81adc940</vt:lpwstr>
  </property>
  <property fmtid="{D5CDD505-2E9C-101B-9397-08002B2CF9AE}" pid="10" name="Document_Status">
    <vt:lpwstr/>
  </property>
</Properties>
</file>