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11.xml" ContentType="application/vnd.ms-excel.person+xml"/>
  <Override PartName="/xl/persons/person9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7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ARRAOUNIA\NER22002-10227\Nouveau dossier\"/>
    </mc:Choice>
  </mc:AlternateContent>
  <xr:revisionPtr revIDLastSave="0" documentId="13_ncr:1_{C367AC2D-AB10-4617-B935-AA73E714B7C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adre RECAPITULATIF" sheetId="56" r:id="rId1"/>
    <sheet name="Cadre DQE Généralites" sheetId="24" r:id="rId2"/>
    <sheet name="Cadre BPU Généralites" sheetId="25" r:id="rId3"/>
    <sheet name="cadre DQE EntréeAménag" sheetId="26" r:id="rId4"/>
    <sheet name="cadre BPU EntréeAménag" sheetId="27" r:id="rId5"/>
    <sheet name="CADRE DQE ADMINISTRATION" sheetId="36" r:id="rId6"/>
    <sheet name="CADRE BPU ADMINISTRATION" sheetId="37" r:id="rId7"/>
    <sheet name="CADRE DQE BIBLIOTHEQUE " sheetId="38" r:id="rId8"/>
    <sheet name="CADRE BPU BIBLIOTHEQUE " sheetId="39" r:id="rId9"/>
    <sheet name="CADRE DQE SALLE INFORM-LABO" sheetId="40" r:id="rId10"/>
    <sheet name="CADRE BPU SALLE INFORM-LABO" sheetId="41" r:id="rId11"/>
    <sheet name="CADRE DQE SALLE POLYVALENTE" sheetId="42" r:id="rId12"/>
    <sheet name="CADRE BPU SALLE POLYVALENTE" sheetId="43" r:id="rId13"/>
    <sheet name="CADRE DQE PATIO" sheetId="44" r:id="rId14"/>
    <sheet name="CADRE BPU PATIO" sheetId="45" r:id="rId15"/>
    <sheet name="CADRE DQE REHAB 4 SC " sheetId="65" r:id="rId16"/>
    <sheet name="CADRE BPU REHAB 4 SC  " sheetId="66" r:id="rId17"/>
    <sheet name="REHAB BUR+MAGA " sheetId="63" r:id="rId18"/>
    <sheet name="CADRE BPU REHAB BUR+MAGA " sheetId="68" r:id="rId19"/>
    <sheet name="CADRE DQE REHAB LATRINES " sheetId="69" r:id="rId20"/>
    <sheet name="CADRE BPU REHAB LATRINES " sheetId="70" r:id="rId21"/>
    <sheet name="CADRE DQE BLOC 3 SC" sheetId="48" r:id="rId22"/>
    <sheet name="CADRE BPU BLOC 3 SC" sheetId="49" r:id="rId23"/>
    <sheet name="CADRE DQE LATRINE 2 CABINES" sheetId="50" r:id="rId24"/>
    <sheet name="CADRE BPU LATRINE 2 CABINES" sheetId="51" r:id="rId25"/>
    <sheet name="CADRE DQE LOGEMENT DIRECTEUR" sheetId="58" r:id="rId26"/>
    <sheet name="CADRE BPU LOGEMENT DIRECTEUR" sheetId="55" r:id="rId27"/>
    <sheet name="CADRE DQE CASE GARDIEN" sheetId="59" r:id="rId28"/>
    <sheet name="CADRE BPU CASE GARDIEN" sheetId="60" r:id="rId29"/>
    <sheet name="CADRE TERRAIN DE SPORT" sheetId="61" r:id="rId30"/>
    <sheet name="cadre BPU terrain de sport" sheetId="33" r:id="rId3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56" l="1"/>
  <c r="A18" i="56" s="1"/>
  <c r="A19" i="56" s="1"/>
  <c r="A20" i="56" s="1"/>
  <c r="A7" i="56" l="1"/>
  <c r="A8" i="56" s="1"/>
  <c r="A9" i="56" s="1"/>
  <c r="A10" i="56" s="1"/>
  <c r="A11" i="56" s="1"/>
  <c r="A12" i="56" s="1"/>
  <c r="A13" i="56" s="1"/>
  <c r="A14" i="56" s="1"/>
  <c r="A15" i="56" s="1"/>
  <c r="A16" i="56" s="1"/>
  <c r="D12" i="69" l="1"/>
  <c r="D11" i="69"/>
  <c r="D8" i="69"/>
  <c r="D7" i="69"/>
  <c r="D6" i="69"/>
  <c r="D34" i="65"/>
  <c r="D32" i="65"/>
  <c r="D31" i="65"/>
  <c r="D28" i="65"/>
  <c r="D25" i="65"/>
  <c r="D18" i="65"/>
  <c r="D17" i="65"/>
  <c r="D14" i="65"/>
  <c r="D13" i="65"/>
  <c r="D12" i="65"/>
  <c r="D11" i="65"/>
  <c r="D33" i="65" s="1"/>
  <c r="D8" i="65"/>
  <c r="F37" i="63"/>
  <c r="F36" i="63"/>
  <c r="F35" i="63"/>
  <c r="F34" i="63"/>
  <c r="F33" i="63"/>
  <c r="F31" i="63"/>
  <c r="D27" i="63"/>
  <c r="F27" i="63" s="1"/>
  <c r="D26" i="63"/>
  <c r="F26" i="63" s="1"/>
  <c r="D23" i="63"/>
  <c r="D28" i="63" s="1"/>
  <c r="F28" i="63" s="1"/>
  <c r="F20" i="63"/>
  <c r="F19" i="63"/>
  <c r="F18" i="63"/>
  <c r="D15" i="63"/>
  <c r="F15" i="63" s="1"/>
  <c r="F14" i="63"/>
  <c r="D14" i="63"/>
  <c r="D11" i="63"/>
  <c r="F11" i="63" s="1"/>
  <c r="D10" i="63"/>
  <c r="F10" i="63" s="1"/>
  <c r="D7" i="63"/>
  <c r="F7" i="63" s="1"/>
  <c r="F6" i="63"/>
  <c r="F8" i="63" l="1"/>
  <c r="F23" i="63"/>
  <c r="F24" i="63" s="1"/>
  <c r="F21" i="63"/>
  <c r="F38" i="63"/>
  <c r="F12" i="63"/>
  <c r="F16" i="63"/>
  <c r="F29" i="63"/>
  <c r="D15" i="61"/>
  <c r="D14" i="61"/>
  <c r="D13" i="61"/>
  <c r="D7" i="61"/>
  <c r="D6" i="61"/>
  <c r="D49" i="59"/>
  <c r="D45" i="59"/>
  <c r="D44" i="59"/>
  <c r="D43" i="59"/>
  <c r="D42" i="59"/>
  <c r="D34" i="59"/>
  <c r="D31" i="59"/>
  <c r="D27" i="59"/>
  <c r="D25" i="59"/>
  <c r="D24" i="59"/>
  <c r="D19" i="59"/>
  <c r="D18" i="59"/>
  <c r="D17" i="59"/>
  <c r="D16" i="59"/>
  <c r="D15" i="59"/>
  <c r="D14" i="59"/>
  <c r="D13" i="59"/>
  <c r="D12" i="59"/>
  <c r="D11" i="59"/>
  <c r="D121" i="58"/>
  <c r="D120" i="58"/>
  <c r="D119" i="58"/>
  <c r="D113" i="58"/>
  <c r="D109" i="58"/>
  <c r="D108" i="58"/>
  <c r="D105" i="58"/>
  <c r="D101" i="58"/>
  <c r="D100" i="58"/>
  <c r="D102" i="58" s="1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2" i="58"/>
  <c r="D81" i="58"/>
  <c r="D80" i="58"/>
  <c r="D77" i="58"/>
  <c r="D55" i="58"/>
  <c r="D53" i="58"/>
  <c r="D50" i="58"/>
  <c r="D36" i="58"/>
  <c r="D35" i="58"/>
  <c r="D31" i="58"/>
  <c r="D30" i="58"/>
  <c r="D29" i="58"/>
  <c r="D54" i="58" s="1"/>
  <c r="D28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1" i="58"/>
  <c r="D10" i="58"/>
  <c r="D9" i="58"/>
  <c r="D6" i="58"/>
  <c r="F39" i="63" l="1"/>
  <c r="F40" i="63" l="1"/>
  <c r="D42" i="50"/>
  <c r="D41" i="50"/>
  <c r="D40" i="50"/>
  <c r="F43" i="50" s="1"/>
  <c r="F38" i="50"/>
  <c r="D33" i="50"/>
  <c r="D34" i="50" s="1"/>
  <c r="D32" i="50"/>
  <c r="D31" i="50"/>
  <c r="D28" i="50"/>
  <c r="D27" i="50"/>
  <c r="D26" i="50"/>
  <c r="D24" i="50"/>
  <c r="D23" i="50"/>
  <c r="D22" i="50"/>
  <c r="D21" i="50"/>
  <c r="D20" i="50"/>
  <c r="D17" i="50"/>
  <c r="D16" i="50"/>
  <c r="D15" i="50"/>
  <c r="D14" i="50"/>
  <c r="D13" i="50"/>
  <c r="D12" i="50"/>
  <c r="D9" i="50"/>
  <c r="D8" i="50"/>
  <c r="D7" i="50"/>
  <c r="D52" i="48"/>
  <c r="D41" i="48"/>
  <c r="D40" i="48"/>
  <c r="D39" i="48"/>
  <c r="D38" i="48"/>
  <c r="D33" i="48"/>
  <c r="D53" i="48" s="1"/>
  <c r="D32" i="48"/>
  <c r="D29" i="48"/>
  <c r="D28" i="48"/>
  <c r="D27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1" i="48"/>
  <c r="D10" i="48"/>
  <c r="D9" i="48"/>
  <c r="D6" i="48"/>
  <c r="D30" i="44"/>
  <c r="D24" i="44"/>
  <c r="D21" i="44"/>
  <c r="D20" i="44"/>
  <c r="D19" i="44"/>
  <c r="D18" i="44"/>
  <c r="D17" i="44"/>
  <c r="D16" i="44"/>
  <c r="D15" i="44"/>
  <c r="D14" i="44"/>
  <c r="D11" i="44"/>
  <c r="D10" i="44"/>
  <c r="D9" i="44"/>
  <c r="D8" i="44"/>
  <c r="D34" i="48" l="1"/>
  <c r="D53" i="42"/>
  <c r="D50" i="42"/>
  <c r="D55" i="42" s="1"/>
  <c r="D38" i="42"/>
  <c r="D37" i="42"/>
  <c r="D36" i="42"/>
  <c r="D35" i="42"/>
  <c r="J34" i="42"/>
  <c r="H31" i="42"/>
  <c r="D31" i="42"/>
  <c r="D29" i="42"/>
  <c r="D54" i="42" s="1"/>
  <c r="D28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0" i="42"/>
  <c r="D9" i="42"/>
  <c r="D8" i="42"/>
  <c r="D5" i="42"/>
  <c r="D54" i="40"/>
  <c r="D51" i="40"/>
  <c r="D56" i="40" s="1"/>
  <c r="D39" i="40"/>
  <c r="D38" i="40"/>
  <c r="D37" i="40"/>
  <c r="D33" i="40"/>
  <c r="D32" i="40"/>
  <c r="D30" i="40"/>
  <c r="D55" i="40" s="1"/>
  <c r="D29" i="40"/>
  <c r="D31" i="40" s="1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1" i="40"/>
  <c r="D10" i="40"/>
  <c r="D9" i="40"/>
  <c r="D6" i="40"/>
  <c r="D56" i="38"/>
  <c r="D53" i="38"/>
  <c r="D58" i="38" s="1"/>
  <c r="D41" i="38"/>
  <c r="D39" i="38"/>
  <c r="D38" i="38"/>
  <c r="D37" i="38"/>
  <c r="D32" i="38"/>
  <c r="D30" i="38"/>
  <c r="D57" i="38" s="1"/>
  <c r="D29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0" i="38"/>
  <c r="D9" i="38"/>
  <c r="D8" i="38"/>
  <c r="D5" i="38"/>
  <c r="J33" i="37"/>
  <c r="G33" i="37"/>
  <c r="H33" i="37" s="1"/>
  <c r="H7" i="37"/>
  <c r="G7" i="37"/>
  <c r="G6" i="37"/>
  <c r="G8" i="37" s="1"/>
  <c r="I8" i="37" s="1"/>
  <c r="D57" i="36"/>
  <c r="D44" i="36"/>
  <c r="D42" i="36"/>
  <c r="D41" i="36"/>
  <c r="K35" i="36"/>
  <c r="H35" i="36"/>
  <c r="D35" i="36"/>
  <c r="D54" i="36" s="1"/>
  <c r="D32" i="36"/>
  <c r="D31" i="36"/>
  <c r="D34" i="36" s="1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1" i="36"/>
  <c r="D10" i="36"/>
  <c r="D9" i="36"/>
  <c r="I7" i="36"/>
  <c r="H7" i="36"/>
  <c r="H6" i="36"/>
  <c r="H8" i="36" s="1"/>
  <c r="J8" i="36" s="1"/>
  <c r="D6" i="36"/>
  <c r="D30" i="42" l="1"/>
  <c r="D31" i="38"/>
  <c r="H8" i="37"/>
  <c r="D59" i="36"/>
  <c r="D58" i="36"/>
  <c r="I8" i="36"/>
  <c r="I35" i="36"/>
  <c r="D36" i="26" l="1"/>
  <c r="D34" i="26"/>
  <c r="D26" i="26"/>
  <c r="D25" i="26"/>
  <c r="D24" i="26"/>
  <c r="D21" i="26"/>
  <c r="D20" i="26"/>
  <c r="D19" i="26"/>
  <c r="D18" i="26"/>
  <c r="D17" i="26"/>
  <c r="D16" i="26"/>
  <c r="D15" i="26"/>
  <c r="D14" i="26"/>
  <c r="D13" i="26"/>
  <c r="D10" i="26"/>
  <c r="D9" i="26"/>
  <c r="D8" i="26"/>
  <c r="D5" i="26"/>
</calcChain>
</file>

<file path=xl/sharedStrings.xml><?xml version="1.0" encoding="utf-8"?>
<sst xmlns="http://schemas.openxmlformats.org/spreadsheetml/2006/main" count="3827" uniqueCount="546">
  <si>
    <t>I</t>
  </si>
  <si>
    <t>GÉNÉRALITÉS</t>
  </si>
  <si>
    <t>unité</t>
  </si>
  <si>
    <t>Qtité</t>
  </si>
  <si>
    <t>Prix unit.</t>
  </si>
  <si>
    <t>Prix Total</t>
  </si>
  <si>
    <t>ff</t>
  </si>
  <si>
    <t>SOUS-TOTAL</t>
  </si>
  <si>
    <t>II</t>
  </si>
  <si>
    <t>TERRASSEMENTS</t>
  </si>
  <si>
    <t>m3</t>
  </si>
  <si>
    <t>Remblai des fouilles</t>
  </si>
  <si>
    <t>III</t>
  </si>
  <si>
    <t>BÉTONS ARMES, MAÇONNERIES</t>
  </si>
  <si>
    <t xml:space="preserve">Béton armé pour chaînage bas </t>
  </si>
  <si>
    <t xml:space="preserve">Béton armé pour couronnement </t>
  </si>
  <si>
    <t>m2</t>
  </si>
  <si>
    <t>IV</t>
  </si>
  <si>
    <t>ENDUITS, REVÊTEMENTS</t>
  </si>
  <si>
    <t>V</t>
  </si>
  <si>
    <t>MENUISERIES MÉTALLIQUES</t>
  </si>
  <si>
    <t>u</t>
  </si>
  <si>
    <t>VI</t>
  </si>
  <si>
    <t>AMÉNAGEMENT EXTERIEUR</t>
  </si>
  <si>
    <t>GENERALITES</t>
  </si>
  <si>
    <t>1.1</t>
  </si>
  <si>
    <t>m²</t>
  </si>
  <si>
    <t>Fouilles en rigoles</t>
  </si>
  <si>
    <t>Fouilles en pleine masse pour semelles isolées</t>
  </si>
  <si>
    <t xml:space="preserve">Béton armé pour semelles isolée </t>
  </si>
  <si>
    <t>Désignation</t>
  </si>
  <si>
    <t>DEVIS QUANTITATIF ESTIMATIF GENERALITES</t>
  </si>
  <si>
    <t>REF</t>
  </si>
  <si>
    <t>DESIGNATION</t>
  </si>
  <si>
    <t>QTE</t>
  </si>
  <si>
    <t>ENTREE ET AMENAGEMENT</t>
  </si>
  <si>
    <t>BLOC DE TROIS SALLES DE CLASSES</t>
  </si>
  <si>
    <t>TERRAINS DE SPORT</t>
  </si>
  <si>
    <t>MONTANT TOTAL DES TRAVAUX H.T en f CFA</t>
  </si>
  <si>
    <t>MONTANT TOTAL DES TRAVAUX H.T en euros</t>
  </si>
  <si>
    <t>4.1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</si>
  <si>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</si>
  <si>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</si>
  <si>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</si>
  <si>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</si>
  <si>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</si>
  <si>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</si>
  <si>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</si>
  <si>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</si>
  <si>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</si>
  <si>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2.1</t>
  </si>
  <si>
    <t>2.2</t>
  </si>
  <si>
    <t>2.3</t>
  </si>
  <si>
    <t>Béton de propreté dosé à 150 kg/m3 sous toutes les semelles</t>
  </si>
  <si>
    <t xml:space="preserve">Béton armé dosé à 350 kg/m3 pour semelles filantes </t>
  </si>
  <si>
    <t>Béton armé dosé à 350 kg/m3 pour amorces poteaux</t>
  </si>
  <si>
    <t>Béton armé dosé à 350 kg/m3 pour poteaux</t>
  </si>
  <si>
    <t>Soubassement en agglos pleins de 20 x 20 x 40</t>
  </si>
  <si>
    <t>Elevation en agglos creux de 15 x 20 x 40</t>
  </si>
  <si>
    <t>Enduit tyrolien sur murs et poteaux</t>
  </si>
  <si>
    <t xml:space="preserve">Enduits ciment sur murs et poteaux 
</t>
  </si>
  <si>
    <t>4.2</t>
  </si>
  <si>
    <t>Portail en tôle pleine de 15/10 double face de  400 x 220 avec un cadrillage de 40x60 en tube carré de 45/2 y compris serrure et toutes sujétions de pose</t>
  </si>
  <si>
    <t>6.1</t>
  </si>
  <si>
    <t>6.2</t>
  </si>
  <si>
    <t>5.1</t>
  </si>
  <si>
    <t>5.2</t>
  </si>
  <si>
    <t>5.3</t>
  </si>
  <si>
    <t>MENUISERIES METALLIQUES</t>
  </si>
  <si>
    <t>ENDUITS - REVETEMENTS - PEINTURE</t>
  </si>
  <si>
    <t>Peinture sur menuiserie métallique (portail et portillon)</t>
  </si>
  <si>
    <t>4.3</t>
  </si>
  <si>
    <t>Portillon en tôle pleine de 15/10 double face de  150 x 220 avec un cadrillage de 40x60 en tube carré de 45/2 y compris serrure et toutes sujétions de pose</t>
  </si>
  <si>
    <t>Implantation</t>
  </si>
  <si>
    <t>6.3</t>
  </si>
  <si>
    <t>6.4</t>
  </si>
  <si>
    <t>6.5</t>
  </si>
  <si>
    <t>ml</t>
  </si>
  <si>
    <t>REF.</t>
  </si>
  <si>
    <t>DÉSIGNATION DES OUVRAGES</t>
  </si>
  <si>
    <t>U</t>
  </si>
  <si>
    <t>QTITE</t>
  </si>
  <si>
    <t>PRIX UNITÉ</t>
  </si>
  <si>
    <t>PRIX  TOTAL</t>
  </si>
  <si>
    <t>Remblai arrosé et compacté</t>
  </si>
  <si>
    <t>POTEAUX</t>
  </si>
  <si>
    <t>Béton de propreté dosé à 150kg/m3</t>
  </si>
  <si>
    <t>Béton armé  dosé à 350kg/m3 pour semelles filantes de 20 cm d'épaisseur</t>
  </si>
  <si>
    <t>Béton armé  dosé à 350kg/m3 pour chainage bas</t>
  </si>
  <si>
    <t>Bêton de forme d'aire en trellis soudés dosé à 250kg/m3 d'épaisseur de 10cm</t>
  </si>
  <si>
    <t>Béton armé pour Rampes d'accès</t>
  </si>
  <si>
    <t xml:space="preserve">Béton armé pour marches </t>
  </si>
  <si>
    <t>Béton armé pour chaînage linteau dosé à 350kg/m3</t>
  </si>
  <si>
    <t>Béton armé pour chaînage haut dosé à 350kg/m3</t>
  </si>
  <si>
    <t>Béton armé pour chaînage appui de fenêtres dosé à 350kg/m3</t>
  </si>
  <si>
    <t>Béton armé pour poteaux dosé à 350kg/m3</t>
  </si>
  <si>
    <t>Réalisation de paillasse en Béton armé y compris maçonnerie du supports</t>
  </si>
  <si>
    <t>Maçonnerie en Agglos pleins de 20 x 20 x 40</t>
  </si>
  <si>
    <t>Maçonnerie en Agglos creux de 15 x 20 x 40</t>
  </si>
  <si>
    <t>Enduit ciment intérieur sur murs</t>
  </si>
  <si>
    <t>Carreaux grès cérame de 40X40</t>
  </si>
  <si>
    <t>VII</t>
  </si>
  <si>
    <t>MENUISERIES BOIS</t>
  </si>
  <si>
    <t>Faux plafond en contre plaqué de 5mm, quadrillage de 60X60 y comprise toutes sujétions</t>
  </si>
  <si>
    <t>VIII</t>
  </si>
  <si>
    <t>PEINTURE, VITRERIE, MIROITERIE</t>
  </si>
  <si>
    <t>Peinture à huile sur menuiserie</t>
  </si>
  <si>
    <t xml:space="preserve">Peinture à huile murale </t>
  </si>
  <si>
    <t>Peinture fom ou vernis sous faux plafond</t>
  </si>
  <si>
    <t>IX</t>
  </si>
  <si>
    <t>Branchement au réseau interne ou local technique avec de câble d'alimentation HG1000 4x16mm2, y compris toutes sujétions</t>
  </si>
  <si>
    <t>Ens</t>
  </si>
  <si>
    <t>Filerie de distribution, y compris la mise en œuvre des fourreaux, accessoires et mise à la terre en cuivre nu de 25 mm2 y/c toutes sujétions de pose en fond de fouille ( TH rigide 10 mm² jaune-vert; barrete de coupure; piquet de terre etc ) et accessoires de raccordement</t>
  </si>
  <si>
    <t>Interrupteur simple allumage</t>
  </si>
  <si>
    <t>Interrupteur double allumage</t>
  </si>
  <si>
    <t>Réglette LED de 120</t>
  </si>
  <si>
    <t>Réglette étanche LED de 120</t>
  </si>
  <si>
    <t>Prise simple avec terre</t>
  </si>
  <si>
    <t>Tableau général complet avec disjoncteur général et de  ligne de repartition (prises, lumière, ventilateurs ….) y compris toutes sujétions</t>
  </si>
  <si>
    <t>X</t>
  </si>
  <si>
    <t>Brasseur d'air complet</t>
  </si>
  <si>
    <t>Réf.</t>
  </si>
  <si>
    <t>Désignation des ouvrages</t>
  </si>
  <si>
    <t>Unité</t>
  </si>
  <si>
    <t>Quantité</t>
  </si>
  <si>
    <t>Prix unitaire</t>
  </si>
  <si>
    <t>Prix total</t>
  </si>
  <si>
    <t>TERRASSEMENT</t>
  </si>
  <si>
    <t>1.2</t>
  </si>
  <si>
    <t>1.3</t>
  </si>
  <si>
    <t>1.4</t>
  </si>
  <si>
    <t>2.4</t>
  </si>
  <si>
    <t>4.4</t>
  </si>
  <si>
    <t>4.5</t>
  </si>
  <si>
    <t>5.4</t>
  </si>
  <si>
    <t>SOUS TOTAL</t>
  </si>
  <si>
    <t>7.1</t>
  </si>
  <si>
    <t>7.2</t>
  </si>
  <si>
    <t>PEINTURE</t>
  </si>
  <si>
    <t xml:space="preserve">Fouilles en pleine masse pour fosses   </t>
  </si>
  <si>
    <t>MACONNERIE B. A.</t>
  </si>
  <si>
    <t>Maçonnerie en claustras pour ventilation</t>
  </si>
  <si>
    <t>Béton armé pour dalle de plancher</t>
  </si>
  <si>
    <t>Charpente et Couverture</t>
  </si>
  <si>
    <t>Pannes en tubes carrés de 50/2 + toute sujetion de pose</t>
  </si>
  <si>
    <t>Rélevé d'étanchéité en Paxalumine40+ toute sujetion de pose</t>
  </si>
  <si>
    <t>PLOMBERIE ET ASSAINISSEMENT</t>
  </si>
  <si>
    <t>Dispositif de lave main</t>
  </si>
  <si>
    <t>Fourniture et pose d'un Dispositif de lave main pour servir au lavage des mains pour les élèves après usage. Cette rubrique comprend tout le dispositif d'alimentation y compris toute sujétion</t>
  </si>
  <si>
    <t>FF</t>
  </si>
  <si>
    <t>LOGEMENT DIRECTEUR</t>
  </si>
  <si>
    <t xml:space="preserve">Faïence murale </t>
  </si>
  <si>
    <t>Carreaux anti-dérapant pour S.E. de 30x30</t>
  </si>
  <si>
    <t>Plinthe encastrée</t>
  </si>
  <si>
    <t>VENTILATION</t>
  </si>
  <si>
    <t>TOTAL LOGEMENT DIRECTEUR</t>
  </si>
  <si>
    <t>3.13</t>
  </si>
  <si>
    <t>3.14</t>
  </si>
  <si>
    <t>3.15</t>
  </si>
  <si>
    <t>Peinture à huile sur menuiserie métallique</t>
  </si>
  <si>
    <t>ÉLECTRICITÉ</t>
  </si>
  <si>
    <t xml:space="preserve"> </t>
  </si>
  <si>
    <t>Fouilles en rigole pour semelles filante</t>
  </si>
  <si>
    <t>Béton de propreté dosé à 150 kg/m3</t>
  </si>
  <si>
    <t>Béton armé  dosé à 350kg/m3 pour amorce poteaux</t>
  </si>
  <si>
    <t xml:space="preserve">Réalisation des enseignes </t>
  </si>
  <si>
    <t>Enduit ciment sur murs extérieur</t>
  </si>
  <si>
    <t>Enduit tyrolien sur murs extérieurs</t>
  </si>
  <si>
    <t>Plinthe de10 cm de hauteur</t>
  </si>
  <si>
    <t xml:space="preserve">CHARPENTE/COUVERTURE </t>
  </si>
  <si>
    <t>Fourniture et pose de traverse en IPN de 100</t>
  </si>
  <si>
    <t>Fourniture et pose des pannes en tube carré de 50 y compris toutes sujétions</t>
  </si>
  <si>
    <t>Fourniture et pose de panne de rive en tube carré de 50 y compris toutes sujétions</t>
  </si>
  <si>
    <t xml:space="preserve">Couverture en tole aluzinc de 50/100 ème y compris feutre bitumineux entre tôles et pannes pour éviter les phénomènes électrolytiques et  l'usure de la tôle,  crochets de fixation, cavalier, les rondelles métalliques et les rondelles d'étancheité. </t>
  </si>
  <si>
    <t>F et P de Porte en tole pleine de 120 x 220 y compris sérrures à 5 clés</t>
  </si>
  <si>
    <t>F et P de Porte en tole pleine de 90 x 220 y compris sérrure à 5 clés</t>
  </si>
  <si>
    <t>F et P de Fenêtre en tole pleine de 60 x 120</t>
  </si>
  <si>
    <t>F et P de Porte en châssis vitré de 120 x 220 y compris la pose de vitre de 5 mm d'épaisseur</t>
  </si>
  <si>
    <t>F et P de Porte en châssis vitré de 90 x 220 y compris vitre de 5 mm d'épaisseur</t>
  </si>
  <si>
    <t>F et P de Fenêtre en châssis vitré de 60 x 120 y compris vitre de 5 mm d'épaisseur</t>
  </si>
  <si>
    <t>DEVIS QUANTITATIF ESTIMATIF SALLE POLYVALENTE</t>
  </si>
  <si>
    <t>Béton armé dosé à 350 kg/m3 pour amorce poteaux</t>
  </si>
  <si>
    <t>Béton armé dosé à 350 kg/m3 pour appui fenêtre</t>
  </si>
  <si>
    <t>Enduit ciment sur murs extérieurs</t>
  </si>
  <si>
    <t xml:space="preserve">Faïence sur mur et paillasse </t>
  </si>
  <si>
    <t>Fourniture et pose de plinthe de 10 cm de hauteur</t>
  </si>
  <si>
    <t>CHARPENTE/COUVERTURE</t>
  </si>
  <si>
    <t>Fourniture et pose de panne de rive en tube carré de 50</t>
  </si>
  <si>
    <t xml:space="preserve">Couverture en tole aluzinc 5/10 eme  , feutre bitumineux entre tôles et pannes pour éviter les phénomènes électrolytiques et  l'usure de la tôle,  crochets de fixation, cavalier, les rondelles métalliques et les rondelles d'étancheité. </t>
  </si>
  <si>
    <t>F et P de Porte en tole pleine de 120 x 220</t>
  </si>
  <si>
    <t>F et P de Porte en tole pleine de 90 x 220</t>
  </si>
  <si>
    <t>F et P de Fenêtre en tole pleine de 120 x 120</t>
  </si>
  <si>
    <t>F et P de Porte en châssis vitré de 120 x 220 (cadre + vitre d'épaisseur 5 mm)</t>
  </si>
  <si>
    <t>F et P de Porte en châssis vitré de 90 x 220 (cadre + vitre de 5 mm d'épaisseur)</t>
  </si>
  <si>
    <t>F et P de Fenêtre en châssis vitré de 120 x 120 (cadre + vitre de 5 mm d'épaisseur)</t>
  </si>
  <si>
    <t>Peinture à huile murale y compris enduit peintre</t>
  </si>
  <si>
    <t>Fouille en pleine masse</t>
  </si>
  <si>
    <t>Béton armé  dosé à 350kg/m3 pour socle de 25X25</t>
  </si>
  <si>
    <t>Béton armé dosé à 350 kg/m3 pour rampe</t>
  </si>
  <si>
    <t>MENUISERIE METALLIQUE</t>
  </si>
  <si>
    <t>Fourniture et pose de garde corps métallique au niveau des rampes</t>
  </si>
  <si>
    <t>Fixation des supports en IPN de 80 dans le socle Y compris toutes sujétions</t>
  </si>
  <si>
    <t>Peinture sur IPN</t>
  </si>
  <si>
    <t>ADMINISTRATION</t>
  </si>
  <si>
    <t>Béton armé  dosé à 350kg/m3 pour chainage linteau</t>
  </si>
  <si>
    <t>Béton armé élements decoratifs terrasse</t>
  </si>
  <si>
    <t>F et P de traverse en IPN de 80 au niveau de la terrasse</t>
  </si>
  <si>
    <t>Fourniture  et Pose de tube carré de 50/2</t>
  </si>
  <si>
    <t>Fourniture et pose des aérations en tole perforé sur cadre métallique y compris  toutes sujétions</t>
  </si>
  <si>
    <t>Fourniture et pose de garde corps métallique</t>
  </si>
  <si>
    <t>Réglette étanche LED de 60</t>
  </si>
  <si>
    <t>Remblai arrosé et compacté sous dallage</t>
  </si>
  <si>
    <t>Bèton armé dosé à 350 kg/m3 pour rampe</t>
  </si>
  <si>
    <t>Béton armé dosé à 350kg/m3 pour chainage pose craie</t>
  </si>
  <si>
    <t>Enduit tyrolien</t>
  </si>
  <si>
    <t>Couverture de la terrasse en tole aluzinc de 50/100 ème y compris feutre bitumineux entre tôles et pannes pour éviter les phénomènes électrolytiques et  l'usure de la tôle,  crochets de fixation, cavalier, les rondelles métalliques et les rondelles d'étancheité</t>
  </si>
  <si>
    <t>Fourniture et pose de fermette pour  charpente de la terrasse couverte</t>
  </si>
  <si>
    <t>F et P de carreau gré cérame au sol</t>
  </si>
  <si>
    <t>F et P de plinthe de 10 cm encastrée</t>
  </si>
  <si>
    <t>Couverture en bac aluzinc 5/10eme y compris touts sujétions</t>
  </si>
  <si>
    <t>MENUISERIES MÉTALLIQUES - VITRERIE</t>
  </si>
  <si>
    <t>Fourniture et pose de porte en tole pleine de 160X220 Y C sérrures à 5 clés</t>
  </si>
  <si>
    <t>F et P de Fenêtre en tole pleine de 120 x 120 Y C toutes sujétions</t>
  </si>
  <si>
    <t>F et P de Fenêtre en tole pleine de 60 x 120 Y C toutes sujétions</t>
  </si>
  <si>
    <t>Fourniture et pose de chassis vitré de 160X220 Y C pose vitre de 5mm d'épaisseur et toutes sujétions</t>
  </si>
  <si>
    <t>F et P de Porte de chassis vitré de 90 x 220 y compris pose de vitre de 5 mm d'épaisseur et toutes sujétions</t>
  </si>
  <si>
    <t>F et P de chassis vitré de 120 x 120 Y C pose vitre de 5 mm d'épaisseur et toutes sujétions</t>
  </si>
  <si>
    <t>Béton armé dosé à 350kg/m3 pour paillasse y C toutes sujétions</t>
  </si>
  <si>
    <t>Carreau faience sur paillasse</t>
  </si>
  <si>
    <t>Couverture en bac aluzinc 5/10eme y compris toutes sujétions</t>
  </si>
  <si>
    <t xml:space="preserve">MENUISERIES MÉTALLIQUES </t>
  </si>
  <si>
    <t>Béton armé pour amorce poteaux</t>
  </si>
  <si>
    <t>Socle pour placard en béton dosé 150 kg/m3</t>
  </si>
  <si>
    <t>Réalisation des dallettes en Béton armé pour placard</t>
  </si>
  <si>
    <t>Plinthe de 10 cm de hauteur</t>
  </si>
  <si>
    <t xml:space="preserve">COUVERTURE -ETANCHEITE </t>
  </si>
  <si>
    <t>Traverse en IPN de 100</t>
  </si>
  <si>
    <t>Fourniture et pose de panne en tube carré de 50 y compris toutes sujétions</t>
  </si>
  <si>
    <t xml:space="preserve">Fourniture et pose des aérations hautes en tôle perforée de 15/10 de dimension 30X15 cm </t>
  </si>
  <si>
    <t>F et P de Porte en tole pleine de 120 x 220 y compris sérrure à 5 clefs</t>
  </si>
  <si>
    <t>F et P de Porte en tole pleine de 90 x 220 y compris sérrure</t>
  </si>
  <si>
    <t>F et P de Porte en châssis vitré de 120 x 220 y compris vitre de 5mm d'épaisseur</t>
  </si>
  <si>
    <t>F et P de Porte en châssis vitré de 90 x 220 Y compris vitre de 5mm d'épaisseur</t>
  </si>
  <si>
    <t xml:space="preserve">F et P de Fenêtre en châssis vitré de 120 x 120 y compris la pose de la vitre de 5mm d'épaisseur </t>
  </si>
  <si>
    <t>Peinture à huile sur murs intérieurs</t>
  </si>
  <si>
    <t>Remblai latéritique arrosé et compacté</t>
  </si>
  <si>
    <t>Béton armé pour semelles filantes dosé à 350kg/m3</t>
  </si>
  <si>
    <t>Béton armé pour chaînage bas dosé à 350kg/m3</t>
  </si>
  <si>
    <t>Béton armé pour amorce  poteaux dosé à350 kg/m3</t>
  </si>
  <si>
    <t>2.5</t>
  </si>
  <si>
    <t>Béton armé pour chaînags linteau dosé à 350kg/m3</t>
  </si>
  <si>
    <t>2.6</t>
  </si>
  <si>
    <t>2.7</t>
  </si>
  <si>
    <t>2.8</t>
  </si>
  <si>
    <t>Béton armé pour appui fenetre dosé à 350kg/m4</t>
  </si>
  <si>
    <t>2.9</t>
  </si>
  <si>
    <t>Béton armé dosé à 350 Kg/m3 pour marche et rampe</t>
  </si>
  <si>
    <t>2.10</t>
  </si>
  <si>
    <t>Agglos pleins de 20 x 20 x 40</t>
  </si>
  <si>
    <t>2.11</t>
  </si>
  <si>
    <t>Agglos creux de 15 x 20 x 40</t>
  </si>
  <si>
    <t>Enduit ciment sur murs intérieurs</t>
  </si>
  <si>
    <t>Carreaux au sol intérieur</t>
  </si>
  <si>
    <t>Plinthe en carreaux de 10cm de haut</t>
  </si>
  <si>
    <t>COUVERTURE-ETANCHEITE</t>
  </si>
  <si>
    <t>Fourniture et pose de  tube carré de 50  selon détails plans y compris application  d'antirouille, de peinture et toutes sujètions</t>
  </si>
  <si>
    <t>Fourniture et pose de couverture en tôle  Alu zinc  épaisseur 63/100e y compris accessoires de pose</t>
  </si>
  <si>
    <t xml:space="preserve"> Feutre bitumeux</t>
  </si>
  <si>
    <t>fourniture et pose de grille pour l'aération des combles de 0,20x030</t>
  </si>
  <si>
    <t>Echancheité en pax alu le long de l'acrotère</t>
  </si>
  <si>
    <t>F et P de porte métallique en tole pleine de 90x220</t>
  </si>
  <si>
    <t xml:space="preserve">f et P de fenetre en grille métallique de 80x120 </t>
  </si>
  <si>
    <t>f et P de chassis vitré pour fenetre de 80x120</t>
  </si>
  <si>
    <t xml:space="preserve">Peinture FOM Vinylique sur murs intérieurs + enduit
</t>
  </si>
  <si>
    <t xml:space="preserve">Peinture FOM sur faux plafond 
</t>
  </si>
  <si>
    <t>ÉLECTRICITÉ, VENTILATION</t>
  </si>
  <si>
    <t xml:space="preserve">Réalisation de la prise de terre (ceinturage à fond de fouille par câble cuivre nu de section minimale 29 mm² renforcé par des piquets de terre cuivre); valeur de la prise de terre doit être inférieure à 3 (trois)  ohms </t>
  </si>
  <si>
    <t>7.3</t>
  </si>
  <si>
    <t>Fourreautage et alimentation de luminaire  par des fils de 3x1,5mm² sous conduit encastré</t>
  </si>
  <si>
    <t>7.4</t>
  </si>
  <si>
    <t>Fourreautage et alimentation de brasseur d'air par des fils de 3x1,5mm² sous conduit encastré</t>
  </si>
  <si>
    <t>7.5</t>
  </si>
  <si>
    <t>Fourreautage et alimentation de prise de courant normal  par des fils de 3x2,5mm²  sous conduit encastré</t>
  </si>
  <si>
    <t>7.6</t>
  </si>
  <si>
    <t xml:space="preserve">Fourniture et pose de brasseur d'air et Rhéostat </t>
  </si>
  <si>
    <t>7.7</t>
  </si>
  <si>
    <t xml:space="preserve">Fourniture et pose de prise de courant 16A+T </t>
  </si>
  <si>
    <t>7.8</t>
  </si>
  <si>
    <t xml:space="preserve">Fourniture et pose d'interrupteur simple allumage </t>
  </si>
  <si>
    <t>7.9</t>
  </si>
  <si>
    <t>Fourniture et pose d'interrupteur étanche</t>
  </si>
  <si>
    <t>7.10</t>
  </si>
  <si>
    <t>Fourniture et pose de réglette fluo de 120</t>
  </si>
  <si>
    <t>7.11</t>
  </si>
  <si>
    <t>Fourniture et pose de réglette de 60 étanche</t>
  </si>
  <si>
    <t xml:space="preserve">LATRINE ET DOUCHE LOGEMENT GARDIEN : </t>
  </si>
  <si>
    <t>ensemble de WC + douche. Fosse de 2,50x2,80x2,50 de profondeur recouverte d'une dalle en béton de 8 cm avec trou et pose pieds. Robinet de puisage à l'extérieur. Mur de 1,80 de hauteur avec porte de 0,80 de large.</t>
  </si>
  <si>
    <t>Sous-total</t>
  </si>
  <si>
    <t>CUISINE</t>
  </si>
  <si>
    <t>TOILETTES</t>
  </si>
  <si>
    <t>BIBLIOTHEQUE (Case d'études)</t>
  </si>
  <si>
    <t>SALLE INFORMATIQUE</t>
  </si>
  <si>
    <t>SALLE DE REUNION</t>
  </si>
  <si>
    <t>TOILETTES 2 CABINES</t>
  </si>
  <si>
    <t>INSTALLATION DU CHANTIER ET REPLI:  Baraque de chantier avec bureau et 08 chaises minimum, l'amenée du matériel nécessaire à l'installation, les panneaux de chantier, le gardiennage, l'organisation des différentes aires, l'identification des carrières, le nettoyage du chantieret des batiments à la fin des travaux et le repli</t>
  </si>
  <si>
    <t>Implantation des voies de circulation</t>
  </si>
  <si>
    <t xml:space="preserve">Fourniture et pose de bordures de 5 cm pour passage </t>
  </si>
  <si>
    <t>Prix en chiffres</t>
  </si>
  <si>
    <t>Prix en lettres</t>
  </si>
  <si>
    <t>F et P de plaque metallique pour identification en tôle de dimension 1,20 x 1,10 fixée au mur y compris toutes sujétions de pose</t>
  </si>
  <si>
    <t>3.10</t>
  </si>
  <si>
    <t>3.11</t>
  </si>
  <si>
    <t>3.12</t>
  </si>
  <si>
    <t xml:space="preserve">Couverture en tole aluzinc 50/100, feutre bitumineux entre tôles et pannes pour éviter les phénomènes électrolytiques et  l'usure de la tôle,  crochets de fixation, cavalier, les rondelles métalliques et les rondelles d'étancheité. </t>
  </si>
  <si>
    <t>Décapage et nivellement</t>
  </si>
  <si>
    <t>Cage gardien et filet</t>
  </si>
  <si>
    <t>Peinture blanche pour délimitation du terrain</t>
  </si>
  <si>
    <t>F et pose de sable</t>
  </si>
  <si>
    <t>1.5</t>
  </si>
  <si>
    <t>1.6</t>
  </si>
  <si>
    <t>terrain de football</t>
  </si>
  <si>
    <t xml:space="preserve">II </t>
  </si>
  <si>
    <t>Terrain multisport</t>
  </si>
  <si>
    <t>Remblais latérite compacté</t>
  </si>
  <si>
    <t>Béton armé dosé à 300 kg/m3</t>
  </si>
  <si>
    <t>Panier de basket et Cage gardien pour volley + filet</t>
  </si>
  <si>
    <t>Peinture à huile blanche pour délimitation du terrain</t>
  </si>
  <si>
    <t xml:space="preserve">Remblai des fouilles                                                                                                                         </t>
  </si>
  <si>
    <t xml:space="preserve">Béton de propreté sous semelle filante et sous radier         </t>
  </si>
  <si>
    <t>Béton armé pour semelle filante et radier</t>
  </si>
  <si>
    <t>SOUBASSEMENT - BETON ARME</t>
  </si>
  <si>
    <t>Maçonnerie en Agglos pleins de 15 x 20 x 40 cm pour parois de fosses</t>
  </si>
  <si>
    <t>Maçonnerie en Agglos pleins de 15 x 20 x 40 cm pour fondations cabines</t>
  </si>
  <si>
    <t>Béton armé pour poteaux des fosses + amorces poteaux</t>
  </si>
  <si>
    <t>Béton armé pour chainage bas</t>
  </si>
  <si>
    <t xml:space="preserve">Maçonnerie en agglos creux de 15 X 20 X 40 </t>
  </si>
  <si>
    <t>Béton armé pour chainage linteau</t>
  </si>
  <si>
    <t>Béton armé pour dallettes de 60 x 60</t>
  </si>
  <si>
    <t>Béton dallage au sol terrasse dosé à 300kg/m3</t>
  </si>
  <si>
    <t>ENDUIT - REVETEMENT</t>
  </si>
  <si>
    <t>Enduits étanche en ciment étanche en deux couches à l'intérieur de la fosse</t>
  </si>
  <si>
    <t>Enduit ciment à l'intérieur des cabines</t>
  </si>
  <si>
    <t>Enduits sur murs extérieurs y compris tyrolien</t>
  </si>
  <si>
    <t>Couverture en tôle bac alu 50/100+ toute sujetion de pose</t>
  </si>
  <si>
    <t>Porte tôle pleine, dim 90x2,2 cm y compris peinture et crochets</t>
  </si>
  <si>
    <t>Tuyaux d'aération en PVC de 100 mm muni de coude en "T"</t>
  </si>
  <si>
    <t>couche de base en latérite compactée de 10 cm d'épaisseur</t>
  </si>
  <si>
    <t>Peinture fom sur faux plafond</t>
  </si>
  <si>
    <t>F et P de Fenêtre en châssis vitré de 100 x 120 y compris peinture anti rouille et serrure et vitre de 5 mm d'épaisseur</t>
  </si>
  <si>
    <t>F et P de Porte en châssis vitré de 120 x 220 y compris peinture anti rouille et serrure et vitre de 5 mm d'épaisseur</t>
  </si>
  <si>
    <t>F et P de Porte en tole pleine de 120 x 220 y compris peinture anti rouille et serrure à 5 clés</t>
  </si>
  <si>
    <t>4.6</t>
  </si>
  <si>
    <t>4.7</t>
  </si>
  <si>
    <t>COUVERTURE - ETANCHEITE</t>
  </si>
  <si>
    <t>Etanchéité sur toiture</t>
  </si>
  <si>
    <t>F et P de Fenêtre en tole pleine de 100 x 120 y compris peinture anti rouille et serrure à 5 clés</t>
  </si>
  <si>
    <t>Faux plafond en contre plaqué de 5mm, quadrillage de 60X60 y compris toutes sujétions</t>
  </si>
  <si>
    <t>F et P de prise 16A+T</t>
  </si>
  <si>
    <t>F et P de réglette étanche LED de 60</t>
  </si>
  <si>
    <t>F et P de réglette étanche LED de 120</t>
  </si>
  <si>
    <t>F et P de réglette LED de 120</t>
  </si>
  <si>
    <t>F et P de réglette LED de 60</t>
  </si>
  <si>
    <t>F et P Interrupteur SA</t>
  </si>
  <si>
    <t>F et P Interrupteur DA</t>
  </si>
  <si>
    <t>5.5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</si>
  <si>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</si>
  <si>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</si>
  <si>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</si>
  <si>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</si>
  <si>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</si>
  <si>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</si>
  <si>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</si>
  <si>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</si>
  <si>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</si>
  <si>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</si>
  <si>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</si>
  <si>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</si>
  <si>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</si>
  <si>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</si>
  <si>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F et P de brasseur d'air + rhéostat</t>
  </si>
  <si>
    <t>F et P d'extincteur à poudre ABC de 6 kg</t>
  </si>
  <si>
    <t>5.6</t>
  </si>
  <si>
    <t>Porte isoplane pour placard  à âme pleine double battants de 120 pour armoires, y compris cadre, serrure, accessoires et toutes sujétions</t>
  </si>
  <si>
    <t>6.6</t>
  </si>
  <si>
    <t>Fourniture et pose de traverse en IPN de 80</t>
  </si>
  <si>
    <t>Fourniture et pose de panne en tubes carrés de 50 y compris toutes sujétions</t>
  </si>
  <si>
    <t>Fouilles en rigoles pour semelles filante</t>
  </si>
  <si>
    <t>Béton armé dosé à 350kg/m3 pour semelles filantes de 20 cm d'épaisseur</t>
  </si>
  <si>
    <t>Béton armé dosé à 350kg/m3 pour amorce poteaux</t>
  </si>
  <si>
    <t>Fourniture et pose des aérations hautes en tôle perforée de 15/10 de dimension 30X15 cm</t>
  </si>
  <si>
    <t>Fouilles en rigole pour semelles filantes</t>
  </si>
  <si>
    <t xml:space="preserve">Couverture en tole aluzinc 5/10 eme, feutre bitumineux entre tôles et pannes pour éviter les phénomènes électrolytiques et  l'usure de la tôle,  crochets de fixation, cavalier, les rondelles métalliques et les rondelles d'étancheité. </t>
  </si>
  <si>
    <t>DEVIS QUANTITATIF ESTIMATIF BLOC DE 3 SALLES DE CLASSES</t>
  </si>
  <si>
    <t>DEVIS QUANTITATIF ESTIMATIF LOGEMENT GARDIEN</t>
  </si>
  <si>
    <t>Régulateur MPPT 150/70</t>
  </si>
  <si>
    <t>Multiplus II 48/5000VA</t>
  </si>
  <si>
    <t>Cerbo Gx avec écran Gx touch</t>
  </si>
  <si>
    <t>Coffret AC</t>
  </si>
  <si>
    <t>Coffret DC</t>
  </si>
  <si>
    <t>Rack 12U</t>
  </si>
  <si>
    <t>9.12</t>
  </si>
  <si>
    <t>9.13</t>
  </si>
  <si>
    <t>9.14</t>
  </si>
  <si>
    <t>9.15</t>
  </si>
  <si>
    <t>9.16</t>
  </si>
  <si>
    <t>9.17</t>
  </si>
  <si>
    <t>ensemble de Batteries Pylontech US5000</t>
  </si>
  <si>
    <t>LOGEMENT GARDIEN</t>
  </si>
  <si>
    <t xml:space="preserve">Panneaux Mono 500Wc </t>
  </si>
  <si>
    <t>9.18</t>
  </si>
  <si>
    <t>TOTAL ADMINISTRATION (Euros)</t>
  </si>
  <si>
    <t>TOTAL ADMINISTRATION (f CFA)</t>
  </si>
  <si>
    <t>Batteries Pylontech US5000</t>
  </si>
  <si>
    <t>Branchement au tableau général du local technique avec câble d'alimentation 4x16mm2, y compris toutes sujétions</t>
  </si>
  <si>
    <t>DEVIS QUANTITATIF ET ESTIMATIF PATIO</t>
  </si>
  <si>
    <t>Système d'alimentation solaire avec panneaux et batteries</t>
  </si>
  <si>
    <t>RECAPITULATIF DES TRAVAUX</t>
  </si>
  <si>
    <t>Fourniture et pose des aérations hautes persiennées</t>
  </si>
  <si>
    <r>
      <t xml:space="preserve">Implantation : </t>
    </r>
    <r>
      <rPr>
        <sz val="10"/>
        <rFont val="Arial"/>
        <family val="2"/>
      </rPr>
      <t xml:space="preserve">Débroussaillage, décapage, nivellement de l'emprise et sur 1,50 m tout au tour de la zone de l'entrée principale et des entrées secondaires, implantation de l'entrée principale et des entrées secondaires (2) </t>
    </r>
  </si>
  <si>
    <t>Bêton de forme d'aire en trellis soudés dosé à 300kg/m3 d'épaisseur de 10cm y compris film polyane, anti termites et toutes sujjestions</t>
  </si>
  <si>
    <t>Protection autour du bâtiment en gros béton Dosé à 200kg/m3</t>
  </si>
  <si>
    <t>Gros béton pour la protection du bâtiment Dosé à 200kg/m3</t>
  </si>
  <si>
    <t>Protection du bâtiment en gros béton dosé à 200kg/m3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</si>
  <si>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de 30X15 cm y compris toutes sujétions</t>
    </r>
  </si>
  <si>
    <t>PRIX  EN LETTRES</t>
  </si>
  <si>
    <t xml:space="preserve">PRIX EN CHIFFRES </t>
  </si>
  <si>
    <t>Bêton de forme d'aire en trellis soudés dosé à 300kg/m3 d'épaisseur de 10cm y compris film polyane, anti termites? châpe bouchardée et toutes sujjestions</t>
  </si>
  <si>
    <t>Béton armé dosé à 350 kg/m3 pour couronnement</t>
  </si>
  <si>
    <t>Béton armé dosé à 350kg/m3 pour rampe et marche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</si>
  <si>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30X15 cm</t>
    </r>
  </si>
  <si>
    <t>TOTAL Case D'étude (Bibliothèque) f CFA</t>
  </si>
  <si>
    <t>TOTAL Case D'étude (Bibliothèque) Euros</t>
  </si>
  <si>
    <t>TOTAL Salle informatique - Labo (Case D'étude) f CFA</t>
  </si>
  <si>
    <t>TOTAL Salle informatique - Labo (Case D'étude) Euros</t>
  </si>
  <si>
    <t>TOTAL Salle polyvalente f CFA</t>
  </si>
  <si>
    <t>TOTAL Salle polyvalente Euros</t>
  </si>
  <si>
    <t>TOTAL PATIO f CFA</t>
  </si>
  <si>
    <t>TOTAL PATIO Euros</t>
  </si>
  <si>
    <t>Béton de forme d'aire en trellis soudés dosé à 300kg/m3 d'épaisseur de 10cm y compris film polyane, anti termites et toutes sujjestions</t>
  </si>
  <si>
    <t>10.1</t>
  </si>
  <si>
    <t>3.16</t>
  </si>
  <si>
    <t xml:space="preserve">DEVIS ESTIMATIF QUANTITATIF POUR 1 BLOC LATRINE A DEUX CABINES </t>
  </si>
  <si>
    <t>MONTANT TOTAL HT DES TRAVAUX DU BLOC LATRINE A 2 cabines (f CFA)</t>
  </si>
  <si>
    <t>MONTANT TOTAL HT DES TRAVAUX DU BLOC LATRINE A 2 cabines (Euros)</t>
  </si>
  <si>
    <t>7.1.1</t>
  </si>
  <si>
    <t>6.7</t>
  </si>
  <si>
    <t>6.8</t>
  </si>
  <si>
    <t>Installation solaire y compris toutes les sujétions</t>
  </si>
  <si>
    <t>TOTAL CUISINE LOGEMENT DIRECTEUR</t>
  </si>
  <si>
    <t>MONTANT TOTAL HT LOGEMENT(f CFA)</t>
  </si>
  <si>
    <t>MONTANT TOTAL HT LOGEMENT(Euros)</t>
  </si>
  <si>
    <t>TOTAL CASE GARDIEN HT (f CFA)</t>
  </si>
  <si>
    <t>TOTAL LOGEMENT GARDIEN (f CFA)</t>
  </si>
  <si>
    <t>TOTAL LOGEMENT GARDIEN (Euros)</t>
  </si>
  <si>
    <r>
      <t xml:space="preserve">TOTAL BLOC DE </t>
    </r>
    <r>
      <rPr>
        <b/>
        <sz val="10"/>
        <color rgb="FFFF0000"/>
        <rFont val="Arial"/>
        <family val="2"/>
      </rPr>
      <t>TROIS</t>
    </r>
    <r>
      <rPr>
        <b/>
        <sz val="10"/>
        <rFont val="Arial"/>
        <family val="2"/>
      </rPr>
      <t xml:space="preserve"> SALLES DE CLASSE (Euros)</t>
    </r>
  </si>
  <si>
    <t>TOTAL  ENTREE AMENAGEMENT  HT f CFA</t>
  </si>
  <si>
    <t>TOTAL  ENTREE AMENAGEMENT  HT en euros</t>
  </si>
  <si>
    <r>
      <t xml:space="preserve">TOTAL BLOC DE </t>
    </r>
    <r>
      <rPr>
        <b/>
        <sz val="10"/>
        <color rgb="FFFF0000"/>
        <rFont val="Arial"/>
        <family val="2"/>
      </rPr>
      <t xml:space="preserve">TROIS </t>
    </r>
    <r>
      <rPr>
        <b/>
        <sz val="10"/>
        <rFont val="Arial"/>
        <family val="2"/>
      </rPr>
      <t>SALLES DE CLASSE (f CFA)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</si>
  <si>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HT f CFA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</si>
  <si>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 HT (euros)</t>
    </r>
  </si>
  <si>
    <t>REHABILITATION/CONSTRUCTION DU CEG DE ZOUMBOU</t>
  </si>
  <si>
    <t>TOTAL GENERAL GENERALITES CEG ZOUMBOU HT en f CFA</t>
  </si>
  <si>
    <t>TOTAL GENERAL GENERALITES CEG ZOUMBOU HT en euros</t>
  </si>
  <si>
    <t xml:space="preserve">DEVIS QUANTITATIF ET ESTIMATIF REHABILITATION ZOUMBOU BLOC  ( Quatres salles de classes ) </t>
  </si>
  <si>
    <t>Généralités</t>
  </si>
  <si>
    <t>Réprise d'étanchéité</t>
  </si>
  <si>
    <t>Traitement anti termites</t>
  </si>
  <si>
    <t>Protection autour du batiment en gros béton dosé à 200kg/m3  de 60cm de large et 80cm d'épaisseur</t>
  </si>
  <si>
    <t>Réprise de la chape bouchardée pour forme d'aire les quatres classes + galerie</t>
  </si>
  <si>
    <t>Chape pour marches d'accés</t>
  </si>
  <si>
    <t xml:space="preserve">Béton armé pour réprise rampe d'accés  </t>
  </si>
  <si>
    <t xml:space="preserve">Remblais latéritique pour   rampes d'accés compacté et arrosé par couche de 20cm </t>
  </si>
  <si>
    <t xml:space="preserve"> Réparation des fissures et Enduit lisse pour tableau</t>
  </si>
  <si>
    <t xml:space="preserve">Raffraichissement enduit tyrolien  </t>
  </si>
  <si>
    <t>Traitement des fissures apparentes et raccordements d'enduit ciment au mortier dosé à 250Kg/m3 de 13mm d’épaisseur minimale</t>
  </si>
  <si>
    <t>F et P des arretoires pour portes et fenetres</t>
  </si>
  <si>
    <t>F et P de porte métallique persiénné</t>
  </si>
  <si>
    <t>reparation des portes et fenetres (crochet+cadres + cornieres galeries)y compris toutes suggestions</t>
  </si>
  <si>
    <t>Fourniture et pose de garde corps métallique de hauteur 1,05 m pour rampe d'accés</t>
  </si>
  <si>
    <t>Réprise Faux plafond  en contre plaqué de 5mm, quadrillage de 60X60 y comprise toutes sujétions</t>
  </si>
  <si>
    <t xml:space="preserve">peinture Fom  </t>
  </si>
  <si>
    <t>Application des peinture ardoisine  en deux couches sur le tableau de chaque salle</t>
  </si>
  <si>
    <t>ELECTRICITE</t>
  </si>
  <si>
    <t>Vérification de l'installation électrique et mise en conformité y compris circuit de terre; réprise de fillerie aux normes</t>
  </si>
  <si>
    <t>brasseur d'air + rhéostat</t>
  </si>
  <si>
    <t xml:space="preserve">Remplacement desTube fluo défectueux de 120 </t>
  </si>
  <si>
    <t>F et P de Tube fluo de 120 LED étanche</t>
  </si>
  <si>
    <t>Intérrupteur SA</t>
  </si>
  <si>
    <t>Prises de 2P + T</t>
  </si>
  <si>
    <t xml:space="preserve">DEVIS QUANTITATIF ET ESTIMATIF REHABILITATION ZOUMBOU BLOC  ( Bureau Magasin) </t>
  </si>
  <si>
    <t xml:space="preserve">Réprise de la chape bouchardée pour forme d'aire  </t>
  </si>
  <si>
    <t>Enduit ciment intérieur</t>
  </si>
  <si>
    <t xml:space="preserve"> enduit sur mur extérieur y compris tyrolien  </t>
  </si>
  <si>
    <t>F et P de porte métallique persiénné de 0,9*2,20</t>
  </si>
  <si>
    <t xml:space="preserve"> F et P des  fenetres persiénné de dimensions 1,20*1,20</t>
  </si>
  <si>
    <t>F et P du Faux plafond  en contre plaqué de 5mm, quadrillage de 60X60 y comprise toutes sujétions</t>
  </si>
  <si>
    <t>Tableau de répartition</t>
  </si>
  <si>
    <t>Fillerie de distribution intérieur</t>
  </si>
  <si>
    <t>F et P desTube fluo de 120 LED</t>
  </si>
  <si>
    <t>Prises de courant +terre</t>
  </si>
  <si>
    <t>Interrupteur SA</t>
  </si>
  <si>
    <t xml:space="preserve">DEVIS QUANTITATIF ET ESTIMATIF REHABILITATION ZOUMBOU LATRINES </t>
  </si>
  <si>
    <t xml:space="preserve">Réhabilitation de la chape bouchardée pour forme d'aire </t>
  </si>
  <si>
    <t>Béton armé pour appuis tole</t>
  </si>
  <si>
    <t xml:space="preserve">Enduit ciment extérieurtyrolien  </t>
  </si>
  <si>
    <t>Réparation de toutes les portes  métalliques, cabines de toilettes y compris toutes suggestions</t>
  </si>
  <si>
    <t>Assainissement</t>
  </si>
  <si>
    <t>Curage des fosses</t>
  </si>
  <si>
    <t>Reparation des couvercles pour regards y compris toutes suggestions</t>
  </si>
  <si>
    <t>F et Pdes tuyau PVC pour aération y compris toutes suggestions(coudes; T ; tamis; collier de fixation)</t>
  </si>
  <si>
    <t>PRIX EN CHIFFRES</t>
  </si>
  <si>
    <t>PRIX EN LETTRES</t>
  </si>
  <si>
    <t xml:space="preserve">BORDEREAU DES PRIX UNITAIRES REHABILITATION ZOUMBOU BLOC  ( Quatres salles de classes ) </t>
  </si>
  <si>
    <t>TOTAL REHABILITATION  BLOC DE QUATRE SALLES DE CLASSE (EUROS)</t>
  </si>
  <si>
    <t>TOTAL REHABILITATION  BLOC DE QUATRE SALLES DE CLASSE (F CFA)</t>
  </si>
  <si>
    <t>TOTAL REHABILITATION  BLOC DE BUREAU + MAGASIN (F CFA)</t>
  </si>
  <si>
    <t>TOTAL REHABILITATION  BLOC DE BUREAU + MAGASIN (EUROS)</t>
  </si>
  <si>
    <t>UNITE</t>
  </si>
  <si>
    <t>TOTAL REHABILITATION  LATRINE (F CFA)</t>
  </si>
  <si>
    <t>OTAL REHABILITATION  LATRINE (EUROS)</t>
  </si>
  <si>
    <t xml:space="preserve">BORDEREAU DES PRIX UNITAIRES  REHABILITATION ZOUMBOU BLOC  ( Bureau Magasin) </t>
  </si>
  <si>
    <t xml:space="preserve">BORDEREAU DES PRIX UNITAIRES REHABILITATION ZOUMBOU LATRINES </t>
  </si>
  <si>
    <t>BORDEREAU DES PRIX UNITAIRES BLOC DE 3 SALLES DE CLASSES</t>
  </si>
  <si>
    <t xml:space="preserve">BORDEREAU DES PRIX UNITAIRES BLOC LATRINE A DEUX CABINES </t>
  </si>
  <si>
    <t xml:space="preserve"> DEVIS QUANTITATIF ET ESTIMATIF LOGEMENT DIRECTEUR </t>
  </si>
  <si>
    <t xml:space="preserve">BORDEREAU DES PRIX UNITAIRES LOGEMENT DIRECTEUR </t>
  </si>
  <si>
    <t>BORDEREAU DES PRIX UNITAIRES POUR LOGEMENT GARDIEN</t>
  </si>
  <si>
    <t xml:space="preserve"> DEVIS QUANTITATIF ESTIMATIF TERRAINS DE SPORT</t>
  </si>
  <si>
    <t xml:space="preserve"> BORDEREAU DES PRIX UNITAIRES POUR TERRAINS DE SPORT</t>
  </si>
  <si>
    <t>BORDEREAU DES PRIX UNITAIRES POUR  PATIO</t>
  </si>
  <si>
    <t>BORDEREAU DES PRIX UNITAIRES POUR  SALLE POLYVALENTE</t>
  </si>
  <si>
    <t>BORDEREAU DES PRIX UNITAIRES  SALLE INFORMATIQUE-LABO</t>
  </si>
  <si>
    <t xml:space="preserve"> DEVIS QUANTITATIF ET ESTIMATIF DE LA SALLE INFORMATIQUE-LABO</t>
  </si>
  <si>
    <t>BORDEREAU DES PRIX UNITAIRES BIBLIOTHEQUE (CASE D'ETUDE)</t>
  </si>
  <si>
    <t xml:space="preserve"> DEVIS QUANTITATIF ET ESTIMATIF DE LA BIBLIOTHEQUE (CASE D'ETUDE)</t>
  </si>
  <si>
    <t>BORDEREAU DES PRIX UNITAIRES  ADMINISTRATION</t>
  </si>
  <si>
    <t xml:space="preserve"> DEVIS QUANTITATIF ESTIMATIF ADMINISTRATION</t>
  </si>
  <si>
    <t>BORDEREAU DES PRIX UNITAIRES ENTREE ET AMENAGEMENT</t>
  </si>
  <si>
    <t xml:space="preserve"> DEVIS QUANTITATIF ESTIMATIF ENTREE ET AMENAGEMENT</t>
  </si>
  <si>
    <t>BORDEREAU DES PRIX UNITAIRES GENERALITES</t>
  </si>
  <si>
    <t>PATIO</t>
  </si>
  <si>
    <t>REHABILITATION 4 SALLES DE CLASSES</t>
  </si>
  <si>
    <t>REHABILITATION BUREAU + MAGASIN</t>
  </si>
  <si>
    <t>REHABILITATION LATRINES</t>
  </si>
  <si>
    <t>PRIX UNIT.</t>
  </si>
  <si>
    <t>PRIX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</si>
</sst>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_ ;\-0\ "/>
    <numFmt numFmtId="167" formatCode="0.000"/>
    <numFmt numFmtId="168" formatCode="_-* #,##0.00\ _F_-;\-* #,##0.00\ _F_-;_-* &quot;-&quot;??\ _F_-;_-@_-"/>
    <numFmt numFmtId="169" formatCode="_-* #,##0\ _F_-;\-* #,##0\ _F_-;_-* &quot;-&quot;??\ _F_-;_-@_-"/>
    <numFmt numFmtId="170" formatCode="#,##0.000"/>
    <numFmt numFmtId="171" formatCode="_-* #,##0.000\ _F_-;\-* #,##0.000\ _F_-;_-* &quot;-&quot;??\ _F_-;_-@_-"/>
    <numFmt numFmtId="172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1"/>
      <name val="Calibri"/>
      <family val="2"/>
    </font>
    <font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8" fillId="0" borderId="0"/>
    <xf numFmtId="0" fontId="10" fillId="0" borderId="0"/>
    <xf numFmtId="164" fontId="11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7" fillId="0" borderId="0"/>
    <xf numFmtId="164" fontId="11" fillId="0" borderId="0" applyFont="0" applyFill="0" applyBorder="0" applyAlignment="0" applyProtection="0"/>
    <xf numFmtId="0" fontId="6" fillId="0" borderId="0"/>
    <xf numFmtId="168" fontId="10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4">
    <xf numFmtId="0" fontId="0" fillId="0" borderId="0" xfId="0"/>
    <xf numFmtId="0" fontId="10" fillId="0" borderId="0" xfId="0" applyFont="1"/>
    <xf numFmtId="0" fontId="18" fillId="0" borderId="2" xfId="2" applyFont="1" applyBorder="1" applyAlignment="1">
      <alignment horizontal="center" vertical="center"/>
    </xf>
    <xf numFmtId="2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167" fontId="10" fillId="0" borderId="3" xfId="0" applyNumberFormat="1" applyFont="1" applyBorder="1" applyAlignment="1">
      <alignment horizontal="center" vertical="center"/>
    </xf>
    <xf numFmtId="167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167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167" fontId="15" fillId="0" borderId="1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4" fontId="10" fillId="0" borderId="0" xfId="0" applyNumberFormat="1" applyFont="1"/>
    <xf numFmtId="3" fontId="10" fillId="2" borderId="0" xfId="0" applyNumberFormat="1" applyFont="1" applyFill="1"/>
    <xf numFmtId="0" fontId="15" fillId="0" borderId="6" xfId="0" applyFont="1" applyBorder="1" applyAlignment="1">
      <alignment horizontal="left" vertical="center"/>
    </xf>
    <xf numFmtId="167" fontId="15" fillId="0" borderId="6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169" fontId="15" fillId="0" borderId="1" xfId="11" applyNumberFormat="1" applyFont="1" applyFill="1" applyBorder="1" applyAlignment="1">
      <alignment horizontal="center" vertical="center"/>
    </xf>
    <xf numFmtId="169" fontId="15" fillId="0" borderId="11" xfId="11" applyNumberFormat="1" applyFont="1" applyFill="1" applyBorder="1" applyAlignment="1">
      <alignment horizontal="center" vertical="center"/>
    </xf>
    <xf numFmtId="3" fontId="15" fillId="0" borderId="19" xfId="11" applyNumberFormat="1" applyFont="1" applyFill="1" applyBorder="1" applyAlignment="1">
      <alignment horizontal="right" vertical="center"/>
    </xf>
    <xf numFmtId="169" fontId="10" fillId="0" borderId="3" xfId="11" applyNumberFormat="1" applyFont="1" applyFill="1" applyBorder="1" applyAlignment="1">
      <alignment horizontal="center" vertical="center"/>
    </xf>
    <xf numFmtId="3" fontId="10" fillId="0" borderId="4" xfId="11" applyNumberFormat="1" applyFont="1" applyFill="1" applyBorder="1" applyAlignment="1">
      <alignment horizontal="right" vertical="center"/>
    </xf>
    <xf numFmtId="169" fontId="15" fillId="0" borderId="3" xfId="11" applyNumberFormat="1" applyFont="1" applyFill="1" applyBorder="1" applyAlignment="1">
      <alignment horizontal="center" vertical="center"/>
    </xf>
    <xf numFmtId="3" fontId="15" fillId="0" borderId="4" xfId="11" applyNumberFormat="1" applyFont="1" applyFill="1" applyBorder="1" applyAlignment="1">
      <alignment horizontal="right" vertical="center"/>
    </xf>
    <xf numFmtId="169" fontId="10" fillId="0" borderId="3" xfId="11" applyNumberFormat="1" applyFont="1" applyBorder="1" applyAlignment="1">
      <alignment horizontal="center" vertical="center"/>
    </xf>
    <xf numFmtId="3" fontId="10" fillId="0" borderId="4" xfId="11" applyNumberFormat="1" applyFont="1" applyBorder="1" applyAlignment="1">
      <alignment horizontal="right" vertical="center"/>
    </xf>
    <xf numFmtId="169" fontId="15" fillId="0" borderId="6" xfId="11" applyNumberFormat="1" applyFont="1" applyFill="1" applyBorder="1" applyAlignment="1">
      <alignment horizontal="center" vertical="center"/>
    </xf>
    <xf numFmtId="3" fontId="15" fillId="0" borderId="7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Alignment="1">
      <alignment horizontal="center" vertical="center"/>
    </xf>
    <xf numFmtId="3" fontId="10" fillId="0" borderId="0" xfId="11" applyNumberFormat="1" applyFont="1" applyFill="1" applyAlignment="1">
      <alignment horizontal="right" vertical="center"/>
    </xf>
    <xf numFmtId="169" fontId="10" fillId="0" borderId="0" xfId="11" applyNumberFormat="1" applyFont="1" applyAlignment="1">
      <alignment horizontal="center" vertical="center"/>
    </xf>
    <xf numFmtId="169" fontId="15" fillId="0" borderId="0" xfId="11" applyNumberFormat="1" applyFont="1" applyFill="1" applyAlignment="1">
      <alignment horizontal="center" vertical="center"/>
    </xf>
    <xf numFmtId="3" fontId="15" fillId="0" borderId="0" xfId="11" applyNumberFormat="1" applyFont="1" applyFill="1" applyAlignment="1">
      <alignment horizontal="right" vertical="center"/>
    </xf>
    <xf numFmtId="169" fontId="15" fillId="0" borderId="0" xfId="11" applyNumberFormat="1" applyFont="1" applyFill="1" applyBorder="1" applyAlignment="1">
      <alignment horizontal="center" vertical="center"/>
    </xf>
    <xf numFmtId="3" fontId="15" fillId="0" borderId="0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3" fontId="15" fillId="6" borderId="0" xfId="11" applyNumberFormat="1" applyFont="1" applyFill="1" applyBorder="1" applyAlignment="1">
      <alignment horizontal="right" vertical="center"/>
    </xf>
    <xf numFmtId="0" fontId="15" fillId="0" borderId="3" xfId="0" applyFont="1" applyBorder="1"/>
    <xf numFmtId="0" fontId="15" fillId="0" borderId="0" xfId="0" applyFont="1"/>
    <xf numFmtId="0" fontId="10" fillId="0" borderId="3" xfId="0" applyFont="1" applyBorder="1"/>
    <xf numFmtId="167" fontId="10" fillId="2" borderId="3" xfId="0" applyNumberFormat="1" applyFont="1" applyFill="1" applyBorder="1" applyAlignment="1">
      <alignment horizontal="center" vertical="center"/>
    </xf>
    <xf numFmtId="0" fontId="16" fillId="0" borderId="17" xfId="15" applyFont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/>
    </xf>
    <xf numFmtId="0" fontId="15" fillId="0" borderId="1" xfId="15" applyFont="1" applyBorder="1" applyAlignment="1">
      <alignment horizontal="left" vertical="center"/>
    </xf>
    <xf numFmtId="169" fontId="15" fillId="0" borderId="1" xfId="16" applyNumberFormat="1" applyFont="1" applyFill="1" applyBorder="1" applyAlignment="1">
      <alignment horizontal="center" vertical="center"/>
    </xf>
    <xf numFmtId="3" fontId="15" fillId="0" borderId="1" xfId="16" applyNumberFormat="1" applyFont="1" applyFill="1" applyBorder="1" applyAlignment="1">
      <alignment horizontal="right" vertical="center"/>
    </xf>
    <xf numFmtId="0" fontId="15" fillId="0" borderId="18" xfId="15" applyFont="1" applyBorder="1" applyAlignment="1">
      <alignment horizontal="center" vertical="center"/>
    </xf>
    <xf numFmtId="0" fontId="15" fillId="0" borderId="11" xfId="15" applyFont="1" applyBorder="1" applyAlignment="1">
      <alignment horizontal="left" vertical="center"/>
    </xf>
    <xf numFmtId="0" fontId="15" fillId="0" borderId="11" xfId="15" applyFont="1" applyBorder="1" applyAlignment="1">
      <alignment horizontal="center" vertical="center"/>
    </xf>
    <xf numFmtId="169" fontId="15" fillId="0" borderId="11" xfId="16" applyNumberFormat="1" applyFont="1" applyFill="1" applyBorder="1" applyAlignment="1">
      <alignment horizontal="center" vertical="center"/>
    </xf>
    <xf numFmtId="3" fontId="15" fillId="0" borderId="19" xfId="16" applyNumberFormat="1" applyFont="1" applyFill="1" applyBorder="1" applyAlignment="1">
      <alignment horizontal="right" vertical="center"/>
    </xf>
    <xf numFmtId="0" fontId="10" fillId="0" borderId="2" xfId="15" applyFont="1" applyBorder="1" applyAlignment="1">
      <alignment horizontal="center" vertical="center"/>
    </xf>
    <xf numFmtId="0" fontId="10" fillId="0" borderId="3" xfId="15" applyFont="1" applyBorder="1" applyAlignment="1">
      <alignment horizontal="left" vertical="center"/>
    </xf>
    <xf numFmtId="0" fontId="10" fillId="0" borderId="3" xfId="15" applyFont="1" applyBorder="1" applyAlignment="1">
      <alignment horizontal="center" vertical="center"/>
    </xf>
    <xf numFmtId="2" fontId="10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Fill="1" applyBorder="1" applyAlignment="1">
      <alignment horizontal="center" vertical="center"/>
    </xf>
    <xf numFmtId="3" fontId="10" fillId="0" borderId="4" xfId="16" applyNumberFormat="1" applyFont="1" applyFill="1" applyBorder="1" applyAlignment="1">
      <alignment horizontal="right" vertical="center"/>
    </xf>
    <xf numFmtId="0" fontId="15" fillId="0" borderId="2" xfId="15" applyFont="1" applyBorder="1" applyAlignment="1">
      <alignment horizontal="center" vertical="center"/>
    </xf>
    <xf numFmtId="0" fontId="15" fillId="0" borderId="3" xfId="15" applyFont="1" applyBorder="1" applyAlignment="1">
      <alignment horizontal="left" vertical="center"/>
    </xf>
    <xf numFmtId="0" fontId="15" fillId="0" borderId="3" xfId="15" applyFont="1" applyBorder="1" applyAlignment="1">
      <alignment horizontal="center" vertical="center"/>
    </xf>
    <xf numFmtId="169" fontId="15" fillId="0" borderId="3" xfId="16" applyNumberFormat="1" applyFont="1" applyFill="1" applyBorder="1" applyAlignment="1">
      <alignment horizontal="center" vertical="center"/>
    </xf>
    <xf numFmtId="3" fontId="15" fillId="0" borderId="4" xfId="16" applyNumberFormat="1" applyFont="1" applyFill="1" applyBorder="1" applyAlignment="1">
      <alignment horizontal="right" vertical="center"/>
    </xf>
    <xf numFmtId="167" fontId="10" fillId="0" borderId="3" xfId="15" applyNumberFormat="1" applyFont="1" applyBorder="1" applyAlignment="1">
      <alignment horizontal="center" vertical="center"/>
    </xf>
    <xf numFmtId="167" fontId="15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Border="1" applyAlignment="1">
      <alignment horizontal="center" vertical="center"/>
    </xf>
    <xf numFmtId="3" fontId="10" fillId="0" borderId="4" xfId="16" applyNumberFormat="1" applyFont="1" applyBorder="1" applyAlignment="1">
      <alignment horizontal="right" vertical="center"/>
    </xf>
    <xf numFmtId="2" fontId="15" fillId="0" borderId="3" xfId="15" applyNumberFormat="1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15" fillId="0" borderId="6" xfId="15" applyFont="1" applyBorder="1" applyAlignment="1">
      <alignment horizontal="left" vertical="center"/>
    </xf>
    <xf numFmtId="0" fontId="15" fillId="0" borderId="6" xfId="15" applyFont="1" applyBorder="1" applyAlignment="1">
      <alignment horizontal="center" vertical="center"/>
    </xf>
    <xf numFmtId="169" fontId="15" fillId="0" borderId="6" xfId="16" applyNumberFormat="1" applyFont="1" applyFill="1" applyBorder="1" applyAlignment="1">
      <alignment horizontal="center" vertical="center"/>
    </xf>
    <xf numFmtId="3" fontId="15" fillId="0" borderId="7" xfId="16" applyNumberFormat="1" applyFont="1" applyFill="1" applyBorder="1" applyAlignment="1">
      <alignment horizontal="right" vertical="center"/>
    </xf>
    <xf numFmtId="0" fontId="10" fillId="0" borderId="3" xfId="15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/>
    </xf>
    <xf numFmtId="0" fontId="20" fillId="0" borderId="0" xfId="20" applyFont="1"/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169" fontId="15" fillId="0" borderId="28" xfId="11" applyNumberFormat="1" applyFont="1" applyFill="1" applyBorder="1" applyAlignment="1">
      <alignment horizontal="center" vertical="center"/>
    </xf>
    <xf numFmtId="3" fontId="15" fillId="0" borderId="29" xfId="1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15" fillId="0" borderId="0" xfId="0" applyNumberFormat="1" applyFont="1"/>
    <xf numFmtId="0" fontId="10" fillId="2" borderId="3" xfId="15" applyFont="1" applyFill="1" applyBorder="1" applyAlignment="1">
      <alignment horizontal="left" vertical="center" wrapText="1"/>
    </xf>
    <xf numFmtId="0" fontId="15" fillId="0" borderId="0" xfId="15" applyFont="1" applyAlignment="1">
      <alignment horizontal="center" vertical="center"/>
    </xf>
    <xf numFmtId="0" fontId="10" fillId="0" borderId="3" xfId="2" applyBorder="1" applyAlignment="1">
      <alignment wrapText="1"/>
    </xf>
    <xf numFmtId="0" fontId="10" fillId="0" borderId="3" xfId="2" applyBorder="1" applyAlignment="1">
      <alignment horizontal="center" vertical="center"/>
    </xf>
    <xf numFmtId="0" fontId="10" fillId="0" borderId="3" xfId="2" applyBorder="1" applyAlignment="1">
      <alignment horizontal="left" vertical="center" wrapText="1"/>
    </xf>
    <xf numFmtId="2" fontId="10" fillId="0" borderId="3" xfId="2" applyNumberFormat="1" applyBorder="1" applyAlignment="1">
      <alignment horizontal="center" vertical="center"/>
    </xf>
    <xf numFmtId="0" fontId="10" fillId="0" borderId="3" xfId="2" applyBorder="1" applyAlignment="1">
      <alignment horizontal="left" vertical="top" wrapText="1"/>
    </xf>
    <xf numFmtId="0" fontId="10" fillId="0" borderId="0" xfId="4"/>
    <xf numFmtId="3" fontId="10" fillId="0" borderId="3" xfId="2" applyNumberFormat="1" applyBorder="1" applyAlignment="1">
      <alignment horizontal="center" vertical="center"/>
    </xf>
    <xf numFmtId="167" fontId="10" fillId="0" borderId="0" xfId="0" applyNumberFormat="1" applyFont="1"/>
    <xf numFmtId="0" fontId="10" fillId="2" borderId="0" xfId="0" applyFont="1" applyFill="1"/>
    <xf numFmtId="169" fontId="10" fillId="0" borderId="0" xfId="11" applyNumberFormat="1" applyFont="1" applyBorder="1" applyAlignment="1">
      <alignment horizontal="center" vertical="center"/>
    </xf>
    <xf numFmtId="3" fontId="10" fillId="0" borderId="0" xfId="11" applyNumberFormat="1" applyFont="1" applyBorder="1" applyAlignment="1">
      <alignment horizontal="right" vertical="center"/>
    </xf>
    <xf numFmtId="3" fontId="10" fillId="0" borderId="0" xfId="11" applyNumberFormat="1" applyFont="1" applyAlignment="1">
      <alignment horizontal="right" vertical="center"/>
    </xf>
    <xf numFmtId="0" fontId="15" fillId="0" borderId="3" xfId="4" applyFont="1" applyBorder="1" applyAlignment="1">
      <alignment horizontal="left" vertical="center"/>
    </xf>
    <xf numFmtId="0" fontId="17" fillId="0" borderId="3" xfId="4" applyFont="1" applyBorder="1" applyAlignment="1">
      <alignment horizontal="center"/>
    </xf>
    <xf numFmtId="4" fontId="17" fillId="0" borderId="3" xfId="4" applyNumberFormat="1" applyFont="1" applyBorder="1" applyAlignment="1">
      <alignment horizontal="center" vertical="center"/>
    </xf>
    <xf numFmtId="165" fontId="17" fillId="0" borderId="3" xfId="3" applyNumberFormat="1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0" fontId="10" fillId="0" borderId="2" xfId="2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7" fillId="0" borderId="4" xfId="2" applyFont="1" applyBorder="1" applyAlignment="1">
      <alignment horizontal="center"/>
    </xf>
    <xf numFmtId="0" fontId="10" fillId="0" borderId="2" xfId="4" applyBorder="1" applyAlignment="1">
      <alignment horizontal="center" vertical="center"/>
    </xf>
    <xf numFmtId="0" fontId="15" fillId="2" borderId="3" xfId="17" applyFont="1" applyFill="1" applyBorder="1" applyAlignment="1">
      <alignment vertical="center" wrapText="1"/>
    </xf>
    <xf numFmtId="0" fontId="10" fillId="0" borderId="3" xfId="4" applyBorder="1" applyAlignment="1">
      <alignment horizontal="center" vertical="center"/>
    </xf>
    <xf numFmtId="165" fontId="10" fillId="0" borderId="3" xfId="3" applyNumberFormat="1" applyFont="1" applyBorder="1" applyAlignment="1">
      <alignment horizontal="center" vertical="center"/>
    </xf>
    <xf numFmtId="3" fontId="10" fillId="0" borderId="4" xfId="4" applyNumberForma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3" fontId="15" fillId="0" borderId="4" xfId="4" applyNumberFormat="1" applyFont="1" applyBorder="1" applyAlignment="1">
      <alignment horizontal="center" vertical="center"/>
    </xf>
    <xf numFmtId="0" fontId="10" fillId="0" borderId="3" xfId="4" applyBorder="1" applyAlignment="1">
      <alignment horizontal="left" vertical="center"/>
    </xf>
    <xf numFmtId="0" fontId="10" fillId="0" borderId="3" xfId="4" applyBorder="1" applyAlignment="1">
      <alignment horizontal="left" vertical="center" wrapText="1"/>
    </xf>
    <xf numFmtId="4" fontId="10" fillId="0" borderId="3" xfId="4" applyNumberFormat="1" applyBorder="1" applyAlignment="1">
      <alignment horizontal="center" vertical="center"/>
    </xf>
    <xf numFmtId="4" fontId="15" fillId="0" borderId="3" xfId="4" applyNumberFormat="1" applyFont="1" applyBorder="1" applyAlignment="1">
      <alignment horizontal="center" vertical="center"/>
    </xf>
    <xf numFmtId="4" fontId="10" fillId="2" borderId="3" xfId="4" applyNumberFormat="1" applyFill="1" applyBorder="1" applyAlignment="1">
      <alignment horizontal="center" vertical="center"/>
    </xf>
    <xf numFmtId="3" fontId="15" fillId="3" borderId="4" xfId="4" applyNumberFormat="1" applyFont="1" applyFill="1" applyBorder="1" applyAlignment="1">
      <alignment horizontal="center" vertical="center"/>
    </xf>
    <xf numFmtId="3" fontId="15" fillId="3" borderId="7" xfId="4" applyNumberFormat="1" applyFont="1" applyFill="1" applyBorder="1" applyAlignment="1">
      <alignment horizontal="center" vertical="center"/>
    </xf>
    <xf numFmtId="4" fontId="10" fillId="0" borderId="0" xfId="4" applyNumberFormat="1"/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/>
    </xf>
    <xf numFmtId="0" fontId="10" fillId="2" borderId="3" xfId="1" applyFont="1" applyFill="1" applyBorder="1" applyAlignment="1">
      <alignment vertical="center" wrapText="1"/>
    </xf>
    <xf numFmtId="3" fontId="10" fillId="0" borderId="4" xfId="2" applyNumberFormat="1" applyBorder="1" applyAlignment="1">
      <alignment horizontal="center" vertical="center"/>
    </xf>
    <xf numFmtId="166" fontId="12" fillId="0" borderId="0" xfId="1" applyNumberFormat="1" applyFont="1" applyAlignment="1">
      <alignment vertical="top"/>
    </xf>
    <xf numFmtId="0" fontId="17" fillId="0" borderId="3" xfId="2" applyFont="1" applyBorder="1" applyAlignment="1">
      <alignment horizontal="center" vertical="center"/>
    </xf>
    <xf numFmtId="3" fontId="15" fillId="3" borderId="4" xfId="2" applyNumberFormat="1" applyFont="1" applyFill="1" applyBorder="1" applyAlignment="1">
      <alignment horizontal="center" vertical="center"/>
    </xf>
    <xf numFmtId="3" fontId="15" fillId="3" borderId="7" xfId="2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4" borderId="11" xfId="2" applyFont="1" applyFill="1" applyBorder="1" applyAlignment="1">
      <alignment horizontal="center" vertical="center"/>
    </xf>
    <xf numFmtId="0" fontId="15" fillId="4" borderId="12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0" fillId="0" borderId="3" xfId="2" applyBorder="1" applyAlignment="1">
      <alignment horizontal="left" vertical="center"/>
    </xf>
    <xf numFmtId="3" fontId="10" fillId="0" borderId="3" xfId="2" applyNumberFormat="1" applyBorder="1" applyAlignment="1">
      <alignment horizontal="center"/>
    </xf>
    <xf numFmtId="0" fontId="10" fillId="2" borderId="3" xfId="2" applyFill="1" applyBorder="1" applyAlignment="1">
      <alignment horizontal="left" vertical="center"/>
    </xf>
    <xf numFmtId="2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/>
    </xf>
    <xf numFmtId="3" fontId="15" fillId="5" borderId="3" xfId="2" applyNumberFormat="1" applyFont="1" applyFill="1" applyBorder="1" applyAlignment="1">
      <alignment horizont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3" fontId="15" fillId="0" borderId="3" xfId="2" applyNumberFormat="1" applyFont="1" applyBorder="1" applyAlignment="1">
      <alignment horizontal="center" vertical="center"/>
    </xf>
    <xf numFmtId="3" fontId="10" fillId="0" borderId="3" xfId="19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right" vertical="center"/>
    </xf>
    <xf numFmtId="2" fontId="10" fillId="0" borderId="3" xfId="17" applyNumberFormat="1" applyFont="1" applyBorder="1" applyAlignment="1">
      <alignment horizontal="center" vertical="top"/>
    </xf>
    <xf numFmtId="0" fontId="10" fillId="0" borderId="3" xfId="2" applyBorder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" fontId="15" fillId="0" borderId="0" xfId="2" applyNumberFormat="1" applyFont="1" applyAlignment="1">
      <alignment horizontal="center" vertical="center"/>
    </xf>
    <xf numFmtId="0" fontId="10" fillId="0" borderId="3" xfId="18" applyBorder="1" applyAlignment="1">
      <alignment horizontal="center"/>
    </xf>
    <xf numFmtId="0" fontId="15" fillId="0" borderId="16" xfId="18" applyFont="1" applyBorder="1" applyAlignment="1">
      <alignment horizontal="center"/>
    </xf>
    <xf numFmtId="3" fontId="10" fillId="0" borderId="8" xfId="18" applyNumberFormat="1" applyBorder="1" applyAlignment="1">
      <alignment horizontal="center"/>
    </xf>
    <xf numFmtId="0" fontId="10" fillId="0" borderId="16" xfId="18" applyBorder="1" applyAlignment="1">
      <alignment horizontal="left" wrapText="1"/>
    </xf>
    <xf numFmtId="3" fontId="10" fillId="0" borderId="3" xfId="18" applyNumberFormat="1" applyBorder="1" applyAlignment="1">
      <alignment horizontal="center"/>
    </xf>
    <xf numFmtId="0" fontId="10" fillId="2" borderId="3" xfId="17" applyFont="1" applyFill="1" applyBorder="1" applyAlignment="1">
      <alignment vertical="center" wrapText="1"/>
    </xf>
    <xf numFmtId="0" fontId="23" fillId="0" borderId="3" xfId="4" applyFont="1" applyBorder="1" applyAlignment="1">
      <alignment horizontal="center"/>
    </xf>
    <xf numFmtId="4" fontId="23" fillId="0" borderId="3" xfId="4" applyNumberFormat="1" applyFont="1" applyBorder="1" applyAlignment="1">
      <alignment horizontal="center" vertical="center"/>
    </xf>
    <xf numFmtId="165" fontId="23" fillId="0" borderId="3" xfId="3" applyNumberFormat="1" applyFont="1" applyBorder="1" applyAlignment="1">
      <alignment horizontal="center"/>
    </xf>
    <xf numFmtId="0" fontId="23" fillId="0" borderId="4" xfId="4" applyFont="1" applyBorder="1" applyAlignment="1">
      <alignment horizontal="center"/>
    </xf>
    <xf numFmtId="0" fontId="10" fillId="0" borderId="3" xfId="2" applyBorder="1" applyAlignment="1">
      <alignment vertical="top" wrapText="1"/>
    </xf>
    <xf numFmtId="0" fontId="10" fillId="0" borderId="3" xfId="15" applyFont="1" applyBorder="1" applyAlignment="1">
      <alignment vertical="center" wrapText="1"/>
    </xf>
    <xf numFmtId="167" fontId="10" fillId="0" borderId="3" xfId="2" applyNumberFormat="1" applyBorder="1" applyAlignment="1">
      <alignment horizontal="center" vertical="center"/>
    </xf>
    <xf numFmtId="3" fontId="10" fillId="0" borderId="4" xfId="2" applyNumberForma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0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5" fillId="0" borderId="3" xfId="4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0" fillId="0" borderId="3" xfId="17" applyFont="1" applyBorder="1" applyAlignment="1">
      <alignment vertical="center" wrapText="1"/>
    </xf>
    <xf numFmtId="0" fontId="10" fillId="0" borderId="3" xfId="17" applyFont="1" applyBorder="1" applyAlignment="1">
      <alignment horizontal="left" vertical="center" wrapText="1"/>
    </xf>
    <xf numFmtId="0" fontId="10" fillId="0" borderId="3" xfId="17" applyFont="1" applyBorder="1" applyAlignment="1">
      <alignment horizontal="center" vertical="center" wrapText="1"/>
    </xf>
    <xf numFmtId="4" fontId="10" fillId="0" borderId="3" xfId="17" applyNumberFormat="1" applyFont="1" applyBorder="1" applyAlignment="1">
      <alignment horizontal="center" vertical="center" wrapText="1"/>
    </xf>
    <xf numFmtId="165" fontId="10" fillId="0" borderId="3" xfId="7" applyNumberFormat="1" applyFont="1" applyFill="1" applyBorder="1" applyAlignment="1">
      <alignment horizontal="center" vertical="center" wrapText="1"/>
    </xf>
    <xf numFmtId="165" fontId="10" fillId="0" borderId="4" xfId="7" applyNumberFormat="1" applyFont="1" applyFill="1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 wrapText="1"/>
    </xf>
    <xf numFmtId="4" fontId="10" fillId="0" borderId="3" xfId="15" applyNumberFormat="1" applyFont="1" applyBorder="1" applyAlignment="1">
      <alignment horizontal="center" vertical="center" wrapText="1"/>
    </xf>
    <xf numFmtId="3" fontId="15" fillId="0" borderId="1" xfId="11" applyNumberFormat="1" applyFont="1" applyFill="1" applyBorder="1" applyAlignment="1">
      <alignment horizontal="center" vertical="center"/>
    </xf>
    <xf numFmtId="0" fontId="24" fillId="0" borderId="0" xfId="15" applyFont="1"/>
    <xf numFmtId="167" fontId="10" fillId="2" borderId="3" xfId="15" applyNumberFormat="1" applyFont="1" applyFill="1" applyBorder="1" applyAlignment="1">
      <alignment horizontal="center" vertical="center"/>
    </xf>
    <xf numFmtId="0" fontId="24" fillId="0" borderId="0" xfId="20" applyFont="1"/>
    <xf numFmtId="0" fontId="24" fillId="0" borderId="0" xfId="20" applyFont="1" applyAlignment="1">
      <alignment horizontal="center" vertical="center"/>
    </xf>
    <xf numFmtId="0" fontId="21" fillId="0" borderId="0" xfId="20" applyFont="1" applyAlignment="1">
      <alignment vertical="center" wrapText="1"/>
    </xf>
    <xf numFmtId="0" fontId="21" fillId="0" borderId="0" xfId="20" applyFont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3" fontId="15" fillId="0" borderId="1" xfId="20" applyNumberFormat="1" applyFont="1" applyBorder="1" applyAlignment="1">
      <alignment horizontal="center" vertical="center" wrapText="1"/>
    </xf>
    <xf numFmtId="0" fontId="15" fillId="0" borderId="18" xfId="20" applyFont="1" applyBorder="1" applyAlignment="1">
      <alignment horizontal="center" vertical="center" wrapText="1"/>
    </xf>
    <xf numFmtId="0" fontId="15" fillId="0" borderId="11" xfId="20" applyFont="1" applyBorder="1" applyAlignment="1">
      <alignment horizontal="left" vertical="center" wrapText="1"/>
    </xf>
    <xf numFmtId="0" fontId="15" fillId="0" borderId="11" xfId="20" applyFont="1" applyBorder="1" applyAlignment="1">
      <alignment horizontal="center" vertical="center" wrapText="1"/>
    </xf>
    <xf numFmtId="3" fontId="15" fillId="0" borderId="11" xfId="20" applyNumberFormat="1" applyFont="1" applyBorder="1" applyAlignment="1">
      <alignment horizontal="center" vertical="center" wrapText="1"/>
    </xf>
    <xf numFmtId="3" fontId="15" fillId="0" borderId="19" xfId="20" applyNumberFormat="1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wrapText="1"/>
    </xf>
    <xf numFmtId="165" fontId="10" fillId="0" borderId="4" xfId="3" applyNumberFormat="1" applyFont="1" applyBorder="1" applyAlignment="1">
      <alignment horizontal="center" vertical="center" wrapText="1"/>
    </xf>
    <xf numFmtId="0" fontId="10" fillId="0" borderId="3" xfId="20" applyFont="1" applyBorder="1" applyAlignment="1">
      <alignment vertical="center" wrapText="1"/>
    </xf>
    <xf numFmtId="0" fontId="10" fillId="0" borderId="3" xfId="20" applyFont="1" applyBorder="1" applyAlignment="1">
      <alignment horizontal="center" vertical="center" wrapText="1"/>
    </xf>
    <xf numFmtId="171" fontId="10" fillId="0" borderId="3" xfId="5" applyNumberFormat="1" applyFont="1" applyBorder="1" applyAlignment="1">
      <alignment horizontal="center" vertical="center" wrapText="1"/>
    </xf>
    <xf numFmtId="165" fontId="10" fillId="0" borderId="3" xfId="3" applyNumberFormat="1" applyFont="1" applyBorder="1" applyAlignment="1">
      <alignment horizontal="center" vertical="center" wrapText="1"/>
    </xf>
    <xf numFmtId="0" fontId="15" fillId="0" borderId="3" xfId="20" applyFont="1" applyBorder="1" applyAlignment="1">
      <alignment horizontal="center" vertical="center" wrapText="1"/>
    </xf>
    <xf numFmtId="0" fontId="15" fillId="0" borderId="3" xfId="20" applyFont="1" applyBorder="1" applyAlignment="1">
      <alignment vertical="center" wrapText="1"/>
    </xf>
    <xf numFmtId="165" fontId="15" fillId="0" borderId="4" xfId="3" applyNumberFormat="1" applyFont="1" applyBorder="1" applyAlignment="1">
      <alignment horizontal="center" vertical="center" wrapText="1"/>
    </xf>
    <xf numFmtId="0" fontId="15" fillId="0" borderId="2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167" fontId="10" fillId="0" borderId="3" xfId="3" applyNumberFormat="1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/>
    </xf>
    <xf numFmtId="0" fontId="24" fillId="0" borderId="2" xfId="20" applyFont="1" applyBorder="1" applyAlignment="1">
      <alignment horizontal="center" vertical="center"/>
    </xf>
    <xf numFmtId="165" fontId="9" fillId="0" borderId="4" xfId="3" applyNumberFormat="1" applyFont="1" applyBorder="1" applyAlignment="1">
      <alignment horizontal="center" vertical="center"/>
    </xf>
    <xf numFmtId="0" fontId="10" fillId="0" borderId="3" xfId="20" applyFont="1" applyBorder="1" applyAlignment="1">
      <alignment horizontal="center" vertical="center"/>
    </xf>
    <xf numFmtId="167" fontId="10" fillId="0" borderId="3" xfId="20" applyNumberFormat="1" applyFont="1" applyBorder="1" applyAlignment="1">
      <alignment horizontal="center" vertical="center"/>
    </xf>
    <xf numFmtId="165" fontId="10" fillId="0" borderId="4" xfId="3" applyNumberFormat="1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2" fontId="10" fillId="0" borderId="3" xfId="20" applyNumberFormat="1" applyFont="1" applyBorder="1" applyAlignment="1">
      <alignment horizontal="center" vertical="center"/>
    </xf>
    <xf numFmtId="165" fontId="15" fillId="0" borderId="4" xfId="3" applyNumberFormat="1" applyFont="1" applyBorder="1" applyAlignment="1">
      <alignment horizontal="center" vertical="center"/>
    </xf>
    <xf numFmtId="0" fontId="15" fillId="0" borderId="2" xfId="20" applyFont="1" applyBorder="1" applyAlignment="1">
      <alignment horizontal="center" vertical="center"/>
    </xf>
    <xf numFmtId="0" fontId="10" fillId="0" borderId="3" xfId="20" applyFont="1" applyBorder="1" applyAlignment="1">
      <alignment horizontal="left" vertical="center"/>
    </xf>
    <xf numFmtId="0" fontId="10" fillId="0" borderId="2" xfId="20" applyFont="1" applyBorder="1" applyAlignment="1">
      <alignment vertical="center"/>
    </xf>
    <xf numFmtId="0" fontId="15" fillId="0" borderId="4" xfId="20" applyFont="1" applyBorder="1" applyAlignment="1">
      <alignment horizontal="center" vertical="center" wrapText="1"/>
    </xf>
    <xf numFmtId="1" fontId="10" fillId="0" borderId="3" xfId="20" applyNumberFormat="1" applyFont="1" applyBorder="1" applyAlignment="1">
      <alignment horizontal="center" vertical="center" wrapText="1"/>
    </xf>
    <xf numFmtId="0" fontId="24" fillId="0" borderId="0" xfId="20" applyFont="1" applyAlignment="1">
      <alignment vertical="center"/>
    </xf>
    <xf numFmtId="0" fontId="10" fillId="0" borderId="2" xfId="20" applyFont="1" applyBorder="1" applyAlignment="1">
      <alignment vertical="center" wrapText="1"/>
    </xf>
    <xf numFmtId="2" fontId="10" fillId="0" borderId="3" xfId="20" applyNumberFormat="1" applyFont="1" applyBorder="1" applyAlignment="1">
      <alignment horizontal="center" vertical="center" wrapText="1"/>
    </xf>
    <xf numFmtId="172" fontId="10" fillId="0" borderId="3" xfId="20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3" fontId="15" fillId="0" borderId="7" xfId="20" applyNumberFormat="1" applyFont="1" applyBorder="1" applyAlignment="1">
      <alignment horizontal="center" vertical="center"/>
    </xf>
    <xf numFmtId="0" fontId="15" fillId="0" borderId="0" xfId="20" applyFont="1" applyAlignment="1">
      <alignment horizontal="center" vertical="center"/>
    </xf>
    <xf numFmtId="3" fontId="25" fillId="0" borderId="0" xfId="20" applyNumberFormat="1" applyFont="1" applyAlignment="1">
      <alignment horizontal="center"/>
    </xf>
    <xf numFmtId="3" fontId="10" fillId="0" borderId="0" xfId="20" applyNumberFormat="1" applyFont="1" applyAlignment="1">
      <alignment horizontal="center" vertical="center"/>
    </xf>
    <xf numFmtId="3" fontId="24" fillId="0" borderId="0" xfId="20" applyNumberFormat="1" applyFont="1" applyAlignment="1">
      <alignment horizontal="center"/>
    </xf>
    <xf numFmtId="3" fontId="24" fillId="0" borderId="0" xfId="20" applyNumberFormat="1" applyFont="1" applyAlignment="1">
      <alignment horizontal="center" vertical="center"/>
    </xf>
    <xf numFmtId="3" fontId="27" fillId="0" borderId="0" xfId="20" applyNumberFormat="1" applyFont="1" applyAlignment="1">
      <alignment horizontal="center"/>
    </xf>
    <xf numFmtId="0" fontId="24" fillId="0" borderId="25" xfId="20" applyFont="1" applyBorder="1"/>
    <xf numFmtId="0" fontId="24" fillId="0" borderId="25" xfId="20" applyFont="1" applyBorder="1" applyAlignment="1">
      <alignment horizontal="center" vertical="center"/>
    </xf>
    <xf numFmtId="0" fontId="10" fillId="0" borderId="0" xfId="15" applyFont="1"/>
    <xf numFmtId="3" fontId="10" fillId="0" borderId="0" xfId="15" applyNumberFormat="1" applyFont="1"/>
    <xf numFmtId="0" fontId="10" fillId="0" borderId="0" xfId="17" applyFont="1"/>
    <xf numFmtId="2" fontId="10" fillId="0" borderId="0" xfId="17" applyNumberFormat="1" applyFont="1"/>
    <xf numFmtId="0" fontId="10" fillId="0" borderId="3" xfId="17" applyFont="1" applyBorder="1" applyAlignment="1">
      <alignment vertical="top" wrapText="1"/>
    </xf>
    <xf numFmtId="3" fontId="15" fillId="0" borderId="3" xfId="19" applyNumberFormat="1" applyFont="1" applyBorder="1" applyAlignment="1">
      <alignment horizontal="center" vertical="center"/>
    </xf>
    <xf numFmtId="3" fontId="15" fillId="0" borderId="0" xfId="19" applyNumberFormat="1" applyFont="1" applyBorder="1" applyAlignment="1">
      <alignment horizontal="center" vertical="center"/>
    </xf>
    <xf numFmtId="0" fontId="15" fillId="0" borderId="21" xfId="20" applyFont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 wrapText="1"/>
    </xf>
    <xf numFmtId="0" fontId="15" fillId="0" borderId="10" xfId="20" applyFont="1" applyBorder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3" fontId="15" fillId="0" borderId="30" xfId="11" applyNumberFormat="1" applyFont="1" applyFill="1" applyBorder="1" applyAlignment="1">
      <alignment horizontal="right" vertical="center"/>
    </xf>
    <xf numFmtId="3" fontId="15" fillId="0" borderId="4" xfId="11" applyNumberFormat="1" applyFont="1" applyBorder="1" applyAlignment="1">
      <alignment horizontal="right" vertical="center"/>
    </xf>
    <xf numFmtId="0" fontId="15" fillId="0" borderId="4" xfId="0" applyFont="1" applyBorder="1"/>
    <xf numFmtId="0" fontId="10" fillId="0" borderId="4" xfId="0" applyFont="1" applyBorder="1"/>
    <xf numFmtId="3" fontId="15" fillId="0" borderId="32" xfId="0" applyNumberFormat="1" applyFont="1" applyBorder="1"/>
    <xf numFmtId="0" fontId="15" fillId="0" borderId="2" xfId="20" applyFont="1" applyBorder="1" applyAlignment="1">
      <alignment vertical="center" wrapText="1"/>
    </xf>
    <xf numFmtId="0" fontId="15" fillId="0" borderId="21" xfId="20" applyFont="1" applyBorder="1" applyAlignment="1">
      <alignment horizontal="left" vertical="center" wrapText="1"/>
    </xf>
    <xf numFmtId="0" fontId="15" fillId="0" borderId="0" xfId="15" applyFont="1"/>
    <xf numFmtId="0" fontId="10" fillId="0" borderId="33" xfId="15" applyFont="1" applyBorder="1"/>
    <xf numFmtId="0" fontId="10" fillId="0" borderId="34" xfId="15" applyFont="1" applyBorder="1"/>
    <xf numFmtId="0" fontId="15" fillId="0" borderId="34" xfId="15" applyFont="1" applyBorder="1"/>
    <xf numFmtId="3" fontId="15" fillId="0" borderId="37" xfId="15" applyNumberFormat="1" applyFont="1" applyBorder="1"/>
    <xf numFmtId="4" fontId="15" fillId="0" borderId="7" xfId="15" applyNumberFormat="1" applyFont="1" applyBorder="1"/>
    <xf numFmtId="169" fontId="10" fillId="0" borderId="3" xfId="16" applyNumberFormat="1" applyFont="1" applyFill="1" applyBorder="1" applyAlignment="1">
      <alignment vertical="center"/>
    </xf>
    <xf numFmtId="169" fontId="15" fillId="0" borderId="3" xfId="16" applyNumberFormat="1" applyFont="1" applyFill="1" applyBorder="1" applyAlignment="1">
      <alignment vertical="center"/>
    </xf>
    <xf numFmtId="3" fontId="10" fillId="0" borderId="3" xfId="19" applyNumberFormat="1" applyFont="1" applyFill="1" applyBorder="1" applyAlignment="1">
      <alignment horizontal="center" vertical="center"/>
    </xf>
    <xf numFmtId="0" fontId="10" fillId="0" borderId="28" xfId="18" applyBorder="1" applyAlignment="1">
      <alignment horizontal="center"/>
    </xf>
    <xf numFmtId="0" fontId="15" fillId="0" borderId="28" xfId="18" applyFont="1" applyBorder="1" applyAlignment="1">
      <alignment horizontal="right" wrapText="1"/>
    </xf>
    <xf numFmtId="2" fontId="10" fillId="0" borderId="28" xfId="2" applyNumberFormat="1" applyBorder="1" applyAlignment="1">
      <alignment horizontal="center" vertical="center"/>
    </xf>
    <xf numFmtId="3" fontId="10" fillId="0" borderId="15" xfId="18" applyNumberFormat="1" applyBorder="1" applyAlignment="1">
      <alignment horizontal="center"/>
    </xf>
    <xf numFmtId="3" fontId="10" fillId="0" borderId="28" xfId="18" applyNumberFormat="1" applyBorder="1" applyAlignment="1">
      <alignment horizontal="center"/>
    </xf>
    <xf numFmtId="3" fontId="15" fillId="0" borderId="30" xfId="17" applyNumberFormat="1" applyFont="1" applyBorder="1"/>
    <xf numFmtId="4" fontId="15" fillId="0" borderId="1" xfId="17" applyNumberFormat="1" applyFont="1" applyBorder="1"/>
    <xf numFmtId="0" fontId="10" fillId="0" borderId="3" xfId="18" applyBorder="1" applyAlignment="1">
      <alignment horizontal="left" wrapText="1"/>
    </xf>
    <xf numFmtId="0" fontId="9" fillId="0" borderId="3" xfId="4" applyFont="1" applyBorder="1" applyAlignment="1">
      <alignment vertical="center"/>
    </xf>
    <xf numFmtId="0" fontId="30" fillId="0" borderId="3" xfId="4" applyFont="1" applyBorder="1" applyAlignment="1">
      <alignment vertical="center"/>
    </xf>
    <xf numFmtId="0" fontId="29" fillId="0" borderId="3" xfId="4" applyFont="1" applyBorder="1" applyAlignment="1">
      <alignment vertical="center"/>
    </xf>
    <xf numFmtId="0" fontId="15" fillId="0" borderId="3" xfId="4" applyFont="1" applyBorder="1" applyAlignment="1">
      <alignment vertical="center"/>
    </xf>
    <xf numFmtId="0" fontId="15" fillId="0" borderId="0" xfId="21" applyFont="1" applyAlignment="1">
      <alignment horizontal="center" vertical="center"/>
    </xf>
    <xf numFmtId="0" fontId="32" fillId="0" borderId="0" xfId="21" applyFont="1"/>
    <xf numFmtId="0" fontId="31" fillId="0" borderId="17" xfId="21" applyFont="1" applyBorder="1" applyAlignment="1">
      <alignment horizontal="center" vertical="center" wrapText="1"/>
    </xf>
    <xf numFmtId="0" fontId="16" fillId="0" borderId="17" xfId="21" applyFont="1" applyBorder="1" applyAlignment="1">
      <alignment horizontal="center" vertical="center" wrapText="1"/>
    </xf>
    <xf numFmtId="0" fontId="15" fillId="0" borderId="41" xfId="21" applyFont="1" applyBorder="1" applyAlignment="1">
      <alignment horizontal="center" vertical="center"/>
    </xf>
    <xf numFmtId="0" fontId="15" fillId="0" borderId="41" xfId="21" applyFont="1" applyBorder="1" applyAlignment="1">
      <alignment horizontal="left" vertical="center"/>
    </xf>
    <xf numFmtId="169" fontId="15" fillId="0" borderId="41" xfId="22" applyNumberFormat="1" applyFont="1" applyFill="1" applyBorder="1" applyAlignment="1">
      <alignment horizontal="center" vertical="center"/>
    </xf>
    <xf numFmtId="3" fontId="15" fillId="0" borderId="41" xfId="22" applyNumberFormat="1" applyFont="1" applyFill="1" applyBorder="1" applyAlignment="1">
      <alignment horizontal="right" vertical="center"/>
    </xf>
    <xf numFmtId="0" fontId="15" fillId="0" borderId="3" xfId="21" applyFont="1" applyBorder="1" applyAlignment="1">
      <alignment horizontal="center" vertical="center"/>
    </xf>
    <xf numFmtId="0" fontId="15" fillId="0" borderId="3" xfId="21" applyFont="1" applyBorder="1" applyAlignment="1">
      <alignment horizontal="left" vertical="center"/>
    </xf>
    <xf numFmtId="169" fontId="15" fillId="0" borderId="3" xfId="22" applyNumberFormat="1" applyFont="1" applyFill="1" applyBorder="1" applyAlignment="1">
      <alignment horizontal="center" vertical="center"/>
    </xf>
    <xf numFmtId="3" fontId="15" fillId="0" borderId="3" xfId="22" applyNumberFormat="1" applyFont="1" applyFill="1" applyBorder="1" applyAlignment="1">
      <alignment horizontal="right" vertical="center"/>
    </xf>
    <xf numFmtId="0" fontId="10" fillId="0" borderId="3" xfId="21" applyFont="1" applyBorder="1" applyAlignment="1">
      <alignment horizontal="center" vertical="center"/>
    </xf>
    <xf numFmtId="0" fontId="10" fillId="0" borderId="3" xfId="21" applyFont="1" applyBorder="1" applyAlignment="1">
      <alignment horizontal="left" vertical="center"/>
    </xf>
    <xf numFmtId="169" fontId="10" fillId="0" borderId="10" xfId="22" applyNumberFormat="1" applyFont="1" applyFill="1" applyBorder="1" applyAlignment="1">
      <alignment horizontal="center" vertical="center"/>
    </xf>
    <xf numFmtId="3" fontId="10" fillId="0" borderId="4" xfId="22" applyNumberFormat="1" applyFont="1" applyFill="1" applyBorder="1" applyAlignment="1">
      <alignment horizontal="right" vertical="center"/>
    </xf>
    <xf numFmtId="169" fontId="10" fillId="0" borderId="3" xfId="22" applyNumberFormat="1" applyFont="1" applyFill="1" applyBorder="1" applyAlignment="1">
      <alignment horizontal="center" vertical="center"/>
    </xf>
    <xf numFmtId="0" fontId="15" fillId="0" borderId="2" xfId="21" applyFont="1" applyBorder="1" applyAlignment="1">
      <alignment horizontal="center" vertical="center"/>
    </xf>
    <xf numFmtId="3" fontId="15" fillId="0" borderId="4" xfId="22" applyNumberFormat="1" applyFont="1" applyFill="1" applyBorder="1" applyAlignment="1">
      <alignment horizontal="right" vertical="center"/>
    </xf>
    <xf numFmtId="167" fontId="10" fillId="0" borderId="3" xfId="21" applyNumberFormat="1" applyFont="1" applyBorder="1" applyAlignment="1">
      <alignment horizontal="center" vertical="center"/>
    </xf>
    <xf numFmtId="0" fontId="10" fillId="0" borderId="2" xfId="21" applyFont="1" applyBorder="1" applyAlignment="1">
      <alignment horizontal="center" vertical="center"/>
    </xf>
    <xf numFmtId="2" fontId="10" fillId="0" borderId="28" xfId="21" applyNumberFormat="1" applyFont="1" applyBorder="1" applyAlignment="1">
      <alignment horizontal="center" vertical="center" wrapText="1"/>
    </xf>
    <xf numFmtId="0" fontId="10" fillId="0" borderId="3" xfId="21" applyFont="1" applyBorder="1" applyAlignment="1">
      <alignment horizontal="left" vertical="center" wrapText="1"/>
    </xf>
    <xf numFmtId="2" fontId="10" fillId="0" borderId="3" xfId="21" applyNumberFormat="1" applyFont="1" applyBorder="1" applyAlignment="1">
      <alignment horizontal="center" vertical="center"/>
    </xf>
    <xf numFmtId="0" fontId="18" fillId="0" borderId="3" xfId="21" applyFont="1" applyBorder="1" applyAlignment="1">
      <alignment vertical="center" wrapText="1"/>
    </xf>
    <xf numFmtId="0" fontId="10" fillId="0" borderId="3" xfId="21" applyFont="1" applyBorder="1" applyAlignment="1">
      <alignment horizontal="center" vertical="center" wrapText="1"/>
    </xf>
    <xf numFmtId="169" fontId="18" fillId="0" borderId="3" xfId="22" applyNumberFormat="1" applyFont="1" applyFill="1" applyBorder="1" applyAlignment="1">
      <alignment vertical="center" wrapText="1"/>
    </xf>
    <xf numFmtId="3" fontId="32" fillId="0" borderId="0" xfId="21" applyNumberFormat="1" applyFont="1"/>
    <xf numFmtId="0" fontId="18" fillId="0" borderId="28" xfId="21" applyFont="1" applyBorder="1" applyAlignment="1">
      <alignment horizontal="left" vertical="center" wrapText="1"/>
    </xf>
    <xf numFmtId="0" fontId="10" fillId="0" borderId="28" xfId="21" applyFont="1" applyBorder="1" applyAlignment="1">
      <alignment horizontal="center" vertical="center" wrapText="1"/>
    </xf>
    <xf numFmtId="165" fontId="10" fillId="0" borderId="28" xfId="22" applyNumberFormat="1" applyFont="1" applyFill="1" applyBorder="1" applyAlignment="1">
      <alignment vertical="center" wrapText="1"/>
    </xf>
    <xf numFmtId="169" fontId="18" fillId="0" borderId="29" xfId="22" applyNumberFormat="1" applyFont="1" applyFill="1" applyBorder="1" applyAlignment="1">
      <alignment vertical="center" wrapText="1"/>
    </xf>
    <xf numFmtId="0" fontId="15" fillId="0" borderId="3" xfId="21" applyFont="1" applyBorder="1" applyAlignment="1">
      <alignment vertical="center"/>
    </xf>
    <xf numFmtId="0" fontId="10" fillId="0" borderId="3" xfId="21" applyFont="1" applyBorder="1" applyAlignment="1">
      <alignment vertical="center"/>
    </xf>
    <xf numFmtId="0" fontId="15" fillId="0" borderId="27" xfId="21" applyFont="1" applyBorder="1" applyAlignment="1">
      <alignment horizontal="center" vertical="center"/>
    </xf>
    <xf numFmtId="0" fontId="15" fillId="0" borderId="28" xfId="21" applyFont="1" applyBorder="1" applyAlignment="1">
      <alignment vertical="center"/>
    </xf>
    <xf numFmtId="0" fontId="10" fillId="0" borderId="28" xfId="21" applyFont="1" applyBorder="1" applyAlignment="1">
      <alignment vertical="center"/>
    </xf>
    <xf numFmtId="3" fontId="15" fillId="0" borderId="29" xfId="22" applyNumberFormat="1" applyFont="1" applyFill="1" applyBorder="1" applyAlignment="1">
      <alignment horizontal="right" vertical="center"/>
    </xf>
    <xf numFmtId="0" fontId="10" fillId="0" borderId="27" xfId="21" applyFont="1" applyBorder="1" applyAlignment="1">
      <alignment horizontal="center" vertical="center"/>
    </xf>
    <xf numFmtId="0" fontId="10" fillId="0" borderId="28" xfId="21" applyFont="1" applyBorder="1" applyAlignment="1">
      <alignment horizontal="center" vertical="center"/>
    </xf>
    <xf numFmtId="0" fontId="15" fillId="0" borderId="5" xfId="21" applyFont="1" applyBorder="1" applyAlignment="1">
      <alignment horizontal="center" vertical="center"/>
    </xf>
    <xf numFmtId="3" fontId="15" fillId="0" borderId="7" xfId="22" applyNumberFormat="1" applyFont="1" applyFill="1" applyBorder="1" applyAlignment="1">
      <alignment horizontal="right" vertical="center"/>
    </xf>
    <xf numFmtId="167" fontId="15" fillId="0" borderId="3" xfId="21" applyNumberFormat="1" applyFont="1" applyBorder="1" applyAlignment="1">
      <alignment horizontal="center" vertical="center"/>
    </xf>
    <xf numFmtId="2" fontId="15" fillId="0" borderId="3" xfId="21" applyNumberFormat="1" applyFont="1" applyBorder="1" applyAlignment="1">
      <alignment horizontal="center" vertical="center"/>
    </xf>
    <xf numFmtId="169" fontId="15" fillId="0" borderId="41" xfId="23" applyNumberFormat="1" applyFont="1" applyFill="1" applyBorder="1" applyAlignment="1">
      <alignment horizontal="center" vertical="center"/>
    </xf>
    <xf numFmtId="3" fontId="15" fillId="0" borderId="41" xfId="23" applyNumberFormat="1" applyFont="1" applyFill="1" applyBorder="1" applyAlignment="1">
      <alignment horizontal="right" vertical="center"/>
    </xf>
    <xf numFmtId="169" fontId="15" fillId="0" borderId="3" xfId="23" applyNumberFormat="1" applyFont="1" applyFill="1" applyBorder="1" applyAlignment="1">
      <alignment horizontal="center" vertical="center"/>
    </xf>
    <xf numFmtId="3" fontId="15" fillId="0" borderId="4" xfId="23" applyNumberFormat="1" applyFont="1" applyFill="1" applyBorder="1" applyAlignment="1">
      <alignment horizontal="right" vertical="center"/>
    </xf>
    <xf numFmtId="169" fontId="10" fillId="0" borderId="3" xfId="23" applyNumberFormat="1" applyFont="1" applyFill="1" applyBorder="1" applyAlignment="1">
      <alignment horizontal="center" vertical="center"/>
    </xf>
    <xf numFmtId="3" fontId="10" fillId="0" borderId="4" xfId="23" applyNumberFormat="1" applyFont="1" applyFill="1" applyBorder="1" applyAlignment="1">
      <alignment horizontal="right" vertical="center"/>
    </xf>
    <xf numFmtId="2" fontId="10" fillId="0" borderId="28" xfId="21" applyNumberFormat="1" applyFont="1" applyBorder="1" applyAlignment="1">
      <alignment horizontal="center" vertical="center"/>
    </xf>
    <xf numFmtId="165" fontId="10" fillId="0" borderId="28" xfId="23" applyNumberFormat="1" applyFont="1" applyFill="1" applyBorder="1" applyAlignment="1">
      <alignment vertical="center" wrapText="1"/>
    </xf>
    <xf numFmtId="3" fontId="15" fillId="0" borderId="7" xfId="23" applyNumberFormat="1" applyFont="1" applyFill="1" applyBorder="1" applyAlignment="1">
      <alignment horizontal="right" vertical="center"/>
    </xf>
    <xf numFmtId="165" fontId="10" fillId="0" borderId="3" xfId="22" applyNumberFormat="1" applyFont="1" applyFill="1" applyBorder="1" applyAlignment="1">
      <alignment vertical="center" wrapText="1"/>
    </xf>
    <xf numFmtId="3" fontId="10" fillId="0" borderId="3" xfId="22" applyNumberFormat="1" applyFont="1" applyFill="1" applyBorder="1" applyAlignment="1">
      <alignment horizontal="right" vertical="center"/>
    </xf>
    <xf numFmtId="3" fontId="15" fillId="0" borderId="41" xfId="22" applyNumberFormat="1" applyFont="1" applyFill="1" applyBorder="1" applyAlignment="1">
      <alignment horizontal="center" vertical="center"/>
    </xf>
    <xf numFmtId="3" fontId="15" fillId="0" borderId="41" xfId="23" applyNumberFormat="1" applyFont="1" applyFill="1" applyBorder="1" applyAlignment="1">
      <alignment horizontal="center" vertical="center"/>
    </xf>
    <xf numFmtId="0" fontId="18" fillId="0" borderId="3" xfId="21" applyFont="1" applyBorder="1" applyAlignment="1">
      <alignment horizontal="left" vertical="center" wrapText="1"/>
    </xf>
    <xf numFmtId="165" fontId="10" fillId="0" borderId="3" xfId="23" applyNumberFormat="1" applyFont="1" applyFill="1" applyBorder="1" applyAlignment="1">
      <alignment vertical="center" wrapText="1"/>
    </xf>
    <xf numFmtId="3" fontId="10" fillId="0" borderId="3" xfId="23" applyNumberFormat="1" applyFont="1" applyFill="1" applyBorder="1" applyAlignment="1">
      <alignment horizontal="right" vertical="center"/>
    </xf>
    <xf numFmtId="0" fontId="15" fillId="0" borderId="43" xfId="4" applyFont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29" fillId="0" borderId="8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5" fillId="0" borderId="10" xfId="4" applyFont="1" applyBorder="1" applyAlignment="1">
      <alignment horizont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30" fillId="0" borderId="3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/>
    </xf>
    <xf numFmtId="0" fontId="13" fillId="0" borderId="9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30" fillId="0" borderId="8" xfId="4" applyFont="1" applyBorder="1" applyAlignment="1">
      <alignment horizontal="center" vertical="center"/>
    </xf>
    <xf numFmtId="0" fontId="30" fillId="0" borderId="9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31" xfId="0" applyFont="1" applyBorder="1"/>
    <xf numFmtId="0" fontId="0" fillId="0" borderId="23" xfId="0" applyBorder="1"/>
    <xf numFmtId="0" fontId="0" fillId="0" borderId="32" xfId="0" applyBorder="1"/>
    <xf numFmtId="0" fontId="13" fillId="0" borderId="16" xfId="21" applyFont="1" applyBorder="1" applyAlignment="1">
      <alignment horizontal="center" vertical="center" wrapText="1"/>
    </xf>
    <xf numFmtId="0" fontId="15" fillId="0" borderId="22" xfId="21" applyFont="1" applyBorder="1" applyAlignment="1">
      <alignment horizontal="left" vertical="center"/>
    </xf>
    <xf numFmtId="0" fontId="15" fillId="0" borderId="23" xfId="21" applyFont="1" applyBorder="1" applyAlignment="1">
      <alignment horizontal="left" vertical="center"/>
    </xf>
    <xf numFmtId="0" fontId="15" fillId="0" borderId="24" xfId="21" applyFont="1" applyBorder="1" applyAlignment="1">
      <alignment horizontal="left" vertical="center"/>
    </xf>
    <xf numFmtId="0" fontId="15" fillId="0" borderId="38" xfId="21" applyFont="1" applyBorder="1" applyAlignment="1">
      <alignment horizontal="left" vertical="center"/>
    </xf>
    <xf numFmtId="0" fontId="15" fillId="0" borderId="39" xfId="21" applyFont="1" applyBorder="1" applyAlignment="1">
      <alignment horizontal="left" vertical="center"/>
    </xf>
    <xf numFmtId="0" fontId="15" fillId="0" borderId="40" xfId="21" applyFont="1" applyBorder="1" applyAlignment="1">
      <alignment horizontal="left" vertical="center"/>
    </xf>
    <xf numFmtId="3" fontId="10" fillId="0" borderId="29" xfId="22" applyNumberFormat="1" applyFont="1" applyFill="1" applyBorder="1" applyAlignment="1">
      <alignment vertical="center"/>
    </xf>
    <xf numFmtId="3" fontId="10" fillId="0" borderId="19" xfId="22" applyNumberFormat="1" applyFont="1" applyFill="1" applyBorder="1" applyAlignment="1">
      <alignment vertical="center"/>
    </xf>
    <xf numFmtId="0" fontId="10" fillId="0" borderId="28" xfId="21" applyFont="1" applyBorder="1" applyAlignment="1">
      <alignment horizontal="center" vertical="center"/>
    </xf>
    <xf numFmtId="0" fontId="10" fillId="0" borderId="11" xfId="21" applyFont="1" applyBorder="1" applyAlignment="1">
      <alignment horizontal="center" vertical="center"/>
    </xf>
    <xf numFmtId="169" fontId="10" fillId="0" borderId="28" xfId="22" applyNumberFormat="1" applyFont="1" applyFill="1" applyBorder="1" applyAlignment="1">
      <alignment horizontal="center" vertical="center"/>
    </xf>
    <xf numFmtId="169" fontId="10" fillId="0" borderId="11" xfId="22" applyNumberFormat="1" applyFont="1" applyFill="1" applyBorder="1" applyAlignment="1">
      <alignment horizontal="center" vertical="center"/>
    </xf>
    <xf numFmtId="0" fontId="15" fillId="0" borderId="31" xfId="21" applyFont="1" applyBorder="1" applyAlignment="1">
      <alignment horizontal="left" vertical="center"/>
    </xf>
    <xf numFmtId="0" fontId="15" fillId="0" borderId="42" xfId="21" applyFont="1" applyBorder="1" applyAlignment="1">
      <alignment horizontal="left" vertical="center"/>
    </xf>
    <xf numFmtId="0" fontId="15" fillId="0" borderId="33" xfId="15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33" xfId="15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5" fillId="0" borderId="3" xfId="20" applyFont="1" applyBorder="1" applyAlignment="1">
      <alignment horizontal="left" vertical="center"/>
    </xf>
    <xf numFmtId="0" fontId="15" fillId="0" borderId="4" xfId="20" applyFont="1" applyBorder="1" applyAlignment="1">
      <alignment horizontal="left" vertical="center"/>
    </xf>
    <xf numFmtId="0" fontId="21" fillId="0" borderId="0" xfId="20" applyFont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0" fontId="15" fillId="0" borderId="4" xfId="20" applyFont="1" applyBorder="1" applyAlignment="1">
      <alignment horizontal="left" vertical="center" wrapText="1"/>
    </xf>
    <xf numFmtId="0" fontId="9" fillId="0" borderId="3" xfId="20" applyFont="1" applyBorder="1" applyAlignment="1">
      <alignment horizontal="left" vertical="center"/>
    </xf>
    <xf numFmtId="0" fontId="15" fillId="0" borderId="3" xfId="20" applyFont="1" applyBorder="1" applyAlignment="1">
      <alignment vertical="center"/>
    </xf>
    <xf numFmtId="0" fontId="15" fillId="0" borderId="4" xfId="20" applyFont="1" applyBorder="1" applyAlignment="1">
      <alignment vertical="center"/>
    </xf>
    <xf numFmtId="0" fontId="15" fillId="0" borderId="22" xfId="20" applyFont="1" applyBorder="1" applyAlignment="1">
      <alignment horizontal="left" vertical="center"/>
    </xf>
    <xf numFmtId="0" fontId="15" fillId="0" borderId="23" xfId="20" applyFont="1" applyBorder="1" applyAlignment="1">
      <alignment horizontal="left" vertical="center"/>
    </xf>
    <xf numFmtId="0" fontId="15" fillId="0" borderId="24" xfId="20" applyFont="1" applyBorder="1" applyAlignment="1">
      <alignment horizontal="left" vertical="center"/>
    </xf>
    <xf numFmtId="0" fontId="26" fillId="0" borderId="0" xfId="20" applyFont="1" applyAlignment="1">
      <alignment horizontal="center" wrapText="1"/>
    </xf>
    <xf numFmtId="0" fontId="15" fillId="0" borderId="0" xfId="1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35" xfId="20" applyFont="1" applyBorder="1" applyAlignment="1">
      <alignment horizontal="left" vertical="center"/>
    </xf>
    <xf numFmtId="0" fontId="15" fillId="0" borderId="36" xfId="20" applyFont="1" applyBorder="1" applyAlignment="1">
      <alignment horizontal="left" vertical="center"/>
    </xf>
    <xf numFmtId="0" fontId="15" fillId="0" borderId="5" xfId="20" applyFont="1" applyBorder="1" applyAlignment="1">
      <alignment horizontal="left" vertical="center"/>
    </xf>
    <xf numFmtId="0" fontId="15" fillId="0" borderId="6" xfId="20" applyFont="1" applyBorder="1" applyAlignment="1">
      <alignment horizontal="left" vertical="center"/>
    </xf>
    <xf numFmtId="0" fontId="15" fillId="0" borderId="38" xfId="17" applyFont="1" applyBorder="1"/>
    <xf numFmtId="0" fontId="15" fillId="0" borderId="39" xfId="0" applyFont="1" applyBorder="1"/>
    <xf numFmtId="0" fontId="15" fillId="0" borderId="8" xfId="2" applyFont="1" applyBorder="1" applyAlignment="1">
      <alignment horizontal="left" vertical="center"/>
    </xf>
    <xf numFmtId="0" fontId="10" fillId="0" borderId="9" xfId="17" applyFont="1" applyBorder="1" applyAlignment="1">
      <alignment horizontal="left" vertical="center"/>
    </xf>
    <xf numFmtId="0" fontId="10" fillId="0" borderId="10" xfId="17" applyFont="1" applyBorder="1" applyAlignment="1">
      <alignment horizontal="left" vertical="center"/>
    </xf>
    <xf numFmtId="0" fontId="15" fillId="0" borderId="40" xfId="0" applyFont="1" applyBorder="1"/>
    <xf numFmtId="0" fontId="15" fillId="0" borderId="2" xfId="4" applyFont="1" applyBorder="1" applyAlignment="1">
      <alignment horizontal="left" vertical="center"/>
    </xf>
    <xf numFmtId="0" fontId="15" fillId="0" borderId="3" xfId="4" applyFont="1" applyBorder="1" applyAlignment="1">
      <alignment horizontal="left" vertical="center"/>
    </xf>
    <xf numFmtId="0" fontId="15" fillId="0" borderId="5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/>
    </xf>
    <xf numFmtId="0" fontId="15" fillId="0" borderId="1" xfId="4" applyFont="1" applyBorder="1" applyAlignment="1">
      <alignment horizontal="center" vertical="center"/>
    </xf>
  </cellXfs>
  <cellStyles count="24">
    <cellStyle name="Milliers 2" xfId="5" xr:uid="{00000000-0005-0000-0000-000000000000}"/>
    <cellStyle name="Milliers 2 2" xfId="3" xr:uid="{00000000-0005-0000-0000-000001000000}"/>
    <cellStyle name="Milliers 2 3" xfId="11" xr:uid="{00000000-0005-0000-0000-000002000000}"/>
    <cellStyle name="Milliers 2 4" xfId="23" xr:uid="{00000000-0005-0000-0000-000003000000}"/>
    <cellStyle name="Milliers 3" xfId="7" xr:uid="{00000000-0005-0000-0000-000004000000}"/>
    <cellStyle name="Milliers 4" xfId="9" xr:uid="{00000000-0005-0000-0000-000005000000}"/>
    <cellStyle name="Milliers 4 2" xfId="12" xr:uid="{00000000-0005-0000-0000-000006000000}"/>
    <cellStyle name="Milliers 4 3" xfId="13" xr:uid="{00000000-0005-0000-0000-000007000000}"/>
    <cellStyle name="Milliers 5" xfId="16" xr:uid="{00000000-0005-0000-0000-000008000000}"/>
    <cellStyle name="Milliers 6" xfId="19" xr:uid="{00000000-0005-0000-0000-000009000000}"/>
    <cellStyle name="Milliers 7" xfId="22" xr:uid="{00000000-0005-0000-0000-00000A000000}"/>
    <cellStyle name="Normal" xfId="0" builtinId="0"/>
    <cellStyle name="Normal 2" xfId="2" xr:uid="{00000000-0005-0000-0000-00000C000000}"/>
    <cellStyle name="Normal 2 2" xfId="10" xr:uid="{00000000-0005-0000-0000-00000D000000}"/>
    <cellStyle name="Normal 2 3" xfId="4" xr:uid="{00000000-0005-0000-0000-00000E000000}"/>
    <cellStyle name="Normal 3" xfId="1" xr:uid="{00000000-0005-0000-0000-00000F000000}"/>
    <cellStyle name="Normal 3 2" xfId="6" xr:uid="{00000000-0005-0000-0000-000010000000}"/>
    <cellStyle name="Normal 3 3" xfId="8" xr:uid="{00000000-0005-0000-0000-000011000000}"/>
    <cellStyle name="Normal 3 4" xfId="14" xr:uid="{00000000-0005-0000-0000-000012000000}"/>
    <cellStyle name="Normal 3 5" xfId="15" xr:uid="{00000000-0005-0000-0000-000013000000}"/>
    <cellStyle name="Normal 3 6" xfId="17" xr:uid="{00000000-0005-0000-0000-000014000000}"/>
    <cellStyle name="Normal 3 7" xfId="18" xr:uid="{00000000-0005-0000-0000-000015000000}"/>
    <cellStyle name="Normal 3 8" xfId="20" xr:uid="{00000000-0005-0000-0000-000016000000}"/>
    <cellStyle name="Normal 4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63" Type="http://schemas.microsoft.com/office/2017/10/relationships/person" Target="persons/person2.xml"/><Relationship Id="rId68" Type="http://schemas.microsoft.com/office/2017/10/relationships/person" Target="persons/pers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71" Type="http://schemas.microsoft.com/office/2017/10/relationships/person" Target="persons/person11.xml"/><Relationship Id="rId59" Type="http://schemas.microsoft.com/office/2017/10/relationships/person" Target="persons/person5.xml"/><Relationship Id="rId67" Type="http://schemas.microsoft.com/office/2017/10/relationships/person" Target="persons/person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70" Type="http://schemas.microsoft.com/office/2017/10/relationships/person" Target="persons/person9.xml"/><Relationship Id="rId62" Type="http://schemas.microsoft.com/office/2017/10/relationships/person" Target="persons/person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66" Type="http://schemas.microsoft.com/office/2017/10/relationships/person" Target="persons/person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61" Type="http://schemas.microsoft.com/office/2017/10/relationships/person" Target="persons/person8.xml"/><Relationship Id="rId57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65" Type="http://schemas.microsoft.com/office/2017/10/relationships/person" Target="persons/person3.xml"/><Relationship Id="rId60" Type="http://schemas.microsoft.com/office/2017/10/relationships/person" Target="persons/person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69" Type="http://schemas.microsoft.com/office/2017/10/relationships/person" Target="persons/person7.xml"/><Relationship Id="rId64" Type="http://schemas.microsoft.com/office/2017/10/relationships/person" Target="persons/person0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4"/>
  <sheetViews>
    <sheetView zoomScale="120" zoomScaleNormal="120" workbookViewId="0">
      <selection activeCell="C17" sqref="C17"/>
    </sheetView>
  </sheetViews>
  <sheetFormatPr baseColWidth="10" defaultColWidth="11.44140625" defaultRowHeight="13.2" x14ac:dyDescent="0.25"/>
  <cols>
    <col min="1" max="1" width="8" style="1" customWidth="1"/>
    <col min="2" max="2" width="49" style="1" bestFit="1" customWidth="1"/>
    <col min="3" max="3" width="11.5546875" style="1" bestFit="1" customWidth="1"/>
    <col min="4" max="4" width="12.6640625" style="1" bestFit="1" customWidth="1"/>
    <col min="5" max="5" width="12.88671875" style="1" customWidth="1"/>
    <col min="6" max="16384" width="11.44140625" style="1"/>
  </cols>
  <sheetData>
    <row r="2" spans="1:6" x14ac:dyDescent="0.25">
      <c r="A2" s="379" t="s">
        <v>460</v>
      </c>
      <c r="B2" s="380"/>
      <c r="C2" s="380"/>
      <c r="D2" s="380"/>
      <c r="E2" s="381"/>
      <c r="F2" s="312"/>
    </row>
    <row r="3" spans="1:6" ht="13.8" thickBot="1" x14ac:dyDescent="0.3">
      <c r="A3" s="376" t="s">
        <v>416</v>
      </c>
      <c r="B3" s="377"/>
      <c r="C3" s="377"/>
      <c r="D3" s="377"/>
      <c r="E3" s="378"/>
      <c r="F3" s="166"/>
    </row>
    <row r="4" spans="1:6" ht="13.8" thickBot="1" x14ac:dyDescent="0.3">
      <c r="B4" s="167"/>
      <c r="C4" s="168"/>
      <c r="D4" s="168"/>
      <c r="E4" s="373"/>
      <c r="F4" s="165"/>
    </row>
    <row r="5" spans="1:6" x14ac:dyDescent="0.25">
      <c r="A5" s="169" t="s">
        <v>32</v>
      </c>
      <c r="B5" s="169" t="s">
        <v>33</v>
      </c>
      <c r="C5" s="169" t="s">
        <v>34</v>
      </c>
      <c r="D5" s="170" t="s">
        <v>544</v>
      </c>
      <c r="E5" s="374" t="s">
        <v>545</v>
      </c>
      <c r="F5" s="171"/>
    </row>
    <row r="6" spans="1:6" x14ac:dyDescent="0.25">
      <c r="A6" s="119">
        <v>1</v>
      </c>
      <c r="B6" s="172" t="s">
        <v>24</v>
      </c>
      <c r="C6" s="121">
        <v>1</v>
      </c>
      <c r="D6" s="124"/>
      <c r="E6" s="173"/>
    </row>
    <row r="7" spans="1:6" x14ac:dyDescent="0.25">
      <c r="A7" s="119">
        <f>A6+1</f>
        <v>2</v>
      </c>
      <c r="B7" s="174" t="s">
        <v>35</v>
      </c>
      <c r="C7" s="175">
        <v>1</v>
      </c>
      <c r="D7" s="176"/>
      <c r="E7" s="177"/>
      <c r="F7" s="10"/>
    </row>
    <row r="8" spans="1:6" x14ac:dyDescent="0.25">
      <c r="A8" s="119">
        <f t="shared" ref="A8:A20" si="0">A7+1</f>
        <v>3</v>
      </c>
      <c r="B8" s="174" t="s">
        <v>203</v>
      </c>
      <c r="C8" s="121">
        <v>1</v>
      </c>
      <c r="D8" s="176"/>
      <c r="E8" s="177"/>
    </row>
    <row r="9" spans="1:6" x14ac:dyDescent="0.25">
      <c r="A9" s="119">
        <f t="shared" si="0"/>
        <v>4</v>
      </c>
      <c r="B9" s="172" t="s">
        <v>300</v>
      </c>
      <c r="C9" s="121">
        <v>1</v>
      </c>
      <c r="D9" s="124"/>
      <c r="E9" s="173"/>
    </row>
    <row r="10" spans="1:6" x14ac:dyDescent="0.25">
      <c r="A10" s="119">
        <f t="shared" si="0"/>
        <v>5</v>
      </c>
      <c r="B10" s="172" t="s">
        <v>301</v>
      </c>
      <c r="C10" s="121">
        <v>1</v>
      </c>
      <c r="D10" s="124"/>
      <c r="E10" s="173"/>
    </row>
    <row r="11" spans="1:6" x14ac:dyDescent="0.25">
      <c r="A11" s="119">
        <f t="shared" si="0"/>
        <v>6</v>
      </c>
      <c r="B11" s="172" t="s">
        <v>302</v>
      </c>
      <c r="C11" s="121">
        <v>1</v>
      </c>
      <c r="D11" s="124"/>
      <c r="E11" s="173"/>
    </row>
    <row r="12" spans="1:6" x14ac:dyDescent="0.25">
      <c r="A12" s="119">
        <f t="shared" si="0"/>
        <v>7</v>
      </c>
      <c r="B12" s="172" t="s">
        <v>540</v>
      </c>
      <c r="C12" s="121">
        <v>1</v>
      </c>
      <c r="D12" s="124"/>
      <c r="E12" s="173"/>
    </row>
    <row r="13" spans="1:6" x14ac:dyDescent="0.25">
      <c r="A13" s="119">
        <f t="shared" si="0"/>
        <v>8</v>
      </c>
      <c r="B13" s="172" t="s">
        <v>541</v>
      </c>
      <c r="C13" s="121">
        <v>1</v>
      </c>
      <c r="D13" s="124"/>
      <c r="E13" s="173"/>
    </row>
    <row r="14" spans="1:6" x14ac:dyDescent="0.25">
      <c r="A14" s="119">
        <f t="shared" si="0"/>
        <v>9</v>
      </c>
      <c r="B14" s="172" t="s">
        <v>542</v>
      </c>
      <c r="C14" s="121">
        <v>1</v>
      </c>
      <c r="D14" s="124"/>
      <c r="E14" s="173"/>
    </row>
    <row r="15" spans="1:6" x14ac:dyDescent="0.25">
      <c r="A15" s="119">
        <f t="shared" si="0"/>
        <v>10</v>
      </c>
      <c r="B15" s="172" t="s">
        <v>543</v>
      </c>
      <c r="C15" s="121">
        <v>1</v>
      </c>
      <c r="D15" s="124"/>
      <c r="E15" s="173"/>
    </row>
    <row r="16" spans="1:6" x14ac:dyDescent="0.25">
      <c r="A16" s="119">
        <f t="shared" si="0"/>
        <v>11</v>
      </c>
      <c r="B16" s="174" t="s">
        <v>36</v>
      </c>
      <c r="C16" s="121">
        <v>1</v>
      </c>
      <c r="D16" s="176"/>
      <c r="E16" s="173"/>
    </row>
    <row r="17" spans="1:5" x14ac:dyDescent="0.25">
      <c r="A17" s="119">
        <f t="shared" si="0"/>
        <v>12</v>
      </c>
      <c r="B17" s="174" t="s">
        <v>303</v>
      </c>
      <c r="C17" s="121">
        <v>2</v>
      </c>
      <c r="D17" s="176"/>
      <c r="E17" s="173"/>
    </row>
    <row r="18" spans="1:5" x14ac:dyDescent="0.25">
      <c r="A18" s="119">
        <f t="shared" si="0"/>
        <v>13</v>
      </c>
      <c r="B18" s="174" t="s">
        <v>37</v>
      </c>
      <c r="C18" s="121">
        <v>1</v>
      </c>
      <c r="D18" s="176"/>
      <c r="E18" s="173"/>
    </row>
    <row r="19" spans="1:5" x14ac:dyDescent="0.25">
      <c r="A19" s="119">
        <f t="shared" si="0"/>
        <v>14</v>
      </c>
      <c r="B19" s="174" t="s">
        <v>150</v>
      </c>
      <c r="C19" s="121">
        <v>1</v>
      </c>
      <c r="D19" s="176"/>
      <c r="E19" s="173"/>
    </row>
    <row r="20" spans="1:5" x14ac:dyDescent="0.25">
      <c r="A20" s="119">
        <f t="shared" si="0"/>
        <v>15</v>
      </c>
      <c r="B20" s="174" t="s">
        <v>407</v>
      </c>
      <c r="C20" s="121">
        <v>1</v>
      </c>
      <c r="D20" s="176"/>
      <c r="E20" s="173"/>
    </row>
    <row r="21" spans="1:5" x14ac:dyDescent="0.25">
      <c r="A21" s="375" t="s">
        <v>38</v>
      </c>
      <c r="B21" s="375"/>
      <c r="C21" s="375"/>
      <c r="D21" s="375"/>
      <c r="E21" s="178"/>
    </row>
    <row r="22" spans="1:5" x14ac:dyDescent="0.25">
      <c r="A22" s="375" t="s">
        <v>39</v>
      </c>
      <c r="B22" s="375"/>
      <c r="C22" s="375"/>
      <c r="D22" s="375"/>
      <c r="E22" s="178"/>
    </row>
    <row r="24" spans="1:5" x14ac:dyDescent="0.25">
      <c r="E24" s="10"/>
    </row>
  </sheetData>
  <mergeCells count="4">
    <mergeCell ref="A22:D22"/>
    <mergeCell ref="A2:E2"/>
    <mergeCell ref="A3:E3"/>
    <mergeCell ref="A21:D21"/>
  </mergeCell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19"/>
  <sheetViews>
    <sheetView workbookViewId="0">
      <selection activeCell="B12" sqref="B12"/>
    </sheetView>
  </sheetViews>
  <sheetFormatPr baseColWidth="10" defaultColWidth="11.44140625" defaultRowHeight="13.2" x14ac:dyDescent="0.25"/>
  <cols>
    <col min="1" max="1" width="5.44140625" style="31" customWidth="1"/>
    <col min="2" max="2" width="58.66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3.6640625" style="129" customWidth="1"/>
    <col min="7" max="7" width="6.33203125" style="1" customWidth="1"/>
    <col min="8" max="8" width="6.88671875" style="1" customWidth="1"/>
    <col min="9" max="9" width="12.5546875" style="1" customWidth="1"/>
    <col min="10" max="10" width="10.6640625" style="1" customWidth="1"/>
    <col min="11" max="11" width="15.44140625" style="1" customWidth="1"/>
    <col min="12" max="16384" width="11.44140625" style="1"/>
  </cols>
  <sheetData>
    <row r="2" spans="1:9" ht="13.8" x14ac:dyDescent="0.25">
      <c r="A2" s="397" t="s">
        <v>460</v>
      </c>
      <c r="B2" s="397"/>
      <c r="C2" s="397"/>
      <c r="D2" s="397"/>
      <c r="E2" s="397"/>
      <c r="F2" s="397"/>
    </row>
    <row r="3" spans="1:9" ht="13.8" thickBot="1" x14ac:dyDescent="0.3">
      <c r="A3" s="29"/>
      <c r="B3" s="406" t="s">
        <v>532</v>
      </c>
      <c r="C3" s="396"/>
      <c r="D3" s="396"/>
      <c r="E3" s="396"/>
      <c r="F3" s="396"/>
      <c r="G3" s="10"/>
    </row>
    <row r="4" spans="1:9" ht="14.4" thickTop="1" thickBot="1" x14ac:dyDescent="0.3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  <c r="G4" s="10"/>
    </row>
    <row r="5" spans="1:9" ht="13.8" thickTop="1" x14ac:dyDescent="0.25">
      <c r="A5" s="12" t="s">
        <v>0</v>
      </c>
      <c r="B5" s="34" t="s">
        <v>1</v>
      </c>
      <c r="C5" s="13"/>
      <c r="D5" s="13"/>
      <c r="E5" s="49"/>
      <c r="F5" s="50"/>
      <c r="G5" s="10"/>
    </row>
    <row r="6" spans="1:9" x14ac:dyDescent="0.25">
      <c r="A6" s="16" t="s">
        <v>25</v>
      </c>
      <c r="B6" s="36" t="s">
        <v>73</v>
      </c>
      <c r="C6" s="5" t="s">
        <v>16</v>
      </c>
      <c r="D6" s="6">
        <f>13*8.5</f>
        <v>110.5</v>
      </c>
      <c r="E6" s="51"/>
      <c r="F6" s="52"/>
      <c r="G6" s="10"/>
    </row>
    <row r="7" spans="1:9" x14ac:dyDescent="0.25">
      <c r="A7" s="17"/>
      <c r="B7" s="37" t="s">
        <v>7</v>
      </c>
      <c r="C7" s="18"/>
      <c r="D7" s="18"/>
      <c r="E7" s="53"/>
      <c r="F7" s="54"/>
      <c r="G7" s="10"/>
    </row>
    <row r="8" spans="1:9" x14ac:dyDescent="0.25">
      <c r="A8" s="17" t="s">
        <v>8</v>
      </c>
      <c r="B8" s="37" t="s">
        <v>9</v>
      </c>
      <c r="C8" s="18"/>
      <c r="D8" s="18"/>
      <c r="E8" s="53"/>
      <c r="F8" s="54"/>
      <c r="G8" s="10"/>
      <c r="I8" s="125"/>
    </row>
    <row r="9" spans="1:9" x14ac:dyDescent="0.25">
      <c r="A9" s="16" t="s">
        <v>50</v>
      </c>
      <c r="B9" s="36" t="s">
        <v>27</v>
      </c>
      <c r="C9" s="5" t="s">
        <v>10</v>
      </c>
      <c r="D9" s="21">
        <f>39.85*0.2*0.85</f>
        <v>6.7745000000000006</v>
      </c>
      <c r="E9" s="51"/>
      <c r="F9" s="52"/>
      <c r="G9" s="10"/>
    </row>
    <row r="10" spans="1:9" x14ac:dyDescent="0.25">
      <c r="A10" s="16" t="s">
        <v>51</v>
      </c>
      <c r="B10" s="36" t="s">
        <v>11</v>
      </c>
      <c r="C10" s="5" t="s">
        <v>10</v>
      </c>
      <c r="D10" s="73">
        <f>39.85*0.3*0.6</f>
        <v>7.173</v>
      </c>
      <c r="E10" s="51"/>
      <c r="F10" s="52"/>
      <c r="G10" s="10"/>
    </row>
    <row r="11" spans="1:9" x14ac:dyDescent="0.25">
      <c r="A11" s="16" t="s">
        <v>52</v>
      </c>
      <c r="B11" s="36" t="s">
        <v>84</v>
      </c>
      <c r="C11" s="5" t="s">
        <v>10</v>
      </c>
      <c r="D11" s="21">
        <f>((6.7*6)+(4*6))*0.3</f>
        <v>19.260000000000002</v>
      </c>
      <c r="E11" s="51"/>
      <c r="F11" s="52"/>
      <c r="G11" s="10"/>
    </row>
    <row r="12" spans="1:9" x14ac:dyDescent="0.25">
      <c r="A12" s="17"/>
      <c r="B12" s="37" t="s">
        <v>7</v>
      </c>
      <c r="C12" s="18"/>
      <c r="D12" s="22"/>
      <c r="E12" s="53"/>
      <c r="F12" s="54"/>
      <c r="G12" s="10"/>
    </row>
    <row r="13" spans="1:9" x14ac:dyDescent="0.25">
      <c r="A13" s="17" t="s">
        <v>12</v>
      </c>
      <c r="B13" s="37" t="s">
        <v>13</v>
      </c>
      <c r="C13" s="18"/>
      <c r="D13" s="22"/>
      <c r="E13" s="53"/>
      <c r="F13" s="54"/>
      <c r="G13" s="10"/>
    </row>
    <row r="14" spans="1:9" x14ac:dyDescent="0.25">
      <c r="A14" s="16" t="s">
        <v>41</v>
      </c>
      <c r="B14" s="118" t="s">
        <v>86</v>
      </c>
      <c r="C14" s="119" t="s">
        <v>10</v>
      </c>
      <c r="D14" s="21">
        <f>39.85*0.5*0.05</f>
        <v>0.99625000000000008</v>
      </c>
      <c r="E14" s="51"/>
      <c r="F14" s="52"/>
      <c r="G14" s="10"/>
    </row>
    <row r="15" spans="1:9" ht="26.4" x14ac:dyDescent="0.25">
      <c r="A15" s="16" t="s">
        <v>42</v>
      </c>
      <c r="B15" s="118" t="s">
        <v>87</v>
      </c>
      <c r="C15" s="119" t="s">
        <v>10</v>
      </c>
      <c r="D15" s="21">
        <f>39.85*0.5*0.2</f>
        <v>3.9850000000000003</v>
      </c>
      <c r="E15" s="51"/>
      <c r="F15" s="52"/>
      <c r="G15" s="10"/>
    </row>
    <row r="16" spans="1:9" x14ac:dyDescent="0.25">
      <c r="A16" s="16" t="s">
        <v>43</v>
      </c>
      <c r="B16" s="118" t="s">
        <v>181</v>
      </c>
      <c r="C16" s="119" t="s">
        <v>10</v>
      </c>
      <c r="D16" s="21">
        <f>0.2*0.2*1*11</f>
        <v>0.44000000000000006</v>
      </c>
      <c r="E16" s="51"/>
      <c r="F16" s="52"/>
      <c r="G16" s="10"/>
    </row>
    <row r="17" spans="1:7" x14ac:dyDescent="0.25">
      <c r="A17" s="16" t="s">
        <v>44</v>
      </c>
      <c r="B17" s="118" t="s">
        <v>88</v>
      </c>
      <c r="C17" s="119" t="s">
        <v>10</v>
      </c>
      <c r="D17" s="21">
        <f>39.85*0.2*0.2</f>
        <v>1.5940000000000003</v>
      </c>
      <c r="E17" s="51"/>
      <c r="F17" s="52"/>
      <c r="G17" s="10"/>
    </row>
    <row r="18" spans="1:7" ht="26.4" x14ac:dyDescent="0.25">
      <c r="A18" s="16" t="s">
        <v>45</v>
      </c>
      <c r="B18" s="118" t="s">
        <v>419</v>
      </c>
      <c r="C18" s="119" t="s">
        <v>10</v>
      </c>
      <c r="D18" s="21">
        <f>64.2*0.1</f>
        <v>6.4200000000000008</v>
      </c>
      <c r="E18" s="51"/>
      <c r="F18" s="52"/>
      <c r="G18" s="10"/>
    </row>
    <row r="19" spans="1:7" x14ac:dyDescent="0.25">
      <c r="A19" s="16" t="s">
        <v>46</v>
      </c>
      <c r="B19" s="118" t="s">
        <v>182</v>
      </c>
      <c r="C19" s="119" t="s">
        <v>10</v>
      </c>
      <c r="D19" s="21">
        <f>(11*2+6.45+6)*0.15*0.1</f>
        <v>0.51675000000000004</v>
      </c>
      <c r="E19" s="51"/>
      <c r="F19" s="52"/>
      <c r="G19" s="10"/>
    </row>
    <row r="20" spans="1:7" x14ac:dyDescent="0.25">
      <c r="A20" s="16" t="s">
        <v>47</v>
      </c>
      <c r="B20" s="120" t="s">
        <v>92</v>
      </c>
      <c r="C20" s="119" t="s">
        <v>10</v>
      </c>
      <c r="D20" s="21">
        <f>39.85*0.15*0.2</f>
        <v>1.1955</v>
      </c>
      <c r="E20" s="51"/>
      <c r="F20" s="52"/>
      <c r="G20" s="10"/>
    </row>
    <row r="21" spans="1:7" x14ac:dyDescent="0.25">
      <c r="A21" s="16" t="s">
        <v>48</v>
      </c>
      <c r="B21" s="118" t="s">
        <v>93</v>
      </c>
      <c r="C21" s="119" t="s">
        <v>10</v>
      </c>
      <c r="D21" s="21">
        <f>39.85*0.15*0.45</f>
        <v>2.6898750000000002</v>
      </c>
      <c r="E21" s="51"/>
      <c r="F21" s="52"/>
      <c r="G21" s="10"/>
    </row>
    <row r="22" spans="1:7" x14ac:dyDescent="0.25">
      <c r="A22" s="16" t="s">
        <v>49</v>
      </c>
      <c r="B22" s="118" t="s">
        <v>95</v>
      </c>
      <c r="C22" s="119" t="s">
        <v>10</v>
      </c>
      <c r="D22" s="21">
        <f>0.15*0.15*4.5*11</f>
        <v>1.11375</v>
      </c>
      <c r="E22" s="51"/>
      <c r="F22" s="52"/>
      <c r="G22" s="10"/>
    </row>
    <row r="23" spans="1:7" x14ac:dyDescent="0.25">
      <c r="A23" s="16" t="s">
        <v>310</v>
      </c>
      <c r="B23" s="118" t="s">
        <v>422</v>
      </c>
      <c r="C23" s="119" t="s">
        <v>10</v>
      </c>
      <c r="D23" s="21">
        <f>(11+6)*0.85</f>
        <v>14.45</v>
      </c>
      <c r="E23" s="51"/>
      <c r="F23" s="52"/>
      <c r="G23" s="10"/>
    </row>
    <row r="24" spans="1:7" x14ac:dyDescent="0.25">
      <c r="A24" s="16" t="s">
        <v>311</v>
      </c>
      <c r="B24" s="120" t="s">
        <v>97</v>
      </c>
      <c r="C24" s="119" t="s">
        <v>16</v>
      </c>
      <c r="D24" s="6">
        <f>39.85*1</f>
        <v>39.85</v>
      </c>
      <c r="E24" s="51"/>
      <c r="F24" s="52"/>
      <c r="G24" s="10"/>
    </row>
    <row r="25" spans="1:7" x14ac:dyDescent="0.25">
      <c r="A25" s="16" t="s">
        <v>312</v>
      </c>
      <c r="B25" s="118" t="s">
        <v>98</v>
      </c>
      <c r="C25" s="119" t="s">
        <v>16</v>
      </c>
      <c r="D25" s="6">
        <f>39.85*4.5</f>
        <v>179.32500000000002</v>
      </c>
      <c r="E25" s="51"/>
      <c r="F25" s="52"/>
      <c r="G25" s="10"/>
    </row>
    <row r="26" spans="1:7" ht="26.4" x14ac:dyDescent="0.25">
      <c r="A26" s="16" t="s">
        <v>156</v>
      </c>
      <c r="B26" s="118" t="s">
        <v>96</v>
      </c>
      <c r="C26" s="119" t="s">
        <v>16</v>
      </c>
      <c r="D26" s="21">
        <f>0.6*(6+4)</f>
        <v>6</v>
      </c>
      <c r="E26" s="51"/>
      <c r="F26" s="52"/>
      <c r="G26" s="10"/>
    </row>
    <row r="27" spans="1:7" x14ac:dyDescent="0.25">
      <c r="A27" s="17"/>
      <c r="B27" s="37" t="s">
        <v>7</v>
      </c>
      <c r="C27" s="18"/>
      <c r="D27" s="18"/>
      <c r="E27" s="53"/>
      <c r="F27" s="54"/>
      <c r="G27" s="10"/>
    </row>
    <row r="28" spans="1:7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7" x14ac:dyDescent="0.25">
      <c r="A29" s="16" t="s">
        <v>40</v>
      </c>
      <c r="B29" s="200" t="s">
        <v>183</v>
      </c>
      <c r="C29" s="5" t="s">
        <v>16</v>
      </c>
      <c r="D29" s="6">
        <f>(6.45+12+22)*5</f>
        <v>202.25</v>
      </c>
      <c r="E29" s="51"/>
      <c r="F29" s="52"/>
      <c r="G29" s="10"/>
    </row>
    <row r="30" spans="1:7" x14ac:dyDescent="0.25">
      <c r="A30" s="16" t="s">
        <v>61</v>
      </c>
      <c r="B30" s="118" t="s">
        <v>99</v>
      </c>
      <c r="C30" s="5" t="s">
        <v>16</v>
      </c>
      <c r="D30" s="6">
        <f>(6*4+6.7*2+4*2)*3.2</f>
        <v>145.28</v>
      </c>
      <c r="E30" s="51"/>
      <c r="F30" s="52"/>
      <c r="G30" s="10"/>
    </row>
    <row r="31" spans="1:7" x14ac:dyDescent="0.25">
      <c r="A31" s="16" t="s">
        <v>71</v>
      </c>
      <c r="B31" s="118" t="s">
        <v>167</v>
      </c>
      <c r="C31" s="5" t="s">
        <v>16</v>
      </c>
      <c r="D31" s="6">
        <f>D29</f>
        <v>202.25</v>
      </c>
      <c r="E31" s="51"/>
      <c r="F31" s="52"/>
      <c r="G31" s="10"/>
    </row>
    <row r="32" spans="1:7" x14ac:dyDescent="0.25">
      <c r="A32" s="16" t="s">
        <v>132</v>
      </c>
      <c r="B32" s="36" t="s">
        <v>100</v>
      </c>
      <c r="C32" s="5" t="s">
        <v>16</v>
      </c>
      <c r="D32" s="6">
        <f>40.2+24</f>
        <v>64.2</v>
      </c>
      <c r="E32" s="51"/>
      <c r="F32" s="52"/>
      <c r="G32" s="10"/>
    </row>
    <row r="33" spans="1:7" x14ac:dyDescent="0.25">
      <c r="A33" s="16" t="s">
        <v>133</v>
      </c>
      <c r="B33" s="36" t="s">
        <v>184</v>
      </c>
      <c r="C33" s="5" t="s">
        <v>16</v>
      </c>
      <c r="D33" s="6">
        <f>0.6*(3.4+6)+(4+6)*1</f>
        <v>15.64</v>
      </c>
      <c r="E33" s="51"/>
      <c r="F33" s="52"/>
      <c r="G33" s="10"/>
    </row>
    <row r="34" spans="1:7" x14ac:dyDescent="0.25">
      <c r="A34" s="16" t="s">
        <v>351</v>
      </c>
      <c r="B34" s="36" t="s">
        <v>185</v>
      </c>
      <c r="C34" s="5" t="s">
        <v>77</v>
      </c>
      <c r="D34" s="6">
        <v>39.85</v>
      </c>
      <c r="E34" s="51"/>
      <c r="F34" s="52"/>
      <c r="G34" s="10"/>
    </row>
    <row r="35" spans="1:7" x14ac:dyDescent="0.25">
      <c r="A35" s="17"/>
      <c r="B35" s="37" t="s">
        <v>7</v>
      </c>
      <c r="C35" s="18"/>
      <c r="D35" s="18"/>
      <c r="E35" s="53"/>
      <c r="F35" s="54"/>
      <c r="G35" s="10"/>
    </row>
    <row r="36" spans="1:7" x14ac:dyDescent="0.25">
      <c r="A36" s="17" t="s">
        <v>19</v>
      </c>
      <c r="B36" s="37" t="s">
        <v>186</v>
      </c>
      <c r="C36" s="18"/>
      <c r="D36" s="18"/>
      <c r="E36" s="53"/>
      <c r="F36" s="54"/>
      <c r="G36" s="10"/>
    </row>
    <row r="37" spans="1:7" ht="26.4" x14ac:dyDescent="0.25">
      <c r="A37" s="16" t="s">
        <v>65</v>
      </c>
      <c r="B37" s="200" t="s">
        <v>385</v>
      </c>
      <c r="C37" s="119" t="s">
        <v>77</v>
      </c>
      <c r="D37" s="121">
        <f>11.2*8</f>
        <v>89.6</v>
      </c>
      <c r="E37" s="51"/>
      <c r="F37" s="52"/>
      <c r="G37" s="10"/>
    </row>
    <row r="38" spans="1:7" x14ac:dyDescent="0.25">
      <c r="A38" s="16" t="s">
        <v>66</v>
      </c>
      <c r="B38" s="200" t="s">
        <v>384</v>
      </c>
      <c r="C38" s="119" t="s">
        <v>77</v>
      </c>
      <c r="D38" s="121">
        <f>11.2</f>
        <v>11.2</v>
      </c>
      <c r="E38" s="51"/>
      <c r="F38" s="52"/>
      <c r="G38" s="10"/>
    </row>
    <row r="39" spans="1:7" ht="52.8" x14ac:dyDescent="0.25">
      <c r="A39" s="16" t="s">
        <v>67</v>
      </c>
      <c r="B39" s="122" t="s">
        <v>188</v>
      </c>
      <c r="C39" s="119" t="s">
        <v>16</v>
      </c>
      <c r="D39" s="3">
        <f>6.75*11</f>
        <v>74.25</v>
      </c>
      <c r="E39" s="51"/>
      <c r="F39" s="52"/>
      <c r="G39" s="10"/>
    </row>
    <row r="40" spans="1:7" ht="26.4" x14ac:dyDescent="0.25">
      <c r="A40" s="16" t="s">
        <v>134</v>
      </c>
      <c r="B40" s="105" t="s">
        <v>423</v>
      </c>
      <c r="C40" s="218" t="s">
        <v>21</v>
      </c>
      <c r="D40" s="219">
        <v>6</v>
      </c>
      <c r="E40" s="216"/>
      <c r="F40" s="217"/>
    </row>
    <row r="41" spans="1:7" x14ac:dyDescent="0.25">
      <c r="A41" s="17"/>
      <c r="B41" s="37" t="s">
        <v>7</v>
      </c>
      <c r="C41" s="18"/>
      <c r="D41" s="23"/>
      <c r="E41" s="53"/>
      <c r="F41" s="54"/>
      <c r="G41" s="10"/>
    </row>
    <row r="42" spans="1:7" x14ac:dyDescent="0.25">
      <c r="A42" s="17" t="s">
        <v>22</v>
      </c>
      <c r="B42" s="37" t="s">
        <v>20</v>
      </c>
      <c r="C42" s="18"/>
      <c r="D42" s="23"/>
      <c r="E42" s="53"/>
      <c r="F42" s="54"/>
      <c r="G42" s="10"/>
    </row>
    <row r="43" spans="1:7" x14ac:dyDescent="0.25">
      <c r="A43" s="16" t="s">
        <v>63</v>
      </c>
      <c r="B43" s="36" t="s">
        <v>189</v>
      </c>
      <c r="C43" s="5" t="s">
        <v>21</v>
      </c>
      <c r="D43" s="6">
        <v>1</v>
      </c>
      <c r="E43" s="51"/>
      <c r="F43" s="52"/>
      <c r="G43" s="10"/>
    </row>
    <row r="44" spans="1:7" x14ac:dyDescent="0.25">
      <c r="A44" s="16" t="s">
        <v>64</v>
      </c>
      <c r="B44" s="36" t="s">
        <v>190</v>
      </c>
      <c r="C44" s="5" t="s">
        <v>21</v>
      </c>
      <c r="D44" s="6">
        <v>1</v>
      </c>
      <c r="E44" s="51"/>
      <c r="F44" s="52"/>
      <c r="G44" s="10"/>
    </row>
    <row r="45" spans="1:7" x14ac:dyDescent="0.25">
      <c r="A45" s="16" t="s">
        <v>74</v>
      </c>
      <c r="B45" s="36" t="s">
        <v>191</v>
      </c>
      <c r="C45" s="5" t="s">
        <v>21</v>
      </c>
      <c r="D45" s="6">
        <v>7</v>
      </c>
      <c r="E45" s="51"/>
      <c r="F45" s="52"/>
      <c r="G45" s="10"/>
    </row>
    <row r="46" spans="1:7" ht="26.4" x14ac:dyDescent="0.25">
      <c r="A46" s="16" t="s">
        <v>75</v>
      </c>
      <c r="B46" s="122" t="s">
        <v>192</v>
      </c>
      <c r="C46" s="5" t="s">
        <v>21</v>
      </c>
      <c r="D46" s="6">
        <v>1</v>
      </c>
      <c r="E46" s="51"/>
      <c r="F46" s="52"/>
      <c r="G46" s="10"/>
    </row>
    <row r="47" spans="1:7" ht="26.4" x14ac:dyDescent="0.25">
      <c r="A47" s="16" t="s">
        <v>76</v>
      </c>
      <c r="B47" s="122" t="s">
        <v>193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383</v>
      </c>
      <c r="B48" s="122" t="s">
        <v>194</v>
      </c>
      <c r="C48" s="5" t="s">
        <v>21</v>
      </c>
      <c r="D48" s="6">
        <v>7</v>
      </c>
      <c r="E48" s="51"/>
      <c r="F48" s="52"/>
      <c r="G48" s="10"/>
    </row>
    <row r="49" spans="1:7" x14ac:dyDescent="0.25">
      <c r="A49" s="17"/>
      <c r="B49" s="37" t="s">
        <v>7</v>
      </c>
      <c r="C49" s="18"/>
      <c r="D49" s="23"/>
      <c r="E49" s="53"/>
      <c r="F49" s="54"/>
      <c r="G49" s="10"/>
    </row>
    <row r="50" spans="1:7" x14ac:dyDescent="0.25">
      <c r="A50" s="17" t="s">
        <v>101</v>
      </c>
      <c r="B50" s="37" t="s">
        <v>102</v>
      </c>
      <c r="C50" s="18"/>
      <c r="D50" s="23"/>
      <c r="E50" s="53"/>
      <c r="F50" s="54"/>
      <c r="G50" s="10"/>
    </row>
    <row r="51" spans="1:7" ht="26.4" x14ac:dyDescent="0.25">
      <c r="A51" s="16" t="s">
        <v>136</v>
      </c>
      <c r="B51" s="120" t="s">
        <v>103</v>
      </c>
      <c r="C51" s="5" t="s">
        <v>16</v>
      </c>
      <c r="D51" s="6">
        <f>40.2+24</f>
        <v>64.2</v>
      </c>
      <c r="E51" s="51"/>
      <c r="F51" s="52"/>
      <c r="G51" s="10"/>
    </row>
    <row r="52" spans="1:7" x14ac:dyDescent="0.25">
      <c r="A52" s="17"/>
      <c r="B52" s="37" t="s">
        <v>7</v>
      </c>
      <c r="C52" s="18"/>
      <c r="D52" s="23"/>
      <c r="E52" s="53"/>
      <c r="F52" s="54"/>
      <c r="G52" s="10"/>
    </row>
    <row r="53" spans="1:7" x14ac:dyDescent="0.25">
      <c r="A53" s="17" t="s">
        <v>104</v>
      </c>
      <c r="B53" s="37" t="s">
        <v>138</v>
      </c>
      <c r="C53" s="18"/>
      <c r="D53" s="23"/>
      <c r="E53" s="53"/>
      <c r="F53" s="54"/>
      <c r="G53" s="10"/>
    </row>
    <row r="54" spans="1:7" x14ac:dyDescent="0.25">
      <c r="A54" s="16" t="s">
        <v>365</v>
      </c>
      <c r="B54" s="36" t="s">
        <v>106</v>
      </c>
      <c r="C54" s="5" t="s">
        <v>16</v>
      </c>
      <c r="D54" s="6">
        <f>(1.2*2.2+0.9*2.2+1.2*1.2*7)*2</f>
        <v>29.4</v>
      </c>
      <c r="E54" s="51"/>
      <c r="F54" s="52"/>
      <c r="G54" s="10"/>
    </row>
    <row r="55" spans="1:7" x14ac:dyDescent="0.25">
      <c r="A55" s="16" t="s">
        <v>366</v>
      </c>
      <c r="B55" s="36" t="s">
        <v>195</v>
      </c>
      <c r="C55" s="5" t="s">
        <v>16</v>
      </c>
      <c r="D55" s="6">
        <f>D30</f>
        <v>145.28</v>
      </c>
      <c r="E55" s="51"/>
      <c r="F55" s="52"/>
      <c r="G55" s="10"/>
    </row>
    <row r="56" spans="1:7" x14ac:dyDescent="0.25">
      <c r="A56" s="16" t="s">
        <v>367</v>
      </c>
      <c r="B56" s="36" t="s">
        <v>108</v>
      </c>
      <c r="C56" s="5" t="s">
        <v>16</v>
      </c>
      <c r="D56" s="6">
        <f>D51</f>
        <v>64.2</v>
      </c>
      <c r="E56" s="51"/>
      <c r="F56" s="52"/>
      <c r="G56" s="10"/>
    </row>
    <row r="57" spans="1:7" s="126" customFormat="1" x14ac:dyDescent="0.25">
      <c r="A57" s="17"/>
      <c r="B57" s="37" t="s">
        <v>7</v>
      </c>
      <c r="C57" s="18"/>
      <c r="D57" s="23"/>
      <c r="E57" s="53"/>
      <c r="F57" s="54"/>
      <c r="G57" s="39"/>
    </row>
    <row r="58" spans="1:7" s="126" customFormat="1" x14ac:dyDescent="0.25">
      <c r="A58" s="17" t="s">
        <v>109</v>
      </c>
      <c r="B58" s="37" t="s">
        <v>160</v>
      </c>
      <c r="C58" s="18"/>
      <c r="D58" s="23"/>
      <c r="E58" s="53"/>
      <c r="F58" s="54"/>
      <c r="G58" s="39"/>
    </row>
    <row r="59" spans="1:7" ht="26.4" x14ac:dyDescent="0.25">
      <c r="A59" s="16" t="s">
        <v>368</v>
      </c>
      <c r="B59" s="114" t="s">
        <v>413</v>
      </c>
      <c r="C59" s="5" t="s">
        <v>6</v>
      </c>
      <c r="D59" s="6">
        <v>1</v>
      </c>
      <c r="E59" s="51"/>
      <c r="F59" s="52"/>
      <c r="G59" s="10"/>
    </row>
    <row r="60" spans="1:7" ht="66" x14ac:dyDescent="0.25">
      <c r="A60" s="16" t="s">
        <v>369</v>
      </c>
      <c r="B60" s="4" t="s">
        <v>112</v>
      </c>
      <c r="C60" s="5" t="s">
        <v>6</v>
      </c>
      <c r="D60" s="6">
        <v>1</v>
      </c>
      <c r="E60" s="51"/>
      <c r="F60" s="52"/>
      <c r="G60" s="10"/>
    </row>
    <row r="61" spans="1:7" x14ac:dyDescent="0.25">
      <c r="A61" s="16" t="s">
        <v>370</v>
      </c>
      <c r="B61" s="36" t="s">
        <v>362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371</v>
      </c>
      <c r="B62" s="36" t="s">
        <v>363</v>
      </c>
      <c r="C62" s="5" t="s">
        <v>21</v>
      </c>
      <c r="D62" s="6">
        <v>2</v>
      </c>
      <c r="E62" s="51"/>
      <c r="F62" s="52"/>
      <c r="G62" s="10"/>
    </row>
    <row r="63" spans="1:7" x14ac:dyDescent="0.25">
      <c r="A63" s="16" t="s">
        <v>373</v>
      </c>
      <c r="B63" s="36" t="s">
        <v>360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374</v>
      </c>
      <c r="B64" s="36" t="s">
        <v>357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6" t="s">
        <v>375</v>
      </c>
      <c r="B65" s="36" t="s">
        <v>379</v>
      </c>
      <c r="C65" s="5" t="s">
        <v>21</v>
      </c>
      <c r="D65" s="6">
        <v>6</v>
      </c>
      <c r="E65" s="51"/>
      <c r="F65" s="52"/>
      <c r="G65" s="10"/>
    </row>
    <row r="66" spans="1:7" x14ac:dyDescent="0.25">
      <c r="A66" s="108"/>
      <c r="B66" s="37" t="s">
        <v>7</v>
      </c>
      <c r="C66" s="109"/>
      <c r="D66" s="110"/>
      <c r="E66" s="111"/>
      <c r="F66" s="112"/>
      <c r="G66" s="10"/>
    </row>
    <row r="67" spans="1:7" ht="13.8" thickBot="1" x14ac:dyDescent="0.3">
      <c r="A67" s="26"/>
      <c r="B67" s="40" t="s">
        <v>432</v>
      </c>
      <c r="C67" s="27"/>
      <c r="D67" s="27"/>
      <c r="E67" s="57"/>
      <c r="F67" s="58"/>
    </row>
    <row r="68" spans="1:7" ht="14.4" thickTop="1" thickBot="1" x14ac:dyDescent="0.3">
      <c r="A68" s="26"/>
      <c r="B68" s="40" t="s">
        <v>433</v>
      </c>
      <c r="C68" s="27"/>
      <c r="D68" s="27"/>
      <c r="E68" s="57"/>
      <c r="F68" s="58"/>
    </row>
    <row r="69" spans="1:7" ht="13.8" thickTop="1" x14ac:dyDescent="0.25">
      <c r="F69" s="60"/>
    </row>
    <row r="70" spans="1:7" x14ac:dyDescent="0.25">
      <c r="B70" s="30"/>
      <c r="C70" s="29"/>
      <c r="D70" s="29"/>
      <c r="E70" s="62"/>
      <c r="F70" s="63"/>
    </row>
    <row r="71" spans="1:7" x14ac:dyDescent="0.25">
      <c r="F71" s="60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2">
    <mergeCell ref="A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110"/>
  <sheetViews>
    <sheetView workbookViewId="0">
      <selection activeCell="D8" sqref="D8"/>
    </sheetView>
  </sheetViews>
  <sheetFormatPr baseColWidth="10" defaultColWidth="18.109375" defaultRowHeight="13.2" x14ac:dyDescent="0.25"/>
  <cols>
    <col min="1" max="1" width="5.33203125" style="31" bestFit="1" customWidth="1"/>
    <col min="2" max="2" width="50.33203125" style="43" customWidth="1"/>
    <col min="3" max="3" width="6.5546875" style="31" customWidth="1"/>
    <col min="4" max="4" width="18.109375" style="61"/>
    <col min="5" max="5" width="37.5546875" style="129" customWidth="1"/>
    <col min="6" max="16384" width="18.109375" style="1"/>
  </cols>
  <sheetData>
    <row r="2" spans="1:8" ht="13.8" x14ac:dyDescent="0.25">
      <c r="A2" s="401" t="s">
        <v>460</v>
      </c>
      <c r="B2" s="402"/>
      <c r="C2" s="402"/>
      <c r="D2" s="402"/>
      <c r="E2" s="403"/>
      <c r="F2" s="309"/>
    </row>
    <row r="3" spans="1:8" ht="13.8" thickBot="1" x14ac:dyDescent="0.3">
      <c r="A3" s="29"/>
      <c r="B3" s="406" t="s">
        <v>531</v>
      </c>
      <c r="C3" s="396"/>
      <c r="D3" s="396"/>
      <c r="E3" s="396"/>
      <c r="F3" s="10"/>
    </row>
    <row r="4" spans="1:8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  <c r="F4" s="10"/>
    </row>
    <row r="5" spans="1:8" ht="13.8" thickTop="1" x14ac:dyDescent="0.25">
      <c r="A5" s="12" t="s">
        <v>0</v>
      </c>
      <c r="B5" s="34" t="s">
        <v>1</v>
      </c>
      <c r="C5" s="13"/>
      <c r="D5" s="49"/>
      <c r="E5" s="50"/>
      <c r="F5" s="10"/>
    </row>
    <row r="6" spans="1:8" x14ac:dyDescent="0.25">
      <c r="A6" s="16" t="s">
        <v>25</v>
      </c>
      <c r="B6" s="36" t="s">
        <v>73</v>
      </c>
      <c r="C6" s="5" t="s">
        <v>16</v>
      </c>
      <c r="D6" s="51"/>
      <c r="E6" s="52"/>
      <c r="F6" s="10"/>
    </row>
    <row r="7" spans="1:8" x14ac:dyDescent="0.25">
      <c r="A7" s="17" t="s">
        <v>8</v>
      </c>
      <c r="B7" s="37" t="s">
        <v>9</v>
      </c>
      <c r="C7" s="18"/>
      <c r="D7" s="53"/>
      <c r="E7" s="54"/>
      <c r="F7" s="10"/>
      <c r="H7" s="125"/>
    </row>
    <row r="8" spans="1:8" x14ac:dyDescent="0.25">
      <c r="A8" s="16" t="s">
        <v>50</v>
      </c>
      <c r="B8" s="36" t="s">
        <v>27</v>
      </c>
      <c r="C8" s="5" t="s">
        <v>10</v>
      </c>
      <c r="D8" s="51"/>
      <c r="E8" s="52"/>
      <c r="F8" s="10"/>
    </row>
    <row r="9" spans="1:8" x14ac:dyDescent="0.25">
      <c r="A9" s="16" t="s">
        <v>51</v>
      </c>
      <c r="B9" s="36" t="s">
        <v>11</v>
      </c>
      <c r="C9" s="5" t="s">
        <v>10</v>
      </c>
      <c r="D9" s="51"/>
      <c r="E9" s="52"/>
      <c r="F9" s="10"/>
    </row>
    <row r="10" spans="1:8" x14ac:dyDescent="0.25">
      <c r="A10" s="16" t="s">
        <v>52</v>
      </c>
      <c r="B10" s="36" t="s">
        <v>84</v>
      </c>
      <c r="C10" s="5" t="s">
        <v>10</v>
      </c>
      <c r="D10" s="51"/>
      <c r="E10" s="52"/>
      <c r="F10" s="10"/>
    </row>
    <row r="11" spans="1:8" x14ac:dyDescent="0.25">
      <c r="A11" s="17" t="s">
        <v>12</v>
      </c>
      <c r="B11" s="37" t="s">
        <v>13</v>
      </c>
      <c r="C11" s="18"/>
      <c r="D11" s="53"/>
      <c r="E11" s="54"/>
      <c r="F11" s="10"/>
    </row>
    <row r="12" spans="1:8" x14ac:dyDescent="0.25">
      <c r="A12" s="16" t="s">
        <v>41</v>
      </c>
      <c r="B12" s="118" t="s">
        <v>86</v>
      </c>
      <c r="C12" s="119" t="s">
        <v>10</v>
      </c>
      <c r="D12" s="51"/>
      <c r="E12" s="52"/>
      <c r="F12" s="10"/>
    </row>
    <row r="13" spans="1:8" ht="26.4" x14ac:dyDescent="0.25">
      <c r="A13" s="16" t="s">
        <v>42</v>
      </c>
      <c r="B13" s="118" t="s">
        <v>87</v>
      </c>
      <c r="C13" s="119" t="s">
        <v>10</v>
      </c>
      <c r="D13" s="51"/>
      <c r="E13" s="52"/>
      <c r="F13" s="10"/>
    </row>
    <row r="14" spans="1:8" x14ac:dyDescent="0.25">
      <c r="A14" s="16" t="s">
        <v>43</v>
      </c>
      <c r="B14" s="118" t="s">
        <v>181</v>
      </c>
      <c r="C14" s="119" t="s">
        <v>10</v>
      </c>
      <c r="D14" s="51"/>
      <c r="E14" s="52"/>
      <c r="F14" s="10"/>
    </row>
    <row r="15" spans="1:8" x14ac:dyDescent="0.25">
      <c r="A15" s="16" t="s">
        <v>44</v>
      </c>
      <c r="B15" s="118" t="s">
        <v>88</v>
      </c>
      <c r="C15" s="119" t="s">
        <v>10</v>
      </c>
      <c r="D15" s="51"/>
      <c r="E15" s="52"/>
      <c r="F15" s="10"/>
    </row>
    <row r="16" spans="1:8" ht="39.6" x14ac:dyDescent="0.25">
      <c r="A16" s="16" t="s">
        <v>45</v>
      </c>
      <c r="B16" s="118" t="s">
        <v>419</v>
      </c>
      <c r="C16" s="119" t="s">
        <v>10</v>
      </c>
      <c r="D16" s="51"/>
      <c r="E16" s="52"/>
      <c r="F16" s="10"/>
    </row>
    <row r="17" spans="1:6" x14ac:dyDescent="0.25">
      <c r="A17" s="16" t="s">
        <v>46</v>
      </c>
      <c r="B17" s="118" t="s">
        <v>182</v>
      </c>
      <c r="C17" s="119" t="s">
        <v>10</v>
      </c>
      <c r="D17" s="51"/>
      <c r="E17" s="52"/>
      <c r="F17" s="10"/>
    </row>
    <row r="18" spans="1:6" x14ac:dyDescent="0.25">
      <c r="A18" s="16" t="s">
        <v>47</v>
      </c>
      <c r="B18" s="120" t="s">
        <v>92</v>
      </c>
      <c r="C18" s="119" t="s">
        <v>10</v>
      </c>
      <c r="D18" s="51"/>
      <c r="E18" s="52"/>
      <c r="F18" s="10"/>
    </row>
    <row r="19" spans="1:6" x14ac:dyDescent="0.25">
      <c r="A19" s="16" t="s">
        <v>48</v>
      </c>
      <c r="B19" s="118" t="s">
        <v>93</v>
      </c>
      <c r="C19" s="119" t="s">
        <v>10</v>
      </c>
      <c r="D19" s="51"/>
      <c r="E19" s="52"/>
      <c r="F19" s="10"/>
    </row>
    <row r="20" spans="1:6" x14ac:dyDescent="0.25">
      <c r="A20" s="16" t="s">
        <v>49</v>
      </c>
      <c r="B20" s="118" t="s">
        <v>95</v>
      </c>
      <c r="C20" s="119" t="s">
        <v>10</v>
      </c>
      <c r="D20" s="51"/>
      <c r="E20" s="52"/>
      <c r="F20" s="10"/>
    </row>
    <row r="21" spans="1:6" x14ac:dyDescent="0.25">
      <c r="A21" s="16" t="s">
        <v>310</v>
      </c>
      <c r="B21" s="118" t="s">
        <v>422</v>
      </c>
      <c r="C21" s="119" t="s">
        <v>10</v>
      </c>
      <c r="D21" s="51"/>
      <c r="E21" s="52"/>
      <c r="F21" s="10"/>
    </row>
    <row r="22" spans="1:6" x14ac:dyDescent="0.25">
      <c r="A22" s="16" t="s">
        <v>311</v>
      </c>
      <c r="B22" s="120" t="s">
        <v>97</v>
      </c>
      <c r="C22" s="119" t="s">
        <v>16</v>
      </c>
      <c r="D22" s="51"/>
      <c r="E22" s="52"/>
      <c r="F22" s="10"/>
    </row>
    <row r="23" spans="1:6" x14ac:dyDescent="0.25">
      <c r="A23" s="16" t="s">
        <v>312</v>
      </c>
      <c r="B23" s="118" t="s">
        <v>98</v>
      </c>
      <c r="C23" s="119" t="s">
        <v>16</v>
      </c>
      <c r="D23" s="51"/>
      <c r="E23" s="52"/>
      <c r="F23" s="10"/>
    </row>
    <row r="24" spans="1:6" ht="26.4" x14ac:dyDescent="0.25">
      <c r="A24" s="16" t="s">
        <v>156</v>
      </c>
      <c r="B24" s="118" t="s">
        <v>96</v>
      </c>
      <c r="C24" s="119" t="s">
        <v>16</v>
      </c>
      <c r="D24" s="51"/>
      <c r="E24" s="52"/>
      <c r="F24" s="10"/>
    </row>
    <row r="25" spans="1:6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6" x14ac:dyDescent="0.25">
      <c r="A26" s="16" t="s">
        <v>40</v>
      </c>
      <c r="B26" s="200" t="s">
        <v>183</v>
      </c>
      <c r="C26" s="5" t="s">
        <v>16</v>
      </c>
      <c r="D26" s="51"/>
      <c r="E26" s="52"/>
      <c r="F26" s="10"/>
    </row>
    <row r="27" spans="1:6" x14ac:dyDescent="0.25">
      <c r="A27" s="16" t="s">
        <v>61</v>
      </c>
      <c r="B27" s="118" t="s">
        <v>99</v>
      </c>
      <c r="C27" s="5" t="s">
        <v>16</v>
      </c>
      <c r="D27" s="51"/>
      <c r="E27" s="52"/>
      <c r="F27" s="10"/>
    </row>
    <row r="28" spans="1:6" x14ac:dyDescent="0.25">
      <c r="A28" s="16" t="s">
        <v>71</v>
      </c>
      <c r="B28" s="118" t="s">
        <v>167</v>
      </c>
      <c r="C28" s="5" t="s">
        <v>16</v>
      </c>
      <c r="D28" s="51"/>
      <c r="E28" s="52"/>
      <c r="F28" s="10"/>
    </row>
    <row r="29" spans="1:6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6" x14ac:dyDescent="0.25">
      <c r="A30" s="16" t="s">
        <v>133</v>
      </c>
      <c r="B30" s="36" t="s">
        <v>184</v>
      </c>
      <c r="C30" s="5" t="s">
        <v>16</v>
      </c>
      <c r="D30" s="51"/>
      <c r="E30" s="52"/>
      <c r="F30" s="10"/>
    </row>
    <row r="31" spans="1:6" x14ac:dyDescent="0.25">
      <c r="A31" s="16" t="s">
        <v>351</v>
      </c>
      <c r="B31" s="36" t="s">
        <v>185</v>
      </c>
      <c r="C31" s="5" t="s">
        <v>77</v>
      </c>
      <c r="D31" s="51"/>
      <c r="E31" s="52"/>
      <c r="F31" s="10"/>
    </row>
    <row r="32" spans="1:6" x14ac:dyDescent="0.25">
      <c r="A32" s="17" t="s">
        <v>19</v>
      </c>
      <c r="B32" s="37" t="s">
        <v>186</v>
      </c>
      <c r="C32" s="18"/>
      <c r="D32" s="53"/>
      <c r="E32" s="54"/>
      <c r="F32" s="10"/>
    </row>
    <row r="33" spans="1:6" ht="26.4" x14ac:dyDescent="0.25">
      <c r="A33" s="16" t="s">
        <v>65</v>
      </c>
      <c r="B33" s="200" t="s">
        <v>385</v>
      </c>
      <c r="C33" s="119" t="s">
        <v>77</v>
      </c>
      <c r="D33" s="51"/>
      <c r="E33" s="52"/>
      <c r="F33" s="10"/>
    </row>
    <row r="34" spans="1:6" x14ac:dyDescent="0.25">
      <c r="A34" s="16" t="s">
        <v>66</v>
      </c>
      <c r="B34" s="200" t="s">
        <v>384</v>
      </c>
      <c r="C34" s="119" t="s">
        <v>77</v>
      </c>
      <c r="D34" s="51"/>
      <c r="E34" s="52"/>
      <c r="F34" s="10"/>
    </row>
    <row r="35" spans="1:6" ht="66" x14ac:dyDescent="0.25">
      <c r="A35" s="16" t="s">
        <v>67</v>
      </c>
      <c r="B35" s="122" t="s">
        <v>188</v>
      </c>
      <c r="C35" s="119" t="s">
        <v>16</v>
      </c>
      <c r="D35" s="51"/>
      <c r="E35" s="52"/>
      <c r="F35" s="10"/>
    </row>
    <row r="36" spans="1:6" ht="39.6" x14ac:dyDescent="0.25">
      <c r="A36" s="16" t="s">
        <v>134</v>
      </c>
      <c r="B36" s="105" t="s">
        <v>423</v>
      </c>
      <c r="C36" s="218" t="s">
        <v>21</v>
      </c>
      <c r="D36" s="216"/>
      <c r="E36" s="217"/>
    </row>
    <row r="37" spans="1:6" x14ac:dyDescent="0.25">
      <c r="A37" s="17"/>
      <c r="B37" s="37" t="s">
        <v>7</v>
      </c>
      <c r="C37" s="18"/>
      <c r="D37" s="53"/>
      <c r="E37" s="54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x14ac:dyDescent="0.25">
      <c r="A39" s="16" t="s">
        <v>63</v>
      </c>
      <c r="B39" s="36" t="s">
        <v>189</v>
      </c>
      <c r="C39" s="5" t="s">
        <v>21</v>
      </c>
      <c r="D39" s="51"/>
      <c r="E39" s="52"/>
      <c r="F39" s="10"/>
    </row>
    <row r="40" spans="1:6" x14ac:dyDescent="0.25">
      <c r="A40" s="16" t="s">
        <v>64</v>
      </c>
      <c r="B40" s="36" t="s">
        <v>190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122" t="s">
        <v>192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122" t="s">
        <v>193</v>
      </c>
      <c r="C43" s="5" t="s">
        <v>21</v>
      </c>
      <c r="D43" s="51"/>
      <c r="E43" s="52"/>
      <c r="F43" s="10"/>
    </row>
    <row r="44" spans="1:6" ht="26.4" x14ac:dyDescent="0.25">
      <c r="A44" s="16" t="s">
        <v>383</v>
      </c>
      <c r="B44" s="122" t="s">
        <v>194</v>
      </c>
      <c r="C44" s="5" t="s">
        <v>21</v>
      </c>
      <c r="D44" s="51"/>
      <c r="E44" s="52"/>
      <c r="F44" s="10"/>
    </row>
    <row r="45" spans="1:6" x14ac:dyDescent="0.25">
      <c r="A45" s="17" t="s">
        <v>101</v>
      </c>
      <c r="B45" s="37" t="s">
        <v>102</v>
      </c>
      <c r="C45" s="18"/>
      <c r="D45" s="53"/>
      <c r="E45" s="54"/>
      <c r="F45" s="10"/>
    </row>
    <row r="46" spans="1:6" ht="26.4" x14ac:dyDescent="0.25">
      <c r="A46" s="16" t="s">
        <v>136</v>
      </c>
      <c r="B46" s="120" t="s">
        <v>103</v>
      </c>
      <c r="C46" s="5" t="s">
        <v>16</v>
      </c>
      <c r="D46" s="51"/>
      <c r="E46" s="52"/>
      <c r="F46" s="10"/>
    </row>
    <row r="47" spans="1:6" x14ac:dyDescent="0.25">
      <c r="A47" s="17" t="s">
        <v>104</v>
      </c>
      <c r="B47" s="37" t="s">
        <v>138</v>
      </c>
      <c r="C47" s="18"/>
      <c r="D47" s="53"/>
      <c r="E47" s="54"/>
      <c r="F47" s="10"/>
    </row>
    <row r="48" spans="1:6" x14ac:dyDescent="0.25">
      <c r="A48" s="16" t="s">
        <v>365</v>
      </c>
      <c r="B48" s="36" t="s">
        <v>106</v>
      </c>
      <c r="C48" s="5" t="s">
        <v>16</v>
      </c>
      <c r="D48" s="51"/>
      <c r="E48" s="52"/>
      <c r="F48" s="10"/>
    </row>
    <row r="49" spans="1:6" x14ac:dyDescent="0.25">
      <c r="A49" s="16" t="s">
        <v>366</v>
      </c>
      <c r="B49" s="36" t="s">
        <v>195</v>
      </c>
      <c r="C49" s="5" t="s">
        <v>16</v>
      </c>
      <c r="D49" s="51"/>
      <c r="E49" s="52"/>
      <c r="F49" s="10"/>
    </row>
    <row r="50" spans="1:6" x14ac:dyDescent="0.25">
      <c r="A50" s="16" t="s">
        <v>367</v>
      </c>
      <c r="B50" s="36" t="s">
        <v>108</v>
      </c>
      <c r="C50" s="5" t="s">
        <v>16</v>
      </c>
      <c r="D50" s="51"/>
      <c r="E50" s="52"/>
      <c r="F50" s="10"/>
    </row>
    <row r="51" spans="1:6" s="126" customFormat="1" x14ac:dyDescent="0.25">
      <c r="A51" s="17" t="s">
        <v>109</v>
      </c>
      <c r="B51" s="37" t="s">
        <v>160</v>
      </c>
      <c r="C51" s="18"/>
      <c r="D51" s="53"/>
      <c r="E51" s="54"/>
      <c r="F51" s="39"/>
    </row>
    <row r="52" spans="1:6" ht="26.4" x14ac:dyDescent="0.25">
      <c r="A52" s="16" t="s">
        <v>368</v>
      </c>
      <c r="B52" s="114" t="s">
        <v>413</v>
      </c>
      <c r="C52" s="5" t="s">
        <v>6</v>
      </c>
      <c r="D52" s="51"/>
      <c r="E52" s="52"/>
      <c r="F52" s="10"/>
    </row>
    <row r="53" spans="1:6" ht="66" x14ac:dyDescent="0.25">
      <c r="A53" s="16" t="s">
        <v>369</v>
      </c>
      <c r="B53" s="4" t="s">
        <v>112</v>
      </c>
      <c r="C53" s="5" t="s">
        <v>6</v>
      </c>
      <c r="D53" s="51"/>
      <c r="E53" s="52"/>
      <c r="F53" s="10"/>
    </row>
    <row r="54" spans="1:6" x14ac:dyDescent="0.25">
      <c r="A54" s="16" t="s">
        <v>370</v>
      </c>
      <c r="B54" s="36" t="s">
        <v>362</v>
      </c>
      <c r="C54" s="5" t="s">
        <v>21</v>
      </c>
      <c r="D54" s="51"/>
      <c r="E54" s="52"/>
      <c r="F54" s="10"/>
    </row>
    <row r="55" spans="1:6" x14ac:dyDescent="0.25">
      <c r="A55" s="16" t="s">
        <v>371</v>
      </c>
      <c r="B55" s="36" t="s">
        <v>363</v>
      </c>
      <c r="C55" s="5" t="s">
        <v>21</v>
      </c>
      <c r="D55" s="51"/>
      <c r="E55" s="52"/>
      <c r="F55" s="10"/>
    </row>
    <row r="56" spans="1:6" x14ac:dyDescent="0.25">
      <c r="A56" s="16" t="s">
        <v>373</v>
      </c>
      <c r="B56" s="36" t="s">
        <v>360</v>
      </c>
      <c r="C56" s="5" t="s">
        <v>21</v>
      </c>
      <c r="D56" s="51"/>
      <c r="E56" s="52"/>
      <c r="F56" s="10"/>
    </row>
    <row r="57" spans="1:6" x14ac:dyDescent="0.25">
      <c r="A57" s="16" t="s">
        <v>374</v>
      </c>
      <c r="B57" s="36" t="s">
        <v>357</v>
      </c>
      <c r="C57" s="5" t="s">
        <v>21</v>
      </c>
      <c r="D57" s="51"/>
      <c r="E57" s="52"/>
      <c r="F57" s="10"/>
    </row>
    <row r="58" spans="1:6" x14ac:dyDescent="0.25">
      <c r="A58" s="16" t="s">
        <v>375</v>
      </c>
      <c r="B58" s="36" t="s">
        <v>379</v>
      </c>
      <c r="C58" s="5" t="s">
        <v>21</v>
      </c>
      <c r="D58" s="51"/>
      <c r="E58" s="52"/>
      <c r="F58" s="10"/>
    </row>
    <row r="59" spans="1:6" x14ac:dyDescent="0.25">
      <c r="D59" s="59"/>
      <c r="E59" s="63"/>
    </row>
    <row r="60" spans="1:6" x14ac:dyDescent="0.25">
      <c r="E60" s="60"/>
    </row>
    <row r="61" spans="1:6" x14ac:dyDescent="0.25">
      <c r="B61" s="30"/>
      <c r="C61" s="29"/>
      <c r="D61" s="62"/>
      <c r="E61" s="63"/>
    </row>
    <row r="62" spans="1:6" x14ac:dyDescent="0.25">
      <c r="E62" s="60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2">
    <mergeCell ref="A2:E2"/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19"/>
  <sheetViews>
    <sheetView workbookViewId="0">
      <selection activeCell="H31" sqref="H31"/>
    </sheetView>
  </sheetViews>
  <sheetFormatPr baseColWidth="10" defaultColWidth="11.44140625" defaultRowHeight="13.2" x14ac:dyDescent="0.25"/>
  <cols>
    <col min="1" max="1" width="5.44140625" style="31" customWidth="1"/>
    <col min="2" max="2" width="50.441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5.109375" style="129" customWidth="1"/>
    <col min="7" max="7" width="8.44140625" style="1" customWidth="1"/>
    <col min="8" max="8" width="10.44140625" style="1" customWidth="1"/>
    <col min="9" max="9" width="7.44140625" style="1" customWidth="1"/>
    <col min="10" max="10" width="7.5546875" style="1" customWidth="1"/>
    <col min="11" max="11" width="6.33203125" style="1" customWidth="1"/>
    <col min="12" max="16384" width="11.44140625" style="1"/>
  </cols>
  <sheetData>
    <row r="1" spans="1:9" ht="13.8" x14ac:dyDescent="0.25">
      <c r="A1" s="397" t="s">
        <v>460</v>
      </c>
      <c r="B1" s="397"/>
      <c r="C1" s="397"/>
      <c r="D1" s="397"/>
      <c r="E1" s="397"/>
      <c r="F1" s="397"/>
    </row>
    <row r="2" spans="1:9" ht="16.2" thickBot="1" x14ac:dyDescent="0.35">
      <c r="A2" s="407" t="s">
        <v>180</v>
      </c>
      <c r="B2" s="408"/>
      <c r="C2" s="408"/>
      <c r="D2" s="408"/>
      <c r="E2" s="408"/>
      <c r="F2" s="409"/>
      <c r="G2" s="10"/>
    </row>
    <row r="3" spans="1:9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16</v>
      </c>
      <c r="D5" s="6">
        <f>8*14</f>
        <v>112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386</v>
      </c>
      <c r="C8" s="5" t="s">
        <v>10</v>
      </c>
      <c r="D8" s="21">
        <f>44.3*0.5*0.8</f>
        <v>17.72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44.3*0.3*0.6</f>
        <v>7.9739999999999993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73.5*0.3</f>
        <v>22.05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163</v>
      </c>
      <c r="C13" s="119" t="s">
        <v>10</v>
      </c>
      <c r="D13" s="21">
        <f>44.3*0.05*0.5</f>
        <v>1.1074999999999999</v>
      </c>
      <c r="E13" s="51"/>
      <c r="F13" s="52"/>
      <c r="G13" s="10"/>
    </row>
    <row r="14" spans="1:9" x14ac:dyDescent="0.25">
      <c r="A14" s="16" t="s">
        <v>42</v>
      </c>
      <c r="B14" s="118" t="s">
        <v>388</v>
      </c>
      <c r="C14" s="119" t="s">
        <v>10</v>
      </c>
      <c r="D14" s="21">
        <f>0.2*0.2*1*12</f>
        <v>0.48000000000000009</v>
      </c>
      <c r="E14" s="51"/>
      <c r="F14" s="52"/>
      <c r="G14" s="10"/>
    </row>
    <row r="15" spans="1:9" ht="26.4" x14ac:dyDescent="0.25">
      <c r="A15" s="16" t="s">
        <v>43</v>
      </c>
      <c r="B15" s="118" t="s">
        <v>387</v>
      </c>
      <c r="C15" s="119" t="s">
        <v>10</v>
      </c>
      <c r="D15" s="21">
        <f>44.3*0.5*0.2</f>
        <v>4.43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44.3*0.2*0.2</f>
        <v>1.772</v>
      </c>
      <c r="E16" s="51"/>
      <c r="F16" s="52"/>
      <c r="G16" s="10"/>
    </row>
    <row r="17" spans="1:8" ht="39.6" x14ac:dyDescent="0.25">
      <c r="A17" s="16" t="s">
        <v>45</v>
      </c>
      <c r="B17" s="118" t="s">
        <v>419</v>
      </c>
      <c r="C17" s="119" t="s">
        <v>10</v>
      </c>
      <c r="D17" s="21">
        <f>73.5*0.1</f>
        <v>7.3500000000000005</v>
      </c>
      <c r="E17" s="51"/>
      <c r="F17" s="52"/>
      <c r="G17" s="10"/>
    </row>
    <row r="18" spans="1:8" x14ac:dyDescent="0.25">
      <c r="A18" s="16" t="s">
        <v>46</v>
      </c>
      <c r="B18" s="118" t="s">
        <v>91</v>
      </c>
      <c r="C18" s="119" t="s">
        <v>10</v>
      </c>
      <c r="D18" s="21">
        <f>(0.1*1*3)+(0.15*0.3*1.3)*3/2</f>
        <v>0.38775000000000004</v>
      </c>
      <c r="E18" s="51"/>
      <c r="F18" s="52"/>
      <c r="G18" s="10"/>
    </row>
    <row r="19" spans="1:8" x14ac:dyDescent="0.25">
      <c r="A19" s="16" t="s">
        <v>47</v>
      </c>
      <c r="B19" s="120" t="s">
        <v>92</v>
      </c>
      <c r="C19" s="119" t="s">
        <v>10</v>
      </c>
      <c r="D19" s="21">
        <f>44.3*0.15*0.2</f>
        <v>1.329</v>
      </c>
      <c r="E19" s="51"/>
      <c r="F19" s="52"/>
      <c r="G19" s="10"/>
    </row>
    <row r="20" spans="1:8" x14ac:dyDescent="0.25">
      <c r="A20" s="16" t="s">
        <v>48</v>
      </c>
      <c r="B20" s="118" t="s">
        <v>93</v>
      </c>
      <c r="C20" s="119" t="s">
        <v>10</v>
      </c>
      <c r="D20" s="21">
        <f>44.3*0.15*0.45</f>
        <v>2.9902500000000001</v>
      </c>
      <c r="E20" s="51"/>
      <c r="F20" s="52"/>
      <c r="G20" s="10"/>
    </row>
    <row r="21" spans="1:8" ht="26.4" x14ac:dyDescent="0.25">
      <c r="A21" s="16" t="s">
        <v>49</v>
      </c>
      <c r="B21" s="118" t="s">
        <v>94</v>
      </c>
      <c r="C21" s="119" t="s">
        <v>10</v>
      </c>
      <c r="D21" s="21">
        <f>(20+7.15+6)*0.1*0.15</f>
        <v>0.49724999999999997</v>
      </c>
      <c r="E21" s="51"/>
      <c r="F21" s="52"/>
      <c r="G21" s="9"/>
      <c r="H21" s="10"/>
    </row>
    <row r="22" spans="1:8" x14ac:dyDescent="0.25">
      <c r="A22" s="16" t="s">
        <v>310</v>
      </c>
      <c r="B22" s="118" t="s">
        <v>95</v>
      </c>
      <c r="C22" s="119" t="s">
        <v>10</v>
      </c>
      <c r="D22" s="21">
        <f>0.15*0.15*4.5*12</f>
        <v>1.2149999999999999</v>
      </c>
      <c r="E22" s="51"/>
      <c r="F22" s="52"/>
      <c r="G22" s="10"/>
    </row>
    <row r="23" spans="1:8" x14ac:dyDescent="0.25">
      <c r="A23" s="16" t="s">
        <v>311</v>
      </c>
      <c r="B23" s="120" t="s">
        <v>97</v>
      </c>
      <c r="C23" s="119" t="s">
        <v>16</v>
      </c>
      <c r="D23" s="6">
        <f>44.3*1</f>
        <v>44.3</v>
      </c>
      <c r="E23" s="51"/>
      <c r="F23" s="52"/>
      <c r="G23" s="10"/>
    </row>
    <row r="24" spans="1:8" x14ac:dyDescent="0.25">
      <c r="A24" s="16" t="s">
        <v>312</v>
      </c>
      <c r="B24" s="118" t="s">
        <v>98</v>
      </c>
      <c r="C24" s="119" t="s">
        <v>16</v>
      </c>
      <c r="D24" s="6">
        <f>44.3*4.5</f>
        <v>199.35</v>
      </c>
      <c r="E24" s="51"/>
      <c r="F24" s="52"/>
      <c r="G24" s="10"/>
    </row>
    <row r="25" spans="1:8" x14ac:dyDescent="0.25">
      <c r="A25" s="16" t="s">
        <v>156</v>
      </c>
      <c r="B25" s="118" t="s">
        <v>422</v>
      </c>
      <c r="C25" s="119" t="s">
        <v>10</v>
      </c>
      <c r="D25" s="6">
        <f>12*0.85</f>
        <v>10.199999999999999</v>
      </c>
      <c r="E25" s="51"/>
      <c r="F25" s="52"/>
      <c r="G25" s="10"/>
    </row>
    <row r="26" spans="1:8" x14ac:dyDescent="0.25">
      <c r="A26" s="17"/>
      <c r="B26" s="37" t="s">
        <v>7</v>
      </c>
      <c r="C26" s="18"/>
      <c r="D26" s="18"/>
      <c r="E26" s="53"/>
      <c r="F26" s="54"/>
      <c r="G26" s="10"/>
    </row>
    <row r="27" spans="1:8" x14ac:dyDescent="0.25">
      <c r="A27" s="17" t="s">
        <v>17</v>
      </c>
      <c r="B27" s="37" t="s">
        <v>18</v>
      </c>
      <c r="C27" s="18"/>
      <c r="D27" s="18"/>
      <c r="E27" s="53"/>
      <c r="F27" s="54"/>
      <c r="G27" s="10"/>
    </row>
    <row r="28" spans="1:8" x14ac:dyDescent="0.25">
      <c r="A28" s="16" t="s">
        <v>40</v>
      </c>
      <c r="B28" s="200" t="s">
        <v>166</v>
      </c>
      <c r="C28" s="5" t="s">
        <v>16</v>
      </c>
      <c r="D28" s="6">
        <f>44.3*5</f>
        <v>221.5</v>
      </c>
      <c r="E28" s="51"/>
      <c r="F28" s="52"/>
      <c r="G28" s="10"/>
    </row>
    <row r="29" spans="1:8" x14ac:dyDescent="0.25">
      <c r="A29" s="16" t="s">
        <v>61</v>
      </c>
      <c r="B29" s="36" t="s">
        <v>99</v>
      </c>
      <c r="C29" s="5" t="s">
        <v>16</v>
      </c>
      <c r="D29" s="6">
        <f>(24+24)*3.2</f>
        <v>153.60000000000002</v>
      </c>
      <c r="E29" s="51"/>
      <c r="F29" s="52"/>
      <c r="G29" s="10"/>
    </row>
    <row r="30" spans="1:8" x14ac:dyDescent="0.25">
      <c r="A30" s="16" t="s">
        <v>71</v>
      </c>
      <c r="B30" s="36" t="s">
        <v>167</v>
      </c>
      <c r="C30" s="5" t="s">
        <v>16</v>
      </c>
      <c r="D30" s="6">
        <f>D28</f>
        <v>221.5</v>
      </c>
      <c r="E30" s="51"/>
      <c r="F30" s="52"/>
      <c r="G30" s="10"/>
    </row>
    <row r="31" spans="1:8" x14ac:dyDescent="0.25">
      <c r="A31" s="16" t="s">
        <v>132</v>
      </c>
      <c r="B31" s="36" t="s">
        <v>100</v>
      </c>
      <c r="C31" s="5" t="s">
        <v>16</v>
      </c>
      <c r="D31" s="6">
        <f>60+13.5</f>
        <v>73.5</v>
      </c>
      <c r="E31" s="51"/>
      <c r="F31" s="52"/>
      <c r="G31" s="10"/>
      <c r="H31" s="1">
        <f>11.3*41.2</f>
        <v>465.56000000000006</v>
      </c>
    </row>
    <row r="32" spans="1:8" x14ac:dyDescent="0.25">
      <c r="A32" s="16" t="s">
        <v>133</v>
      </c>
      <c r="B32" s="36" t="s">
        <v>168</v>
      </c>
      <c r="C32" s="5" t="s">
        <v>77</v>
      </c>
      <c r="D32" s="6">
        <v>44.3</v>
      </c>
      <c r="E32" s="51"/>
      <c r="F32" s="52"/>
      <c r="G32" s="10"/>
    </row>
    <row r="33" spans="1:10" x14ac:dyDescent="0.25">
      <c r="A33" s="17"/>
      <c r="B33" s="37" t="s">
        <v>7</v>
      </c>
      <c r="C33" s="18"/>
      <c r="D33" s="18"/>
      <c r="E33" s="53"/>
      <c r="F33" s="54"/>
      <c r="G33" s="10"/>
    </row>
    <row r="34" spans="1:10" x14ac:dyDescent="0.25">
      <c r="A34" s="17" t="s">
        <v>19</v>
      </c>
      <c r="B34" s="37" t="s">
        <v>169</v>
      </c>
      <c r="C34" s="18"/>
      <c r="D34" s="18"/>
      <c r="E34" s="53"/>
      <c r="F34" s="54"/>
      <c r="G34" s="10"/>
      <c r="J34" s="1">
        <f>11/1</f>
        <v>11</v>
      </c>
    </row>
    <row r="35" spans="1:10" x14ac:dyDescent="0.25">
      <c r="A35" s="2" t="s">
        <v>65</v>
      </c>
      <c r="B35" s="200" t="s">
        <v>170</v>
      </c>
      <c r="C35" s="119" t="s">
        <v>77</v>
      </c>
      <c r="D35" s="121">
        <f>6.25*2</f>
        <v>12.5</v>
      </c>
      <c r="E35" s="55"/>
      <c r="F35" s="56"/>
      <c r="G35" s="10"/>
    </row>
    <row r="36" spans="1:10" ht="26.4" x14ac:dyDescent="0.25">
      <c r="A36" s="2" t="s">
        <v>66</v>
      </c>
      <c r="B36" s="200" t="s">
        <v>171</v>
      </c>
      <c r="C36" s="119" t="s">
        <v>77</v>
      </c>
      <c r="D36" s="121">
        <f>12.2*9</f>
        <v>109.8</v>
      </c>
      <c r="E36" s="51"/>
      <c r="F36" s="52"/>
      <c r="G36" s="10"/>
    </row>
    <row r="37" spans="1:10" ht="26.4" x14ac:dyDescent="0.25">
      <c r="A37" s="2" t="s">
        <v>67</v>
      </c>
      <c r="B37" s="200" t="s">
        <v>172</v>
      </c>
      <c r="C37" s="119" t="s">
        <v>77</v>
      </c>
      <c r="D37" s="121">
        <f>12.2</f>
        <v>12.2</v>
      </c>
      <c r="E37" s="51"/>
      <c r="F37" s="52"/>
      <c r="G37" s="10"/>
    </row>
    <row r="38" spans="1:10" ht="66" x14ac:dyDescent="0.25">
      <c r="A38" s="2" t="s">
        <v>134</v>
      </c>
      <c r="B38" s="122" t="s">
        <v>173</v>
      </c>
      <c r="C38" s="119" t="s">
        <v>16</v>
      </c>
      <c r="D38" s="3">
        <f>7.35*12.45</f>
        <v>91.507499999999993</v>
      </c>
      <c r="E38" s="51"/>
      <c r="F38" s="52"/>
      <c r="G38" s="10"/>
    </row>
    <row r="39" spans="1:10" ht="26.4" x14ac:dyDescent="0.25">
      <c r="A39" s="2" t="s">
        <v>364</v>
      </c>
      <c r="B39" s="105" t="s">
        <v>389</v>
      </c>
      <c r="C39" s="218" t="s">
        <v>21</v>
      </c>
      <c r="D39" s="219">
        <v>6</v>
      </c>
      <c r="E39" s="216"/>
      <c r="F39" s="217"/>
    </row>
    <row r="40" spans="1:10" x14ac:dyDescent="0.25">
      <c r="A40" s="17"/>
      <c r="B40" s="37" t="s">
        <v>7</v>
      </c>
      <c r="C40" s="18"/>
      <c r="D40" s="23"/>
      <c r="E40" s="53"/>
      <c r="F40" s="54"/>
      <c r="G40" s="10"/>
    </row>
    <row r="41" spans="1:10" x14ac:dyDescent="0.25">
      <c r="A41" s="17" t="s">
        <v>22</v>
      </c>
      <c r="B41" s="37" t="s">
        <v>20</v>
      </c>
      <c r="C41" s="18"/>
      <c r="D41" s="23"/>
      <c r="E41" s="53"/>
      <c r="F41" s="54"/>
      <c r="G41" s="10"/>
    </row>
    <row r="42" spans="1:10" ht="26.4" x14ac:dyDescent="0.25">
      <c r="A42" s="16" t="s">
        <v>63</v>
      </c>
      <c r="B42" s="122" t="s">
        <v>174</v>
      </c>
      <c r="C42" s="5" t="s">
        <v>21</v>
      </c>
      <c r="D42" s="6">
        <v>1</v>
      </c>
      <c r="E42" s="51"/>
      <c r="F42" s="52"/>
      <c r="G42" s="10"/>
    </row>
    <row r="43" spans="1:10" ht="26.4" x14ac:dyDescent="0.25">
      <c r="A43" s="16" t="s">
        <v>64</v>
      </c>
      <c r="B43" s="122" t="s">
        <v>175</v>
      </c>
      <c r="C43" s="5" t="s">
        <v>21</v>
      </c>
      <c r="D43" s="6">
        <v>1</v>
      </c>
      <c r="E43" s="51"/>
      <c r="F43" s="52"/>
      <c r="G43" s="10"/>
    </row>
    <row r="44" spans="1:10" x14ac:dyDescent="0.25">
      <c r="A44" s="16" t="s">
        <v>74</v>
      </c>
      <c r="B44" s="36" t="s">
        <v>176</v>
      </c>
      <c r="C44" s="5" t="s">
        <v>21</v>
      </c>
      <c r="D44" s="6">
        <v>14</v>
      </c>
      <c r="E44" s="51"/>
      <c r="F44" s="52"/>
      <c r="G44" s="10"/>
    </row>
    <row r="45" spans="1:10" ht="26.4" x14ac:dyDescent="0.25">
      <c r="A45" s="16" t="s">
        <v>75</v>
      </c>
      <c r="B45" s="122" t="s">
        <v>177</v>
      </c>
      <c r="C45" s="5" t="s">
        <v>21</v>
      </c>
      <c r="D45" s="6">
        <v>1</v>
      </c>
      <c r="E45" s="51"/>
      <c r="F45" s="52"/>
      <c r="G45" s="10"/>
    </row>
    <row r="46" spans="1:10" ht="26.4" x14ac:dyDescent="0.25">
      <c r="A46" s="16" t="s">
        <v>76</v>
      </c>
      <c r="B46" s="122" t="s">
        <v>178</v>
      </c>
      <c r="C46" s="5" t="s">
        <v>21</v>
      </c>
      <c r="D46" s="6">
        <v>1</v>
      </c>
      <c r="E46" s="51"/>
      <c r="F46" s="52"/>
      <c r="G46" s="10"/>
    </row>
    <row r="47" spans="1:10" ht="26.4" x14ac:dyDescent="0.25">
      <c r="A47" s="16" t="s">
        <v>383</v>
      </c>
      <c r="B47" s="122" t="s">
        <v>179</v>
      </c>
      <c r="C47" s="5" t="s">
        <v>21</v>
      </c>
      <c r="D47" s="6">
        <v>14</v>
      </c>
      <c r="E47" s="51"/>
      <c r="F47" s="52"/>
      <c r="G47" s="10"/>
    </row>
    <row r="48" spans="1:10" x14ac:dyDescent="0.25">
      <c r="A48" s="17"/>
      <c r="B48" s="37" t="s">
        <v>7</v>
      </c>
      <c r="C48" s="18"/>
      <c r="D48" s="23"/>
      <c r="E48" s="53"/>
      <c r="F48" s="54"/>
      <c r="G48" s="10"/>
    </row>
    <row r="49" spans="1:7" x14ac:dyDescent="0.25">
      <c r="A49" s="17" t="s">
        <v>101</v>
      </c>
      <c r="B49" s="37" t="s">
        <v>102</v>
      </c>
      <c r="C49" s="18"/>
      <c r="D49" s="23"/>
      <c r="E49" s="53"/>
      <c r="F49" s="54"/>
      <c r="G49" s="10"/>
    </row>
    <row r="50" spans="1:7" ht="26.4" x14ac:dyDescent="0.25">
      <c r="A50" s="16" t="s">
        <v>136</v>
      </c>
      <c r="B50" s="120" t="s">
        <v>103</v>
      </c>
      <c r="C50" s="5" t="s">
        <v>16</v>
      </c>
      <c r="D50" s="6">
        <f>60+13.5</f>
        <v>73.5</v>
      </c>
      <c r="E50" s="51"/>
      <c r="F50" s="52"/>
      <c r="G50" s="10"/>
    </row>
    <row r="51" spans="1:7" x14ac:dyDescent="0.25">
      <c r="A51" s="17"/>
      <c r="B51" s="37" t="s">
        <v>7</v>
      </c>
      <c r="C51" s="18"/>
      <c r="D51" s="23"/>
      <c r="E51" s="53"/>
      <c r="F51" s="54"/>
      <c r="G51" s="10"/>
    </row>
    <row r="52" spans="1:7" x14ac:dyDescent="0.25">
      <c r="A52" s="17" t="s">
        <v>104</v>
      </c>
      <c r="B52" s="37" t="s">
        <v>138</v>
      </c>
      <c r="C52" s="18"/>
      <c r="D52" s="23"/>
      <c r="E52" s="53"/>
      <c r="F52" s="54"/>
      <c r="G52" s="10"/>
    </row>
    <row r="53" spans="1:7" x14ac:dyDescent="0.25">
      <c r="A53" s="16" t="s">
        <v>365</v>
      </c>
      <c r="B53" s="36" t="s">
        <v>106</v>
      </c>
      <c r="C53" s="5" t="s">
        <v>16</v>
      </c>
      <c r="D53" s="6">
        <f>(1.2*2.2+0.9*2.2+0.6*1.2*14)*2</f>
        <v>29.4</v>
      </c>
      <c r="E53" s="51"/>
      <c r="F53" s="52"/>
      <c r="G53" s="10"/>
    </row>
    <row r="54" spans="1:7" x14ac:dyDescent="0.25">
      <c r="A54" s="16" t="s">
        <v>366</v>
      </c>
      <c r="B54" s="36" t="s">
        <v>107</v>
      </c>
      <c r="C54" s="5" t="s">
        <v>16</v>
      </c>
      <c r="D54" s="6">
        <f>D29</f>
        <v>153.60000000000002</v>
      </c>
      <c r="E54" s="51"/>
      <c r="F54" s="52"/>
      <c r="G54" s="10"/>
    </row>
    <row r="55" spans="1:7" x14ac:dyDescent="0.25">
      <c r="A55" s="16" t="s">
        <v>367</v>
      </c>
      <c r="B55" s="36" t="s">
        <v>347</v>
      </c>
      <c r="C55" s="5" t="s">
        <v>16</v>
      </c>
      <c r="D55" s="6">
        <f>D50</f>
        <v>73.5</v>
      </c>
      <c r="E55" s="51"/>
      <c r="F55" s="52"/>
      <c r="G55" s="10"/>
    </row>
    <row r="56" spans="1:7" s="126" customFormat="1" x14ac:dyDescent="0.25">
      <c r="A56" s="17"/>
      <c r="B56" s="37" t="s">
        <v>7</v>
      </c>
      <c r="C56" s="18"/>
      <c r="D56" s="23"/>
      <c r="E56" s="53"/>
      <c r="F56" s="54"/>
      <c r="G56" s="39"/>
    </row>
    <row r="57" spans="1:7" s="126" customFormat="1" x14ac:dyDescent="0.25">
      <c r="A57" s="17" t="s">
        <v>109</v>
      </c>
      <c r="B57" s="37" t="s">
        <v>160</v>
      </c>
      <c r="C57" s="18"/>
      <c r="D57" s="23"/>
      <c r="E57" s="53"/>
      <c r="F57" s="54"/>
      <c r="G57" s="39"/>
    </row>
    <row r="58" spans="1:7" ht="39.6" x14ac:dyDescent="0.25">
      <c r="A58" s="16" t="s">
        <v>368</v>
      </c>
      <c r="B58" s="114" t="s">
        <v>110</v>
      </c>
      <c r="C58" s="5" t="s">
        <v>6</v>
      </c>
      <c r="D58" s="6">
        <v>1</v>
      </c>
      <c r="E58" s="51"/>
      <c r="F58" s="52"/>
      <c r="G58" s="10"/>
    </row>
    <row r="59" spans="1:7" ht="66" x14ac:dyDescent="0.25">
      <c r="A59" s="16" t="s">
        <v>369</v>
      </c>
      <c r="B59" s="4" t="s">
        <v>112</v>
      </c>
      <c r="C59" s="5" t="s">
        <v>6</v>
      </c>
      <c r="D59" s="6">
        <v>1</v>
      </c>
      <c r="E59" s="51"/>
      <c r="F59" s="52"/>
      <c r="G59" s="10"/>
    </row>
    <row r="60" spans="1:7" x14ac:dyDescent="0.25">
      <c r="A60" s="16" t="s">
        <v>370</v>
      </c>
      <c r="B60" s="36" t="s">
        <v>113</v>
      </c>
      <c r="C60" s="5" t="s">
        <v>21</v>
      </c>
      <c r="D60" s="6">
        <v>2</v>
      </c>
      <c r="E60" s="51"/>
      <c r="F60" s="52"/>
      <c r="G60" s="10"/>
    </row>
    <row r="61" spans="1:7" x14ac:dyDescent="0.25">
      <c r="A61" s="16" t="s">
        <v>371</v>
      </c>
      <c r="B61" s="36" t="s">
        <v>114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372</v>
      </c>
      <c r="B62" s="36" t="s">
        <v>115</v>
      </c>
      <c r="C62" s="5" t="s">
        <v>21</v>
      </c>
      <c r="D62" s="6">
        <v>6</v>
      </c>
      <c r="E62" s="51"/>
      <c r="F62" s="52"/>
      <c r="G62" s="10"/>
    </row>
    <row r="63" spans="1:7" x14ac:dyDescent="0.25">
      <c r="A63" s="16" t="s">
        <v>373</v>
      </c>
      <c r="B63" s="36" t="s">
        <v>357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374</v>
      </c>
      <c r="B64" s="36" t="s">
        <v>379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7"/>
      <c r="B65" s="37" t="s">
        <v>7</v>
      </c>
      <c r="C65" s="18"/>
      <c r="D65" s="23"/>
      <c r="E65" s="53"/>
      <c r="F65" s="54"/>
      <c r="G65" s="10"/>
    </row>
    <row r="66" spans="1:7" ht="13.8" thickBot="1" x14ac:dyDescent="0.3">
      <c r="A66" s="26"/>
      <c r="B66" s="40" t="s">
        <v>434</v>
      </c>
      <c r="C66" s="27"/>
      <c r="D66" s="27"/>
      <c r="E66" s="57"/>
      <c r="F66" s="58"/>
    </row>
    <row r="67" spans="1:7" ht="14.4" thickTop="1" thickBot="1" x14ac:dyDescent="0.3">
      <c r="A67" s="26"/>
      <c r="B67" s="40" t="s">
        <v>435</v>
      </c>
      <c r="C67" s="27"/>
      <c r="D67" s="27"/>
      <c r="E67" s="57"/>
      <c r="F67" s="58"/>
    </row>
    <row r="68" spans="1:7" ht="13.8" thickTop="1" x14ac:dyDescent="0.25">
      <c r="F68" s="60"/>
    </row>
    <row r="69" spans="1:7" x14ac:dyDescent="0.25">
      <c r="B69" s="30"/>
      <c r="C69" s="29"/>
      <c r="D69" s="29"/>
      <c r="E69" s="62"/>
      <c r="F69" s="63"/>
    </row>
    <row r="70" spans="1:7" x14ac:dyDescent="0.25">
      <c r="F70" s="60"/>
    </row>
    <row r="71" spans="1:7" x14ac:dyDescent="0.25">
      <c r="A71" s="396"/>
      <c r="B71" s="396"/>
      <c r="C71" s="396"/>
      <c r="D71" s="396"/>
      <c r="E71" s="396"/>
      <c r="F71" s="396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3">
    <mergeCell ref="A1:F1"/>
    <mergeCell ref="A2:F2"/>
    <mergeCell ref="A71:F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0"/>
  <sheetViews>
    <sheetView workbookViewId="0">
      <selection activeCell="D9" sqref="D9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9.44140625" style="61" bestFit="1" customWidth="1"/>
    <col min="5" max="5" width="36.33203125" style="129" customWidth="1"/>
    <col min="6" max="6" width="8.44140625" style="1" customWidth="1"/>
    <col min="7" max="7" width="10.44140625" style="1" customWidth="1"/>
    <col min="8" max="8" width="7.44140625" style="1" customWidth="1"/>
    <col min="9" max="9" width="7.5546875" style="1" customWidth="1"/>
    <col min="10" max="10" width="6.33203125" style="1" customWidth="1"/>
    <col min="11" max="16384" width="11.44140625" style="1"/>
  </cols>
  <sheetData>
    <row r="1" spans="1:8" ht="13.8" x14ac:dyDescent="0.25">
      <c r="A1" s="401" t="s">
        <v>460</v>
      </c>
      <c r="B1" s="402"/>
      <c r="C1" s="402"/>
      <c r="D1" s="402"/>
      <c r="E1" s="403"/>
      <c r="F1" s="309"/>
    </row>
    <row r="2" spans="1:8" ht="16.2" thickBot="1" x14ac:dyDescent="0.35">
      <c r="A2" s="407" t="s">
        <v>530</v>
      </c>
      <c r="B2" s="408"/>
      <c r="C2" s="408"/>
      <c r="D2" s="408"/>
      <c r="E2" s="409"/>
      <c r="F2" s="10"/>
    </row>
    <row r="3" spans="1:8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16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386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163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388</v>
      </c>
      <c r="C12" s="119" t="s">
        <v>10</v>
      </c>
      <c r="D12" s="51"/>
      <c r="E12" s="52"/>
      <c r="F12" s="10"/>
    </row>
    <row r="13" spans="1:8" ht="26.4" x14ac:dyDescent="0.25">
      <c r="A13" s="16" t="s">
        <v>43</v>
      </c>
      <c r="B13" s="118" t="s">
        <v>387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419</v>
      </c>
      <c r="C15" s="119" t="s">
        <v>10</v>
      </c>
      <c r="D15" s="51"/>
      <c r="E15" s="52"/>
      <c r="F15" s="10"/>
    </row>
    <row r="16" spans="1:8" x14ac:dyDescent="0.25">
      <c r="A16" s="16" t="s">
        <v>46</v>
      </c>
      <c r="B16" s="118" t="s">
        <v>91</v>
      </c>
      <c r="C16" s="119" t="s">
        <v>10</v>
      </c>
      <c r="D16" s="51"/>
      <c r="E16" s="52"/>
      <c r="F16" s="10"/>
    </row>
    <row r="17" spans="1:7" ht="26.4" x14ac:dyDescent="0.25">
      <c r="A17" s="16" t="s">
        <v>47</v>
      </c>
      <c r="B17" s="120" t="s">
        <v>92</v>
      </c>
      <c r="C17" s="119" t="s">
        <v>10</v>
      </c>
      <c r="D17" s="51"/>
      <c r="E17" s="52"/>
      <c r="F17" s="10"/>
    </row>
    <row r="18" spans="1:7" x14ac:dyDescent="0.25">
      <c r="A18" s="16" t="s">
        <v>48</v>
      </c>
      <c r="B18" s="118" t="s">
        <v>93</v>
      </c>
      <c r="C18" s="119" t="s">
        <v>10</v>
      </c>
      <c r="D18" s="51"/>
      <c r="E18" s="52"/>
      <c r="F18" s="10"/>
    </row>
    <row r="19" spans="1:7" ht="26.4" x14ac:dyDescent="0.25">
      <c r="A19" s="16" t="s">
        <v>49</v>
      </c>
      <c r="B19" s="118" t="s">
        <v>94</v>
      </c>
      <c r="C19" s="119" t="s">
        <v>10</v>
      </c>
      <c r="D19" s="51"/>
      <c r="E19" s="52"/>
      <c r="F19" s="9"/>
      <c r="G19" s="10"/>
    </row>
    <row r="20" spans="1:7" x14ac:dyDescent="0.25">
      <c r="A20" s="16" t="s">
        <v>310</v>
      </c>
      <c r="B20" s="118" t="s">
        <v>95</v>
      </c>
      <c r="C20" s="119" t="s">
        <v>10</v>
      </c>
      <c r="D20" s="51"/>
      <c r="E20" s="52"/>
      <c r="F20" s="10"/>
    </row>
    <row r="21" spans="1:7" x14ac:dyDescent="0.25">
      <c r="A21" s="16" t="s">
        <v>311</v>
      </c>
      <c r="B21" s="120" t="s">
        <v>97</v>
      </c>
      <c r="C21" s="119" t="s">
        <v>16</v>
      </c>
      <c r="D21" s="51"/>
      <c r="E21" s="52"/>
      <c r="F21" s="10"/>
    </row>
    <row r="22" spans="1:7" x14ac:dyDescent="0.25">
      <c r="A22" s="16" t="s">
        <v>312</v>
      </c>
      <c r="B22" s="118" t="s">
        <v>98</v>
      </c>
      <c r="C22" s="119" t="s">
        <v>16</v>
      </c>
      <c r="D22" s="51"/>
      <c r="E22" s="52"/>
      <c r="F22" s="10"/>
    </row>
    <row r="23" spans="1:7" ht="26.4" x14ac:dyDescent="0.25">
      <c r="A23" s="16" t="s">
        <v>156</v>
      </c>
      <c r="B23" s="118" t="s">
        <v>422</v>
      </c>
      <c r="C23" s="119" t="s">
        <v>10</v>
      </c>
      <c r="D23" s="51"/>
      <c r="E23" s="52"/>
      <c r="F23" s="10"/>
    </row>
    <row r="24" spans="1:7" x14ac:dyDescent="0.25">
      <c r="A24" s="17" t="s">
        <v>17</v>
      </c>
      <c r="B24" s="37" t="s">
        <v>18</v>
      </c>
      <c r="C24" s="18"/>
      <c r="D24" s="53"/>
      <c r="E24" s="54"/>
      <c r="F24" s="10"/>
    </row>
    <row r="25" spans="1:7" x14ac:dyDescent="0.25">
      <c r="A25" s="16" t="s">
        <v>40</v>
      </c>
      <c r="B25" s="200" t="s">
        <v>166</v>
      </c>
      <c r="C25" s="5" t="s">
        <v>16</v>
      </c>
      <c r="D25" s="51"/>
      <c r="E25" s="52"/>
      <c r="F25" s="10"/>
    </row>
    <row r="26" spans="1:7" x14ac:dyDescent="0.25">
      <c r="A26" s="16" t="s">
        <v>61</v>
      </c>
      <c r="B26" s="36" t="s">
        <v>99</v>
      </c>
      <c r="C26" s="5" t="s">
        <v>16</v>
      </c>
      <c r="D26" s="51"/>
      <c r="E26" s="52"/>
      <c r="F26" s="10"/>
    </row>
    <row r="27" spans="1:7" x14ac:dyDescent="0.25">
      <c r="A27" s="16" t="s">
        <v>71</v>
      </c>
      <c r="B27" s="36" t="s">
        <v>167</v>
      </c>
      <c r="C27" s="5" t="s">
        <v>16</v>
      </c>
      <c r="D27" s="51"/>
      <c r="E27" s="52"/>
      <c r="F27" s="10"/>
    </row>
    <row r="28" spans="1:7" x14ac:dyDescent="0.25">
      <c r="A28" s="16" t="s">
        <v>132</v>
      </c>
      <c r="B28" s="36" t="s">
        <v>100</v>
      </c>
      <c r="C28" s="5" t="s">
        <v>16</v>
      </c>
      <c r="D28" s="51"/>
      <c r="E28" s="52"/>
      <c r="F28" s="10"/>
    </row>
    <row r="29" spans="1:7" x14ac:dyDescent="0.25">
      <c r="A29" s="16" t="s">
        <v>133</v>
      </c>
      <c r="B29" s="36" t="s">
        <v>168</v>
      </c>
      <c r="C29" s="5" t="s">
        <v>77</v>
      </c>
      <c r="D29" s="51"/>
      <c r="E29" s="52"/>
      <c r="F29" s="10"/>
    </row>
    <row r="30" spans="1:7" x14ac:dyDescent="0.25">
      <c r="A30" s="17" t="s">
        <v>19</v>
      </c>
      <c r="B30" s="37" t="s">
        <v>169</v>
      </c>
      <c r="C30" s="18"/>
      <c r="D30" s="53"/>
      <c r="E30" s="54"/>
      <c r="F30" s="10"/>
    </row>
    <row r="31" spans="1:7" x14ac:dyDescent="0.25">
      <c r="A31" s="2" t="s">
        <v>65</v>
      </c>
      <c r="B31" s="200" t="s">
        <v>170</v>
      </c>
      <c r="C31" s="119" t="s">
        <v>77</v>
      </c>
      <c r="D31" s="55"/>
      <c r="E31" s="56"/>
      <c r="F31" s="10"/>
    </row>
    <row r="32" spans="1:7" ht="26.4" x14ac:dyDescent="0.25">
      <c r="A32" s="2" t="s">
        <v>66</v>
      </c>
      <c r="B32" s="200" t="s">
        <v>171</v>
      </c>
      <c r="C32" s="119" t="s">
        <v>77</v>
      </c>
      <c r="D32" s="51"/>
      <c r="E32" s="52"/>
      <c r="F32" s="10"/>
    </row>
    <row r="33" spans="1:6" ht="26.4" x14ac:dyDescent="0.25">
      <c r="A33" s="2" t="s">
        <v>67</v>
      </c>
      <c r="B33" s="200" t="s">
        <v>172</v>
      </c>
      <c r="C33" s="119" t="s">
        <v>77</v>
      </c>
      <c r="D33" s="51"/>
      <c r="E33" s="52"/>
      <c r="F33" s="10"/>
    </row>
    <row r="34" spans="1:6" ht="79.2" x14ac:dyDescent="0.25">
      <c r="A34" s="2" t="s">
        <v>134</v>
      </c>
      <c r="B34" s="122" t="s">
        <v>173</v>
      </c>
      <c r="C34" s="119" t="s">
        <v>16</v>
      </c>
      <c r="D34" s="51"/>
      <c r="E34" s="52"/>
      <c r="F34" s="10"/>
    </row>
    <row r="35" spans="1:6" ht="26.4" x14ac:dyDescent="0.25">
      <c r="A35" s="2" t="s">
        <v>364</v>
      </c>
      <c r="B35" s="105" t="s">
        <v>389</v>
      </c>
      <c r="C35" s="218" t="s">
        <v>21</v>
      </c>
      <c r="D35" s="216"/>
      <c r="E35" s="217"/>
    </row>
    <row r="36" spans="1:6" x14ac:dyDescent="0.25">
      <c r="A36" s="17" t="s">
        <v>22</v>
      </c>
      <c r="B36" s="37" t="s">
        <v>20</v>
      </c>
      <c r="C36" s="18"/>
      <c r="D36" s="53"/>
      <c r="E36" s="54"/>
      <c r="F36" s="10"/>
    </row>
    <row r="37" spans="1:6" ht="26.4" x14ac:dyDescent="0.25">
      <c r="A37" s="16" t="s">
        <v>63</v>
      </c>
      <c r="B37" s="122" t="s">
        <v>174</v>
      </c>
      <c r="C37" s="5" t="s">
        <v>21</v>
      </c>
      <c r="D37" s="51"/>
      <c r="E37" s="52"/>
      <c r="F37" s="10"/>
    </row>
    <row r="38" spans="1:6" ht="26.4" x14ac:dyDescent="0.25">
      <c r="A38" s="16" t="s">
        <v>64</v>
      </c>
      <c r="B38" s="122" t="s">
        <v>175</v>
      </c>
      <c r="C38" s="5" t="s">
        <v>21</v>
      </c>
      <c r="D38" s="51"/>
      <c r="E38" s="52"/>
      <c r="F38" s="10"/>
    </row>
    <row r="39" spans="1:6" x14ac:dyDescent="0.25">
      <c r="A39" s="16" t="s">
        <v>74</v>
      </c>
      <c r="B39" s="36" t="s">
        <v>176</v>
      </c>
      <c r="C39" s="5" t="s">
        <v>21</v>
      </c>
      <c r="D39" s="51"/>
      <c r="E39" s="52"/>
      <c r="F39" s="10"/>
    </row>
    <row r="40" spans="1:6" ht="26.4" x14ac:dyDescent="0.25">
      <c r="A40" s="16" t="s">
        <v>75</v>
      </c>
      <c r="B40" s="122" t="s">
        <v>177</v>
      </c>
      <c r="C40" s="5" t="s">
        <v>21</v>
      </c>
      <c r="D40" s="51"/>
      <c r="E40" s="52"/>
      <c r="F40" s="10"/>
    </row>
    <row r="41" spans="1:6" ht="26.4" x14ac:dyDescent="0.25">
      <c r="A41" s="16" t="s">
        <v>76</v>
      </c>
      <c r="B41" s="122" t="s">
        <v>178</v>
      </c>
      <c r="C41" s="5" t="s">
        <v>21</v>
      </c>
      <c r="D41" s="51"/>
      <c r="E41" s="52"/>
      <c r="F41" s="10"/>
    </row>
    <row r="42" spans="1:6" ht="26.4" x14ac:dyDescent="0.25">
      <c r="A42" s="16" t="s">
        <v>383</v>
      </c>
      <c r="B42" s="122" t="s">
        <v>179</v>
      </c>
      <c r="C42" s="5" t="s">
        <v>21</v>
      </c>
      <c r="D42" s="51"/>
      <c r="E42" s="52"/>
      <c r="F42" s="10"/>
    </row>
    <row r="43" spans="1:6" x14ac:dyDescent="0.25">
      <c r="A43" s="17"/>
      <c r="B43" s="37" t="s">
        <v>7</v>
      </c>
      <c r="C43" s="18"/>
      <c r="D43" s="53"/>
      <c r="E43" s="54"/>
      <c r="F43" s="10"/>
    </row>
    <row r="44" spans="1:6" x14ac:dyDescent="0.25">
      <c r="A44" s="17" t="s">
        <v>101</v>
      </c>
      <c r="B44" s="37" t="s">
        <v>102</v>
      </c>
      <c r="C44" s="18"/>
      <c r="D44" s="53"/>
      <c r="E44" s="54"/>
      <c r="F44" s="10"/>
    </row>
    <row r="45" spans="1:6" ht="26.4" x14ac:dyDescent="0.25">
      <c r="A45" s="16" t="s">
        <v>136</v>
      </c>
      <c r="B45" s="120" t="s">
        <v>103</v>
      </c>
      <c r="C45" s="5" t="s">
        <v>16</v>
      </c>
      <c r="D45" s="51"/>
      <c r="E45" s="52"/>
      <c r="F45" s="10"/>
    </row>
    <row r="46" spans="1:6" x14ac:dyDescent="0.25">
      <c r="A46" s="17" t="s">
        <v>104</v>
      </c>
      <c r="B46" s="37" t="s">
        <v>138</v>
      </c>
      <c r="C46" s="18"/>
      <c r="D46" s="53"/>
      <c r="E46" s="54"/>
      <c r="F46" s="10"/>
    </row>
    <row r="47" spans="1:6" x14ac:dyDescent="0.25">
      <c r="A47" s="16" t="s">
        <v>365</v>
      </c>
      <c r="B47" s="36" t="s">
        <v>106</v>
      </c>
      <c r="C47" s="5" t="s">
        <v>16</v>
      </c>
      <c r="D47" s="51"/>
      <c r="E47" s="52"/>
      <c r="F47" s="10"/>
    </row>
    <row r="48" spans="1:6" x14ac:dyDescent="0.25">
      <c r="A48" s="16" t="s">
        <v>366</v>
      </c>
      <c r="B48" s="36" t="s">
        <v>107</v>
      </c>
      <c r="C48" s="5" t="s">
        <v>16</v>
      </c>
      <c r="D48" s="51"/>
      <c r="E48" s="52"/>
      <c r="F48" s="10"/>
    </row>
    <row r="49" spans="1:6" x14ac:dyDescent="0.25">
      <c r="A49" s="16" t="s">
        <v>367</v>
      </c>
      <c r="B49" s="36" t="s">
        <v>347</v>
      </c>
      <c r="C49" s="5" t="s">
        <v>16</v>
      </c>
      <c r="D49" s="51"/>
      <c r="E49" s="52"/>
      <c r="F49" s="10"/>
    </row>
    <row r="50" spans="1:6" s="126" customFormat="1" x14ac:dyDescent="0.25">
      <c r="A50" s="17" t="s">
        <v>109</v>
      </c>
      <c r="B50" s="37" t="s">
        <v>160</v>
      </c>
      <c r="C50" s="18"/>
      <c r="D50" s="53"/>
      <c r="E50" s="54"/>
      <c r="F50" s="39"/>
    </row>
    <row r="51" spans="1:6" ht="39.6" x14ac:dyDescent="0.25">
      <c r="A51" s="16" t="s">
        <v>368</v>
      </c>
      <c r="B51" s="114" t="s">
        <v>110</v>
      </c>
      <c r="C51" s="5" t="s">
        <v>6</v>
      </c>
      <c r="D51" s="51"/>
      <c r="E51" s="52"/>
      <c r="F51" s="10"/>
    </row>
    <row r="52" spans="1:6" ht="79.2" x14ac:dyDescent="0.25">
      <c r="A52" s="16" t="s">
        <v>369</v>
      </c>
      <c r="B52" s="4" t="s">
        <v>112</v>
      </c>
      <c r="C52" s="5" t="s">
        <v>6</v>
      </c>
      <c r="D52" s="51"/>
      <c r="E52" s="52"/>
      <c r="F52" s="10"/>
    </row>
    <row r="53" spans="1:6" x14ac:dyDescent="0.25">
      <c r="A53" s="16" t="s">
        <v>370</v>
      </c>
      <c r="B53" s="36" t="s">
        <v>113</v>
      </c>
      <c r="C53" s="5" t="s">
        <v>21</v>
      </c>
      <c r="D53" s="51"/>
      <c r="E53" s="52"/>
      <c r="F53" s="10"/>
    </row>
    <row r="54" spans="1:6" x14ac:dyDescent="0.25">
      <c r="A54" s="16" t="s">
        <v>371</v>
      </c>
      <c r="B54" s="36" t="s">
        <v>114</v>
      </c>
      <c r="C54" s="5" t="s">
        <v>21</v>
      </c>
      <c r="D54" s="51"/>
      <c r="E54" s="52"/>
      <c r="F54" s="10"/>
    </row>
    <row r="55" spans="1:6" x14ac:dyDescent="0.25">
      <c r="A55" s="16" t="s">
        <v>372</v>
      </c>
      <c r="B55" s="36" t="s">
        <v>115</v>
      </c>
      <c r="C55" s="5" t="s">
        <v>21</v>
      </c>
      <c r="D55" s="51"/>
      <c r="E55" s="52"/>
      <c r="F55" s="10"/>
    </row>
    <row r="56" spans="1:6" x14ac:dyDescent="0.25">
      <c r="A56" s="16" t="s">
        <v>373</v>
      </c>
      <c r="B56" s="36" t="s">
        <v>357</v>
      </c>
      <c r="C56" s="5" t="s">
        <v>21</v>
      </c>
      <c r="D56" s="51"/>
      <c r="E56" s="52"/>
      <c r="F56" s="10"/>
    </row>
    <row r="57" spans="1:6" x14ac:dyDescent="0.25">
      <c r="A57" s="16" t="s">
        <v>374</v>
      </c>
      <c r="B57" s="36" t="s">
        <v>379</v>
      </c>
      <c r="C57" s="5" t="s">
        <v>21</v>
      </c>
      <c r="D57" s="51"/>
      <c r="E57" s="52"/>
      <c r="F57" s="10"/>
    </row>
    <row r="58" spans="1:6" x14ac:dyDescent="0.25">
      <c r="D58" s="59"/>
      <c r="E58" s="63"/>
    </row>
    <row r="59" spans="1:6" x14ac:dyDescent="0.25">
      <c r="E59" s="60"/>
    </row>
    <row r="60" spans="1:6" x14ac:dyDescent="0.25">
      <c r="B60" s="30"/>
      <c r="C60" s="29"/>
      <c r="D60" s="62"/>
      <c r="E60" s="63"/>
    </row>
    <row r="61" spans="1:6" x14ac:dyDescent="0.25">
      <c r="E61" s="60"/>
    </row>
    <row r="62" spans="1:6" x14ac:dyDescent="0.25">
      <c r="A62" s="396"/>
      <c r="B62" s="396"/>
      <c r="C62" s="396"/>
      <c r="D62" s="396"/>
      <c r="E62" s="396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3">
    <mergeCell ref="A1:E1"/>
    <mergeCell ref="A2:E2"/>
    <mergeCell ref="A62:E6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workbookViewId="0">
      <selection sqref="A1:F1"/>
    </sheetView>
  </sheetViews>
  <sheetFormatPr baseColWidth="10" defaultColWidth="11.44140625" defaultRowHeight="13.2" x14ac:dyDescent="0.25"/>
  <cols>
    <col min="1" max="1" width="5.6640625" style="1" customWidth="1"/>
    <col min="2" max="2" width="56.33203125" style="1" customWidth="1"/>
    <col min="3" max="4" width="11.44140625" style="1"/>
    <col min="5" max="5" width="12.6640625" style="1" customWidth="1"/>
    <col min="6" max="6" width="18.33203125" style="1" customWidth="1"/>
    <col min="7" max="16384" width="11.44140625" style="1"/>
  </cols>
  <sheetData>
    <row r="1" spans="1:6" ht="13.8" x14ac:dyDescent="0.25">
      <c r="A1" s="397" t="s">
        <v>460</v>
      </c>
      <c r="B1" s="397"/>
      <c r="C1" s="397"/>
      <c r="D1" s="397"/>
      <c r="E1" s="397"/>
      <c r="F1" s="397"/>
    </row>
    <row r="2" spans="1:6" ht="18" thickBot="1" x14ac:dyDescent="0.3">
      <c r="B2" s="410" t="s">
        <v>414</v>
      </c>
      <c r="C2" s="410"/>
      <c r="D2" s="410"/>
      <c r="E2" s="410"/>
      <c r="F2" s="410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</row>
    <row r="4" spans="1:6" ht="13.8" thickTop="1" x14ac:dyDescent="0.25">
      <c r="A4" s="12" t="s">
        <v>0</v>
      </c>
      <c r="B4" s="34" t="s">
        <v>1</v>
      </c>
      <c r="C4" s="13"/>
      <c r="D4" s="13"/>
      <c r="E4" s="49"/>
      <c r="F4" s="50"/>
    </row>
    <row r="5" spans="1:6" x14ac:dyDescent="0.25">
      <c r="A5" s="16" t="s">
        <v>25</v>
      </c>
      <c r="B5" s="36" t="s">
        <v>73</v>
      </c>
      <c r="C5" s="5" t="s">
        <v>149</v>
      </c>
      <c r="D5" s="6">
        <v>1</v>
      </c>
      <c r="E5" s="51"/>
      <c r="F5" s="52"/>
    </row>
    <row r="6" spans="1:6" x14ac:dyDescent="0.25">
      <c r="A6" s="17"/>
      <c r="B6" s="37" t="s">
        <v>7</v>
      </c>
      <c r="C6" s="18"/>
      <c r="D6" s="18"/>
      <c r="E6" s="53"/>
      <c r="F6" s="54"/>
    </row>
    <row r="7" spans="1:6" x14ac:dyDescent="0.25">
      <c r="A7" s="17" t="s">
        <v>8</v>
      </c>
      <c r="B7" s="37" t="s">
        <v>9</v>
      </c>
      <c r="C7" s="18"/>
      <c r="D7" s="18"/>
      <c r="E7" s="53"/>
      <c r="F7" s="54"/>
    </row>
    <row r="8" spans="1:6" x14ac:dyDescent="0.25">
      <c r="A8" s="16" t="s">
        <v>50</v>
      </c>
      <c r="B8" s="36" t="s">
        <v>27</v>
      </c>
      <c r="C8" s="5" t="s">
        <v>10</v>
      </c>
      <c r="D8" s="21">
        <f>12.45*0.4*0.6</f>
        <v>2.988</v>
      </c>
      <c r="E8" s="51"/>
      <c r="F8" s="52"/>
    </row>
    <row r="9" spans="1:6" x14ac:dyDescent="0.25">
      <c r="A9" s="16" t="s">
        <v>51</v>
      </c>
      <c r="B9" s="36" t="s">
        <v>196</v>
      </c>
      <c r="C9" s="5" t="s">
        <v>10</v>
      </c>
      <c r="D9" s="21">
        <f>0.25*0.25*0.4*4</f>
        <v>0.1</v>
      </c>
      <c r="E9" s="51"/>
      <c r="F9" s="52"/>
    </row>
    <row r="10" spans="1:6" x14ac:dyDescent="0.25">
      <c r="A10" s="16" t="s">
        <v>52</v>
      </c>
      <c r="B10" s="36" t="s">
        <v>11</v>
      </c>
      <c r="C10" s="5" t="s">
        <v>10</v>
      </c>
      <c r="D10" s="73">
        <f>12.45*0.2*0.35</f>
        <v>0.87150000000000005</v>
      </c>
      <c r="E10" s="51"/>
      <c r="F10" s="52"/>
    </row>
    <row r="11" spans="1:6" x14ac:dyDescent="0.25">
      <c r="A11" s="16" t="s">
        <v>131</v>
      </c>
      <c r="B11" s="36" t="s">
        <v>84</v>
      </c>
      <c r="C11" s="5" t="s">
        <v>10</v>
      </c>
      <c r="D11" s="21">
        <f>(8*8+4*2*2+6.45*2)*0.35</f>
        <v>32.515000000000001</v>
      </c>
      <c r="E11" s="51"/>
      <c r="F11" s="52"/>
    </row>
    <row r="12" spans="1:6" x14ac:dyDescent="0.25">
      <c r="A12" s="17"/>
      <c r="B12" s="37" t="s">
        <v>7</v>
      </c>
      <c r="C12" s="18"/>
      <c r="D12" s="22"/>
      <c r="E12" s="53"/>
      <c r="F12" s="54"/>
    </row>
    <row r="13" spans="1:6" x14ac:dyDescent="0.25">
      <c r="A13" s="17" t="s">
        <v>12</v>
      </c>
      <c r="B13" s="37" t="s">
        <v>13</v>
      </c>
      <c r="C13" s="18"/>
      <c r="D13" s="22"/>
      <c r="E13" s="53"/>
      <c r="F13" s="54"/>
    </row>
    <row r="14" spans="1:6" ht="18.75" customHeight="1" x14ac:dyDescent="0.25">
      <c r="A14" s="16" t="s">
        <v>41</v>
      </c>
      <c r="B14" s="118" t="s">
        <v>86</v>
      </c>
      <c r="C14" s="119" t="s">
        <v>10</v>
      </c>
      <c r="D14" s="21">
        <f>(12.45*0.05*0.4)+(0.25*0.25*0.05*4)</f>
        <v>0.26150000000000001</v>
      </c>
      <c r="E14" s="51"/>
      <c r="F14" s="52"/>
    </row>
    <row r="15" spans="1:6" x14ac:dyDescent="0.25">
      <c r="A15" s="16" t="s">
        <v>42</v>
      </c>
      <c r="B15" s="118" t="s">
        <v>197</v>
      </c>
      <c r="C15" s="119" t="s">
        <v>10</v>
      </c>
      <c r="D15" s="21">
        <f>0.25*0.25*0.8*4</f>
        <v>0.2</v>
      </c>
      <c r="E15" s="51"/>
      <c r="F15" s="52"/>
    </row>
    <row r="16" spans="1:6" ht="26.4" x14ac:dyDescent="0.25">
      <c r="A16" s="16" t="s">
        <v>43</v>
      </c>
      <c r="B16" s="118" t="s">
        <v>87</v>
      </c>
      <c r="C16" s="119" t="s">
        <v>10</v>
      </c>
      <c r="D16" s="21">
        <f>12.45*0.4*0.2</f>
        <v>0.99600000000000011</v>
      </c>
      <c r="E16" s="51"/>
      <c r="F16" s="52"/>
    </row>
    <row r="17" spans="1:6" x14ac:dyDescent="0.25">
      <c r="A17" s="16" t="s">
        <v>44</v>
      </c>
      <c r="B17" s="118" t="s">
        <v>88</v>
      </c>
      <c r="C17" s="119" t="s">
        <v>10</v>
      </c>
      <c r="D17" s="21">
        <f>12.45*0.2*0.2</f>
        <v>0.49800000000000005</v>
      </c>
      <c r="E17" s="51"/>
      <c r="F17" s="52"/>
    </row>
    <row r="18" spans="1:6" ht="39.6" x14ac:dyDescent="0.25">
      <c r="A18" s="16" t="s">
        <v>45</v>
      </c>
      <c r="B18" s="118" t="s">
        <v>419</v>
      </c>
      <c r="C18" s="119" t="s">
        <v>10</v>
      </c>
      <c r="D18" s="21">
        <f>92.9*0.1</f>
        <v>9.2900000000000009</v>
      </c>
      <c r="E18" s="51"/>
      <c r="F18" s="52"/>
    </row>
    <row r="19" spans="1:6" x14ac:dyDescent="0.25">
      <c r="A19" s="16" t="s">
        <v>46</v>
      </c>
      <c r="B19" s="118" t="s">
        <v>91</v>
      </c>
      <c r="C19" s="119" t="s">
        <v>10</v>
      </c>
      <c r="D19" s="21">
        <f>(1*0.1*6)+(0.15*0.3*3/2)+(1*0.1*2)+(0.15*0.3*3/2)</f>
        <v>0.93500000000000016</v>
      </c>
      <c r="E19" s="51"/>
      <c r="F19" s="52"/>
    </row>
    <row r="20" spans="1:6" x14ac:dyDescent="0.25">
      <c r="A20" s="16" t="s">
        <v>47</v>
      </c>
      <c r="B20" s="118" t="s">
        <v>198</v>
      </c>
      <c r="C20" s="119" t="s">
        <v>10</v>
      </c>
      <c r="D20" s="21">
        <f>2*3*0.2*2</f>
        <v>2.4000000000000004</v>
      </c>
      <c r="E20" s="51"/>
      <c r="F20" s="52"/>
    </row>
    <row r="21" spans="1:6" x14ac:dyDescent="0.25">
      <c r="A21" s="16" t="s">
        <v>48</v>
      </c>
      <c r="B21" s="120" t="s">
        <v>97</v>
      </c>
      <c r="C21" s="119" t="s">
        <v>16</v>
      </c>
      <c r="D21" s="6">
        <f>12.45*1</f>
        <v>12.45</v>
      </c>
      <c r="E21" s="51"/>
      <c r="F21" s="52"/>
    </row>
    <row r="22" spans="1:6" x14ac:dyDescent="0.25">
      <c r="A22" s="17"/>
      <c r="B22" s="37" t="s">
        <v>7</v>
      </c>
      <c r="C22" s="18"/>
      <c r="D22" s="18"/>
      <c r="E22" s="53"/>
      <c r="F22" s="54"/>
    </row>
    <row r="23" spans="1:6" x14ac:dyDescent="0.25">
      <c r="A23" s="17" t="s">
        <v>17</v>
      </c>
      <c r="B23" s="37" t="s">
        <v>18</v>
      </c>
      <c r="C23" s="18"/>
      <c r="D23" s="18"/>
      <c r="E23" s="53"/>
      <c r="F23" s="54"/>
    </row>
    <row r="24" spans="1:6" x14ac:dyDescent="0.25">
      <c r="A24" s="16" t="s">
        <v>40</v>
      </c>
      <c r="B24" s="36" t="s">
        <v>100</v>
      </c>
      <c r="C24" s="5" t="s">
        <v>16</v>
      </c>
      <c r="D24" s="6">
        <f>8*8+4*2*2+6.45*2</f>
        <v>92.9</v>
      </c>
      <c r="E24" s="51"/>
      <c r="F24" s="52"/>
    </row>
    <row r="25" spans="1:6" x14ac:dyDescent="0.25">
      <c r="A25" s="17"/>
      <c r="B25" s="37" t="s">
        <v>7</v>
      </c>
      <c r="C25" s="18"/>
      <c r="D25" s="18"/>
      <c r="E25" s="53"/>
      <c r="F25" s="54"/>
    </row>
    <row r="26" spans="1:6" x14ac:dyDescent="0.25">
      <c r="A26" s="17" t="s">
        <v>19</v>
      </c>
      <c r="B26" s="37" t="s">
        <v>199</v>
      </c>
      <c r="C26" s="18"/>
      <c r="D26" s="18"/>
      <c r="E26" s="53"/>
      <c r="F26" s="54"/>
    </row>
    <row r="27" spans="1:6" ht="26.4" x14ac:dyDescent="0.25">
      <c r="A27" s="16" t="s">
        <v>65</v>
      </c>
      <c r="B27" s="118" t="s">
        <v>200</v>
      </c>
      <c r="C27" s="5" t="s">
        <v>77</v>
      </c>
      <c r="D27" s="5">
        <v>5</v>
      </c>
      <c r="E27" s="51"/>
      <c r="F27" s="52"/>
    </row>
    <row r="28" spans="1:6" x14ac:dyDescent="0.25">
      <c r="A28" s="17"/>
      <c r="B28" s="37" t="s">
        <v>7</v>
      </c>
      <c r="C28" s="18"/>
      <c r="D28" s="18"/>
      <c r="E28" s="53"/>
      <c r="F28" s="54"/>
    </row>
    <row r="29" spans="1:6" x14ac:dyDescent="0.25">
      <c r="A29" s="17" t="s">
        <v>22</v>
      </c>
      <c r="B29" s="37" t="s">
        <v>169</v>
      </c>
      <c r="C29" s="18"/>
      <c r="D29" s="18"/>
      <c r="E29" s="53"/>
      <c r="F29" s="54"/>
    </row>
    <row r="30" spans="1:6" ht="26.4" x14ac:dyDescent="0.25">
      <c r="A30" s="2" t="s">
        <v>63</v>
      </c>
      <c r="B30" s="200" t="s">
        <v>201</v>
      </c>
      <c r="C30" s="119" t="s">
        <v>77</v>
      </c>
      <c r="D30" s="121">
        <f>4.4*4</f>
        <v>17.600000000000001</v>
      </c>
      <c r="E30" s="55"/>
      <c r="F30" s="56"/>
    </row>
    <row r="31" spans="1:6" x14ac:dyDescent="0.25">
      <c r="A31" s="72"/>
      <c r="B31" s="37" t="s">
        <v>7</v>
      </c>
      <c r="C31" s="25"/>
      <c r="D31" s="25"/>
      <c r="E31" s="25"/>
      <c r="F31" s="286"/>
    </row>
    <row r="32" spans="1:6" s="71" customFormat="1" x14ac:dyDescent="0.25">
      <c r="A32" s="70" t="s">
        <v>101</v>
      </c>
      <c r="B32" s="70" t="s">
        <v>138</v>
      </c>
      <c r="C32" s="70"/>
      <c r="D32" s="70"/>
      <c r="E32" s="70"/>
      <c r="F32" s="287"/>
    </row>
    <row r="33" spans="1:6" x14ac:dyDescent="0.25">
      <c r="A33" s="72" t="s">
        <v>136</v>
      </c>
      <c r="B33" s="72" t="s">
        <v>202</v>
      </c>
      <c r="C33" s="25" t="s">
        <v>16</v>
      </c>
      <c r="D33" s="25">
        <v>7.5</v>
      </c>
      <c r="E33" s="25"/>
      <c r="F33" s="288"/>
    </row>
    <row r="34" spans="1:6" x14ac:dyDescent="0.25">
      <c r="A34" s="72"/>
      <c r="B34" s="37" t="s">
        <v>7</v>
      </c>
      <c r="C34" s="72"/>
      <c r="D34" s="72"/>
      <c r="E34" s="72"/>
      <c r="F34" s="287"/>
    </row>
    <row r="35" spans="1:6" s="71" customFormat="1" ht="13.8" thickBot="1" x14ac:dyDescent="0.3">
      <c r="A35" s="411" t="s">
        <v>436</v>
      </c>
      <c r="B35" s="412"/>
      <c r="C35" s="412"/>
      <c r="D35" s="412"/>
      <c r="E35" s="413"/>
      <c r="F35" s="289"/>
    </row>
    <row r="36" spans="1:6" ht="14.4" thickTop="1" thickBot="1" x14ac:dyDescent="0.3">
      <c r="A36" s="411" t="s">
        <v>437</v>
      </c>
      <c r="B36" s="412"/>
      <c r="C36" s="412"/>
      <c r="D36" s="412"/>
      <c r="E36" s="413"/>
      <c r="F36" s="289"/>
    </row>
    <row r="37" spans="1:6" ht="13.8" thickTop="1" x14ac:dyDescent="0.25"/>
  </sheetData>
  <mergeCells count="4">
    <mergeCell ref="A1:F1"/>
    <mergeCell ref="B2:F2"/>
    <mergeCell ref="A35:E35"/>
    <mergeCell ref="A36:E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8"/>
  <sheetViews>
    <sheetView workbookViewId="0">
      <selection activeCell="D9" sqref="D9"/>
    </sheetView>
  </sheetViews>
  <sheetFormatPr baseColWidth="10" defaultColWidth="11.44140625" defaultRowHeight="13.2" x14ac:dyDescent="0.25"/>
  <cols>
    <col min="1" max="1" width="5.6640625" style="1" customWidth="1"/>
    <col min="2" max="2" width="45.109375" style="1" customWidth="1"/>
    <col min="3" max="3" width="11.44140625" style="1"/>
    <col min="4" max="4" width="20" style="1" bestFit="1" customWidth="1"/>
    <col min="5" max="5" width="41.88671875" style="1" customWidth="1"/>
    <col min="6" max="16384" width="11.44140625" style="1"/>
  </cols>
  <sheetData>
    <row r="1" spans="1:6" ht="13.8" x14ac:dyDescent="0.25">
      <c r="A1" s="401" t="s">
        <v>460</v>
      </c>
      <c r="B1" s="402"/>
      <c r="C1" s="402"/>
      <c r="D1" s="402"/>
      <c r="E1" s="403"/>
      <c r="F1" s="309"/>
    </row>
    <row r="2" spans="1:6" ht="18" thickBot="1" x14ac:dyDescent="0.3">
      <c r="B2" s="410" t="s">
        <v>529</v>
      </c>
      <c r="C2" s="410"/>
      <c r="D2" s="410"/>
      <c r="E2" s="410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</row>
    <row r="4" spans="1:6" ht="13.8" thickTop="1" x14ac:dyDescent="0.25">
      <c r="A4" s="12" t="s">
        <v>0</v>
      </c>
      <c r="B4" s="34" t="s">
        <v>1</v>
      </c>
      <c r="C4" s="13"/>
      <c r="D4" s="49"/>
      <c r="E4" s="50"/>
    </row>
    <row r="5" spans="1:6" x14ac:dyDescent="0.25">
      <c r="A5" s="16" t="s">
        <v>25</v>
      </c>
      <c r="B5" s="36" t="s">
        <v>73</v>
      </c>
      <c r="C5" s="5" t="s">
        <v>149</v>
      </c>
      <c r="D5" s="51"/>
      <c r="E5" s="52"/>
    </row>
    <row r="6" spans="1:6" x14ac:dyDescent="0.25">
      <c r="A6" s="17" t="s">
        <v>8</v>
      </c>
      <c r="B6" s="37" t="s">
        <v>9</v>
      </c>
      <c r="C6" s="18"/>
      <c r="D6" s="53"/>
      <c r="E6" s="54"/>
    </row>
    <row r="7" spans="1:6" x14ac:dyDescent="0.25">
      <c r="A7" s="16" t="s">
        <v>50</v>
      </c>
      <c r="B7" s="36" t="s">
        <v>27</v>
      </c>
      <c r="C7" s="5" t="s">
        <v>10</v>
      </c>
      <c r="D7" s="51"/>
      <c r="E7" s="52"/>
    </row>
    <row r="8" spans="1:6" x14ac:dyDescent="0.25">
      <c r="A8" s="16" t="s">
        <v>51</v>
      </c>
      <c r="B8" s="36" t="s">
        <v>196</v>
      </c>
      <c r="C8" s="5" t="s">
        <v>10</v>
      </c>
      <c r="D8" s="51"/>
      <c r="E8" s="52"/>
    </row>
    <row r="9" spans="1:6" x14ac:dyDescent="0.25">
      <c r="A9" s="16" t="s">
        <v>52</v>
      </c>
      <c r="B9" s="36" t="s">
        <v>11</v>
      </c>
      <c r="C9" s="5" t="s">
        <v>10</v>
      </c>
      <c r="D9" s="51"/>
      <c r="E9" s="52"/>
    </row>
    <row r="10" spans="1:6" x14ac:dyDescent="0.25">
      <c r="A10" s="16" t="s">
        <v>131</v>
      </c>
      <c r="B10" s="36" t="s">
        <v>84</v>
      </c>
      <c r="C10" s="5" t="s">
        <v>10</v>
      </c>
      <c r="D10" s="51"/>
      <c r="E10" s="52"/>
    </row>
    <row r="11" spans="1:6" x14ac:dyDescent="0.25">
      <c r="A11" s="17" t="s">
        <v>12</v>
      </c>
      <c r="B11" s="37" t="s">
        <v>13</v>
      </c>
      <c r="C11" s="18"/>
      <c r="D11" s="53"/>
      <c r="E11" s="54"/>
    </row>
    <row r="12" spans="1:6" ht="18.75" customHeight="1" x14ac:dyDescent="0.25">
      <c r="A12" s="16" t="s">
        <v>41</v>
      </c>
      <c r="B12" s="118" t="s">
        <v>86</v>
      </c>
      <c r="C12" s="119" t="s">
        <v>10</v>
      </c>
      <c r="D12" s="51"/>
      <c r="E12" s="52"/>
    </row>
    <row r="13" spans="1:6" x14ac:dyDescent="0.25">
      <c r="A13" s="16" t="s">
        <v>42</v>
      </c>
      <c r="B13" s="118" t="s">
        <v>197</v>
      </c>
      <c r="C13" s="119" t="s">
        <v>10</v>
      </c>
      <c r="D13" s="51"/>
      <c r="E13" s="52"/>
    </row>
    <row r="14" spans="1:6" ht="26.4" x14ac:dyDescent="0.25">
      <c r="A14" s="16" t="s">
        <v>43</v>
      </c>
      <c r="B14" s="118" t="s">
        <v>87</v>
      </c>
      <c r="C14" s="119" t="s">
        <v>10</v>
      </c>
      <c r="D14" s="51"/>
      <c r="E14" s="52"/>
    </row>
    <row r="15" spans="1:6" x14ac:dyDescent="0.25">
      <c r="A15" s="16" t="s">
        <v>44</v>
      </c>
      <c r="B15" s="118" t="s">
        <v>88</v>
      </c>
      <c r="C15" s="119" t="s">
        <v>10</v>
      </c>
      <c r="D15" s="51"/>
      <c r="E15" s="52"/>
    </row>
    <row r="16" spans="1:6" ht="42" customHeight="1" x14ac:dyDescent="0.25">
      <c r="A16" s="16" t="s">
        <v>45</v>
      </c>
      <c r="B16" s="118" t="s">
        <v>438</v>
      </c>
      <c r="C16" s="119" t="s">
        <v>10</v>
      </c>
      <c r="D16" s="51"/>
      <c r="E16" s="52"/>
    </row>
    <row r="17" spans="1:5" x14ac:dyDescent="0.25">
      <c r="A17" s="16" t="s">
        <v>46</v>
      </c>
      <c r="B17" s="118" t="s">
        <v>91</v>
      </c>
      <c r="C17" s="119" t="s">
        <v>10</v>
      </c>
      <c r="D17" s="51"/>
      <c r="E17" s="52"/>
    </row>
    <row r="18" spans="1:5" x14ac:dyDescent="0.25">
      <c r="A18" s="16" t="s">
        <v>47</v>
      </c>
      <c r="B18" s="118" t="s">
        <v>198</v>
      </c>
      <c r="C18" s="119" t="s">
        <v>10</v>
      </c>
      <c r="D18" s="51"/>
      <c r="E18" s="52"/>
    </row>
    <row r="19" spans="1:5" x14ac:dyDescent="0.25">
      <c r="A19" s="16" t="s">
        <v>48</v>
      </c>
      <c r="B19" s="120" t="s">
        <v>97</v>
      </c>
      <c r="C19" s="119" t="s">
        <v>16</v>
      </c>
      <c r="D19" s="51"/>
      <c r="E19" s="52"/>
    </row>
    <row r="20" spans="1:5" x14ac:dyDescent="0.25">
      <c r="A20" s="17" t="s">
        <v>17</v>
      </c>
      <c r="B20" s="37" t="s">
        <v>18</v>
      </c>
      <c r="C20" s="18"/>
      <c r="D20" s="53"/>
      <c r="E20" s="54"/>
    </row>
    <row r="21" spans="1:5" x14ac:dyDescent="0.25">
      <c r="A21" s="16" t="s">
        <v>40</v>
      </c>
      <c r="B21" s="36" t="s">
        <v>100</v>
      </c>
      <c r="C21" s="5" t="s">
        <v>16</v>
      </c>
      <c r="D21" s="51"/>
      <c r="E21" s="52"/>
    </row>
    <row r="22" spans="1:5" x14ac:dyDescent="0.25">
      <c r="A22" s="17" t="s">
        <v>19</v>
      </c>
      <c r="B22" s="37" t="s">
        <v>199</v>
      </c>
      <c r="C22" s="18"/>
      <c r="D22" s="53"/>
      <c r="E22" s="54"/>
    </row>
    <row r="23" spans="1:5" ht="26.4" x14ac:dyDescent="0.25">
      <c r="A23" s="16" t="s">
        <v>65</v>
      </c>
      <c r="B23" s="118" t="s">
        <v>200</v>
      </c>
      <c r="C23" s="5" t="s">
        <v>77</v>
      </c>
      <c r="D23" s="51"/>
      <c r="E23" s="52"/>
    </row>
    <row r="24" spans="1:5" x14ac:dyDescent="0.25">
      <c r="A24" s="17" t="s">
        <v>22</v>
      </c>
      <c r="B24" s="37" t="s">
        <v>169</v>
      </c>
      <c r="C24" s="18"/>
      <c r="D24" s="53"/>
      <c r="E24" s="54"/>
    </row>
    <row r="25" spans="1:5" ht="26.4" x14ac:dyDescent="0.25">
      <c r="A25" s="2" t="s">
        <v>63</v>
      </c>
      <c r="B25" s="200" t="s">
        <v>201</v>
      </c>
      <c r="C25" s="119" t="s">
        <v>77</v>
      </c>
      <c r="D25" s="55"/>
      <c r="E25" s="56"/>
    </row>
    <row r="26" spans="1:5" s="71" customFormat="1" x14ac:dyDescent="0.25">
      <c r="A26" s="72"/>
      <c r="B26" s="70" t="s">
        <v>138</v>
      </c>
      <c r="C26" s="70"/>
      <c r="D26" s="70"/>
      <c r="E26" s="70"/>
    </row>
    <row r="27" spans="1:5" x14ac:dyDescent="0.25">
      <c r="A27" s="70" t="s">
        <v>101</v>
      </c>
      <c r="B27" s="72" t="s">
        <v>202</v>
      </c>
      <c r="C27" s="25" t="s">
        <v>16</v>
      </c>
      <c r="D27" s="25"/>
      <c r="E27" s="72"/>
    </row>
    <row r="28" spans="1:5" x14ac:dyDescent="0.25">
      <c r="E28" s="115"/>
    </row>
  </sheetData>
  <mergeCells count="2">
    <mergeCell ref="A1:E1"/>
    <mergeCell ref="B2:E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G46"/>
  <sheetViews>
    <sheetView workbookViewId="0">
      <selection activeCell="D8" sqref="D8:E8"/>
    </sheetView>
  </sheetViews>
  <sheetFormatPr baseColWidth="10" defaultColWidth="11.44140625" defaultRowHeight="14.4" x14ac:dyDescent="0.3"/>
  <cols>
    <col min="1" max="1" width="5.88671875" style="314" customWidth="1"/>
    <col min="2" max="2" width="58.109375" style="314" bestFit="1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s="1" customFormat="1" ht="13.8" x14ac:dyDescent="0.25">
      <c r="A1" s="401" t="s">
        <v>460</v>
      </c>
      <c r="B1" s="402"/>
      <c r="C1" s="402"/>
      <c r="D1" s="402"/>
      <c r="E1" s="403"/>
      <c r="F1" s="309"/>
    </row>
    <row r="2" spans="1:6" ht="15.6" x14ac:dyDescent="0.3">
      <c r="A2" s="414" t="s">
        <v>463</v>
      </c>
      <c r="B2" s="414"/>
      <c r="C2" s="414"/>
      <c r="D2" s="414"/>
      <c r="E2" s="414"/>
      <c r="F2" s="414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" thickTop="1" x14ac:dyDescent="0.3">
      <c r="A4" s="317" t="s">
        <v>78</v>
      </c>
      <c r="B4" s="318" t="s">
        <v>79</v>
      </c>
      <c r="C4" s="317" t="s">
        <v>517</v>
      </c>
      <c r="D4" s="317" t="s">
        <v>81</v>
      </c>
      <c r="E4" s="319" t="s">
        <v>82</v>
      </c>
      <c r="F4" s="320" t="s">
        <v>83</v>
      </c>
    </row>
    <row r="5" spans="1:6" x14ac:dyDescent="0.3">
      <c r="A5" s="321" t="s">
        <v>0</v>
      </c>
      <c r="B5" s="322" t="s">
        <v>464</v>
      </c>
      <c r="C5" s="321"/>
      <c r="D5" s="321"/>
      <c r="E5" s="323"/>
      <c r="F5" s="324"/>
    </row>
    <row r="6" spans="1:6" x14ac:dyDescent="0.3">
      <c r="A6" s="325" t="s">
        <v>25</v>
      </c>
      <c r="B6" s="326" t="s">
        <v>465</v>
      </c>
      <c r="C6" s="325" t="s">
        <v>6</v>
      </c>
      <c r="D6" s="325">
        <v>1</v>
      </c>
      <c r="E6" s="327"/>
      <c r="F6" s="328"/>
    </row>
    <row r="7" spans="1:6" x14ac:dyDescent="0.3">
      <c r="A7" s="325" t="s">
        <v>128</v>
      </c>
      <c r="B7" s="326" t="s">
        <v>466</v>
      </c>
      <c r="C7" s="325" t="s">
        <v>6</v>
      </c>
      <c r="D7" s="325">
        <v>1</v>
      </c>
      <c r="E7" s="327"/>
      <c r="F7" s="328"/>
    </row>
    <row r="8" spans="1:6" ht="27" x14ac:dyDescent="0.3">
      <c r="A8" s="325" t="s">
        <v>129</v>
      </c>
      <c r="B8" s="118" t="s">
        <v>467</v>
      </c>
      <c r="C8" s="119" t="s">
        <v>10</v>
      </c>
      <c r="D8" s="325">
        <f>(37.02+7.42+7.42)*0.6*0.8</f>
        <v>24.892800000000005</v>
      </c>
      <c r="E8" s="329"/>
      <c r="F8" s="328"/>
    </row>
    <row r="9" spans="1:6" x14ac:dyDescent="0.3">
      <c r="A9" s="330"/>
      <c r="B9" s="322" t="s">
        <v>7</v>
      </c>
      <c r="C9" s="325"/>
      <c r="D9" s="325"/>
      <c r="E9" s="329"/>
      <c r="F9" s="331"/>
    </row>
    <row r="10" spans="1:6" x14ac:dyDescent="0.3">
      <c r="A10" s="330" t="s">
        <v>8</v>
      </c>
      <c r="B10" s="322" t="s">
        <v>13</v>
      </c>
      <c r="C10" s="325"/>
      <c r="D10" s="332"/>
      <c r="E10" s="329"/>
      <c r="F10" s="331"/>
    </row>
    <row r="11" spans="1:6" ht="27" x14ac:dyDescent="0.3">
      <c r="A11" s="333" t="s">
        <v>50</v>
      </c>
      <c r="B11" s="118" t="s">
        <v>468</v>
      </c>
      <c r="C11" s="119" t="s">
        <v>16</v>
      </c>
      <c r="D11" s="332">
        <f>(37.02*1.5)+(8.97*6.97)+(8.94*6.95)+(8.93*6.93)+(8.94*6.95)</f>
        <v>304.20179999999999</v>
      </c>
      <c r="E11" s="329"/>
      <c r="F11" s="328"/>
    </row>
    <row r="12" spans="1:6" x14ac:dyDescent="0.3">
      <c r="A12" s="333" t="s">
        <v>51</v>
      </c>
      <c r="B12" s="118" t="s">
        <v>469</v>
      </c>
      <c r="C12" s="119" t="s">
        <v>16</v>
      </c>
      <c r="D12" s="332">
        <f>(0.15+2)*2*4</f>
        <v>17.2</v>
      </c>
      <c r="E12" s="329"/>
      <c r="F12" s="328"/>
    </row>
    <row r="13" spans="1:6" x14ac:dyDescent="0.3">
      <c r="A13" s="333" t="s">
        <v>52</v>
      </c>
      <c r="B13" s="118" t="s">
        <v>470</v>
      </c>
      <c r="C13" s="119" t="s">
        <v>10</v>
      </c>
      <c r="D13" s="332">
        <f>(((0.65*3.5)*0.15)+(0.13*1.5*3.5))*2</f>
        <v>2.0474999999999999</v>
      </c>
      <c r="E13" s="327"/>
      <c r="F13" s="328"/>
    </row>
    <row r="14" spans="1:6" ht="27" x14ac:dyDescent="0.3">
      <c r="A14" s="333" t="s">
        <v>131</v>
      </c>
      <c r="B14" s="118" t="s">
        <v>471</v>
      </c>
      <c r="C14" s="119" t="s">
        <v>10</v>
      </c>
      <c r="D14" s="332">
        <f>((1.5*3.56*0.52))*2</f>
        <v>5.5536000000000003</v>
      </c>
      <c r="E14" s="329"/>
      <c r="F14" s="328"/>
    </row>
    <row r="15" spans="1:6" x14ac:dyDescent="0.3">
      <c r="A15" s="330"/>
      <c r="B15" s="322" t="s">
        <v>7</v>
      </c>
      <c r="C15" s="325"/>
      <c r="D15" s="325"/>
      <c r="E15" s="329"/>
      <c r="F15" s="331"/>
    </row>
    <row r="16" spans="1:6" x14ac:dyDescent="0.3">
      <c r="A16" s="330" t="s">
        <v>12</v>
      </c>
      <c r="B16" s="322" t="s">
        <v>18</v>
      </c>
      <c r="C16" s="325"/>
      <c r="D16" s="325"/>
      <c r="E16" s="329"/>
      <c r="F16" s="331"/>
    </row>
    <row r="17" spans="1:7" x14ac:dyDescent="0.3">
      <c r="A17" s="333" t="s">
        <v>41</v>
      </c>
      <c r="B17" s="118" t="s">
        <v>472</v>
      </c>
      <c r="C17" s="119" t="s">
        <v>16</v>
      </c>
      <c r="D17" s="334">
        <f>(1.2*7)*8</f>
        <v>67.2</v>
      </c>
      <c r="E17" s="329"/>
      <c r="F17" s="328"/>
    </row>
    <row r="18" spans="1:7" x14ac:dyDescent="0.3">
      <c r="A18" s="333" t="s">
        <v>42</v>
      </c>
      <c r="B18" s="335" t="s">
        <v>473</v>
      </c>
      <c r="C18" s="119" t="s">
        <v>16</v>
      </c>
      <c r="D18" s="336">
        <f>((37.02+7.42)*8)+((37.02+3)*0.65)-(14.65+19.86)</f>
        <v>347.02300000000002</v>
      </c>
      <c r="E18" s="329"/>
      <c r="F18" s="328"/>
    </row>
    <row r="19" spans="1:7" ht="22.8" x14ac:dyDescent="0.3">
      <c r="A19" s="333" t="s">
        <v>43</v>
      </c>
      <c r="B19" s="337" t="s">
        <v>474</v>
      </c>
      <c r="C19" s="119" t="s">
        <v>6</v>
      </c>
      <c r="D19" s="338">
        <v>1</v>
      </c>
      <c r="E19" s="339"/>
      <c r="F19" s="328"/>
    </row>
    <row r="20" spans="1:7" x14ac:dyDescent="0.3">
      <c r="A20" s="330"/>
      <c r="B20" s="322" t="s">
        <v>7</v>
      </c>
      <c r="C20" s="325"/>
      <c r="D20" s="325"/>
      <c r="E20" s="329"/>
      <c r="F20" s="331"/>
    </row>
    <row r="21" spans="1:7" x14ac:dyDescent="0.3">
      <c r="A21" s="330" t="s">
        <v>17</v>
      </c>
      <c r="B21" s="322" t="s">
        <v>20</v>
      </c>
      <c r="C21" s="325"/>
      <c r="D21" s="336"/>
      <c r="E21" s="329"/>
      <c r="F21" s="331"/>
    </row>
    <row r="22" spans="1:7" x14ac:dyDescent="0.3">
      <c r="A22" s="333" t="s">
        <v>40</v>
      </c>
      <c r="B22" s="335" t="s">
        <v>475</v>
      </c>
      <c r="C22" s="325" t="s">
        <v>80</v>
      </c>
      <c r="D22" s="336">
        <v>18</v>
      </c>
      <c r="E22" s="329"/>
      <c r="F22" s="328"/>
    </row>
    <row r="23" spans="1:7" x14ac:dyDescent="0.3">
      <c r="A23" s="333" t="s">
        <v>61</v>
      </c>
      <c r="B23" s="335" t="s">
        <v>476</v>
      </c>
      <c r="C23" s="325" t="s">
        <v>80</v>
      </c>
      <c r="D23" s="336">
        <v>1</v>
      </c>
      <c r="E23" s="329"/>
      <c r="F23" s="328"/>
    </row>
    <row r="24" spans="1:7" ht="26.4" x14ac:dyDescent="0.3">
      <c r="A24" s="333" t="s">
        <v>71</v>
      </c>
      <c r="B24" s="335" t="s">
        <v>477</v>
      </c>
      <c r="C24" s="325" t="s">
        <v>6</v>
      </c>
      <c r="D24" s="336">
        <v>1</v>
      </c>
      <c r="E24" s="329"/>
      <c r="F24" s="328"/>
    </row>
    <row r="25" spans="1:7" ht="26.4" x14ac:dyDescent="0.3">
      <c r="A25" s="333" t="s">
        <v>132</v>
      </c>
      <c r="B25" s="122" t="s">
        <v>478</v>
      </c>
      <c r="C25" s="325" t="s">
        <v>77</v>
      </c>
      <c r="D25" s="336">
        <f>3.56*2</f>
        <v>7.12</v>
      </c>
      <c r="E25" s="329"/>
      <c r="F25" s="328"/>
    </row>
    <row r="26" spans="1:7" x14ac:dyDescent="0.3">
      <c r="A26" s="330"/>
      <c r="B26" s="322" t="s">
        <v>7</v>
      </c>
      <c r="C26" s="325"/>
      <c r="D26" s="336"/>
      <c r="E26" s="329"/>
      <c r="F26" s="331"/>
    </row>
    <row r="27" spans="1:7" x14ac:dyDescent="0.3">
      <c r="A27" s="330" t="s">
        <v>19</v>
      </c>
      <c r="B27" s="322" t="s">
        <v>102</v>
      </c>
      <c r="C27" s="325"/>
      <c r="D27" s="336"/>
      <c r="E27" s="329"/>
      <c r="F27" s="331"/>
    </row>
    <row r="28" spans="1:7" ht="26.4" x14ac:dyDescent="0.3">
      <c r="A28" s="333" t="s">
        <v>65</v>
      </c>
      <c r="B28" s="120" t="s">
        <v>479</v>
      </c>
      <c r="C28" s="325" t="s">
        <v>16</v>
      </c>
      <c r="D28" s="336">
        <f>(6.93*8.94)+(6.95*8.93)</f>
        <v>124.01769999999999</v>
      </c>
      <c r="E28" s="329"/>
      <c r="F28" s="328"/>
    </row>
    <row r="29" spans="1:7" x14ac:dyDescent="0.3">
      <c r="A29" s="330"/>
      <c r="B29" s="322" t="s">
        <v>7</v>
      </c>
      <c r="C29" s="325"/>
      <c r="D29" s="336"/>
      <c r="E29" s="329"/>
      <c r="F29" s="331"/>
    </row>
    <row r="30" spans="1:7" x14ac:dyDescent="0.3">
      <c r="A30" s="330" t="s">
        <v>22</v>
      </c>
      <c r="B30" s="322" t="s">
        <v>138</v>
      </c>
      <c r="C30" s="325"/>
      <c r="D30" s="336"/>
      <c r="E30" s="329"/>
      <c r="F30" s="331"/>
      <c r="G30" s="340"/>
    </row>
    <row r="31" spans="1:7" x14ac:dyDescent="0.3">
      <c r="A31" s="333" t="s">
        <v>63</v>
      </c>
      <c r="B31" s="326" t="s">
        <v>106</v>
      </c>
      <c r="C31" s="325" t="s">
        <v>16</v>
      </c>
      <c r="D31" s="336">
        <f>(14.65*2.5)+(19.86*2.5)</f>
        <v>86.275000000000006</v>
      </c>
      <c r="E31" s="329"/>
      <c r="F31" s="328"/>
    </row>
    <row r="32" spans="1:7" x14ac:dyDescent="0.3">
      <c r="A32" s="333" t="s">
        <v>64</v>
      </c>
      <c r="B32" s="326" t="s">
        <v>480</v>
      </c>
      <c r="C32" s="325" t="s">
        <v>16</v>
      </c>
      <c r="D32" s="336">
        <f>((8.97+6.97)*2.9)*2+((8.94+6.95)*2.85)*2+((8.93+6.95)*2.91)*2+((8.94+6.95)*2.86)*2-(14.65+19.86)</f>
        <v>331.82740000000001</v>
      </c>
      <c r="E32" s="329"/>
      <c r="F32" s="328"/>
    </row>
    <row r="33" spans="1:6" x14ac:dyDescent="0.3">
      <c r="A33" s="333" t="s">
        <v>74</v>
      </c>
      <c r="B33" s="335" t="s">
        <v>108</v>
      </c>
      <c r="C33" s="325" t="s">
        <v>16</v>
      </c>
      <c r="D33" s="336">
        <f>D11-(1.5*37.02)</f>
        <v>248.67179999999999</v>
      </c>
      <c r="E33" s="329"/>
      <c r="F33" s="328"/>
    </row>
    <row r="34" spans="1:6" ht="22.8" x14ac:dyDescent="0.3">
      <c r="A34" s="333" t="s">
        <v>75</v>
      </c>
      <c r="B34" s="341" t="s">
        <v>481</v>
      </c>
      <c r="C34" s="342" t="s">
        <v>16</v>
      </c>
      <c r="D34" s="334">
        <f>(1.23*6.95)*8</f>
        <v>68.388000000000005</v>
      </c>
      <c r="E34" s="343"/>
      <c r="F34" s="344"/>
    </row>
    <row r="35" spans="1:6" x14ac:dyDescent="0.3">
      <c r="A35" s="330"/>
      <c r="B35" s="345" t="s">
        <v>7</v>
      </c>
      <c r="C35" s="346"/>
      <c r="D35" s="346"/>
      <c r="E35" s="346"/>
      <c r="F35" s="331"/>
    </row>
    <row r="36" spans="1:6" x14ac:dyDescent="0.3">
      <c r="A36" s="347" t="s">
        <v>101</v>
      </c>
      <c r="B36" s="348" t="s">
        <v>482</v>
      </c>
      <c r="C36" s="349"/>
      <c r="D36" s="349"/>
      <c r="E36" s="349"/>
      <c r="F36" s="350"/>
    </row>
    <row r="37" spans="1:6" ht="22.8" x14ac:dyDescent="0.3">
      <c r="A37" s="351" t="s">
        <v>136</v>
      </c>
      <c r="B37" s="341" t="s">
        <v>483</v>
      </c>
      <c r="C37" s="352" t="s">
        <v>6</v>
      </c>
      <c r="D37" s="352">
        <v>1</v>
      </c>
      <c r="E37" s="343"/>
      <c r="F37" s="344"/>
    </row>
    <row r="38" spans="1:6" x14ac:dyDescent="0.3">
      <c r="A38" s="351" t="s">
        <v>137</v>
      </c>
      <c r="B38" s="349" t="s">
        <v>484</v>
      </c>
      <c r="C38" s="352" t="s">
        <v>80</v>
      </c>
      <c r="D38" s="352">
        <v>1</v>
      </c>
      <c r="E38" s="343"/>
      <c r="F38" s="344"/>
    </row>
    <row r="39" spans="1:6" x14ac:dyDescent="0.3">
      <c r="A39" s="351" t="s">
        <v>277</v>
      </c>
      <c r="B39" s="341" t="s">
        <v>485</v>
      </c>
      <c r="C39" s="352" t="s">
        <v>80</v>
      </c>
      <c r="D39" s="352">
        <v>10</v>
      </c>
      <c r="E39" s="343"/>
      <c r="F39" s="344"/>
    </row>
    <row r="40" spans="1:6" x14ac:dyDescent="0.3">
      <c r="A40" s="351" t="s">
        <v>279</v>
      </c>
      <c r="B40" s="341" t="s">
        <v>486</v>
      </c>
      <c r="C40" s="352" t="s">
        <v>80</v>
      </c>
      <c r="D40" s="352">
        <v>3</v>
      </c>
      <c r="E40" s="343"/>
      <c r="F40" s="344"/>
    </row>
    <row r="41" spans="1:6" x14ac:dyDescent="0.3">
      <c r="A41" s="351" t="s">
        <v>281</v>
      </c>
      <c r="B41" s="349" t="s">
        <v>487</v>
      </c>
      <c r="C41" s="352" t="s">
        <v>80</v>
      </c>
      <c r="D41" s="352">
        <v>8</v>
      </c>
      <c r="E41" s="343"/>
      <c r="F41" s="344"/>
    </row>
    <row r="42" spans="1:6" x14ac:dyDescent="0.3">
      <c r="A42" s="351" t="s">
        <v>283</v>
      </c>
      <c r="B42" s="349" t="s">
        <v>488</v>
      </c>
      <c r="C42" s="352" t="s">
        <v>80</v>
      </c>
      <c r="D42" s="352">
        <v>16</v>
      </c>
      <c r="E42" s="343"/>
      <c r="F42" s="344"/>
    </row>
    <row r="43" spans="1:6" x14ac:dyDescent="0.3">
      <c r="A43" s="330"/>
      <c r="B43" s="345" t="s">
        <v>7</v>
      </c>
      <c r="C43" s="346"/>
      <c r="D43" s="346"/>
      <c r="E43" s="346"/>
      <c r="F43" s="331"/>
    </row>
    <row r="44" spans="1:6" ht="15" thickBot="1" x14ac:dyDescent="0.35">
      <c r="A44" s="415" t="s">
        <v>514</v>
      </c>
      <c r="B44" s="416"/>
      <c r="C44" s="416"/>
      <c r="D44" s="416"/>
      <c r="E44" s="417"/>
      <c r="F44" s="354"/>
    </row>
    <row r="45" spans="1:6" ht="15.6" thickTop="1" thickBot="1" x14ac:dyDescent="0.35">
      <c r="A45" s="418" t="s">
        <v>513</v>
      </c>
      <c r="B45" s="419"/>
      <c r="C45" s="419"/>
      <c r="D45" s="419"/>
      <c r="E45" s="420"/>
      <c r="F45" s="354"/>
    </row>
    <row r="46" spans="1:6" ht="15" thickTop="1" x14ac:dyDescent="0.3"/>
  </sheetData>
  <mergeCells count="4">
    <mergeCell ref="A1:E1"/>
    <mergeCell ref="A2:F2"/>
    <mergeCell ref="A44:E44"/>
    <mergeCell ref="A45:E4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E36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5.88671875" style="314" customWidth="1"/>
    <col min="2" max="2" width="58.109375" style="314" bestFit="1" customWidth="1"/>
    <col min="3" max="3" width="9.6640625" style="314" customWidth="1"/>
    <col min="4" max="4" width="19.44140625" style="314" bestFit="1" customWidth="1"/>
    <col min="5" max="5" width="38.33203125" style="314" customWidth="1"/>
    <col min="6" max="16384" width="11.44140625" style="314"/>
  </cols>
  <sheetData>
    <row r="1" spans="1:5" s="1" customFormat="1" ht="13.8" x14ac:dyDescent="0.25">
      <c r="A1" s="401" t="s">
        <v>460</v>
      </c>
      <c r="B1" s="402"/>
      <c r="C1" s="402"/>
      <c r="D1" s="403"/>
      <c r="E1" s="309"/>
    </row>
    <row r="2" spans="1:5" ht="15.6" x14ac:dyDescent="0.3">
      <c r="A2" s="414" t="s">
        <v>512</v>
      </c>
      <c r="B2" s="414"/>
      <c r="C2" s="414"/>
      <c r="D2" s="414"/>
      <c r="E2" s="414"/>
    </row>
    <row r="3" spans="1:5" ht="18" thickBot="1" x14ac:dyDescent="0.35">
      <c r="A3" s="313"/>
      <c r="B3" s="315"/>
      <c r="C3" s="316"/>
      <c r="D3" s="316"/>
      <c r="E3" s="316"/>
    </row>
    <row r="4" spans="1:5" ht="15" thickTop="1" x14ac:dyDescent="0.3">
      <c r="A4" s="317" t="s">
        <v>78</v>
      </c>
      <c r="B4" s="318" t="s">
        <v>79</v>
      </c>
      <c r="C4" s="317" t="s">
        <v>517</v>
      </c>
      <c r="D4" s="319" t="s">
        <v>510</v>
      </c>
      <c r="E4" s="319" t="s">
        <v>511</v>
      </c>
    </row>
    <row r="5" spans="1:5" x14ac:dyDescent="0.3">
      <c r="A5" s="321" t="s">
        <v>0</v>
      </c>
      <c r="B5" s="322" t="s">
        <v>464</v>
      </c>
      <c r="C5" s="321"/>
      <c r="D5" s="323"/>
      <c r="E5" s="324"/>
    </row>
    <row r="6" spans="1:5" x14ac:dyDescent="0.3">
      <c r="A6" s="325" t="s">
        <v>25</v>
      </c>
      <c r="B6" s="326" t="s">
        <v>465</v>
      </c>
      <c r="C6" s="325" t="s">
        <v>6</v>
      </c>
      <c r="D6" s="327"/>
      <c r="E6" s="328"/>
    </row>
    <row r="7" spans="1:5" x14ac:dyDescent="0.3">
      <c r="A7" s="325" t="s">
        <v>128</v>
      </c>
      <c r="B7" s="326" t="s">
        <v>466</v>
      </c>
      <c r="C7" s="325" t="s">
        <v>6</v>
      </c>
      <c r="D7" s="327"/>
      <c r="E7" s="328"/>
    </row>
    <row r="8" spans="1:5" ht="27" x14ac:dyDescent="0.3">
      <c r="A8" s="325" t="s">
        <v>129</v>
      </c>
      <c r="B8" s="118" t="s">
        <v>467</v>
      </c>
      <c r="C8" s="119" t="s">
        <v>10</v>
      </c>
      <c r="D8" s="329"/>
      <c r="E8" s="328"/>
    </row>
    <row r="9" spans="1:5" x14ac:dyDescent="0.3">
      <c r="A9" s="330" t="s">
        <v>8</v>
      </c>
      <c r="B9" s="322" t="s">
        <v>13</v>
      </c>
      <c r="C9" s="325"/>
      <c r="D9" s="329"/>
      <c r="E9" s="331"/>
    </row>
    <row r="10" spans="1:5" ht="27" x14ac:dyDescent="0.3">
      <c r="A10" s="333" t="s">
        <v>50</v>
      </c>
      <c r="B10" s="118" t="s">
        <v>468</v>
      </c>
      <c r="C10" s="119" t="s">
        <v>16</v>
      </c>
      <c r="D10" s="329"/>
      <c r="E10" s="328"/>
    </row>
    <row r="11" spans="1:5" x14ac:dyDescent="0.3">
      <c r="A11" s="333" t="s">
        <v>51</v>
      </c>
      <c r="B11" s="118" t="s">
        <v>469</v>
      </c>
      <c r="C11" s="119" t="s">
        <v>16</v>
      </c>
      <c r="D11" s="329"/>
      <c r="E11" s="328"/>
    </row>
    <row r="12" spans="1:5" x14ac:dyDescent="0.3">
      <c r="A12" s="333" t="s">
        <v>52</v>
      </c>
      <c r="B12" s="118" t="s">
        <v>470</v>
      </c>
      <c r="C12" s="119" t="s">
        <v>10</v>
      </c>
      <c r="D12" s="327"/>
      <c r="E12" s="328"/>
    </row>
    <row r="13" spans="1:5" ht="27" x14ac:dyDescent="0.3">
      <c r="A13" s="333" t="s">
        <v>131</v>
      </c>
      <c r="B13" s="118" t="s">
        <v>471</v>
      </c>
      <c r="C13" s="119" t="s">
        <v>10</v>
      </c>
      <c r="D13" s="329"/>
      <c r="E13" s="328"/>
    </row>
    <row r="14" spans="1:5" x14ac:dyDescent="0.3">
      <c r="A14" s="330" t="s">
        <v>12</v>
      </c>
      <c r="B14" s="322" t="s">
        <v>18</v>
      </c>
      <c r="C14" s="325"/>
      <c r="D14" s="329"/>
      <c r="E14" s="331"/>
    </row>
    <row r="15" spans="1:5" x14ac:dyDescent="0.3">
      <c r="A15" s="333" t="s">
        <v>41</v>
      </c>
      <c r="B15" s="118" t="s">
        <v>472</v>
      </c>
      <c r="C15" s="119" t="s">
        <v>16</v>
      </c>
      <c r="D15" s="329"/>
      <c r="E15" s="328"/>
    </row>
    <row r="16" spans="1:5" x14ac:dyDescent="0.3">
      <c r="A16" s="333" t="s">
        <v>42</v>
      </c>
      <c r="B16" s="335" t="s">
        <v>473</v>
      </c>
      <c r="C16" s="119" t="s">
        <v>16</v>
      </c>
      <c r="D16" s="329"/>
      <c r="E16" s="328"/>
    </row>
    <row r="17" spans="1:5" ht="22.8" x14ac:dyDescent="0.3">
      <c r="A17" s="333" t="s">
        <v>43</v>
      </c>
      <c r="B17" s="337" t="s">
        <v>474</v>
      </c>
      <c r="C17" s="119" t="s">
        <v>6</v>
      </c>
      <c r="D17" s="339"/>
      <c r="E17" s="328"/>
    </row>
    <row r="18" spans="1:5" x14ac:dyDescent="0.3">
      <c r="A18" s="330" t="s">
        <v>17</v>
      </c>
      <c r="B18" s="322" t="s">
        <v>20</v>
      </c>
      <c r="C18" s="325"/>
      <c r="D18" s="329"/>
      <c r="E18" s="331"/>
    </row>
    <row r="19" spans="1:5" x14ac:dyDescent="0.3">
      <c r="A19" s="333" t="s">
        <v>40</v>
      </c>
      <c r="B19" s="335" t="s">
        <v>475</v>
      </c>
      <c r="C19" s="325" t="s">
        <v>80</v>
      </c>
      <c r="D19" s="329"/>
      <c r="E19" s="328"/>
    </row>
    <row r="20" spans="1:5" x14ac:dyDescent="0.3">
      <c r="A20" s="333" t="s">
        <v>61</v>
      </c>
      <c r="B20" s="335" t="s">
        <v>476</v>
      </c>
      <c r="C20" s="325" t="s">
        <v>80</v>
      </c>
      <c r="D20" s="329"/>
      <c r="E20" s="328"/>
    </row>
    <row r="21" spans="1:5" ht="26.4" x14ac:dyDescent="0.3">
      <c r="A21" s="333" t="s">
        <v>71</v>
      </c>
      <c r="B21" s="335" t="s">
        <v>477</v>
      </c>
      <c r="C21" s="325" t="s">
        <v>6</v>
      </c>
      <c r="D21" s="329"/>
      <c r="E21" s="328"/>
    </row>
    <row r="22" spans="1:5" ht="26.4" x14ac:dyDescent="0.3">
      <c r="A22" s="333" t="s">
        <v>132</v>
      </c>
      <c r="B22" s="122" t="s">
        <v>478</v>
      </c>
      <c r="C22" s="325" t="s">
        <v>77</v>
      </c>
      <c r="D22" s="329"/>
      <c r="E22" s="328"/>
    </row>
    <row r="23" spans="1:5" x14ac:dyDescent="0.3">
      <c r="A23" s="330" t="s">
        <v>19</v>
      </c>
      <c r="B23" s="322" t="s">
        <v>102</v>
      </c>
      <c r="C23" s="325"/>
      <c r="D23" s="329"/>
      <c r="E23" s="331"/>
    </row>
    <row r="24" spans="1:5" ht="26.4" x14ac:dyDescent="0.3">
      <c r="A24" s="333" t="s">
        <v>65</v>
      </c>
      <c r="B24" s="120" t="s">
        <v>479</v>
      </c>
      <c r="C24" s="325" t="s">
        <v>16</v>
      </c>
      <c r="D24" s="329"/>
      <c r="E24" s="328"/>
    </row>
    <row r="25" spans="1:5" x14ac:dyDescent="0.3">
      <c r="A25" s="330" t="s">
        <v>22</v>
      </c>
      <c r="B25" s="322" t="s">
        <v>138</v>
      </c>
      <c r="C25" s="325"/>
      <c r="D25" s="329"/>
      <c r="E25" s="331"/>
    </row>
    <row r="26" spans="1:5" x14ac:dyDescent="0.3">
      <c r="A26" s="333" t="s">
        <v>63</v>
      </c>
      <c r="B26" s="326" t="s">
        <v>106</v>
      </c>
      <c r="C26" s="325" t="s">
        <v>16</v>
      </c>
      <c r="D26" s="329"/>
      <c r="E26" s="328"/>
    </row>
    <row r="27" spans="1:5" x14ac:dyDescent="0.3">
      <c r="A27" s="333" t="s">
        <v>64</v>
      </c>
      <c r="B27" s="326" t="s">
        <v>480</v>
      </c>
      <c r="C27" s="325" t="s">
        <v>16</v>
      </c>
      <c r="D27" s="329"/>
      <c r="E27" s="328"/>
    </row>
    <row r="28" spans="1:5" x14ac:dyDescent="0.3">
      <c r="A28" s="333" t="s">
        <v>74</v>
      </c>
      <c r="B28" s="335" t="s">
        <v>108</v>
      </c>
      <c r="C28" s="325" t="s">
        <v>16</v>
      </c>
      <c r="D28" s="329"/>
      <c r="E28" s="328"/>
    </row>
    <row r="29" spans="1:5" ht="22.8" x14ac:dyDescent="0.3">
      <c r="A29" s="333" t="s">
        <v>75</v>
      </c>
      <c r="B29" s="341" t="s">
        <v>481</v>
      </c>
      <c r="C29" s="342" t="s">
        <v>16</v>
      </c>
      <c r="D29" s="343"/>
      <c r="E29" s="344"/>
    </row>
    <row r="30" spans="1:5" x14ac:dyDescent="0.3">
      <c r="A30" s="347" t="s">
        <v>101</v>
      </c>
      <c r="B30" s="348" t="s">
        <v>482</v>
      </c>
      <c r="C30" s="349"/>
      <c r="D30" s="349"/>
      <c r="E30" s="350"/>
    </row>
    <row r="31" spans="1:5" ht="22.8" x14ac:dyDescent="0.3">
      <c r="A31" s="351" t="s">
        <v>136</v>
      </c>
      <c r="B31" s="341" t="s">
        <v>483</v>
      </c>
      <c r="C31" s="352" t="s">
        <v>6</v>
      </c>
      <c r="D31" s="343"/>
      <c r="E31" s="344"/>
    </row>
    <row r="32" spans="1:5" x14ac:dyDescent="0.3">
      <c r="A32" s="351" t="s">
        <v>137</v>
      </c>
      <c r="B32" s="349" t="s">
        <v>484</v>
      </c>
      <c r="C32" s="352" t="s">
        <v>80</v>
      </c>
      <c r="D32" s="343"/>
      <c r="E32" s="344"/>
    </row>
    <row r="33" spans="1:5" x14ac:dyDescent="0.3">
      <c r="A33" s="351" t="s">
        <v>277</v>
      </c>
      <c r="B33" s="341" t="s">
        <v>485</v>
      </c>
      <c r="C33" s="352" t="s">
        <v>80</v>
      </c>
      <c r="D33" s="343"/>
      <c r="E33" s="344"/>
    </row>
    <row r="34" spans="1:5" x14ac:dyDescent="0.3">
      <c r="A34" s="351" t="s">
        <v>279</v>
      </c>
      <c r="B34" s="341" t="s">
        <v>486</v>
      </c>
      <c r="C34" s="352" t="s">
        <v>80</v>
      </c>
      <c r="D34" s="343"/>
      <c r="E34" s="344"/>
    </row>
    <row r="35" spans="1:5" x14ac:dyDescent="0.3">
      <c r="A35" s="351" t="s">
        <v>281</v>
      </c>
      <c r="B35" s="349" t="s">
        <v>487</v>
      </c>
      <c r="C35" s="352" t="s">
        <v>80</v>
      </c>
      <c r="D35" s="343"/>
      <c r="E35" s="344"/>
    </row>
    <row r="36" spans="1:5" x14ac:dyDescent="0.3">
      <c r="A36" s="325" t="s">
        <v>283</v>
      </c>
      <c r="B36" s="346" t="s">
        <v>488</v>
      </c>
      <c r="C36" s="325" t="s">
        <v>80</v>
      </c>
      <c r="D36" s="366"/>
      <c r="E36" s="339"/>
    </row>
  </sheetData>
  <mergeCells count="2">
    <mergeCell ref="A1:D1"/>
    <mergeCell ref="A2:E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G41"/>
  <sheetViews>
    <sheetView topLeftCell="A22" zoomScaleNormal="100" zoomScaleSheetLayoutView="90" workbookViewId="0">
      <selection activeCell="D44" sqref="D44"/>
    </sheetView>
  </sheetViews>
  <sheetFormatPr baseColWidth="10" defaultColWidth="11.44140625" defaultRowHeight="14.4" x14ac:dyDescent="0.3"/>
  <cols>
    <col min="1" max="1" width="5.88671875" style="314" customWidth="1"/>
    <col min="2" max="2" width="58.109375" style="314" bestFit="1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s="1" customFormat="1" ht="13.8" x14ac:dyDescent="0.25">
      <c r="A1" s="401" t="s">
        <v>460</v>
      </c>
      <c r="B1" s="402"/>
      <c r="C1" s="402"/>
      <c r="D1" s="402"/>
      <c r="E1" s="402"/>
      <c r="F1" s="403"/>
    </row>
    <row r="2" spans="1:6" ht="15.6" x14ac:dyDescent="0.3">
      <c r="A2" s="414" t="s">
        <v>489</v>
      </c>
      <c r="B2" s="414"/>
      <c r="C2" s="414"/>
      <c r="D2" s="414"/>
      <c r="E2" s="414"/>
      <c r="F2" s="414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" thickTop="1" x14ac:dyDescent="0.3">
      <c r="A4" s="317" t="s">
        <v>78</v>
      </c>
      <c r="B4" s="318" t="s">
        <v>79</v>
      </c>
      <c r="C4" s="317" t="s">
        <v>517</v>
      </c>
      <c r="D4" s="317" t="s">
        <v>81</v>
      </c>
      <c r="E4" s="319" t="s">
        <v>82</v>
      </c>
      <c r="F4" s="320" t="s">
        <v>83</v>
      </c>
    </row>
    <row r="5" spans="1:6" x14ac:dyDescent="0.3">
      <c r="A5" s="321" t="s">
        <v>0</v>
      </c>
      <c r="B5" s="322" t="s">
        <v>464</v>
      </c>
      <c r="C5" s="321"/>
      <c r="D5" s="321"/>
      <c r="E5" s="323"/>
      <c r="F5" s="324"/>
    </row>
    <row r="6" spans="1:6" x14ac:dyDescent="0.3">
      <c r="A6" s="325" t="s">
        <v>25</v>
      </c>
      <c r="B6" s="326" t="s">
        <v>466</v>
      </c>
      <c r="C6" s="325" t="s">
        <v>6</v>
      </c>
      <c r="D6" s="325">
        <v>1</v>
      </c>
      <c r="E6" s="327">
        <v>100000</v>
      </c>
      <c r="F6" s="328">
        <f t="shared" ref="F6:F7" si="0">E6*D6</f>
        <v>100000</v>
      </c>
    </row>
    <row r="7" spans="1:6" ht="27" x14ac:dyDescent="0.3">
      <c r="A7" s="325" t="s">
        <v>128</v>
      </c>
      <c r="B7" s="118" t="s">
        <v>467</v>
      </c>
      <c r="C7" s="119" t="s">
        <v>10</v>
      </c>
      <c r="D7" s="332">
        <f>(7.3+5.84+5.84)*0.6*0.8</f>
        <v>9.1104000000000003</v>
      </c>
      <c r="E7" s="327">
        <v>90000</v>
      </c>
      <c r="F7" s="328">
        <f t="shared" si="0"/>
        <v>819936</v>
      </c>
    </row>
    <row r="8" spans="1:6" x14ac:dyDescent="0.3">
      <c r="A8" s="333"/>
      <c r="B8" s="322" t="s">
        <v>7</v>
      </c>
      <c r="C8" s="321"/>
      <c r="D8" s="321"/>
      <c r="E8" s="323"/>
      <c r="F8" s="331">
        <f>SUM(F6:F7)</f>
        <v>919936</v>
      </c>
    </row>
    <row r="9" spans="1:6" x14ac:dyDescent="0.3">
      <c r="A9" s="330" t="s">
        <v>8</v>
      </c>
      <c r="B9" s="322" t="s">
        <v>13</v>
      </c>
      <c r="C9" s="321"/>
      <c r="D9" s="355"/>
      <c r="E9" s="323"/>
      <c r="F9" s="331"/>
    </row>
    <row r="10" spans="1:6" x14ac:dyDescent="0.3">
      <c r="A10" s="333" t="s">
        <v>50</v>
      </c>
      <c r="B10" s="118" t="s">
        <v>490</v>
      </c>
      <c r="C10" s="119" t="s">
        <v>16</v>
      </c>
      <c r="D10" s="332">
        <f>(6.97*5.54)</f>
        <v>38.613799999999998</v>
      </c>
      <c r="E10" s="329">
        <v>5000</v>
      </c>
      <c r="F10" s="328">
        <f t="shared" ref="F10:F11" si="1">E10*D10</f>
        <v>193069</v>
      </c>
    </row>
    <row r="11" spans="1:6" x14ac:dyDescent="0.3">
      <c r="A11" s="333" t="s">
        <v>51</v>
      </c>
      <c r="B11" s="118" t="s">
        <v>469</v>
      </c>
      <c r="C11" s="119" t="s">
        <v>16</v>
      </c>
      <c r="D11" s="332">
        <f>(0.15+1.2)*0.3</f>
        <v>0.40499999999999997</v>
      </c>
      <c r="E11" s="329">
        <v>5000</v>
      </c>
      <c r="F11" s="328">
        <f t="shared" si="1"/>
        <v>2024.9999999999998</v>
      </c>
    </row>
    <row r="12" spans="1:6" x14ac:dyDescent="0.3">
      <c r="A12" s="333"/>
      <c r="B12" s="322" t="s">
        <v>7</v>
      </c>
      <c r="C12" s="321"/>
      <c r="D12" s="321"/>
      <c r="E12" s="323"/>
      <c r="F12" s="331">
        <f>SUM(F6:F11)</f>
        <v>2034966</v>
      </c>
    </row>
    <row r="13" spans="1:6" x14ac:dyDescent="0.3">
      <c r="A13" s="330" t="s">
        <v>12</v>
      </c>
      <c r="B13" s="322" t="s">
        <v>18</v>
      </c>
      <c r="C13" s="321"/>
      <c r="D13" s="321"/>
      <c r="E13" s="323"/>
      <c r="F13" s="331"/>
    </row>
    <row r="14" spans="1:6" x14ac:dyDescent="0.3">
      <c r="A14" s="333" t="s">
        <v>41</v>
      </c>
      <c r="B14" s="326" t="s">
        <v>491</v>
      </c>
      <c r="C14" s="119" t="s">
        <v>16</v>
      </c>
      <c r="D14" s="336">
        <f>(6.97+5.54)*2*3</f>
        <v>75.06</v>
      </c>
      <c r="E14" s="329">
        <v>3000</v>
      </c>
      <c r="F14" s="328">
        <f>E14*D14</f>
        <v>225180</v>
      </c>
    </row>
    <row r="15" spans="1:6" x14ac:dyDescent="0.3">
      <c r="A15" s="333" t="s">
        <v>42</v>
      </c>
      <c r="B15" s="335" t="s">
        <v>492</v>
      </c>
      <c r="C15" s="119" t="s">
        <v>16</v>
      </c>
      <c r="D15" s="336">
        <f>(7.3+5.84)*2*4-(6.3)</f>
        <v>98.820000000000007</v>
      </c>
      <c r="E15" s="329">
        <v>6000</v>
      </c>
      <c r="F15" s="328">
        <f t="shared" ref="F15" si="2">E15*D15</f>
        <v>592920</v>
      </c>
    </row>
    <row r="16" spans="1:6" x14ac:dyDescent="0.3">
      <c r="A16" s="330"/>
      <c r="B16" s="322" t="s">
        <v>7</v>
      </c>
      <c r="C16" s="321"/>
      <c r="D16" s="321"/>
      <c r="E16" s="323"/>
      <c r="F16" s="331">
        <f>SUM(F14:F15)</f>
        <v>818100</v>
      </c>
    </row>
    <row r="17" spans="1:7" x14ac:dyDescent="0.3">
      <c r="A17" s="330" t="s">
        <v>17</v>
      </c>
      <c r="B17" s="322" t="s">
        <v>20</v>
      </c>
      <c r="C17" s="321"/>
      <c r="D17" s="356"/>
      <c r="E17" s="323"/>
      <c r="F17" s="331"/>
    </row>
    <row r="18" spans="1:7" x14ac:dyDescent="0.3">
      <c r="A18" s="333" t="s">
        <v>40</v>
      </c>
      <c r="B18" s="335" t="s">
        <v>475</v>
      </c>
      <c r="C18" s="325" t="s">
        <v>80</v>
      </c>
      <c r="D18" s="336">
        <v>7</v>
      </c>
      <c r="E18" s="329">
        <v>1500</v>
      </c>
      <c r="F18" s="328">
        <f>D18*E18</f>
        <v>10500</v>
      </c>
    </row>
    <row r="19" spans="1:7" x14ac:dyDescent="0.3">
      <c r="A19" s="333" t="s">
        <v>61</v>
      </c>
      <c r="B19" s="335" t="s">
        <v>493</v>
      </c>
      <c r="C19" s="325" t="s">
        <v>80</v>
      </c>
      <c r="D19" s="336">
        <v>1</v>
      </c>
      <c r="E19" s="329">
        <v>80000</v>
      </c>
      <c r="F19" s="328">
        <f>D19*E19</f>
        <v>80000</v>
      </c>
    </row>
    <row r="20" spans="1:7" x14ac:dyDescent="0.3">
      <c r="A20" s="333" t="s">
        <v>71</v>
      </c>
      <c r="B20" s="335" t="s">
        <v>494</v>
      </c>
      <c r="C20" s="325" t="s">
        <v>80</v>
      </c>
      <c r="D20" s="336">
        <v>3</v>
      </c>
      <c r="E20" s="329">
        <v>60000</v>
      </c>
      <c r="F20" s="328">
        <f>D20*E20</f>
        <v>180000</v>
      </c>
    </row>
    <row r="21" spans="1:7" x14ac:dyDescent="0.3">
      <c r="A21" s="330"/>
      <c r="B21" s="322" t="s">
        <v>7</v>
      </c>
      <c r="C21" s="321"/>
      <c r="D21" s="356"/>
      <c r="E21" s="323"/>
      <c r="F21" s="331">
        <f>SUM(F18:F20)</f>
        <v>270500</v>
      </c>
    </row>
    <row r="22" spans="1:7" x14ac:dyDescent="0.3">
      <c r="A22" s="330" t="s">
        <v>19</v>
      </c>
      <c r="B22" s="322" t="s">
        <v>102</v>
      </c>
      <c r="C22" s="321"/>
      <c r="D22" s="356"/>
      <c r="E22" s="323"/>
      <c r="F22" s="331"/>
    </row>
    <row r="23" spans="1:7" ht="26.4" x14ac:dyDescent="0.3">
      <c r="A23" s="333" t="s">
        <v>65</v>
      </c>
      <c r="B23" s="120" t="s">
        <v>495</v>
      </c>
      <c r="C23" s="325" t="s">
        <v>16</v>
      </c>
      <c r="D23" s="336">
        <f>(6.97*5.54)</f>
        <v>38.613799999999998</v>
      </c>
      <c r="E23" s="329">
        <v>8000</v>
      </c>
      <c r="F23" s="328">
        <f>D23*E23</f>
        <v>308910.39999999997</v>
      </c>
    </row>
    <row r="24" spans="1:7" x14ac:dyDescent="0.3">
      <c r="A24" s="330"/>
      <c r="B24" s="322" t="s">
        <v>7</v>
      </c>
      <c r="C24" s="321"/>
      <c r="D24" s="356"/>
      <c r="E24" s="323"/>
      <c r="F24" s="331">
        <f>SUM(F23:F23)</f>
        <v>308910.39999999997</v>
      </c>
    </row>
    <row r="25" spans="1:7" x14ac:dyDescent="0.3">
      <c r="A25" s="330" t="s">
        <v>22</v>
      </c>
      <c r="B25" s="322" t="s">
        <v>138</v>
      </c>
      <c r="C25" s="321"/>
      <c r="D25" s="356"/>
      <c r="E25" s="323"/>
      <c r="F25" s="331"/>
      <c r="G25" s="340"/>
    </row>
    <row r="26" spans="1:7" x14ac:dyDescent="0.3">
      <c r="A26" s="333" t="s">
        <v>63</v>
      </c>
      <c r="B26" s="326" t="s">
        <v>106</v>
      </c>
      <c r="C26" s="325" t="s">
        <v>16</v>
      </c>
      <c r="D26" s="336">
        <f>((1.2*1.2)*3+(0.9*2.2))*2.5</f>
        <v>15.750000000000002</v>
      </c>
      <c r="E26" s="329">
        <v>3000</v>
      </c>
      <c r="F26" s="328">
        <f>E26*D26</f>
        <v>47250.000000000007</v>
      </c>
    </row>
    <row r="27" spans="1:7" x14ac:dyDescent="0.3">
      <c r="A27" s="333" t="s">
        <v>64</v>
      </c>
      <c r="B27" s="326" t="s">
        <v>480</v>
      </c>
      <c r="C27" s="325" t="s">
        <v>16</v>
      </c>
      <c r="D27" s="336">
        <f>(6.97+5.54)*2*3-(15.75)</f>
        <v>59.31</v>
      </c>
      <c r="E27" s="329">
        <v>2000</v>
      </c>
      <c r="F27" s="328">
        <f>E27*D27</f>
        <v>118620</v>
      </c>
    </row>
    <row r="28" spans="1:7" x14ac:dyDescent="0.3">
      <c r="A28" s="333" t="s">
        <v>74</v>
      </c>
      <c r="B28" s="335" t="s">
        <v>108</v>
      </c>
      <c r="C28" s="325" t="s">
        <v>16</v>
      </c>
      <c r="D28" s="336">
        <f>D23</f>
        <v>38.613799999999998</v>
      </c>
      <c r="E28" s="329">
        <v>2000</v>
      </c>
      <c r="F28" s="328">
        <f>E28*D28</f>
        <v>77227.599999999991</v>
      </c>
    </row>
    <row r="29" spans="1:7" x14ac:dyDescent="0.3">
      <c r="A29" s="333"/>
      <c r="B29" s="345" t="s">
        <v>7</v>
      </c>
      <c r="C29" s="345"/>
      <c r="D29" s="345"/>
      <c r="E29" s="345"/>
      <c r="F29" s="331">
        <f>SUM(F26:F28)</f>
        <v>243097.59999999998</v>
      </c>
    </row>
    <row r="30" spans="1:7" x14ac:dyDescent="0.3">
      <c r="A30" s="330" t="s">
        <v>101</v>
      </c>
      <c r="B30" s="348" t="s">
        <v>482</v>
      </c>
      <c r="C30" s="348"/>
      <c r="D30" s="348"/>
      <c r="E30" s="348"/>
      <c r="F30" s="350"/>
    </row>
    <row r="31" spans="1:7" x14ac:dyDescent="0.3">
      <c r="A31" s="333" t="s">
        <v>136</v>
      </c>
      <c r="B31" s="341" t="s">
        <v>496</v>
      </c>
      <c r="C31" s="423" t="s">
        <v>6</v>
      </c>
      <c r="D31" s="423">
        <v>1</v>
      </c>
      <c r="E31" s="425">
        <v>80000</v>
      </c>
      <c r="F31" s="421">
        <f>+D31*E31</f>
        <v>80000</v>
      </c>
    </row>
    <row r="32" spans="1:7" x14ac:dyDescent="0.3">
      <c r="A32" s="333" t="s">
        <v>137</v>
      </c>
      <c r="B32" s="341" t="s">
        <v>497</v>
      </c>
      <c r="C32" s="424"/>
      <c r="D32" s="424"/>
      <c r="E32" s="426"/>
      <c r="F32" s="422"/>
    </row>
    <row r="33" spans="1:6" x14ac:dyDescent="0.3">
      <c r="A33" s="333" t="s">
        <v>277</v>
      </c>
      <c r="B33" s="349" t="s">
        <v>484</v>
      </c>
      <c r="C33" s="352" t="s">
        <v>80</v>
      </c>
      <c r="D33" s="352">
        <v>2</v>
      </c>
      <c r="E33" s="343">
        <v>35000</v>
      </c>
      <c r="F33" s="328">
        <f>E33*D33</f>
        <v>70000</v>
      </c>
    </row>
    <row r="34" spans="1:6" x14ac:dyDescent="0.3">
      <c r="A34" s="333" t="s">
        <v>279</v>
      </c>
      <c r="B34" s="341" t="s">
        <v>498</v>
      </c>
      <c r="C34" s="352" t="s">
        <v>80</v>
      </c>
      <c r="D34" s="352">
        <v>2</v>
      </c>
      <c r="E34" s="343">
        <v>10000</v>
      </c>
      <c r="F34" s="328">
        <f t="shared" ref="F34:F37" si="3">E34*D34</f>
        <v>20000</v>
      </c>
    </row>
    <row r="35" spans="1:6" x14ac:dyDescent="0.3">
      <c r="A35" s="333" t="s">
        <v>281</v>
      </c>
      <c r="B35" s="341" t="s">
        <v>486</v>
      </c>
      <c r="C35" s="352" t="s">
        <v>80</v>
      </c>
      <c r="D35" s="352">
        <v>2</v>
      </c>
      <c r="E35" s="343">
        <v>15000</v>
      </c>
      <c r="F35" s="328">
        <f t="shared" si="3"/>
        <v>30000</v>
      </c>
    </row>
    <row r="36" spans="1:6" x14ac:dyDescent="0.3">
      <c r="A36" s="333" t="s">
        <v>283</v>
      </c>
      <c r="B36" s="349" t="s">
        <v>499</v>
      </c>
      <c r="C36" s="352" t="s">
        <v>80</v>
      </c>
      <c r="D36" s="352">
        <v>2</v>
      </c>
      <c r="E36" s="343">
        <v>3000</v>
      </c>
      <c r="F36" s="328">
        <f t="shared" si="3"/>
        <v>6000</v>
      </c>
    </row>
    <row r="37" spans="1:6" x14ac:dyDescent="0.3">
      <c r="A37" s="333" t="s">
        <v>285</v>
      </c>
      <c r="B37" s="349" t="s">
        <v>500</v>
      </c>
      <c r="C37" s="352" t="s">
        <v>80</v>
      </c>
      <c r="D37" s="352">
        <v>2</v>
      </c>
      <c r="E37" s="343">
        <v>1500</v>
      </c>
      <c r="F37" s="328">
        <f t="shared" si="3"/>
        <v>3000</v>
      </c>
    </row>
    <row r="38" spans="1:6" x14ac:dyDescent="0.3">
      <c r="A38" s="330"/>
      <c r="B38" s="345" t="s">
        <v>7</v>
      </c>
      <c r="C38" s="345"/>
      <c r="D38" s="345"/>
      <c r="E38" s="345"/>
      <c r="F38" s="331">
        <f>SUM(F31:F37)</f>
        <v>209000</v>
      </c>
    </row>
    <row r="39" spans="1:6" ht="15" thickBot="1" x14ac:dyDescent="0.35">
      <c r="A39" s="415" t="s">
        <v>515</v>
      </c>
      <c r="B39" s="416"/>
      <c r="C39" s="416"/>
      <c r="D39" s="416"/>
      <c r="E39" s="417"/>
      <c r="F39" s="354">
        <f>SUM(F29,F24,F21,F16,F12+F38+F8)</f>
        <v>4804510</v>
      </c>
    </row>
    <row r="40" spans="1:6" ht="15.6" thickTop="1" thickBot="1" x14ac:dyDescent="0.35">
      <c r="A40" s="415" t="s">
        <v>516</v>
      </c>
      <c r="B40" s="416"/>
      <c r="C40" s="416"/>
      <c r="D40" s="416"/>
      <c r="E40" s="417"/>
      <c r="F40" s="354">
        <f>+F39/655.957</f>
        <v>7324.4282780731055</v>
      </c>
    </row>
    <row r="41" spans="1:6" ht="15" thickTop="1" x14ac:dyDescent="0.3"/>
  </sheetData>
  <mergeCells count="8">
    <mergeCell ref="F31:F32"/>
    <mergeCell ref="A1:F1"/>
    <mergeCell ref="A2:F2"/>
    <mergeCell ref="A39:E39"/>
    <mergeCell ref="A40:E40"/>
    <mergeCell ref="C31:C32"/>
    <mergeCell ref="D31:D32"/>
    <mergeCell ref="E31:E3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F31"/>
  <sheetViews>
    <sheetView topLeftCell="A19" zoomScaleNormal="100" zoomScaleSheetLayoutView="90" workbookViewId="0">
      <selection activeCell="B12" sqref="B12"/>
    </sheetView>
  </sheetViews>
  <sheetFormatPr baseColWidth="10" defaultColWidth="11.44140625" defaultRowHeight="14.4" x14ac:dyDescent="0.3"/>
  <cols>
    <col min="1" max="1" width="5.88671875" style="314" customWidth="1"/>
    <col min="2" max="2" width="58.109375" style="314" bestFit="1" customWidth="1"/>
    <col min="3" max="3" width="9.6640625" style="314" customWidth="1"/>
    <col min="4" max="4" width="20" style="314" bestFit="1" customWidth="1"/>
    <col min="5" max="5" width="36.5546875" style="314" customWidth="1"/>
    <col min="6" max="16384" width="11.44140625" style="314"/>
  </cols>
  <sheetData>
    <row r="1" spans="1:5" s="1" customFormat="1" ht="13.8" x14ac:dyDescent="0.25">
      <c r="A1" s="401" t="s">
        <v>460</v>
      </c>
      <c r="B1" s="402"/>
      <c r="C1" s="402"/>
      <c r="D1" s="402"/>
      <c r="E1" s="403"/>
    </row>
    <row r="2" spans="1:5" ht="15.6" x14ac:dyDescent="0.3">
      <c r="A2" s="414" t="s">
        <v>520</v>
      </c>
      <c r="B2" s="414"/>
      <c r="C2" s="414"/>
      <c r="D2" s="414"/>
      <c r="E2" s="414"/>
    </row>
    <row r="3" spans="1:5" ht="18" thickBot="1" x14ac:dyDescent="0.35">
      <c r="A3" s="313"/>
      <c r="B3" s="315"/>
      <c r="C3" s="316"/>
      <c r="D3" s="316"/>
      <c r="E3" s="316"/>
    </row>
    <row r="4" spans="1:5" ht="15" thickTop="1" x14ac:dyDescent="0.3">
      <c r="A4" s="317" t="s">
        <v>78</v>
      </c>
      <c r="B4" s="318" t="s">
        <v>79</v>
      </c>
      <c r="C4" s="317" t="s">
        <v>517</v>
      </c>
      <c r="D4" s="319" t="s">
        <v>425</v>
      </c>
      <c r="E4" s="368" t="s">
        <v>424</v>
      </c>
    </row>
    <row r="5" spans="1:5" x14ac:dyDescent="0.3">
      <c r="A5" s="321" t="s">
        <v>0</v>
      </c>
      <c r="B5" s="322" t="s">
        <v>464</v>
      </c>
      <c r="C5" s="321"/>
      <c r="D5" s="323"/>
      <c r="E5" s="324"/>
    </row>
    <row r="6" spans="1:5" x14ac:dyDescent="0.3">
      <c r="A6" s="325" t="s">
        <v>25</v>
      </c>
      <c r="B6" s="326" t="s">
        <v>466</v>
      </c>
      <c r="C6" s="325" t="s">
        <v>6</v>
      </c>
      <c r="D6" s="327"/>
      <c r="E6" s="328"/>
    </row>
    <row r="7" spans="1:5" ht="27" x14ac:dyDescent="0.3">
      <c r="A7" s="325" t="s">
        <v>128</v>
      </c>
      <c r="B7" s="118" t="s">
        <v>467</v>
      </c>
      <c r="C7" s="119" t="s">
        <v>10</v>
      </c>
      <c r="D7" s="327"/>
      <c r="E7" s="328"/>
    </row>
    <row r="8" spans="1:5" x14ac:dyDescent="0.3">
      <c r="A8" s="330" t="s">
        <v>8</v>
      </c>
      <c r="B8" s="322" t="s">
        <v>13</v>
      </c>
      <c r="C8" s="321"/>
      <c r="D8" s="323"/>
      <c r="E8" s="331"/>
    </row>
    <row r="9" spans="1:5" x14ac:dyDescent="0.3">
      <c r="A9" s="333" t="s">
        <v>50</v>
      </c>
      <c r="B9" s="118" t="s">
        <v>490</v>
      </c>
      <c r="C9" s="119" t="s">
        <v>16</v>
      </c>
      <c r="D9" s="329"/>
      <c r="E9" s="328"/>
    </row>
    <row r="10" spans="1:5" x14ac:dyDescent="0.3">
      <c r="A10" s="333" t="s">
        <v>51</v>
      </c>
      <c r="B10" s="118" t="s">
        <v>469</v>
      </c>
      <c r="C10" s="119" t="s">
        <v>16</v>
      </c>
      <c r="D10" s="329"/>
      <c r="E10" s="328"/>
    </row>
    <row r="11" spans="1:5" x14ac:dyDescent="0.3">
      <c r="A11" s="330" t="s">
        <v>12</v>
      </c>
      <c r="B11" s="322" t="s">
        <v>18</v>
      </c>
      <c r="C11" s="321"/>
      <c r="D11" s="323"/>
      <c r="E11" s="331"/>
    </row>
    <row r="12" spans="1:5" x14ac:dyDescent="0.3">
      <c r="A12" s="333" t="s">
        <v>41</v>
      </c>
      <c r="B12" s="326" t="s">
        <v>491</v>
      </c>
      <c r="C12" s="119" t="s">
        <v>16</v>
      </c>
      <c r="D12" s="329"/>
      <c r="E12" s="328"/>
    </row>
    <row r="13" spans="1:5" x14ac:dyDescent="0.3">
      <c r="A13" s="333" t="s">
        <v>42</v>
      </c>
      <c r="B13" s="335" t="s">
        <v>492</v>
      </c>
      <c r="C13" s="119" t="s">
        <v>16</v>
      </c>
      <c r="D13" s="329"/>
      <c r="E13" s="328"/>
    </row>
    <row r="14" spans="1:5" x14ac:dyDescent="0.3">
      <c r="A14" s="330" t="s">
        <v>17</v>
      </c>
      <c r="B14" s="322" t="s">
        <v>20</v>
      </c>
      <c r="C14" s="321"/>
      <c r="D14" s="323"/>
      <c r="E14" s="331"/>
    </row>
    <row r="15" spans="1:5" x14ac:dyDescent="0.3">
      <c r="A15" s="333" t="s">
        <v>40</v>
      </c>
      <c r="B15" s="335" t="s">
        <v>475</v>
      </c>
      <c r="C15" s="325" t="s">
        <v>80</v>
      </c>
      <c r="D15" s="329"/>
      <c r="E15" s="328"/>
    </row>
    <row r="16" spans="1:5" x14ac:dyDescent="0.3">
      <c r="A16" s="333" t="s">
        <v>61</v>
      </c>
      <c r="B16" s="335" t="s">
        <v>493</v>
      </c>
      <c r="C16" s="325" t="s">
        <v>80</v>
      </c>
      <c r="D16" s="329"/>
      <c r="E16" s="328"/>
    </row>
    <row r="17" spans="1:6" x14ac:dyDescent="0.3">
      <c r="A17" s="333" t="s">
        <v>71</v>
      </c>
      <c r="B17" s="335" t="s">
        <v>494</v>
      </c>
      <c r="C17" s="325" t="s">
        <v>80</v>
      </c>
      <c r="D17" s="329"/>
      <c r="E17" s="328"/>
    </row>
    <row r="18" spans="1:6" x14ac:dyDescent="0.3">
      <c r="A18" s="330" t="s">
        <v>19</v>
      </c>
      <c r="B18" s="322" t="s">
        <v>102</v>
      </c>
      <c r="C18" s="321"/>
      <c r="D18" s="323"/>
      <c r="E18" s="331"/>
    </row>
    <row r="19" spans="1:6" ht="26.4" x14ac:dyDescent="0.3">
      <c r="A19" s="333" t="s">
        <v>65</v>
      </c>
      <c r="B19" s="120" t="s">
        <v>495</v>
      </c>
      <c r="C19" s="325" t="s">
        <v>16</v>
      </c>
      <c r="D19" s="329"/>
      <c r="E19" s="328"/>
    </row>
    <row r="20" spans="1:6" x14ac:dyDescent="0.3">
      <c r="A20" s="330" t="s">
        <v>22</v>
      </c>
      <c r="B20" s="322" t="s">
        <v>138</v>
      </c>
      <c r="C20" s="321"/>
      <c r="D20" s="323"/>
      <c r="E20" s="331"/>
      <c r="F20" s="340"/>
    </row>
    <row r="21" spans="1:6" x14ac:dyDescent="0.3">
      <c r="A21" s="333" t="s">
        <v>63</v>
      </c>
      <c r="B21" s="326" t="s">
        <v>106</v>
      </c>
      <c r="C21" s="325" t="s">
        <v>16</v>
      </c>
      <c r="D21" s="329"/>
      <c r="E21" s="328"/>
    </row>
    <row r="22" spans="1:6" x14ac:dyDescent="0.3">
      <c r="A22" s="333" t="s">
        <v>64</v>
      </c>
      <c r="B22" s="326" t="s">
        <v>480</v>
      </c>
      <c r="C22" s="325" t="s">
        <v>16</v>
      </c>
      <c r="D22" s="329"/>
      <c r="E22" s="328"/>
    </row>
    <row r="23" spans="1:6" x14ac:dyDescent="0.3">
      <c r="A23" s="333" t="s">
        <v>74</v>
      </c>
      <c r="B23" s="335" t="s">
        <v>108</v>
      </c>
      <c r="C23" s="325" t="s">
        <v>16</v>
      </c>
      <c r="D23" s="329"/>
      <c r="E23" s="328"/>
    </row>
    <row r="24" spans="1:6" x14ac:dyDescent="0.3">
      <c r="A24" s="330" t="s">
        <v>101</v>
      </c>
      <c r="B24" s="348" t="s">
        <v>482</v>
      </c>
      <c r="C24" s="348"/>
      <c r="D24" s="348"/>
      <c r="E24" s="350"/>
    </row>
    <row r="25" spans="1:6" x14ac:dyDescent="0.3">
      <c r="A25" s="333" t="s">
        <v>136</v>
      </c>
      <c r="B25" s="341" t="s">
        <v>496</v>
      </c>
      <c r="C25" s="423" t="s">
        <v>6</v>
      </c>
      <c r="D25" s="425"/>
      <c r="E25" s="421"/>
    </row>
    <row r="26" spans="1:6" x14ac:dyDescent="0.3">
      <c r="A26" s="333" t="s">
        <v>137</v>
      </c>
      <c r="B26" s="341" t="s">
        <v>497</v>
      </c>
      <c r="C26" s="424"/>
      <c r="D26" s="426"/>
      <c r="E26" s="422"/>
    </row>
    <row r="27" spans="1:6" x14ac:dyDescent="0.3">
      <c r="A27" s="333" t="s">
        <v>277</v>
      </c>
      <c r="B27" s="349" t="s">
        <v>484</v>
      </c>
      <c r="C27" s="352" t="s">
        <v>80</v>
      </c>
      <c r="D27" s="343"/>
      <c r="E27" s="328"/>
    </row>
    <row r="28" spans="1:6" x14ac:dyDescent="0.3">
      <c r="A28" s="333" t="s">
        <v>279</v>
      </c>
      <c r="B28" s="341" t="s">
        <v>498</v>
      </c>
      <c r="C28" s="352" t="s">
        <v>80</v>
      </c>
      <c r="D28" s="343"/>
      <c r="E28" s="328"/>
    </row>
    <row r="29" spans="1:6" x14ac:dyDescent="0.3">
      <c r="A29" s="333" t="s">
        <v>281</v>
      </c>
      <c r="B29" s="341" t="s">
        <v>486</v>
      </c>
      <c r="C29" s="352" t="s">
        <v>80</v>
      </c>
      <c r="D29" s="343"/>
      <c r="E29" s="328"/>
    </row>
    <row r="30" spans="1:6" x14ac:dyDescent="0.3">
      <c r="A30" s="333" t="s">
        <v>283</v>
      </c>
      <c r="B30" s="349" t="s">
        <v>499</v>
      </c>
      <c r="C30" s="352" t="s">
        <v>80</v>
      </c>
      <c r="D30" s="343"/>
      <c r="E30" s="328"/>
    </row>
    <row r="31" spans="1:6" x14ac:dyDescent="0.3">
      <c r="A31" s="325" t="s">
        <v>285</v>
      </c>
      <c r="B31" s="346" t="s">
        <v>500</v>
      </c>
      <c r="C31" s="325" t="s">
        <v>80</v>
      </c>
      <c r="D31" s="366"/>
      <c r="E31" s="367"/>
    </row>
  </sheetData>
  <mergeCells count="5">
    <mergeCell ref="A1:E1"/>
    <mergeCell ref="A2:E2"/>
    <mergeCell ref="C25:C26"/>
    <mergeCell ref="D25:D26"/>
    <mergeCell ref="E25:E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abSelected="1" workbookViewId="0">
      <selection activeCell="G17" sqref="G17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8.44140625" style="1" customWidth="1"/>
    <col min="5" max="5" width="13" style="1" customWidth="1"/>
    <col min="6" max="6" width="13.6640625" style="1" customWidth="1"/>
    <col min="7" max="16384" width="11.44140625" style="1"/>
  </cols>
  <sheetData>
    <row r="1" spans="1:7" x14ac:dyDescent="0.25">
      <c r="A1" s="382" t="s">
        <v>460</v>
      </c>
      <c r="B1" s="382"/>
      <c r="C1" s="382"/>
      <c r="D1" s="382"/>
      <c r="E1" s="382"/>
      <c r="F1" s="382"/>
    </row>
    <row r="2" spans="1:7" ht="13.8" thickBot="1" x14ac:dyDescent="0.3">
      <c r="A2" s="386" t="s">
        <v>31</v>
      </c>
      <c r="B2" s="387"/>
      <c r="C2" s="387"/>
      <c r="D2" s="387"/>
      <c r="E2" s="387"/>
      <c r="F2" s="388"/>
    </row>
    <row r="3" spans="1:7" ht="14.4" thickTop="1" thickBot="1" x14ac:dyDescent="0.3">
      <c r="A3" s="155"/>
      <c r="B3" s="383"/>
      <c r="C3" s="383"/>
      <c r="D3" s="383"/>
      <c r="E3" s="383"/>
      <c r="F3" s="383"/>
    </row>
    <row r="4" spans="1:7" ht="13.8" thickTop="1" x14ac:dyDescent="0.25">
      <c r="A4" s="156"/>
      <c r="B4" s="157" t="s">
        <v>30</v>
      </c>
      <c r="C4" s="158" t="s">
        <v>2</v>
      </c>
      <c r="D4" s="162" t="s">
        <v>3</v>
      </c>
      <c r="E4" s="133" t="s">
        <v>4</v>
      </c>
      <c r="F4" s="138" t="s">
        <v>5</v>
      </c>
    </row>
    <row r="5" spans="1:7" x14ac:dyDescent="0.25">
      <c r="A5" s="156" t="s">
        <v>0</v>
      </c>
      <c r="B5" s="157" t="s">
        <v>1</v>
      </c>
      <c r="C5" s="158"/>
      <c r="D5" s="162"/>
      <c r="E5" s="133"/>
      <c r="F5" s="138"/>
    </row>
    <row r="6" spans="1:7" ht="122.25" customHeight="1" x14ac:dyDescent="0.25">
      <c r="A6" s="135" t="s">
        <v>25</v>
      </c>
      <c r="B6" s="159" t="s">
        <v>304</v>
      </c>
      <c r="C6" s="119" t="s">
        <v>6</v>
      </c>
      <c r="D6" s="119">
        <v>1</v>
      </c>
      <c r="E6" s="142"/>
      <c r="F6" s="160"/>
      <c r="G6" s="161"/>
    </row>
    <row r="7" spans="1:7" x14ac:dyDescent="0.25">
      <c r="A7" s="384" t="s">
        <v>461</v>
      </c>
      <c r="B7" s="385"/>
      <c r="C7" s="385"/>
      <c r="D7" s="385"/>
      <c r="E7" s="385"/>
      <c r="F7" s="163"/>
    </row>
    <row r="8" spans="1:7" ht="13.8" thickBot="1" x14ac:dyDescent="0.3">
      <c r="A8" s="384" t="s">
        <v>462</v>
      </c>
      <c r="B8" s="385"/>
      <c r="C8" s="385"/>
      <c r="D8" s="385"/>
      <c r="E8" s="385"/>
      <c r="F8" s="164"/>
    </row>
    <row r="9" spans="1:7" ht="13.8" thickTop="1" x14ac:dyDescent="0.25"/>
  </sheetData>
  <mergeCells count="5">
    <mergeCell ref="A1:F1"/>
    <mergeCell ref="A2:F2"/>
    <mergeCell ref="B3:F3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F24"/>
  <sheetViews>
    <sheetView topLeftCell="A7" zoomScale="98" zoomScaleNormal="98" workbookViewId="0">
      <selection activeCell="H8" sqref="H8"/>
    </sheetView>
  </sheetViews>
  <sheetFormatPr baseColWidth="10" defaultColWidth="11.44140625" defaultRowHeight="14.4" x14ac:dyDescent="0.3"/>
  <cols>
    <col min="1" max="1" width="5.88671875" style="314" customWidth="1"/>
    <col min="2" max="2" width="43.88671875" style="314" bestFit="1" customWidth="1"/>
    <col min="3" max="3" width="9.6640625" style="314" customWidth="1"/>
    <col min="4" max="4" width="11.44140625" style="314"/>
    <col min="5" max="5" width="12.88671875" style="314" bestFit="1" customWidth="1"/>
    <col min="6" max="6" width="14" style="314" customWidth="1"/>
    <col min="7" max="16384" width="11.44140625" style="314"/>
  </cols>
  <sheetData>
    <row r="1" spans="1:6" s="1" customFormat="1" ht="13.8" x14ac:dyDescent="0.25">
      <c r="A1" s="401" t="s">
        <v>460</v>
      </c>
      <c r="B1" s="402"/>
      <c r="C1" s="402"/>
      <c r="D1" s="402"/>
      <c r="E1" s="402"/>
      <c r="F1" s="403"/>
    </row>
    <row r="2" spans="1:6" ht="15.6" x14ac:dyDescent="0.3">
      <c r="A2" s="414" t="s">
        <v>501</v>
      </c>
      <c r="B2" s="414"/>
      <c r="C2" s="414"/>
      <c r="D2" s="414"/>
      <c r="E2" s="414"/>
      <c r="F2" s="414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" thickTop="1" x14ac:dyDescent="0.3">
      <c r="A4" s="317" t="s">
        <v>78</v>
      </c>
      <c r="B4" s="318" t="s">
        <v>79</v>
      </c>
      <c r="C4" s="317" t="s">
        <v>517</v>
      </c>
      <c r="D4" s="317" t="s">
        <v>81</v>
      </c>
      <c r="E4" s="357" t="s">
        <v>82</v>
      </c>
      <c r="F4" s="358" t="s">
        <v>83</v>
      </c>
    </row>
    <row r="5" spans="1:6" x14ac:dyDescent="0.3">
      <c r="A5" s="330" t="s">
        <v>0</v>
      </c>
      <c r="B5" s="322" t="s">
        <v>13</v>
      </c>
      <c r="C5" s="321"/>
      <c r="D5" s="355"/>
      <c r="E5" s="359"/>
      <c r="F5" s="360"/>
    </row>
    <row r="6" spans="1:6" ht="27" x14ac:dyDescent="0.3">
      <c r="A6" s="333" t="s">
        <v>25</v>
      </c>
      <c r="B6" s="118" t="s">
        <v>502</v>
      </c>
      <c r="C6" s="119" t="s">
        <v>16</v>
      </c>
      <c r="D6" s="332">
        <f>(3.65+3)*2+(3.7+2.95)*2</f>
        <v>26.6</v>
      </c>
      <c r="E6" s="361"/>
      <c r="F6" s="362"/>
    </row>
    <row r="7" spans="1:6" ht="26.4" x14ac:dyDescent="0.3">
      <c r="A7" s="333" t="s">
        <v>128</v>
      </c>
      <c r="B7" s="120" t="s">
        <v>467</v>
      </c>
      <c r="C7" s="119" t="s">
        <v>10</v>
      </c>
      <c r="D7" s="332">
        <f>((3.65+3)*2+(3.7+2.95)*2)*0.6*0.8</f>
        <v>12.768000000000001</v>
      </c>
      <c r="E7" s="329"/>
      <c r="F7" s="362"/>
    </row>
    <row r="8" spans="1:6" x14ac:dyDescent="0.3">
      <c r="A8" s="333" t="s">
        <v>129</v>
      </c>
      <c r="B8" s="118" t="s">
        <v>503</v>
      </c>
      <c r="C8" s="119" t="s">
        <v>10</v>
      </c>
      <c r="D8" s="332">
        <f>0.18+0.18</f>
        <v>0.36</v>
      </c>
      <c r="E8" s="361"/>
      <c r="F8" s="362"/>
    </row>
    <row r="9" spans="1:6" x14ac:dyDescent="0.3">
      <c r="A9" s="330"/>
      <c r="B9" s="322" t="s">
        <v>7</v>
      </c>
      <c r="C9" s="321"/>
      <c r="D9" s="321"/>
      <c r="E9" s="359"/>
      <c r="F9" s="360"/>
    </row>
    <row r="10" spans="1:6" x14ac:dyDescent="0.3">
      <c r="A10" s="330" t="s">
        <v>8</v>
      </c>
      <c r="B10" s="322" t="s">
        <v>18</v>
      </c>
      <c r="C10" s="321"/>
      <c r="D10" s="321"/>
      <c r="E10" s="359"/>
      <c r="F10" s="360"/>
    </row>
    <row r="11" spans="1:6" x14ac:dyDescent="0.3">
      <c r="A11" s="333" t="s">
        <v>50</v>
      </c>
      <c r="B11" s="326" t="s">
        <v>491</v>
      </c>
      <c r="C11" s="325" t="s">
        <v>16</v>
      </c>
      <c r="D11" s="336">
        <f>((3.65+3)*2.5*2+(3.7+2.95)*2.5*2)-(11.2)</f>
        <v>55.3</v>
      </c>
      <c r="E11" s="361"/>
      <c r="F11" s="362"/>
    </row>
    <row r="12" spans="1:6" x14ac:dyDescent="0.3">
      <c r="A12" s="333" t="s">
        <v>51</v>
      </c>
      <c r="B12" s="335" t="s">
        <v>504</v>
      </c>
      <c r="C12" s="119" t="s">
        <v>16</v>
      </c>
      <c r="D12" s="336">
        <f>((3.65+3)*2.5*2+(3.7+2.95)*2.5*2)-(11.2)</f>
        <v>55.3</v>
      </c>
      <c r="E12" s="361"/>
      <c r="F12" s="362"/>
    </row>
    <row r="13" spans="1:6" x14ac:dyDescent="0.3">
      <c r="A13" s="330"/>
      <c r="B13" s="322" t="s">
        <v>7</v>
      </c>
      <c r="C13" s="321"/>
      <c r="D13" s="321"/>
      <c r="E13" s="359"/>
      <c r="F13" s="360"/>
    </row>
    <row r="14" spans="1:6" x14ac:dyDescent="0.3">
      <c r="A14" s="330" t="s">
        <v>12</v>
      </c>
      <c r="B14" s="322" t="s">
        <v>20</v>
      </c>
      <c r="C14" s="321"/>
      <c r="D14" s="356"/>
      <c r="E14" s="359"/>
      <c r="F14" s="360"/>
    </row>
    <row r="15" spans="1:6" ht="26.4" x14ac:dyDescent="0.3">
      <c r="A15" s="333" t="s">
        <v>41</v>
      </c>
      <c r="B15" s="122" t="s">
        <v>505</v>
      </c>
      <c r="C15" s="325" t="s">
        <v>6</v>
      </c>
      <c r="D15" s="336">
        <v>1</v>
      </c>
      <c r="E15" s="361"/>
      <c r="F15" s="362"/>
    </row>
    <row r="16" spans="1:6" x14ac:dyDescent="0.3">
      <c r="A16" s="330"/>
      <c r="B16" s="322" t="s">
        <v>7</v>
      </c>
      <c r="C16" s="321"/>
      <c r="D16" s="356"/>
      <c r="E16" s="359"/>
      <c r="F16" s="360"/>
    </row>
    <row r="17" spans="1:6" x14ac:dyDescent="0.3">
      <c r="A17" s="330" t="s">
        <v>17</v>
      </c>
      <c r="B17" s="322" t="s">
        <v>506</v>
      </c>
      <c r="C17" s="321"/>
      <c r="D17" s="356"/>
      <c r="E17" s="359"/>
      <c r="F17" s="360"/>
    </row>
    <row r="18" spans="1:6" x14ac:dyDescent="0.3">
      <c r="A18" s="333" t="s">
        <v>40</v>
      </c>
      <c r="B18" s="326" t="s">
        <v>507</v>
      </c>
      <c r="C18" s="325" t="s">
        <v>6</v>
      </c>
      <c r="D18" s="336">
        <v>1</v>
      </c>
      <c r="E18" s="361"/>
      <c r="F18" s="362"/>
    </row>
    <row r="19" spans="1:6" ht="26.4" x14ac:dyDescent="0.3">
      <c r="A19" s="333" t="s">
        <v>61</v>
      </c>
      <c r="B19" s="335" t="s">
        <v>508</v>
      </c>
      <c r="C19" s="325" t="s">
        <v>80</v>
      </c>
      <c r="D19" s="336">
        <v>2</v>
      </c>
      <c r="E19" s="361"/>
      <c r="F19" s="362"/>
    </row>
    <row r="20" spans="1:6" ht="22.8" x14ac:dyDescent="0.3">
      <c r="A20" s="333" t="s">
        <v>71</v>
      </c>
      <c r="B20" s="341" t="s">
        <v>509</v>
      </c>
      <c r="C20" s="352" t="s">
        <v>6</v>
      </c>
      <c r="D20" s="363">
        <v>1</v>
      </c>
      <c r="E20" s="364"/>
      <c r="F20" s="362"/>
    </row>
    <row r="21" spans="1:6" x14ac:dyDescent="0.3">
      <c r="A21" s="330"/>
      <c r="B21" s="345" t="s">
        <v>7</v>
      </c>
      <c r="C21" s="345"/>
      <c r="D21" s="345"/>
      <c r="E21" s="345"/>
      <c r="F21" s="360"/>
    </row>
    <row r="22" spans="1:6" ht="15" thickBot="1" x14ac:dyDescent="0.35">
      <c r="A22" s="353"/>
      <c r="B22" s="427" t="s">
        <v>518</v>
      </c>
      <c r="C22" s="416"/>
      <c r="D22" s="416"/>
      <c r="E22" s="417"/>
      <c r="F22" s="365"/>
    </row>
    <row r="23" spans="1:6" ht="15.6" thickTop="1" thickBot="1" x14ac:dyDescent="0.35">
      <c r="A23" s="353"/>
      <c r="B23" s="428" t="s">
        <v>519</v>
      </c>
      <c r="C23" s="419"/>
      <c r="D23" s="419"/>
      <c r="E23" s="420"/>
      <c r="F23" s="365"/>
    </row>
    <row r="24" spans="1:6" ht="15" thickTop="1" x14ac:dyDescent="0.3"/>
  </sheetData>
  <mergeCells count="4">
    <mergeCell ref="A1:F1"/>
    <mergeCell ref="A2:F2"/>
    <mergeCell ref="B22:E22"/>
    <mergeCell ref="B23:E2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E17"/>
  <sheetViews>
    <sheetView zoomScale="98" zoomScaleNormal="98" workbookViewId="0">
      <selection activeCell="B7" sqref="B7"/>
    </sheetView>
  </sheetViews>
  <sheetFormatPr baseColWidth="10" defaultColWidth="11.44140625" defaultRowHeight="14.4" x14ac:dyDescent="0.3"/>
  <cols>
    <col min="1" max="1" width="5.88671875" style="314" customWidth="1"/>
    <col min="2" max="2" width="43.88671875" style="314" bestFit="1" customWidth="1"/>
    <col min="3" max="3" width="9.6640625" style="314" customWidth="1"/>
    <col min="4" max="4" width="19.88671875" style="314" bestFit="1" customWidth="1"/>
    <col min="5" max="5" width="36.44140625" style="314" customWidth="1"/>
    <col min="6" max="16384" width="11.44140625" style="314"/>
  </cols>
  <sheetData>
    <row r="1" spans="1:5" s="1" customFormat="1" ht="13.8" x14ac:dyDescent="0.25">
      <c r="A1" s="401" t="s">
        <v>460</v>
      </c>
      <c r="B1" s="402"/>
      <c r="C1" s="402"/>
      <c r="D1" s="402"/>
      <c r="E1" s="403"/>
    </row>
    <row r="2" spans="1:5" ht="15.6" x14ac:dyDescent="0.3">
      <c r="A2" s="414" t="s">
        <v>521</v>
      </c>
      <c r="B2" s="414"/>
      <c r="C2" s="414"/>
      <c r="D2" s="414"/>
      <c r="E2" s="414"/>
    </row>
    <row r="3" spans="1:5" ht="18" thickBot="1" x14ac:dyDescent="0.35">
      <c r="A3" s="313"/>
      <c r="B3" s="315"/>
      <c r="C3" s="316"/>
      <c r="D3" s="316"/>
      <c r="E3" s="316"/>
    </row>
    <row r="4" spans="1:5" ht="15" thickTop="1" x14ac:dyDescent="0.3">
      <c r="A4" s="317" t="s">
        <v>78</v>
      </c>
      <c r="B4" s="318" t="s">
        <v>79</v>
      </c>
      <c r="C4" s="317" t="s">
        <v>517</v>
      </c>
      <c r="D4" s="357" t="s">
        <v>510</v>
      </c>
      <c r="E4" s="369" t="s">
        <v>424</v>
      </c>
    </row>
    <row r="5" spans="1:5" x14ac:dyDescent="0.3">
      <c r="A5" s="330" t="s">
        <v>0</v>
      </c>
      <c r="B5" s="322" t="s">
        <v>13</v>
      </c>
      <c r="C5" s="321"/>
      <c r="D5" s="359"/>
      <c r="E5" s="360"/>
    </row>
    <row r="6" spans="1:5" ht="27" x14ac:dyDescent="0.3">
      <c r="A6" s="333" t="s">
        <v>25</v>
      </c>
      <c r="B6" s="118" t="s">
        <v>502</v>
      </c>
      <c r="C6" s="119" t="s">
        <v>16</v>
      </c>
      <c r="D6" s="361"/>
      <c r="E6" s="362"/>
    </row>
    <row r="7" spans="1:5" ht="26.4" x14ac:dyDescent="0.3">
      <c r="A7" s="333" t="s">
        <v>128</v>
      </c>
      <c r="B7" s="120" t="s">
        <v>467</v>
      </c>
      <c r="C7" s="119" t="s">
        <v>10</v>
      </c>
      <c r="D7" s="329"/>
      <c r="E7" s="362"/>
    </row>
    <row r="8" spans="1:5" x14ac:dyDescent="0.3">
      <c r="A8" s="333" t="s">
        <v>129</v>
      </c>
      <c r="B8" s="118" t="s">
        <v>503</v>
      </c>
      <c r="C8" s="119" t="s">
        <v>10</v>
      </c>
      <c r="D8" s="361"/>
      <c r="E8" s="362"/>
    </row>
    <row r="9" spans="1:5" x14ac:dyDescent="0.3">
      <c r="A9" s="330" t="s">
        <v>8</v>
      </c>
      <c r="B9" s="322" t="s">
        <v>18</v>
      </c>
      <c r="C9" s="321"/>
      <c r="D9" s="359"/>
      <c r="E9" s="360"/>
    </row>
    <row r="10" spans="1:5" x14ac:dyDescent="0.3">
      <c r="A10" s="333" t="s">
        <v>50</v>
      </c>
      <c r="B10" s="326" t="s">
        <v>491</v>
      </c>
      <c r="C10" s="325" t="s">
        <v>16</v>
      </c>
      <c r="D10" s="361"/>
      <c r="E10" s="362"/>
    </row>
    <row r="11" spans="1:5" x14ac:dyDescent="0.3">
      <c r="A11" s="333" t="s">
        <v>51</v>
      </c>
      <c r="B11" s="335" t="s">
        <v>504</v>
      </c>
      <c r="C11" s="119" t="s">
        <v>16</v>
      </c>
      <c r="D11" s="361"/>
      <c r="E11" s="362"/>
    </row>
    <row r="12" spans="1:5" x14ac:dyDescent="0.3">
      <c r="A12" s="330" t="s">
        <v>12</v>
      </c>
      <c r="B12" s="322" t="s">
        <v>20</v>
      </c>
      <c r="C12" s="321"/>
      <c r="D12" s="359"/>
      <c r="E12" s="360"/>
    </row>
    <row r="13" spans="1:5" ht="26.4" x14ac:dyDescent="0.3">
      <c r="A13" s="333" t="s">
        <v>41</v>
      </c>
      <c r="B13" s="122" t="s">
        <v>505</v>
      </c>
      <c r="C13" s="325" t="s">
        <v>6</v>
      </c>
      <c r="D13" s="361"/>
      <c r="E13" s="362"/>
    </row>
    <row r="14" spans="1:5" x14ac:dyDescent="0.3">
      <c r="A14" s="330" t="s">
        <v>17</v>
      </c>
      <c r="B14" s="322" t="s">
        <v>506</v>
      </c>
      <c r="C14" s="321"/>
      <c r="D14" s="359"/>
      <c r="E14" s="360"/>
    </row>
    <row r="15" spans="1:5" x14ac:dyDescent="0.3">
      <c r="A15" s="333" t="s">
        <v>40</v>
      </c>
      <c r="B15" s="326" t="s">
        <v>507</v>
      </c>
      <c r="C15" s="325" t="s">
        <v>6</v>
      </c>
      <c r="D15" s="361"/>
      <c r="E15" s="362"/>
    </row>
    <row r="16" spans="1:5" ht="26.4" x14ac:dyDescent="0.3">
      <c r="A16" s="333" t="s">
        <v>61</v>
      </c>
      <c r="B16" s="335" t="s">
        <v>508</v>
      </c>
      <c r="C16" s="325" t="s">
        <v>80</v>
      </c>
      <c r="D16" s="361"/>
      <c r="E16" s="362"/>
    </row>
    <row r="17" spans="1:5" ht="22.8" x14ac:dyDescent="0.3">
      <c r="A17" s="325" t="s">
        <v>71</v>
      </c>
      <c r="B17" s="370" t="s">
        <v>509</v>
      </c>
      <c r="C17" s="325" t="s">
        <v>6</v>
      </c>
      <c r="D17" s="371"/>
      <c r="E17" s="37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58"/>
  <sheetViews>
    <sheetView workbookViewId="0">
      <selection sqref="A1:F1"/>
    </sheetView>
  </sheetViews>
  <sheetFormatPr baseColWidth="10" defaultColWidth="11.5546875" defaultRowHeight="13.8" x14ac:dyDescent="0.25"/>
  <cols>
    <col min="1" max="1" width="8.44140625" style="221" customWidth="1"/>
    <col min="2" max="2" width="43.33203125" style="221" customWidth="1"/>
    <col min="3" max="5" width="11.5546875" style="221"/>
    <col min="6" max="6" width="13.33203125" style="221" customWidth="1"/>
    <col min="7" max="16384" width="11.5546875" style="221"/>
  </cols>
  <sheetData>
    <row r="1" spans="1:6" x14ac:dyDescent="0.25">
      <c r="A1" s="397" t="s">
        <v>460</v>
      </c>
      <c r="B1" s="397"/>
      <c r="C1" s="397"/>
      <c r="D1" s="397"/>
      <c r="E1" s="397"/>
      <c r="F1" s="397"/>
    </row>
    <row r="2" spans="1:6" ht="15.6" x14ac:dyDescent="0.3">
      <c r="A2" s="407" t="s">
        <v>392</v>
      </c>
      <c r="B2" s="408"/>
      <c r="C2" s="408"/>
      <c r="D2" s="408"/>
      <c r="E2" s="408"/>
      <c r="F2" s="409"/>
    </row>
    <row r="3" spans="1:6" ht="18" thickBot="1" x14ac:dyDescent="0.3">
      <c r="A3" s="117"/>
      <c r="B3" s="74"/>
      <c r="C3" s="74"/>
      <c r="D3" s="74"/>
      <c r="E3" s="74"/>
      <c r="F3" s="74"/>
    </row>
    <row r="4" spans="1:6" ht="15" thickTop="1" thickBot="1" x14ac:dyDescent="0.3">
      <c r="A4" s="75" t="s">
        <v>78</v>
      </c>
      <c r="B4" s="76" t="s">
        <v>79</v>
      </c>
      <c r="C4" s="75" t="s">
        <v>80</v>
      </c>
      <c r="D4" s="75" t="s">
        <v>81</v>
      </c>
      <c r="E4" s="77" t="s">
        <v>82</v>
      </c>
      <c r="F4" s="78" t="s">
        <v>83</v>
      </c>
    </row>
    <row r="5" spans="1:6" ht="14.4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30*11</f>
        <v>330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x14ac:dyDescent="0.25">
      <c r="A9" s="84" t="s">
        <v>50</v>
      </c>
      <c r="B9" s="118" t="s">
        <v>390</v>
      </c>
      <c r="C9" s="86" t="s">
        <v>10</v>
      </c>
      <c r="D9" s="95">
        <f>119.35*0.5*0.85</f>
        <v>50.723749999999995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22">
        <f>119.35*0.3*0.6</f>
        <v>21.483000000000001</v>
      </c>
      <c r="E10" s="88"/>
      <c r="F10" s="89"/>
    </row>
    <row r="11" spans="1:6" x14ac:dyDescent="0.25">
      <c r="A11" s="84" t="s">
        <v>52</v>
      </c>
      <c r="B11" s="118" t="s">
        <v>211</v>
      </c>
      <c r="C11" s="86" t="s">
        <v>10</v>
      </c>
      <c r="D11" s="95">
        <f>(7*9*3+27.3*1.5)*0.4</f>
        <v>91.98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x14ac:dyDescent="0.25">
      <c r="A14" s="84" t="s">
        <v>41</v>
      </c>
      <c r="B14" s="118" t="s">
        <v>163</v>
      </c>
      <c r="C14" s="119" t="s">
        <v>10</v>
      </c>
      <c r="D14" s="95">
        <f>119.35*0.05*0.5</f>
        <v>2.9837500000000001</v>
      </c>
      <c r="E14" s="88"/>
      <c r="F14" s="89"/>
    </row>
    <row r="15" spans="1:6" ht="26.4" x14ac:dyDescent="0.25">
      <c r="A15" s="84" t="s">
        <v>42</v>
      </c>
      <c r="B15" s="118" t="s">
        <v>164</v>
      </c>
      <c r="C15" s="119" t="s">
        <v>10</v>
      </c>
      <c r="D15" s="95">
        <f>0.2*0.2*1*38</f>
        <v>1.5200000000000002</v>
      </c>
      <c r="E15" s="88"/>
      <c r="F15" s="89"/>
    </row>
    <row r="16" spans="1:6" ht="26.4" x14ac:dyDescent="0.25">
      <c r="A16" s="84" t="s">
        <v>43</v>
      </c>
      <c r="B16" s="118" t="s">
        <v>87</v>
      </c>
      <c r="C16" s="119" t="s">
        <v>10</v>
      </c>
      <c r="D16" s="95">
        <f>119.35*0.5*0.2</f>
        <v>11.935</v>
      </c>
      <c r="E16" s="88"/>
      <c r="F16" s="89"/>
    </row>
    <row r="17" spans="1:6" x14ac:dyDescent="0.25">
      <c r="A17" s="84" t="s">
        <v>44</v>
      </c>
      <c r="B17" s="118" t="s">
        <v>88</v>
      </c>
      <c r="C17" s="119" t="s">
        <v>10</v>
      </c>
      <c r="D17" s="95">
        <f>119.35*0.2*0.2</f>
        <v>4.774</v>
      </c>
      <c r="E17" s="88"/>
      <c r="F17" s="89"/>
    </row>
    <row r="18" spans="1:6" ht="52.8" x14ac:dyDescent="0.25">
      <c r="A18" s="84" t="s">
        <v>45</v>
      </c>
      <c r="B18" s="118" t="s">
        <v>426</v>
      </c>
      <c r="C18" s="119" t="s">
        <v>10</v>
      </c>
      <c r="D18" s="95">
        <f>(9*7*3+1.5*27.3)*0.1</f>
        <v>22.995000000000001</v>
      </c>
      <c r="E18" s="88"/>
      <c r="F18" s="89"/>
    </row>
    <row r="19" spans="1:6" x14ac:dyDescent="0.25">
      <c r="A19" s="84" t="s">
        <v>46</v>
      </c>
      <c r="B19" s="118" t="s">
        <v>91</v>
      </c>
      <c r="C19" s="119" t="s">
        <v>10</v>
      </c>
      <c r="D19" s="95">
        <f>(0.1*0.6*1)*2+(0.15*0.3*1)*2/2</f>
        <v>0.16499999999999998</v>
      </c>
      <c r="E19" s="88"/>
      <c r="F19" s="89"/>
    </row>
    <row r="20" spans="1:6" x14ac:dyDescent="0.25">
      <c r="A20" s="84" t="s">
        <v>47</v>
      </c>
      <c r="B20" s="118" t="s">
        <v>212</v>
      </c>
      <c r="C20" s="119" t="s">
        <v>10</v>
      </c>
      <c r="D20" s="95">
        <f>0.15*1.2*3.5</f>
        <v>0.63</v>
      </c>
      <c r="E20" s="88"/>
      <c r="F20" s="89"/>
    </row>
    <row r="21" spans="1:6" ht="26.4" x14ac:dyDescent="0.25">
      <c r="A21" s="84" t="s">
        <v>48</v>
      </c>
      <c r="B21" s="120" t="s">
        <v>92</v>
      </c>
      <c r="C21" s="119" t="s">
        <v>10</v>
      </c>
      <c r="D21" s="95">
        <f>119.35*0.15*0.2</f>
        <v>3.5805000000000002</v>
      </c>
      <c r="E21" s="88"/>
      <c r="F21" s="89"/>
    </row>
    <row r="22" spans="1:6" x14ac:dyDescent="0.25">
      <c r="A22" s="84" t="s">
        <v>49</v>
      </c>
      <c r="B22" s="118" t="s">
        <v>93</v>
      </c>
      <c r="C22" s="119" t="s">
        <v>10</v>
      </c>
      <c r="D22" s="95">
        <f>(7.84*2)*0.15*0.45</f>
        <v>1.0584</v>
      </c>
      <c r="E22" s="88"/>
      <c r="F22" s="89"/>
    </row>
    <row r="23" spans="1:6" ht="26.4" x14ac:dyDescent="0.25">
      <c r="A23" s="84" t="s">
        <v>310</v>
      </c>
      <c r="B23" s="118" t="s">
        <v>213</v>
      </c>
      <c r="C23" s="119" t="s">
        <v>10</v>
      </c>
      <c r="D23" s="95">
        <f>7*6*0.4*0.1</f>
        <v>1.6800000000000002</v>
      </c>
      <c r="E23" s="88"/>
      <c r="F23" s="89"/>
    </row>
    <row r="24" spans="1:6" ht="26.4" x14ac:dyDescent="0.25">
      <c r="A24" s="84" t="s">
        <v>311</v>
      </c>
      <c r="B24" s="118" t="s">
        <v>94</v>
      </c>
      <c r="C24" s="119" t="s">
        <v>10</v>
      </c>
      <c r="D24" s="95">
        <f>(27.59*2+7.84*2)*0.1*0.15</f>
        <v>1.0629</v>
      </c>
      <c r="E24" s="88"/>
      <c r="F24" s="89"/>
    </row>
    <row r="25" spans="1:6" x14ac:dyDescent="0.25">
      <c r="A25" s="84" t="s">
        <v>312</v>
      </c>
      <c r="B25" s="118" t="s">
        <v>95</v>
      </c>
      <c r="C25" s="119" t="s">
        <v>10</v>
      </c>
      <c r="D25" s="95">
        <f>0.15*0.15*4.5*28</f>
        <v>2.835</v>
      </c>
      <c r="E25" s="88"/>
      <c r="F25" s="89"/>
    </row>
    <row r="26" spans="1:6" x14ac:dyDescent="0.25">
      <c r="A26" s="84" t="s">
        <v>156</v>
      </c>
      <c r="B26" s="118" t="s">
        <v>165</v>
      </c>
      <c r="C26" s="119" t="s">
        <v>6</v>
      </c>
      <c r="D26" s="95">
        <v>1</v>
      </c>
      <c r="E26" s="88"/>
      <c r="F26" s="89"/>
    </row>
    <row r="27" spans="1:6" x14ac:dyDescent="0.25">
      <c r="A27" s="84" t="s">
        <v>157</v>
      </c>
      <c r="B27" s="120" t="s">
        <v>97</v>
      </c>
      <c r="C27" s="119" t="s">
        <v>16</v>
      </c>
      <c r="D27" s="87">
        <f>119.35*1</f>
        <v>119.35</v>
      </c>
      <c r="E27" s="88"/>
      <c r="F27" s="89"/>
    </row>
    <row r="28" spans="1:6" x14ac:dyDescent="0.25">
      <c r="A28" s="84" t="s">
        <v>158</v>
      </c>
      <c r="B28" s="118" t="s">
        <v>98</v>
      </c>
      <c r="C28" s="119" t="s">
        <v>16</v>
      </c>
      <c r="D28" s="87">
        <f>85.9*4.5</f>
        <v>386.55</v>
      </c>
      <c r="E28" s="88"/>
      <c r="F28" s="89"/>
    </row>
    <row r="29" spans="1:6" ht="26.4" x14ac:dyDescent="0.25">
      <c r="A29" s="84" t="s">
        <v>440</v>
      </c>
      <c r="B29" s="118" t="s">
        <v>422</v>
      </c>
      <c r="C29" s="119" t="s">
        <v>10</v>
      </c>
      <c r="D29" s="87">
        <f>(7.84*2+27.59+21.59)*0.6*0.4</f>
        <v>15.5664</v>
      </c>
      <c r="E29" s="88"/>
      <c r="F29" s="89"/>
    </row>
    <row r="30" spans="1:6" x14ac:dyDescent="0.25">
      <c r="A30" s="90"/>
      <c r="B30" s="91" t="s">
        <v>7</v>
      </c>
      <c r="C30" s="92"/>
      <c r="D30" s="92"/>
      <c r="E30" s="93"/>
      <c r="F30" s="94"/>
    </row>
    <row r="31" spans="1:6" x14ac:dyDescent="0.25">
      <c r="A31" s="90" t="s">
        <v>17</v>
      </c>
      <c r="B31" s="91" t="s">
        <v>18</v>
      </c>
      <c r="C31" s="92"/>
      <c r="D31" s="92"/>
      <c r="E31" s="93"/>
      <c r="F31" s="94"/>
    </row>
    <row r="32" spans="1:6" x14ac:dyDescent="0.25">
      <c r="A32" s="84" t="s">
        <v>40</v>
      </c>
      <c r="B32" s="200" t="s">
        <v>183</v>
      </c>
      <c r="C32" s="86" t="s">
        <v>16</v>
      </c>
      <c r="D32" s="87">
        <f>(27.59*2+7.84*2)*5</f>
        <v>354.3</v>
      </c>
      <c r="E32" s="88"/>
      <c r="F32" s="89"/>
    </row>
    <row r="33" spans="1:6" x14ac:dyDescent="0.25">
      <c r="A33" s="84" t="s">
        <v>61</v>
      </c>
      <c r="B33" s="85" t="s">
        <v>99</v>
      </c>
      <c r="C33" s="86" t="s">
        <v>16</v>
      </c>
      <c r="D33" s="87">
        <f>(9*6+7*6)*4.5</f>
        <v>432</v>
      </c>
      <c r="E33" s="88"/>
      <c r="F33" s="89"/>
    </row>
    <row r="34" spans="1:6" x14ac:dyDescent="0.25">
      <c r="A34" s="84" t="s">
        <v>71</v>
      </c>
      <c r="B34" s="85" t="s">
        <v>214</v>
      </c>
      <c r="C34" s="86" t="s">
        <v>16</v>
      </c>
      <c r="D34" s="87">
        <f>D32</f>
        <v>354.3</v>
      </c>
      <c r="E34" s="88"/>
      <c r="F34" s="89"/>
    </row>
    <row r="35" spans="1:6" x14ac:dyDescent="0.25">
      <c r="A35" s="90"/>
      <c r="B35" s="91" t="s">
        <v>7</v>
      </c>
      <c r="C35" s="92"/>
      <c r="D35" s="92"/>
      <c r="E35" s="93"/>
      <c r="F35" s="94"/>
    </row>
    <row r="36" spans="1:6" x14ac:dyDescent="0.25">
      <c r="A36" s="90" t="s">
        <v>19</v>
      </c>
      <c r="B36" s="91" t="s">
        <v>169</v>
      </c>
      <c r="C36" s="92"/>
      <c r="D36" s="92"/>
      <c r="E36" s="93"/>
      <c r="F36" s="94"/>
    </row>
    <row r="37" spans="1:6" ht="26.4" x14ac:dyDescent="0.25">
      <c r="A37" s="84" t="s">
        <v>65</v>
      </c>
      <c r="B37" s="200" t="s">
        <v>216</v>
      </c>
      <c r="C37" s="86" t="s">
        <v>21</v>
      </c>
      <c r="D37" s="86">
        <v>10</v>
      </c>
      <c r="E37" s="93"/>
      <c r="F37" s="94"/>
    </row>
    <row r="38" spans="1:6" x14ac:dyDescent="0.25">
      <c r="A38" s="84" t="s">
        <v>66</v>
      </c>
      <c r="B38" s="200" t="s">
        <v>170</v>
      </c>
      <c r="C38" s="119" t="s">
        <v>77</v>
      </c>
      <c r="D38" s="121">
        <f>6*7.84</f>
        <v>47.04</v>
      </c>
      <c r="E38" s="97"/>
      <c r="F38" s="98"/>
    </row>
    <row r="39" spans="1:6" ht="26.4" x14ac:dyDescent="0.25">
      <c r="A39" s="84" t="s">
        <v>67</v>
      </c>
      <c r="B39" s="200" t="s">
        <v>171</v>
      </c>
      <c r="C39" s="119" t="s">
        <v>77</v>
      </c>
      <c r="D39" s="121">
        <f>13*27.59</f>
        <v>358.67</v>
      </c>
      <c r="E39" s="88"/>
      <c r="F39" s="89"/>
    </row>
    <row r="40" spans="1:6" ht="66" x14ac:dyDescent="0.25">
      <c r="A40" s="84" t="s">
        <v>134</v>
      </c>
      <c r="B40" s="122" t="s">
        <v>173</v>
      </c>
      <c r="C40" s="119" t="s">
        <v>16</v>
      </c>
      <c r="D40" s="3">
        <f>8.04*27.59</f>
        <v>221.82359999999997</v>
      </c>
      <c r="E40" s="88"/>
      <c r="F40" s="89"/>
    </row>
    <row r="41" spans="1:6" ht="79.2" x14ac:dyDescent="0.25">
      <c r="A41" s="84" t="s">
        <v>364</v>
      </c>
      <c r="B41" s="122" t="s">
        <v>215</v>
      </c>
      <c r="C41" s="119" t="s">
        <v>16</v>
      </c>
      <c r="D41" s="3">
        <f>1.7*27.59</f>
        <v>46.902999999999999</v>
      </c>
      <c r="E41" s="88"/>
      <c r="F41" s="89"/>
    </row>
    <row r="42" spans="1:6" ht="26.4" x14ac:dyDescent="0.25">
      <c r="A42" s="84" t="s">
        <v>381</v>
      </c>
      <c r="B42" s="105" t="s">
        <v>417</v>
      </c>
      <c r="C42" s="218" t="s">
        <v>21</v>
      </c>
      <c r="D42" s="219">
        <v>18</v>
      </c>
      <c r="E42" s="216"/>
      <c r="F42" s="217"/>
    </row>
    <row r="43" spans="1:6" x14ac:dyDescent="0.25">
      <c r="A43" s="90"/>
      <c r="B43" s="91" t="s">
        <v>7</v>
      </c>
      <c r="C43" s="92"/>
      <c r="D43" s="99"/>
      <c r="E43" s="93"/>
      <c r="F43" s="94"/>
    </row>
    <row r="44" spans="1:6" x14ac:dyDescent="0.25">
      <c r="A44" s="90" t="s">
        <v>22</v>
      </c>
      <c r="B44" s="91" t="s">
        <v>20</v>
      </c>
      <c r="C44" s="92"/>
      <c r="D44" s="99"/>
      <c r="E44" s="93"/>
      <c r="F44" s="94"/>
    </row>
    <row r="45" spans="1:6" ht="26.4" x14ac:dyDescent="0.25">
      <c r="A45" s="84" t="s">
        <v>63</v>
      </c>
      <c r="B45" s="122" t="s">
        <v>175</v>
      </c>
      <c r="C45" s="86" t="s">
        <v>21</v>
      </c>
      <c r="D45" s="87">
        <v>6</v>
      </c>
      <c r="E45" s="88"/>
      <c r="F45" s="89"/>
    </row>
    <row r="46" spans="1:6" x14ac:dyDescent="0.25">
      <c r="A46" s="84" t="s">
        <v>64</v>
      </c>
      <c r="B46" s="122" t="s">
        <v>191</v>
      </c>
      <c r="C46" s="86" t="s">
        <v>21</v>
      </c>
      <c r="D46" s="87">
        <v>12</v>
      </c>
      <c r="E46" s="88"/>
      <c r="F46" s="89"/>
    </row>
    <row r="47" spans="1:6" x14ac:dyDescent="0.25">
      <c r="A47" s="90"/>
      <c r="B47" s="91" t="s">
        <v>7</v>
      </c>
      <c r="C47" s="92"/>
      <c r="D47" s="99"/>
      <c r="E47" s="93"/>
      <c r="F47" s="94"/>
    </row>
    <row r="48" spans="1:6" x14ac:dyDescent="0.25">
      <c r="A48" s="90" t="s">
        <v>101</v>
      </c>
      <c r="B48" s="91" t="s">
        <v>102</v>
      </c>
      <c r="C48" s="92"/>
      <c r="D48" s="99"/>
      <c r="E48" s="93"/>
      <c r="F48" s="94"/>
    </row>
    <row r="49" spans="1:6" ht="26.4" x14ac:dyDescent="0.25">
      <c r="A49" s="84" t="s">
        <v>136</v>
      </c>
      <c r="B49" s="120" t="s">
        <v>103</v>
      </c>
      <c r="C49" s="86" t="s">
        <v>16</v>
      </c>
      <c r="D49" s="87">
        <v>0</v>
      </c>
      <c r="E49" s="88"/>
      <c r="F49" s="89"/>
    </row>
    <row r="50" spans="1:6" x14ac:dyDescent="0.25">
      <c r="A50" s="90"/>
      <c r="B50" s="91" t="s">
        <v>7</v>
      </c>
      <c r="C50" s="92"/>
      <c r="D50" s="99"/>
      <c r="E50" s="93"/>
      <c r="F50" s="94"/>
    </row>
    <row r="51" spans="1:6" x14ac:dyDescent="0.25">
      <c r="A51" s="90" t="s">
        <v>104</v>
      </c>
      <c r="B51" s="91" t="s">
        <v>138</v>
      </c>
      <c r="C51" s="92"/>
      <c r="D51" s="99"/>
      <c r="E51" s="93"/>
      <c r="F51" s="94"/>
    </row>
    <row r="52" spans="1:6" x14ac:dyDescent="0.25">
      <c r="A52" s="84" t="s">
        <v>365</v>
      </c>
      <c r="B52" s="85" t="s">
        <v>106</v>
      </c>
      <c r="C52" s="86" t="s">
        <v>16</v>
      </c>
      <c r="D52" s="87">
        <f>(1*0.3*18+0.9*2.2*6+1.2*1.2*12)*2</f>
        <v>69.12</v>
      </c>
      <c r="E52" s="88"/>
      <c r="F52" s="89"/>
    </row>
    <row r="53" spans="1:6" x14ac:dyDescent="0.25">
      <c r="A53" s="84" t="s">
        <v>366</v>
      </c>
      <c r="B53" s="85" t="s">
        <v>107</v>
      </c>
      <c r="C53" s="86" t="s">
        <v>16</v>
      </c>
      <c r="D53" s="87">
        <f>D33</f>
        <v>432</v>
      </c>
      <c r="E53" s="88"/>
      <c r="F53" s="89"/>
    </row>
    <row r="54" spans="1:6" ht="14.4" thickBot="1" x14ac:dyDescent="0.3">
      <c r="A54" s="90"/>
      <c r="B54" s="91" t="s">
        <v>7</v>
      </c>
      <c r="C54" s="92"/>
      <c r="D54" s="99"/>
      <c r="E54" s="93"/>
      <c r="F54" s="94"/>
    </row>
    <row r="55" spans="1:6" ht="15.75" customHeight="1" thickTop="1" thickBot="1" x14ac:dyDescent="0.3">
      <c r="A55" s="429" t="s">
        <v>457</v>
      </c>
      <c r="B55" s="430"/>
      <c r="C55" s="430"/>
      <c r="D55" s="430"/>
      <c r="E55" s="431"/>
      <c r="F55" s="104"/>
    </row>
    <row r="56" spans="1:6" ht="15.75" customHeight="1" thickTop="1" thickBot="1" x14ac:dyDescent="0.3">
      <c r="A56" s="432" t="s">
        <v>454</v>
      </c>
      <c r="B56" s="433"/>
      <c r="C56" s="433"/>
      <c r="D56" s="433"/>
      <c r="E56" s="434"/>
      <c r="F56" s="104"/>
    </row>
    <row r="57" spans="1:6" ht="15.75" customHeight="1" thickTop="1" x14ac:dyDescent="0.25"/>
    <row r="58" spans="1:6" ht="15.75" customHeight="1" x14ac:dyDescent="0.25"/>
  </sheetData>
  <mergeCells count="4">
    <mergeCell ref="A1:F1"/>
    <mergeCell ref="A2:F2"/>
    <mergeCell ref="A55:E55"/>
    <mergeCell ref="A56:E56"/>
  </mergeCells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48"/>
  <sheetViews>
    <sheetView workbookViewId="0">
      <selection activeCell="E8" sqref="E8"/>
    </sheetView>
  </sheetViews>
  <sheetFormatPr baseColWidth="10" defaultColWidth="11.5546875" defaultRowHeight="13.8" x14ac:dyDescent="0.25"/>
  <cols>
    <col min="1" max="1" width="8.44140625" style="221" customWidth="1"/>
    <col min="2" max="2" width="34" style="221" customWidth="1"/>
    <col min="3" max="3" width="11.5546875" style="221"/>
    <col min="4" max="4" width="20" style="221" bestFit="1" customWidth="1"/>
    <col min="5" max="5" width="38.109375" style="221" customWidth="1"/>
    <col min="6" max="16384" width="11.5546875" style="221"/>
  </cols>
  <sheetData>
    <row r="1" spans="1:6" x14ac:dyDescent="0.25">
      <c r="A1" s="401" t="s">
        <v>460</v>
      </c>
      <c r="B1" s="402"/>
      <c r="C1" s="402"/>
      <c r="D1" s="402"/>
      <c r="E1" s="403"/>
      <c r="F1" s="310"/>
    </row>
    <row r="2" spans="1:6" ht="15.6" x14ac:dyDescent="0.3">
      <c r="A2" s="407" t="s">
        <v>522</v>
      </c>
      <c r="B2" s="408"/>
      <c r="C2" s="408"/>
      <c r="D2" s="408"/>
      <c r="E2" s="409"/>
    </row>
    <row r="3" spans="1:6" ht="18" thickBot="1" x14ac:dyDescent="0.3">
      <c r="A3" s="117"/>
      <c r="B3" s="74"/>
      <c r="C3" s="74"/>
      <c r="D3" s="74"/>
      <c r="E3" s="74"/>
    </row>
    <row r="4" spans="1:6" ht="15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4.4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 t="s">
        <v>8</v>
      </c>
      <c r="B7" s="91" t="s">
        <v>9</v>
      </c>
      <c r="C7" s="92"/>
      <c r="D7" s="93"/>
      <c r="E7" s="94"/>
    </row>
    <row r="8" spans="1:6" x14ac:dyDescent="0.25">
      <c r="A8" s="84" t="s">
        <v>50</v>
      </c>
      <c r="B8" s="118" t="s">
        <v>390</v>
      </c>
      <c r="C8" s="86" t="s">
        <v>10</v>
      </c>
      <c r="D8" s="88"/>
      <c r="E8" s="89"/>
    </row>
    <row r="9" spans="1:6" x14ac:dyDescent="0.25">
      <c r="A9" s="84" t="s">
        <v>51</v>
      </c>
      <c r="B9" s="85" t="s">
        <v>11</v>
      </c>
      <c r="C9" s="86" t="s">
        <v>10</v>
      </c>
      <c r="D9" s="88"/>
      <c r="E9" s="89"/>
    </row>
    <row r="10" spans="1:6" ht="26.4" x14ac:dyDescent="0.25">
      <c r="A10" s="84" t="s">
        <v>52</v>
      </c>
      <c r="B10" s="118" t="s">
        <v>211</v>
      </c>
      <c r="C10" s="86" t="s">
        <v>10</v>
      </c>
      <c r="D10" s="88"/>
      <c r="E10" s="89"/>
    </row>
    <row r="11" spans="1:6" x14ac:dyDescent="0.25">
      <c r="A11" s="90" t="s">
        <v>12</v>
      </c>
      <c r="B11" s="91" t="s">
        <v>13</v>
      </c>
      <c r="C11" s="92"/>
      <c r="D11" s="93"/>
      <c r="E11" s="94"/>
    </row>
    <row r="12" spans="1:6" x14ac:dyDescent="0.25">
      <c r="A12" s="84" t="s">
        <v>41</v>
      </c>
      <c r="B12" s="118" t="s">
        <v>163</v>
      </c>
      <c r="C12" s="119" t="s">
        <v>10</v>
      </c>
      <c r="D12" s="88"/>
      <c r="E12" s="89"/>
    </row>
    <row r="13" spans="1:6" ht="26.4" x14ac:dyDescent="0.25">
      <c r="A13" s="84" t="s">
        <v>42</v>
      </c>
      <c r="B13" s="118" t="s">
        <v>164</v>
      </c>
      <c r="C13" s="119" t="s">
        <v>10</v>
      </c>
      <c r="D13" s="88"/>
      <c r="E13" s="89"/>
    </row>
    <row r="14" spans="1:6" ht="26.4" x14ac:dyDescent="0.25">
      <c r="A14" s="84" t="s">
        <v>43</v>
      </c>
      <c r="B14" s="118" t="s">
        <v>87</v>
      </c>
      <c r="C14" s="119" t="s">
        <v>10</v>
      </c>
      <c r="D14" s="88"/>
      <c r="E14" s="89"/>
    </row>
    <row r="15" spans="1:6" ht="26.4" x14ac:dyDescent="0.25">
      <c r="A15" s="84" t="s">
        <v>44</v>
      </c>
      <c r="B15" s="118" t="s">
        <v>88</v>
      </c>
      <c r="C15" s="119" t="s">
        <v>10</v>
      </c>
      <c r="D15" s="88"/>
      <c r="E15" s="89"/>
    </row>
    <row r="16" spans="1:6" ht="52.8" x14ac:dyDescent="0.25">
      <c r="A16" s="84" t="s">
        <v>45</v>
      </c>
      <c r="B16" s="118" t="s">
        <v>426</v>
      </c>
      <c r="C16" s="119" t="s">
        <v>10</v>
      </c>
      <c r="D16" s="88"/>
      <c r="E16" s="89"/>
    </row>
    <row r="17" spans="1:5" x14ac:dyDescent="0.25">
      <c r="A17" s="84" t="s">
        <v>46</v>
      </c>
      <c r="B17" s="118" t="s">
        <v>91</v>
      </c>
      <c r="C17" s="119" t="s">
        <v>10</v>
      </c>
      <c r="D17" s="88"/>
      <c r="E17" s="89"/>
    </row>
    <row r="18" spans="1:5" ht="26.4" x14ac:dyDescent="0.25">
      <c r="A18" s="84" t="s">
        <v>47</v>
      </c>
      <c r="B18" s="118" t="s">
        <v>212</v>
      </c>
      <c r="C18" s="119" t="s">
        <v>10</v>
      </c>
      <c r="D18" s="88"/>
      <c r="E18" s="89"/>
    </row>
    <row r="19" spans="1:5" ht="26.4" x14ac:dyDescent="0.25">
      <c r="A19" s="84" t="s">
        <v>48</v>
      </c>
      <c r="B19" s="120" t="s">
        <v>92</v>
      </c>
      <c r="C19" s="119" t="s">
        <v>10</v>
      </c>
      <c r="D19" s="88"/>
      <c r="E19" s="89"/>
    </row>
    <row r="20" spans="1:5" ht="26.4" x14ac:dyDescent="0.25">
      <c r="A20" s="84" t="s">
        <v>49</v>
      </c>
      <c r="B20" s="118" t="s">
        <v>93</v>
      </c>
      <c r="C20" s="119" t="s">
        <v>10</v>
      </c>
      <c r="D20" s="88"/>
      <c r="E20" s="89"/>
    </row>
    <row r="21" spans="1:5" ht="26.4" x14ac:dyDescent="0.25">
      <c r="A21" s="84" t="s">
        <v>310</v>
      </c>
      <c r="B21" s="118" t="s">
        <v>213</v>
      </c>
      <c r="C21" s="119" t="s">
        <v>10</v>
      </c>
      <c r="D21" s="88"/>
      <c r="E21" s="89"/>
    </row>
    <row r="22" spans="1:5" ht="26.4" x14ac:dyDescent="0.25">
      <c r="A22" s="84" t="s">
        <v>311</v>
      </c>
      <c r="B22" s="118" t="s">
        <v>94</v>
      </c>
      <c r="C22" s="119" t="s">
        <v>10</v>
      </c>
      <c r="D22" s="88"/>
      <c r="E22" s="89"/>
    </row>
    <row r="23" spans="1:5" ht="26.4" x14ac:dyDescent="0.25">
      <c r="A23" s="84" t="s">
        <v>312</v>
      </c>
      <c r="B23" s="118" t="s">
        <v>95</v>
      </c>
      <c r="C23" s="119" t="s">
        <v>10</v>
      </c>
      <c r="D23" s="88"/>
      <c r="E23" s="89"/>
    </row>
    <row r="24" spans="1:5" x14ac:dyDescent="0.25">
      <c r="A24" s="84" t="s">
        <v>156</v>
      </c>
      <c r="B24" s="118" t="s">
        <v>165</v>
      </c>
      <c r="C24" s="119" t="s">
        <v>6</v>
      </c>
      <c r="D24" s="88"/>
      <c r="E24" s="89"/>
    </row>
    <row r="25" spans="1:5" ht="26.4" x14ac:dyDescent="0.25">
      <c r="A25" s="84" t="s">
        <v>157</v>
      </c>
      <c r="B25" s="120" t="s">
        <v>97</v>
      </c>
      <c r="C25" s="119" t="s">
        <v>16</v>
      </c>
      <c r="D25" s="88"/>
      <c r="E25" s="89"/>
    </row>
    <row r="26" spans="1:5" ht="26.4" x14ac:dyDescent="0.25">
      <c r="A26" s="84" t="s">
        <v>158</v>
      </c>
      <c r="B26" s="118" t="s">
        <v>98</v>
      </c>
      <c r="C26" s="119" t="s">
        <v>16</v>
      </c>
      <c r="D26" s="88"/>
      <c r="E26" s="89"/>
    </row>
    <row r="27" spans="1:5" ht="26.4" x14ac:dyDescent="0.25">
      <c r="A27" s="84" t="s">
        <v>440</v>
      </c>
      <c r="B27" s="118" t="s">
        <v>422</v>
      </c>
      <c r="C27" s="119" t="s">
        <v>10</v>
      </c>
      <c r="D27" s="88"/>
      <c r="E27" s="89"/>
    </row>
    <row r="28" spans="1:5" x14ac:dyDescent="0.25">
      <c r="A28" s="90" t="s">
        <v>17</v>
      </c>
      <c r="B28" s="91" t="s">
        <v>18</v>
      </c>
      <c r="C28" s="92"/>
      <c r="D28" s="93"/>
      <c r="E28" s="94"/>
    </row>
    <row r="29" spans="1:5" x14ac:dyDescent="0.25">
      <c r="A29" s="84" t="s">
        <v>40</v>
      </c>
      <c r="B29" s="200" t="s">
        <v>183</v>
      </c>
      <c r="C29" s="86" t="s">
        <v>16</v>
      </c>
      <c r="D29" s="88"/>
      <c r="E29" s="89"/>
    </row>
    <row r="30" spans="1:5" x14ac:dyDescent="0.25">
      <c r="A30" s="84" t="s">
        <v>61</v>
      </c>
      <c r="B30" s="85" t="s">
        <v>99</v>
      </c>
      <c r="C30" s="86" t="s">
        <v>16</v>
      </c>
      <c r="D30" s="88"/>
      <c r="E30" s="89"/>
    </row>
    <row r="31" spans="1:5" x14ac:dyDescent="0.25">
      <c r="A31" s="84" t="s">
        <v>71</v>
      </c>
      <c r="B31" s="85" t="s">
        <v>214</v>
      </c>
      <c r="C31" s="86" t="s">
        <v>16</v>
      </c>
      <c r="D31" s="88"/>
      <c r="E31" s="89"/>
    </row>
    <row r="32" spans="1:5" x14ac:dyDescent="0.25">
      <c r="A32" s="90" t="s">
        <v>19</v>
      </c>
      <c r="B32" s="91" t="s">
        <v>169</v>
      </c>
      <c r="C32" s="92"/>
      <c r="D32" s="93"/>
      <c r="E32" s="94"/>
    </row>
    <row r="33" spans="1:5" ht="26.4" x14ac:dyDescent="0.25">
      <c r="A33" s="84" t="s">
        <v>65</v>
      </c>
      <c r="B33" s="200" t="s">
        <v>216</v>
      </c>
      <c r="C33" s="86" t="s">
        <v>21</v>
      </c>
      <c r="D33" s="93"/>
      <c r="E33" s="94"/>
    </row>
    <row r="34" spans="1:5" ht="26.4" x14ac:dyDescent="0.25">
      <c r="A34" s="84" t="s">
        <v>66</v>
      </c>
      <c r="B34" s="200" t="s">
        <v>170</v>
      </c>
      <c r="C34" s="119" t="s">
        <v>77</v>
      </c>
      <c r="D34" s="97"/>
      <c r="E34" s="98"/>
    </row>
    <row r="35" spans="1:5" ht="26.4" x14ac:dyDescent="0.25">
      <c r="A35" s="84" t="s">
        <v>67</v>
      </c>
      <c r="B35" s="200" t="s">
        <v>171</v>
      </c>
      <c r="C35" s="119" t="s">
        <v>77</v>
      </c>
      <c r="D35" s="88"/>
      <c r="E35" s="89"/>
    </row>
    <row r="36" spans="1:5" ht="92.4" x14ac:dyDescent="0.25">
      <c r="A36" s="84" t="s">
        <v>134</v>
      </c>
      <c r="B36" s="122" t="s">
        <v>173</v>
      </c>
      <c r="C36" s="119" t="s">
        <v>16</v>
      </c>
      <c r="D36" s="88"/>
      <c r="E36" s="89"/>
    </row>
    <row r="37" spans="1:5" ht="92.4" x14ac:dyDescent="0.25">
      <c r="A37" s="84" t="s">
        <v>364</v>
      </c>
      <c r="B37" s="122" t="s">
        <v>215</v>
      </c>
      <c r="C37" s="119" t="s">
        <v>16</v>
      </c>
      <c r="D37" s="88"/>
      <c r="E37" s="89"/>
    </row>
    <row r="38" spans="1:5" ht="26.4" x14ac:dyDescent="0.25">
      <c r="A38" s="84" t="s">
        <v>381</v>
      </c>
      <c r="B38" s="105" t="s">
        <v>417</v>
      </c>
      <c r="C38" s="218" t="s">
        <v>21</v>
      </c>
      <c r="D38" s="216"/>
      <c r="E38" s="217"/>
    </row>
    <row r="39" spans="1:5" x14ac:dyDescent="0.25">
      <c r="A39" s="90" t="s">
        <v>22</v>
      </c>
      <c r="B39" s="91" t="s">
        <v>20</v>
      </c>
      <c r="C39" s="92"/>
      <c r="D39" s="93"/>
      <c r="E39" s="94"/>
    </row>
    <row r="40" spans="1:5" ht="26.4" x14ac:dyDescent="0.25">
      <c r="A40" s="84" t="s">
        <v>63</v>
      </c>
      <c r="B40" s="122" t="s">
        <v>175</v>
      </c>
      <c r="C40" s="86" t="s">
        <v>21</v>
      </c>
      <c r="D40" s="88"/>
      <c r="E40" s="89"/>
    </row>
    <row r="41" spans="1:5" ht="26.4" x14ac:dyDescent="0.25">
      <c r="A41" s="84" t="s">
        <v>64</v>
      </c>
      <c r="B41" s="122" t="s">
        <v>191</v>
      </c>
      <c r="C41" s="86" t="s">
        <v>21</v>
      </c>
      <c r="D41" s="88"/>
      <c r="E41" s="89"/>
    </row>
    <row r="42" spans="1:5" x14ac:dyDescent="0.25">
      <c r="A42" s="90" t="s">
        <v>101</v>
      </c>
      <c r="B42" s="91" t="s">
        <v>102</v>
      </c>
      <c r="C42" s="92"/>
      <c r="D42" s="93"/>
      <c r="E42" s="94"/>
    </row>
    <row r="43" spans="1:5" ht="39.6" x14ac:dyDescent="0.25">
      <c r="A43" s="84" t="s">
        <v>136</v>
      </c>
      <c r="B43" s="120" t="s">
        <v>103</v>
      </c>
      <c r="C43" s="86" t="s">
        <v>16</v>
      </c>
      <c r="D43" s="88"/>
      <c r="E43" s="89"/>
    </row>
    <row r="44" spans="1:5" x14ac:dyDescent="0.25">
      <c r="A44" s="90" t="s">
        <v>104</v>
      </c>
      <c r="B44" s="91" t="s">
        <v>138</v>
      </c>
      <c r="C44" s="92"/>
      <c r="D44" s="93"/>
      <c r="E44" s="94"/>
    </row>
    <row r="45" spans="1:5" x14ac:dyDescent="0.25">
      <c r="A45" s="84" t="s">
        <v>365</v>
      </c>
      <c r="B45" s="85" t="s">
        <v>106</v>
      </c>
      <c r="C45" s="86" t="s">
        <v>16</v>
      </c>
      <c r="D45" s="88"/>
      <c r="E45" s="89"/>
    </row>
    <row r="46" spans="1:5" x14ac:dyDescent="0.25">
      <c r="A46" s="84" t="s">
        <v>366</v>
      </c>
      <c r="B46" s="85" t="s">
        <v>107</v>
      </c>
      <c r="C46" s="86" t="s">
        <v>16</v>
      </c>
      <c r="D46" s="88"/>
      <c r="E46" s="89"/>
    </row>
    <row r="47" spans="1:5" ht="15.75" customHeight="1" x14ac:dyDescent="0.25"/>
    <row r="48" spans="1:5" ht="15.75" customHeight="1" x14ac:dyDescent="0.25"/>
  </sheetData>
  <mergeCells count="2">
    <mergeCell ref="A1:E1"/>
    <mergeCell ref="A2:E2"/>
  </mergeCells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WVO381"/>
  <sheetViews>
    <sheetView workbookViewId="0">
      <selection activeCell="A2" sqref="A2:F2"/>
    </sheetView>
  </sheetViews>
  <sheetFormatPr baseColWidth="10" defaultRowHeight="13.8" x14ac:dyDescent="0.25"/>
  <cols>
    <col min="1" max="1" width="4.88671875" style="223" customWidth="1"/>
    <col min="2" max="2" width="56.109375" style="223" customWidth="1"/>
    <col min="3" max="3" width="6" style="272" bestFit="1" customWidth="1"/>
    <col min="4" max="4" width="9" style="273" bestFit="1" customWidth="1"/>
    <col min="5" max="5" width="11.44140625" style="272" customWidth="1"/>
    <col min="6" max="6" width="13.33203125" style="273" bestFit="1" customWidth="1"/>
    <col min="7" max="7" width="12" style="107" bestFit="1" customWidth="1"/>
    <col min="8" max="256" width="11.44140625" style="107"/>
    <col min="257" max="257" width="4.88671875" style="107" customWidth="1"/>
    <col min="258" max="258" width="56.109375" style="107" customWidth="1"/>
    <col min="259" max="259" width="6" style="107" bestFit="1" customWidth="1"/>
    <col min="260" max="260" width="9" style="107" bestFit="1" customWidth="1"/>
    <col min="261" max="261" width="11.44140625" style="107"/>
    <col min="262" max="262" width="13.33203125" style="107" bestFit="1" customWidth="1"/>
    <col min="263" max="263" width="12" style="107" bestFit="1" customWidth="1"/>
    <col min="264" max="512" width="11.44140625" style="107"/>
    <col min="513" max="513" width="4.88671875" style="107" customWidth="1"/>
    <col min="514" max="514" width="56.109375" style="107" customWidth="1"/>
    <col min="515" max="515" width="6" style="107" bestFit="1" customWidth="1"/>
    <col min="516" max="516" width="9" style="107" bestFit="1" customWidth="1"/>
    <col min="517" max="517" width="11.44140625" style="107"/>
    <col min="518" max="518" width="13.33203125" style="107" bestFit="1" customWidth="1"/>
    <col min="519" max="519" width="12" style="107" bestFit="1" customWidth="1"/>
    <col min="520" max="768" width="11.44140625" style="107"/>
    <col min="769" max="769" width="4.88671875" style="107" customWidth="1"/>
    <col min="770" max="770" width="56.109375" style="107" customWidth="1"/>
    <col min="771" max="771" width="6" style="107" bestFit="1" customWidth="1"/>
    <col min="772" max="772" width="9" style="107" bestFit="1" customWidth="1"/>
    <col min="773" max="773" width="11.44140625" style="107"/>
    <col min="774" max="774" width="13.33203125" style="107" bestFit="1" customWidth="1"/>
    <col min="775" max="775" width="12" style="107" bestFit="1" customWidth="1"/>
    <col min="776" max="1024" width="11.44140625" style="107"/>
    <col min="1025" max="1025" width="4.88671875" style="107" customWidth="1"/>
    <col min="1026" max="1026" width="56.109375" style="107" customWidth="1"/>
    <col min="1027" max="1027" width="6" style="107" bestFit="1" customWidth="1"/>
    <col min="1028" max="1028" width="9" style="107" bestFit="1" customWidth="1"/>
    <col min="1029" max="1029" width="11.44140625" style="107"/>
    <col min="1030" max="1030" width="13.33203125" style="107" bestFit="1" customWidth="1"/>
    <col min="1031" max="1031" width="12" style="107" bestFit="1" customWidth="1"/>
    <col min="1032" max="1280" width="11.44140625" style="107"/>
    <col min="1281" max="1281" width="4.88671875" style="107" customWidth="1"/>
    <col min="1282" max="1282" width="56.109375" style="107" customWidth="1"/>
    <col min="1283" max="1283" width="6" style="107" bestFit="1" customWidth="1"/>
    <col min="1284" max="1284" width="9" style="107" bestFit="1" customWidth="1"/>
    <col min="1285" max="1285" width="11.44140625" style="107"/>
    <col min="1286" max="1286" width="13.33203125" style="107" bestFit="1" customWidth="1"/>
    <col min="1287" max="1287" width="12" style="107" bestFit="1" customWidth="1"/>
    <col min="1288" max="1536" width="11.44140625" style="107"/>
    <col min="1537" max="1537" width="4.88671875" style="107" customWidth="1"/>
    <col min="1538" max="1538" width="56.109375" style="107" customWidth="1"/>
    <col min="1539" max="1539" width="6" style="107" bestFit="1" customWidth="1"/>
    <col min="1540" max="1540" width="9" style="107" bestFit="1" customWidth="1"/>
    <col min="1541" max="1541" width="11.44140625" style="107"/>
    <col min="1542" max="1542" width="13.33203125" style="107" bestFit="1" customWidth="1"/>
    <col min="1543" max="1543" width="12" style="107" bestFit="1" customWidth="1"/>
    <col min="1544" max="1792" width="11.44140625" style="107"/>
    <col min="1793" max="1793" width="4.88671875" style="107" customWidth="1"/>
    <col min="1794" max="1794" width="56.109375" style="107" customWidth="1"/>
    <col min="1795" max="1795" width="6" style="107" bestFit="1" customWidth="1"/>
    <col min="1796" max="1796" width="9" style="107" bestFit="1" customWidth="1"/>
    <col min="1797" max="1797" width="11.44140625" style="107"/>
    <col min="1798" max="1798" width="13.33203125" style="107" bestFit="1" customWidth="1"/>
    <col min="1799" max="1799" width="12" style="107" bestFit="1" customWidth="1"/>
    <col min="1800" max="2048" width="11.44140625" style="107"/>
    <col min="2049" max="2049" width="4.88671875" style="107" customWidth="1"/>
    <col min="2050" max="2050" width="56.109375" style="107" customWidth="1"/>
    <col min="2051" max="2051" width="6" style="107" bestFit="1" customWidth="1"/>
    <col min="2052" max="2052" width="9" style="107" bestFit="1" customWidth="1"/>
    <col min="2053" max="2053" width="11.44140625" style="107"/>
    <col min="2054" max="2054" width="13.33203125" style="107" bestFit="1" customWidth="1"/>
    <col min="2055" max="2055" width="12" style="107" bestFit="1" customWidth="1"/>
    <col min="2056" max="2304" width="11.44140625" style="107"/>
    <col min="2305" max="2305" width="4.88671875" style="107" customWidth="1"/>
    <col min="2306" max="2306" width="56.109375" style="107" customWidth="1"/>
    <col min="2307" max="2307" width="6" style="107" bestFit="1" customWidth="1"/>
    <col min="2308" max="2308" width="9" style="107" bestFit="1" customWidth="1"/>
    <col min="2309" max="2309" width="11.44140625" style="107"/>
    <col min="2310" max="2310" width="13.33203125" style="107" bestFit="1" customWidth="1"/>
    <col min="2311" max="2311" width="12" style="107" bestFit="1" customWidth="1"/>
    <col min="2312" max="2560" width="11.44140625" style="107"/>
    <col min="2561" max="2561" width="4.88671875" style="107" customWidth="1"/>
    <col min="2562" max="2562" width="56.109375" style="107" customWidth="1"/>
    <col min="2563" max="2563" width="6" style="107" bestFit="1" customWidth="1"/>
    <col min="2564" max="2564" width="9" style="107" bestFit="1" customWidth="1"/>
    <col min="2565" max="2565" width="11.44140625" style="107"/>
    <col min="2566" max="2566" width="13.33203125" style="107" bestFit="1" customWidth="1"/>
    <col min="2567" max="2567" width="12" style="107" bestFit="1" customWidth="1"/>
    <col min="2568" max="2816" width="11.44140625" style="107"/>
    <col min="2817" max="2817" width="4.88671875" style="107" customWidth="1"/>
    <col min="2818" max="2818" width="56.109375" style="107" customWidth="1"/>
    <col min="2819" max="2819" width="6" style="107" bestFit="1" customWidth="1"/>
    <col min="2820" max="2820" width="9" style="107" bestFit="1" customWidth="1"/>
    <col min="2821" max="2821" width="11.44140625" style="107"/>
    <col min="2822" max="2822" width="13.33203125" style="107" bestFit="1" customWidth="1"/>
    <col min="2823" max="2823" width="12" style="107" bestFit="1" customWidth="1"/>
    <col min="2824" max="3072" width="11.44140625" style="107"/>
    <col min="3073" max="3073" width="4.88671875" style="107" customWidth="1"/>
    <col min="3074" max="3074" width="56.109375" style="107" customWidth="1"/>
    <col min="3075" max="3075" width="6" style="107" bestFit="1" customWidth="1"/>
    <col min="3076" max="3076" width="9" style="107" bestFit="1" customWidth="1"/>
    <col min="3077" max="3077" width="11.44140625" style="107"/>
    <col min="3078" max="3078" width="13.33203125" style="107" bestFit="1" customWidth="1"/>
    <col min="3079" max="3079" width="12" style="107" bestFit="1" customWidth="1"/>
    <col min="3080" max="3328" width="11.44140625" style="107"/>
    <col min="3329" max="3329" width="4.88671875" style="107" customWidth="1"/>
    <col min="3330" max="3330" width="56.109375" style="107" customWidth="1"/>
    <col min="3331" max="3331" width="6" style="107" bestFit="1" customWidth="1"/>
    <col min="3332" max="3332" width="9" style="107" bestFit="1" customWidth="1"/>
    <col min="3333" max="3333" width="11.44140625" style="107"/>
    <col min="3334" max="3334" width="13.33203125" style="107" bestFit="1" customWidth="1"/>
    <col min="3335" max="3335" width="12" style="107" bestFit="1" customWidth="1"/>
    <col min="3336" max="3584" width="11.44140625" style="107"/>
    <col min="3585" max="3585" width="4.88671875" style="107" customWidth="1"/>
    <col min="3586" max="3586" width="56.109375" style="107" customWidth="1"/>
    <col min="3587" max="3587" width="6" style="107" bestFit="1" customWidth="1"/>
    <col min="3588" max="3588" width="9" style="107" bestFit="1" customWidth="1"/>
    <col min="3589" max="3589" width="11.44140625" style="107"/>
    <col min="3590" max="3590" width="13.33203125" style="107" bestFit="1" customWidth="1"/>
    <col min="3591" max="3591" width="12" style="107" bestFit="1" customWidth="1"/>
    <col min="3592" max="3840" width="11.44140625" style="107"/>
    <col min="3841" max="3841" width="4.88671875" style="107" customWidth="1"/>
    <col min="3842" max="3842" width="56.109375" style="107" customWidth="1"/>
    <col min="3843" max="3843" width="6" style="107" bestFit="1" customWidth="1"/>
    <col min="3844" max="3844" width="9" style="107" bestFit="1" customWidth="1"/>
    <col min="3845" max="3845" width="11.44140625" style="107"/>
    <col min="3846" max="3846" width="13.33203125" style="107" bestFit="1" customWidth="1"/>
    <col min="3847" max="3847" width="12" style="107" bestFit="1" customWidth="1"/>
    <col min="3848" max="4096" width="11.44140625" style="107"/>
    <col min="4097" max="4097" width="4.88671875" style="107" customWidth="1"/>
    <col min="4098" max="4098" width="56.109375" style="107" customWidth="1"/>
    <col min="4099" max="4099" width="6" style="107" bestFit="1" customWidth="1"/>
    <col min="4100" max="4100" width="9" style="107" bestFit="1" customWidth="1"/>
    <col min="4101" max="4101" width="11.44140625" style="107"/>
    <col min="4102" max="4102" width="13.33203125" style="107" bestFit="1" customWidth="1"/>
    <col min="4103" max="4103" width="12" style="107" bestFit="1" customWidth="1"/>
    <col min="4104" max="4352" width="11.44140625" style="107"/>
    <col min="4353" max="4353" width="4.88671875" style="107" customWidth="1"/>
    <col min="4354" max="4354" width="56.109375" style="107" customWidth="1"/>
    <col min="4355" max="4355" width="6" style="107" bestFit="1" customWidth="1"/>
    <col min="4356" max="4356" width="9" style="107" bestFit="1" customWidth="1"/>
    <col min="4357" max="4357" width="11.44140625" style="107"/>
    <col min="4358" max="4358" width="13.33203125" style="107" bestFit="1" customWidth="1"/>
    <col min="4359" max="4359" width="12" style="107" bestFit="1" customWidth="1"/>
    <col min="4360" max="4608" width="11.44140625" style="107"/>
    <col min="4609" max="4609" width="4.88671875" style="107" customWidth="1"/>
    <col min="4610" max="4610" width="56.109375" style="107" customWidth="1"/>
    <col min="4611" max="4611" width="6" style="107" bestFit="1" customWidth="1"/>
    <col min="4612" max="4612" width="9" style="107" bestFit="1" customWidth="1"/>
    <col min="4613" max="4613" width="11.44140625" style="107"/>
    <col min="4614" max="4614" width="13.33203125" style="107" bestFit="1" customWidth="1"/>
    <col min="4615" max="4615" width="12" style="107" bestFit="1" customWidth="1"/>
    <col min="4616" max="4864" width="11.44140625" style="107"/>
    <col min="4865" max="4865" width="4.88671875" style="107" customWidth="1"/>
    <col min="4866" max="4866" width="56.109375" style="107" customWidth="1"/>
    <col min="4867" max="4867" width="6" style="107" bestFit="1" customWidth="1"/>
    <col min="4868" max="4868" width="9" style="107" bestFit="1" customWidth="1"/>
    <col min="4869" max="4869" width="11.44140625" style="107"/>
    <col min="4870" max="4870" width="13.33203125" style="107" bestFit="1" customWidth="1"/>
    <col min="4871" max="4871" width="12" style="107" bestFit="1" customWidth="1"/>
    <col min="4872" max="5120" width="11.44140625" style="107"/>
    <col min="5121" max="5121" width="4.88671875" style="107" customWidth="1"/>
    <col min="5122" max="5122" width="56.109375" style="107" customWidth="1"/>
    <col min="5123" max="5123" width="6" style="107" bestFit="1" customWidth="1"/>
    <col min="5124" max="5124" width="9" style="107" bestFit="1" customWidth="1"/>
    <col min="5125" max="5125" width="11.44140625" style="107"/>
    <col min="5126" max="5126" width="13.33203125" style="107" bestFit="1" customWidth="1"/>
    <col min="5127" max="5127" width="12" style="107" bestFit="1" customWidth="1"/>
    <col min="5128" max="5376" width="11.44140625" style="107"/>
    <col min="5377" max="5377" width="4.88671875" style="107" customWidth="1"/>
    <col min="5378" max="5378" width="56.109375" style="107" customWidth="1"/>
    <col min="5379" max="5379" width="6" style="107" bestFit="1" customWidth="1"/>
    <col min="5380" max="5380" width="9" style="107" bestFit="1" customWidth="1"/>
    <col min="5381" max="5381" width="11.44140625" style="107"/>
    <col min="5382" max="5382" width="13.33203125" style="107" bestFit="1" customWidth="1"/>
    <col min="5383" max="5383" width="12" style="107" bestFit="1" customWidth="1"/>
    <col min="5384" max="5632" width="11.44140625" style="107"/>
    <col min="5633" max="5633" width="4.88671875" style="107" customWidth="1"/>
    <col min="5634" max="5634" width="56.109375" style="107" customWidth="1"/>
    <col min="5635" max="5635" width="6" style="107" bestFit="1" customWidth="1"/>
    <col min="5636" max="5636" width="9" style="107" bestFit="1" customWidth="1"/>
    <col min="5637" max="5637" width="11.44140625" style="107"/>
    <col min="5638" max="5638" width="13.33203125" style="107" bestFit="1" customWidth="1"/>
    <col min="5639" max="5639" width="12" style="107" bestFit="1" customWidth="1"/>
    <col min="5640" max="5888" width="11.44140625" style="107"/>
    <col min="5889" max="5889" width="4.88671875" style="107" customWidth="1"/>
    <col min="5890" max="5890" width="56.109375" style="107" customWidth="1"/>
    <col min="5891" max="5891" width="6" style="107" bestFit="1" customWidth="1"/>
    <col min="5892" max="5892" width="9" style="107" bestFit="1" customWidth="1"/>
    <col min="5893" max="5893" width="11.44140625" style="107"/>
    <col min="5894" max="5894" width="13.33203125" style="107" bestFit="1" customWidth="1"/>
    <col min="5895" max="5895" width="12" style="107" bestFit="1" customWidth="1"/>
    <col min="5896" max="6144" width="11.44140625" style="107"/>
    <col min="6145" max="6145" width="4.88671875" style="107" customWidth="1"/>
    <col min="6146" max="6146" width="56.109375" style="107" customWidth="1"/>
    <col min="6147" max="6147" width="6" style="107" bestFit="1" customWidth="1"/>
    <col min="6148" max="6148" width="9" style="107" bestFit="1" customWidth="1"/>
    <col min="6149" max="6149" width="11.44140625" style="107"/>
    <col min="6150" max="6150" width="13.33203125" style="107" bestFit="1" customWidth="1"/>
    <col min="6151" max="6151" width="12" style="107" bestFit="1" customWidth="1"/>
    <col min="6152" max="6400" width="11.44140625" style="107"/>
    <col min="6401" max="6401" width="4.88671875" style="107" customWidth="1"/>
    <col min="6402" max="6402" width="56.109375" style="107" customWidth="1"/>
    <col min="6403" max="6403" width="6" style="107" bestFit="1" customWidth="1"/>
    <col min="6404" max="6404" width="9" style="107" bestFit="1" customWidth="1"/>
    <col min="6405" max="6405" width="11.44140625" style="107"/>
    <col min="6406" max="6406" width="13.33203125" style="107" bestFit="1" customWidth="1"/>
    <col min="6407" max="6407" width="12" style="107" bestFit="1" customWidth="1"/>
    <col min="6408" max="6656" width="11.44140625" style="107"/>
    <col min="6657" max="6657" width="4.88671875" style="107" customWidth="1"/>
    <col min="6658" max="6658" width="56.109375" style="107" customWidth="1"/>
    <col min="6659" max="6659" width="6" style="107" bestFit="1" customWidth="1"/>
    <col min="6660" max="6660" width="9" style="107" bestFit="1" customWidth="1"/>
    <col min="6661" max="6661" width="11.44140625" style="107"/>
    <col min="6662" max="6662" width="13.33203125" style="107" bestFit="1" customWidth="1"/>
    <col min="6663" max="6663" width="12" style="107" bestFit="1" customWidth="1"/>
    <col min="6664" max="6912" width="11.44140625" style="107"/>
    <col min="6913" max="6913" width="4.88671875" style="107" customWidth="1"/>
    <col min="6914" max="6914" width="56.109375" style="107" customWidth="1"/>
    <col min="6915" max="6915" width="6" style="107" bestFit="1" customWidth="1"/>
    <col min="6916" max="6916" width="9" style="107" bestFit="1" customWidth="1"/>
    <col min="6917" max="6917" width="11.44140625" style="107"/>
    <col min="6918" max="6918" width="13.33203125" style="107" bestFit="1" customWidth="1"/>
    <col min="6919" max="6919" width="12" style="107" bestFit="1" customWidth="1"/>
    <col min="6920" max="7168" width="11.44140625" style="107"/>
    <col min="7169" max="7169" width="4.88671875" style="107" customWidth="1"/>
    <col min="7170" max="7170" width="56.109375" style="107" customWidth="1"/>
    <col min="7171" max="7171" width="6" style="107" bestFit="1" customWidth="1"/>
    <col min="7172" max="7172" width="9" style="107" bestFit="1" customWidth="1"/>
    <col min="7173" max="7173" width="11.44140625" style="107"/>
    <col min="7174" max="7174" width="13.33203125" style="107" bestFit="1" customWidth="1"/>
    <col min="7175" max="7175" width="12" style="107" bestFit="1" customWidth="1"/>
    <col min="7176" max="7424" width="11.44140625" style="107"/>
    <col min="7425" max="7425" width="4.88671875" style="107" customWidth="1"/>
    <col min="7426" max="7426" width="56.109375" style="107" customWidth="1"/>
    <col min="7427" max="7427" width="6" style="107" bestFit="1" customWidth="1"/>
    <col min="7428" max="7428" width="9" style="107" bestFit="1" customWidth="1"/>
    <col min="7429" max="7429" width="11.44140625" style="107"/>
    <col min="7430" max="7430" width="13.33203125" style="107" bestFit="1" customWidth="1"/>
    <col min="7431" max="7431" width="12" style="107" bestFit="1" customWidth="1"/>
    <col min="7432" max="7680" width="11.44140625" style="107"/>
    <col min="7681" max="7681" width="4.88671875" style="107" customWidth="1"/>
    <col min="7682" max="7682" width="56.109375" style="107" customWidth="1"/>
    <col min="7683" max="7683" width="6" style="107" bestFit="1" customWidth="1"/>
    <col min="7684" max="7684" width="9" style="107" bestFit="1" customWidth="1"/>
    <col min="7685" max="7685" width="11.44140625" style="107"/>
    <col min="7686" max="7686" width="13.33203125" style="107" bestFit="1" customWidth="1"/>
    <col min="7687" max="7687" width="12" style="107" bestFit="1" customWidth="1"/>
    <col min="7688" max="7936" width="11.44140625" style="107"/>
    <col min="7937" max="7937" width="4.88671875" style="107" customWidth="1"/>
    <col min="7938" max="7938" width="56.109375" style="107" customWidth="1"/>
    <col min="7939" max="7939" width="6" style="107" bestFit="1" customWidth="1"/>
    <col min="7940" max="7940" width="9" style="107" bestFit="1" customWidth="1"/>
    <col min="7941" max="7941" width="11.44140625" style="107"/>
    <col min="7942" max="7942" width="13.33203125" style="107" bestFit="1" customWidth="1"/>
    <col min="7943" max="7943" width="12" style="107" bestFit="1" customWidth="1"/>
    <col min="7944" max="8192" width="11.44140625" style="107"/>
    <col min="8193" max="8193" width="4.88671875" style="107" customWidth="1"/>
    <col min="8194" max="8194" width="56.109375" style="107" customWidth="1"/>
    <col min="8195" max="8195" width="6" style="107" bestFit="1" customWidth="1"/>
    <col min="8196" max="8196" width="9" style="107" bestFit="1" customWidth="1"/>
    <col min="8197" max="8197" width="11.44140625" style="107"/>
    <col min="8198" max="8198" width="13.33203125" style="107" bestFit="1" customWidth="1"/>
    <col min="8199" max="8199" width="12" style="107" bestFit="1" customWidth="1"/>
    <col min="8200" max="8448" width="11.44140625" style="107"/>
    <col min="8449" max="8449" width="4.88671875" style="107" customWidth="1"/>
    <col min="8450" max="8450" width="56.109375" style="107" customWidth="1"/>
    <col min="8451" max="8451" width="6" style="107" bestFit="1" customWidth="1"/>
    <col min="8452" max="8452" width="9" style="107" bestFit="1" customWidth="1"/>
    <col min="8453" max="8453" width="11.44140625" style="107"/>
    <col min="8454" max="8454" width="13.33203125" style="107" bestFit="1" customWidth="1"/>
    <col min="8455" max="8455" width="12" style="107" bestFit="1" customWidth="1"/>
    <col min="8456" max="8704" width="11.44140625" style="107"/>
    <col min="8705" max="8705" width="4.88671875" style="107" customWidth="1"/>
    <col min="8706" max="8706" width="56.109375" style="107" customWidth="1"/>
    <col min="8707" max="8707" width="6" style="107" bestFit="1" customWidth="1"/>
    <col min="8708" max="8708" width="9" style="107" bestFit="1" customWidth="1"/>
    <col min="8709" max="8709" width="11.44140625" style="107"/>
    <col min="8710" max="8710" width="13.33203125" style="107" bestFit="1" customWidth="1"/>
    <col min="8711" max="8711" width="12" style="107" bestFit="1" customWidth="1"/>
    <col min="8712" max="8960" width="11.44140625" style="107"/>
    <col min="8961" max="8961" width="4.88671875" style="107" customWidth="1"/>
    <col min="8962" max="8962" width="56.109375" style="107" customWidth="1"/>
    <col min="8963" max="8963" width="6" style="107" bestFit="1" customWidth="1"/>
    <col min="8964" max="8964" width="9" style="107" bestFit="1" customWidth="1"/>
    <col min="8965" max="8965" width="11.44140625" style="107"/>
    <col min="8966" max="8966" width="13.33203125" style="107" bestFit="1" customWidth="1"/>
    <col min="8967" max="8967" width="12" style="107" bestFit="1" customWidth="1"/>
    <col min="8968" max="9216" width="11.44140625" style="107"/>
    <col min="9217" max="9217" width="4.88671875" style="107" customWidth="1"/>
    <col min="9218" max="9218" width="56.109375" style="107" customWidth="1"/>
    <col min="9219" max="9219" width="6" style="107" bestFit="1" customWidth="1"/>
    <col min="9220" max="9220" width="9" style="107" bestFit="1" customWidth="1"/>
    <col min="9221" max="9221" width="11.44140625" style="107"/>
    <col min="9222" max="9222" width="13.33203125" style="107" bestFit="1" customWidth="1"/>
    <col min="9223" max="9223" width="12" style="107" bestFit="1" customWidth="1"/>
    <col min="9224" max="9472" width="11.44140625" style="107"/>
    <col min="9473" max="9473" width="4.88671875" style="107" customWidth="1"/>
    <col min="9474" max="9474" width="56.109375" style="107" customWidth="1"/>
    <col min="9475" max="9475" width="6" style="107" bestFit="1" customWidth="1"/>
    <col min="9476" max="9476" width="9" style="107" bestFit="1" customWidth="1"/>
    <col min="9477" max="9477" width="11.44140625" style="107"/>
    <col min="9478" max="9478" width="13.33203125" style="107" bestFit="1" customWidth="1"/>
    <col min="9479" max="9479" width="12" style="107" bestFit="1" customWidth="1"/>
    <col min="9480" max="9728" width="11.44140625" style="107"/>
    <col min="9729" max="9729" width="4.88671875" style="107" customWidth="1"/>
    <col min="9730" max="9730" width="56.109375" style="107" customWidth="1"/>
    <col min="9731" max="9731" width="6" style="107" bestFit="1" customWidth="1"/>
    <col min="9732" max="9732" width="9" style="107" bestFit="1" customWidth="1"/>
    <col min="9733" max="9733" width="11.44140625" style="107"/>
    <col min="9734" max="9734" width="13.33203125" style="107" bestFit="1" customWidth="1"/>
    <col min="9735" max="9735" width="12" style="107" bestFit="1" customWidth="1"/>
    <col min="9736" max="9984" width="11.44140625" style="107"/>
    <col min="9985" max="9985" width="4.88671875" style="107" customWidth="1"/>
    <col min="9986" max="9986" width="56.109375" style="107" customWidth="1"/>
    <col min="9987" max="9987" width="6" style="107" bestFit="1" customWidth="1"/>
    <col min="9988" max="9988" width="9" style="107" bestFit="1" customWidth="1"/>
    <col min="9989" max="9989" width="11.44140625" style="107"/>
    <col min="9990" max="9990" width="13.33203125" style="107" bestFit="1" customWidth="1"/>
    <col min="9991" max="9991" width="12" style="107" bestFit="1" customWidth="1"/>
    <col min="9992" max="10240" width="11.44140625" style="107"/>
    <col min="10241" max="10241" width="4.88671875" style="107" customWidth="1"/>
    <col min="10242" max="10242" width="56.109375" style="107" customWidth="1"/>
    <col min="10243" max="10243" width="6" style="107" bestFit="1" customWidth="1"/>
    <col min="10244" max="10244" width="9" style="107" bestFit="1" customWidth="1"/>
    <col min="10245" max="10245" width="11.44140625" style="107"/>
    <col min="10246" max="10246" width="13.33203125" style="107" bestFit="1" customWidth="1"/>
    <col min="10247" max="10247" width="12" style="107" bestFit="1" customWidth="1"/>
    <col min="10248" max="10496" width="11.44140625" style="107"/>
    <col min="10497" max="10497" width="4.88671875" style="107" customWidth="1"/>
    <col min="10498" max="10498" width="56.109375" style="107" customWidth="1"/>
    <col min="10499" max="10499" width="6" style="107" bestFit="1" customWidth="1"/>
    <col min="10500" max="10500" width="9" style="107" bestFit="1" customWidth="1"/>
    <col min="10501" max="10501" width="11.44140625" style="107"/>
    <col min="10502" max="10502" width="13.33203125" style="107" bestFit="1" customWidth="1"/>
    <col min="10503" max="10503" width="12" style="107" bestFit="1" customWidth="1"/>
    <col min="10504" max="10752" width="11.44140625" style="107"/>
    <col min="10753" max="10753" width="4.88671875" style="107" customWidth="1"/>
    <col min="10754" max="10754" width="56.109375" style="107" customWidth="1"/>
    <col min="10755" max="10755" width="6" style="107" bestFit="1" customWidth="1"/>
    <col min="10756" max="10756" width="9" style="107" bestFit="1" customWidth="1"/>
    <col min="10757" max="10757" width="11.44140625" style="107"/>
    <col min="10758" max="10758" width="13.33203125" style="107" bestFit="1" customWidth="1"/>
    <col min="10759" max="10759" width="12" style="107" bestFit="1" customWidth="1"/>
    <col min="10760" max="11008" width="11.44140625" style="107"/>
    <col min="11009" max="11009" width="4.88671875" style="107" customWidth="1"/>
    <col min="11010" max="11010" width="56.109375" style="107" customWidth="1"/>
    <col min="11011" max="11011" width="6" style="107" bestFit="1" customWidth="1"/>
    <col min="11012" max="11012" width="9" style="107" bestFit="1" customWidth="1"/>
    <col min="11013" max="11013" width="11.44140625" style="107"/>
    <col min="11014" max="11014" width="13.33203125" style="107" bestFit="1" customWidth="1"/>
    <col min="11015" max="11015" width="12" style="107" bestFit="1" customWidth="1"/>
    <col min="11016" max="11264" width="11.44140625" style="107"/>
    <col min="11265" max="11265" width="4.88671875" style="107" customWidth="1"/>
    <col min="11266" max="11266" width="56.109375" style="107" customWidth="1"/>
    <col min="11267" max="11267" width="6" style="107" bestFit="1" customWidth="1"/>
    <col min="11268" max="11268" width="9" style="107" bestFit="1" customWidth="1"/>
    <col min="11269" max="11269" width="11.44140625" style="107"/>
    <col min="11270" max="11270" width="13.33203125" style="107" bestFit="1" customWidth="1"/>
    <col min="11271" max="11271" width="12" style="107" bestFit="1" customWidth="1"/>
    <col min="11272" max="11520" width="11.44140625" style="107"/>
    <col min="11521" max="11521" width="4.88671875" style="107" customWidth="1"/>
    <col min="11522" max="11522" width="56.109375" style="107" customWidth="1"/>
    <col min="11523" max="11523" width="6" style="107" bestFit="1" customWidth="1"/>
    <col min="11524" max="11524" width="9" style="107" bestFit="1" customWidth="1"/>
    <col min="11525" max="11525" width="11.44140625" style="107"/>
    <col min="11526" max="11526" width="13.33203125" style="107" bestFit="1" customWidth="1"/>
    <col min="11527" max="11527" width="12" style="107" bestFit="1" customWidth="1"/>
    <col min="11528" max="11776" width="11.44140625" style="107"/>
    <col min="11777" max="11777" width="4.88671875" style="107" customWidth="1"/>
    <col min="11778" max="11778" width="56.109375" style="107" customWidth="1"/>
    <col min="11779" max="11779" width="6" style="107" bestFit="1" customWidth="1"/>
    <col min="11780" max="11780" width="9" style="107" bestFit="1" customWidth="1"/>
    <col min="11781" max="11781" width="11.44140625" style="107"/>
    <col min="11782" max="11782" width="13.33203125" style="107" bestFit="1" customWidth="1"/>
    <col min="11783" max="11783" width="12" style="107" bestFit="1" customWidth="1"/>
    <col min="11784" max="12032" width="11.44140625" style="107"/>
    <col min="12033" max="12033" width="4.88671875" style="107" customWidth="1"/>
    <col min="12034" max="12034" width="56.109375" style="107" customWidth="1"/>
    <col min="12035" max="12035" width="6" style="107" bestFit="1" customWidth="1"/>
    <col min="12036" max="12036" width="9" style="107" bestFit="1" customWidth="1"/>
    <col min="12037" max="12037" width="11.44140625" style="107"/>
    <col min="12038" max="12038" width="13.33203125" style="107" bestFit="1" customWidth="1"/>
    <col min="12039" max="12039" width="12" style="107" bestFit="1" customWidth="1"/>
    <col min="12040" max="12288" width="11.44140625" style="107"/>
    <col min="12289" max="12289" width="4.88671875" style="107" customWidth="1"/>
    <col min="12290" max="12290" width="56.109375" style="107" customWidth="1"/>
    <col min="12291" max="12291" width="6" style="107" bestFit="1" customWidth="1"/>
    <col min="12292" max="12292" width="9" style="107" bestFit="1" customWidth="1"/>
    <col min="12293" max="12293" width="11.44140625" style="107"/>
    <col min="12294" max="12294" width="13.33203125" style="107" bestFit="1" customWidth="1"/>
    <col min="12295" max="12295" width="12" style="107" bestFit="1" customWidth="1"/>
    <col min="12296" max="12544" width="11.44140625" style="107"/>
    <col min="12545" max="12545" width="4.88671875" style="107" customWidth="1"/>
    <col min="12546" max="12546" width="56.109375" style="107" customWidth="1"/>
    <col min="12547" max="12547" width="6" style="107" bestFit="1" customWidth="1"/>
    <col min="12548" max="12548" width="9" style="107" bestFit="1" customWidth="1"/>
    <col min="12549" max="12549" width="11.44140625" style="107"/>
    <col min="12550" max="12550" width="13.33203125" style="107" bestFit="1" customWidth="1"/>
    <col min="12551" max="12551" width="12" style="107" bestFit="1" customWidth="1"/>
    <col min="12552" max="12800" width="11.44140625" style="107"/>
    <col min="12801" max="12801" width="4.88671875" style="107" customWidth="1"/>
    <col min="12802" max="12802" width="56.109375" style="107" customWidth="1"/>
    <col min="12803" max="12803" width="6" style="107" bestFit="1" customWidth="1"/>
    <col min="12804" max="12804" width="9" style="107" bestFit="1" customWidth="1"/>
    <col min="12805" max="12805" width="11.44140625" style="107"/>
    <col min="12806" max="12806" width="13.33203125" style="107" bestFit="1" customWidth="1"/>
    <col min="12807" max="12807" width="12" style="107" bestFit="1" customWidth="1"/>
    <col min="12808" max="13056" width="11.44140625" style="107"/>
    <col min="13057" max="13057" width="4.88671875" style="107" customWidth="1"/>
    <col min="13058" max="13058" width="56.109375" style="107" customWidth="1"/>
    <col min="13059" max="13059" width="6" style="107" bestFit="1" customWidth="1"/>
    <col min="13060" max="13060" width="9" style="107" bestFit="1" customWidth="1"/>
    <col min="13061" max="13061" width="11.44140625" style="107"/>
    <col min="13062" max="13062" width="13.33203125" style="107" bestFit="1" customWidth="1"/>
    <col min="13063" max="13063" width="12" style="107" bestFit="1" customWidth="1"/>
    <col min="13064" max="13312" width="11.44140625" style="107"/>
    <col min="13313" max="13313" width="4.88671875" style="107" customWidth="1"/>
    <col min="13314" max="13314" width="56.109375" style="107" customWidth="1"/>
    <col min="13315" max="13315" width="6" style="107" bestFit="1" customWidth="1"/>
    <col min="13316" max="13316" width="9" style="107" bestFit="1" customWidth="1"/>
    <col min="13317" max="13317" width="11.44140625" style="107"/>
    <col min="13318" max="13318" width="13.33203125" style="107" bestFit="1" customWidth="1"/>
    <col min="13319" max="13319" width="12" style="107" bestFit="1" customWidth="1"/>
    <col min="13320" max="13568" width="11.44140625" style="107"/>
    <col min="13569" max="13569" width="4.88671875" style="107" customWidth="1"/>
    <col min="13570" max="13570" width="56.109375" style="107" customWidth="1"/>
    <col min="13571" max="13571" width="6" style="107" bestFit="1" customWidth="1"/>
    <col min="13572" max="13572" width="9" style="107" bestFit="1" customWidth="1"/>
    <col min="13573" max="13573" width="11.44140625" style="107"/>
    <col min="13574" max="13574" width="13.33203125" style="107" bestFit="1" customWidth="1"/>
    <col min="13575" max="13575" width="12" style="107" bestFit="1" customWidth="1"/>
    <col min="13576" max="13824" width="11.44140625" style="107"/>
    <col min="13825" max="13825" width="4.88671875" style="107" customWidth="1"/>
    <col min="13826" max="13826" width="56.109375" style="107" customWidth="1"/>
    <col min="13827" max="13827" width="6" style="107" bestFit="1" customWidth="1"/>
    <col min="13828" max="13828" width="9" style="107" bestFit="1" customWidth="1"/>
    <col min="13829" max="13829" width="11.44140625" style="107"/>
    <col min="13830" max="13830" width="13.33203125" style="107" bestFit="1" customWidth="1"/>
    <col min="13831" max="13831" width="12" style="107" bestFit="1" customWidth="1"/>
    <col min="13832" max="14080" width="11.44140625" style="107"/>
    <col min="14081" max="14081" width="4.88671875" style="107" customWidth="1"/>
    <col min="14082" max="14082" width="56.109375" style="107" customWidth="1"/>
    <col min="14083" max="14083" width="6" style="107" bestFit="1" customWidth="1"/>
    <col min="14084" max="14084" width="9" style="107" bestFit="1" customWidth="1"/>
    <col min="14085" max="14085" width="11.44140625" style="107"/>
    <col min="14086" max="14086" width="13.33203125" style="107" bestFit="1" customWidth="1"/>
    <col min="14087" max="14087" width="12" style="107" bestFit="1" customWidth="1"/>
    <col min="14088" max="14336" width="11.44140625" style="107"/>
    <col min="14337" max="14337" width="4.88671875" style="107" customWidth="1"/>
    <col min="14338" max="14338" width="56.109375" style="107" customWidth="1"/>
    <col min="14339" max="14339" width="6" style="107" bestFit="1" customWidth="1"/>
    <col min="14340" max="14340" width="9" style="107" bestFit="1" customWidth="1"/>
    <col min="14341" max="14341" width="11.44140625" style="107"/>
    <col min="14342" max="14342" width="13.33203125" style="107" bestFit="1" customWidth="1"/>
    <col min="14343" max="14343" width="12" style="107" bestFit="1" customWidth="1"/>
    <col min="14344" max="14592" width="11.44140625" style="107"/>
    <col min="14593" max="14593" width="4.88671875" style="107" customWidth="1"/>
    <col min="14594" max="14594" width="56.109375" style="107" customWidth="1"/>
    <col min="14595" max="14595" width="6" style="107" bestFit="1" customWidth="1"/>
    <col min="14596" max="14596" width="9" style="107" bestFit="1" customWidth="1"/>
    <col min="14597" max="14597" width="11.44140625" style="107"/>
    <col min="14598" max="14598" width="13.33203125" style="107" bestFit="1" customWidth="1"/>
    <col min="14599" max="14599" width="12" style="107" bestFit="1" customWidth="1"/>
    <col min="14600" max="14848" width="11.44140625" style="107"/>
    <col min="14849" max="14849" width="4.88671875" style="107" customWidth="1"/>
    <col min="14850" max="14850" width="56.109375" style="107" customWidth="1"/>
    <col min="14851" max="14851" width="6" style="107" bestFit="1" customWidth="1"/>
    <col min="14852" max="14852" width="9" style="107" bestFit="1" customWidth="1"/>
    <col min="14853" max="14853" width="11.44140625" style="107"/>
    <col min="14854" max="14854" width="13.33203125" style="107" bestFit="1" customWidth="1"/>
    <col min="14855" max="14855" width="12" style="107" bestFit="1" customWidth="1"/>
    <col min="14856" max="15104" width="11.44140625" style="107"/>
    <col min="15105" max="15105" width="4.88671875" style="107" customWidth="1"/>
    <col min="15106" max="15106" width="56.109375" style="107" customWidth="1"/>
    <col min="15107" max="15107" width="6" style="107" bestFit="1" customWidth="1"/>
    <col min="15108" max="15108" width="9" style="107" bestFit="1" customWidth="1"/>
    <col min="15109" max="15109" width="11.44140625" style="107"/>
    <col min="15110" max="15110" width="13.33203125" style="107" bestFit="1" customWidth="1"/>
    <col min="15111" max="15111" width="12" style="107" bestFit="1" customWidth="1"/>
    <col min="15112" max="15360" width="11.44140625" style="107"/>
    <col min="15361" max="15361" width="4.88671875" style="107" customWidth="1"/>
    <col min="15362" max="15362" width="56.109375" style="107" customWidth="1"/>
    <col min="15363" max="15363" width="6" style="107" bestFit="1" customWidth="1"/>
    <col min="15364" max="15364" width="9" style="107" bestFit="1" customWidth="1"/>
    <col min="15365" max="15365" width="11.44140625" style="107"/>
    <col min="15366" max="15366" width="13.33203125" style="107" bestFit="1" customWidth="1"/>
    <col min="15367" max="15367" width="12" style="107" bestFit="1" customWidth="1"/>
    <col min="15368" max="15616" width="11.44140625" style="107"/>
    <col min="15617" max="15617" width="4.88671875" style="107" customWidth="1"/>
    <col min="15618" max="15618" width="56.109375" style="107" customWidth="1"/>
    <col min="15619" max="15619" width="6" style="107" bestFit="1" customWidth="1"/>
    <col min="15620" max="15620" width="9" style="107" bestFit="1" customWidth="1"/>
    <col min="15621" max="15621" width="11.44140625" style="107"/>
    <col min="15622" max="15622" width="13.33203125" style="107" bestFit="1" customWidth="1"/>
    <col min="15623" max="15623" width="12" style="107" bestFit="1" customWidth="1"/>
    <col min="15624" max="15872" width="11.44140625" style="107"/>
    <col min="15873" max="15873" width="4.88671875" style="107" customWidth="1"/>
    <col min="15874" max="15874" width="56.109375" style="107" customWidth="1"/>
    <col min="15875" max="15875" width="6" style="107" bestFit="1" customWidth="1"/>
    <col min="15876" max="15876" width="9" style="107" bestFit="1" customWidth="1"/>
    <col min="15877" max="15877" width="11.44140625" style="107"/>
    <col min="15878" max="15878" width="13.33203125" style="107" bestFit="1" customWidth="1"/>
    <col min="15879" max="15879" width="12" style="107" bestFit="1" customWidth="1"/>
    <col min="15880" max="16128" width="11.44140625" style="107"/>
    <col min="16129" max="16129" width="4.88671875" style="107" customWidth="1"/>
    <col min="16130" max="16130" width="56.109375" style="107" customWidth="1"/>
    <col min="16131" max="16131" width="6" style="107" bestFit="1" customWidth="1"/>
    <col min="16132" max="16132" width="9" style="107" bestFit="1" customWidth="1"/>
    <col min="16133" max="16133" width="11.44140625" style="107"/>
    <col min="16134" max="16134" width="13.33203125" style="107" bestFit="1" customWidth="1"/>
    <col min="16135" max="16135" width="12" style="107" bestFit="1" customWidth="1"/>
    <col min="16136" max="16384" width="11.44140625" style="223"/>
  </cols>
  <sheetData>
    <row r="1" spans="1:6" s="223" customFormat="1" x14ac:dyDescent="0.25">
      <c r="D1" s="224"/>
      <c r="F1" s="224"/>
    </row>
    <row r="2" spans="1:6" s="123" customFormat="1" x14ac:dyDescent="0.25">
      <c r="A2" s="397" t="s">
        <v>460</v>
      </c>
      <c r="B2" s="397"/>
      <c r="C2" s="397"/>
      <c r="D2" s="397"/>
      <c r="E2" s="397"/>
      <c r="F2" s="397"/>
    </row>
    <row r="3" spans="1:6" s="223" customFormat="1" ht="16.2" thickBot="1" x14ac:dyDescent="0.3">
      <c r="A3" s="225"/>
      <c r="B3" s="437" t="s">
        <v>441</v>
      </c>
      <c r="C3" s="437"/>
      <c r="D3" s="437"/>
      <c r="E3" s="437"/>
      <c r="F3" s="437"/>
    </row>
    <row r="4" spans="1:6" s="223" customFormat="1" ht="27.6" thickTop="1" thickBot="1" x14ac:dyDescent="0.3">
      <c r="A4" s="227" t="s">
        <v>121</v>
      </c>
      <c r="B4" s="227" t="s">
        <v>122</v>
      </c>
      <c r="C4" s="227" t="s">
        <v>123</v>
      </c>
      <c r="D4" s="227" t="s">
        <v>124</v>
      </c>
      <c r="E4" s="228" t="s">
        <v>125</v>
      </c>
      <c r="F4" s="228" t="s">
        <v>126</v>
      </c>
    </row>
    <row r="5" spans="1:6" s="223" customFormat="1" ht="14.4" thickTop="1" x14ac:dyDescent="0.25">
      <c r="A5" s="229" t="s">
        <v>0</v>
      </c>
      <c r="B5" s="230" t="s">
        <v>127</v>
      </c>
      <c r="C5" s="231"/>
      <c r="D5" s="231"/>
      <c r="E5" s="232"/>
      <c r="F5" s="233"/>
    </row>
    <row r="6" spans="1:6" s="223" customFormat="1" x14ac:dyDescent="0.25">
      <c r="A6" s="234" t="s">
        <v>25</v>
      </c>
      <c r="B6" s="120" t="s">
        <v>73</v>
      </c>
      <c r="C6" s="119" t="s">
        <v>6</v>
      </c>
      <c r="D6" s="121">
        <v>1</v>
      </c>
      <c r="E6" s="124"/>
      <c r="F6" s="235"/>
    </row>
    <row r="7" spans="1:6" s="223" customFormat="1" x14ac:dyDescent="0.25">
      <c r="A7" s="234" t="s">
        <v>128</v>
      </c>
      <c r="B7" s="236" t="s">
        <v>139</v>
      </c>
      <c r="C7" s="237" t="s">
        <v>10</v>
      </c>
      <c r="D7" s="238">
        <f>3.5*3.5</f>
        <v>12.25</v>
      </c>
      <c r="E7" s="239"/>
      <c r="F7" s="235"/>
    </row>
    <row r="8" spans="1:6" s="223" customFormat="1" x14ac:dyDescent="0.25">
      <c r="A8" s="234" t="s">
        <v>129</v>
      </c>
      <c r="B8" s="236" t="s">
        <v>27</v>
      </c>
      <c r="C8" s="237" t="s">
        <v>10</v>
      </c>
      <c r="D8" s="238">
        <f>(3*0.4*0.5)</f>
        <v>0.60000000000000009</v>
      </c>
      <c r="E8" s="239"/>
      <c r="F8" s="235"/>
    </row>
    <row r="9" spans="1:6" s="223" customFormat="1" x14ac:dyDescent="0.25">
      <c r="A9" s="234" t="s">
        <v>130</v>
      </c>
      <c r="B9" s="236" t="s">
        <v>327</v>
      </c>
      <c r="C9" s="237" t="s">
        <v>10</v>
      </c>
      <c r="D9" s="237">
        <f>((0.5*4)*2)+(3*0.2*0.3)</f>
        <v>4.18</v>
      </c>
      <c r="E9" s="239"/>
      <c r="F9" s="235"/>
    </row>
    <row r="10" spans="1:6" s="223" customFormat="1" x14ac:dyDescent="0.25">
      <c r="A10" s="234"/>
      <c r="B10" s="284" t="s">
        <v>7</v>
      </c>
      <c r="C10" s="241"/>
      <c r="D10" s="240"/>
      <c r="E10" s="241"/>
      <c r="F10" s="242"/>
    </row>
    <row r="11" spans="1:6" s="223" customFormat="1" x14ac:dyDescent="0.25">
      <c r="A11" s="243" t="s">
        <v>8</v>
      </c>
      <c r="B11" s="438" t="s">
        <v>330</v>
      </c>
      <c r="C11" s="438"/>
      <c r="D11" s="438"/>
      <c r="E11" s="438"/>
      <c r="F11" s="439"/>
    </row>
    <row r="12" spans="1:6" s="223" customFormat="1" x14ac:dyDescent="0.25">
      <c r="A12" s="234" t="s">
        <v>50</v>
      </c>
      <c r="B12" s="236" t="s">
        <v>328</v>
      </c>
      <c r="C12" s="237" t="s">
        <v>10</v>
      </c>
      <c r="D12" s="238">
        <f>(3.5*3.5)*0.05+(3*0.4*0.05)</f>
        <v>0.6725000000000001</v>
      </c>
      <c r="E12" s="239"/>
      <c r="F12" s="235"/>
    </row>
    <row r="13" spans="1:6" s="223" customFormat="1" x14ac:dyDescent="0.25">
      <c r="A13" s="234" t="s">
        <v>51</v>
      </c>
      <c r="B13" s="236" t="s">
        <v>329</v>
      </c>
      <c r="C13" s="244" t="s">
        <v>10</v>
      </c>
      <c r="D13" s="245">
        <f>(3.5*3.5*0.15)+(3*0.4*0.15)</f>
        <v>2.0175000000000001</v>
      </c>
      <c r="E13" s="239"/>
      <c r="F13" s="235"/>
    </row>
    <row r="14" spans="1:6" s="223" customFormat="1" x14ac:dyDescent="0.25">
      <c r="A14" s="234" t="s">
        <v>52</v>
      </c>
      <c r="B14" s="236" t="s">
        <v>333</v>
      </c>
      <c r="C14" s="244" t="s">
        <v>10</v>
      </c>
      <c r="D14" s="245">
        <f>9*(0.15*0.15*2)+(3*0.15*0.15*0.3)</f>
        <v>0.42524999999999996</v>
      </c>
      <c r="E14" s="239"/>
      <c r="F14" s="235"/>
    </row>
    <row r="15" spans="1:6" s="223" customFormat="1" ht="26.4" x14ac:dyDescent="0.25">
      <c r="A15" s="234" t="s">
        <v>131</v>
      </c>
      <c r="B15" s="236" t="s">
        <v>331</v>
      </c>
      <c r="C15" s="246" t="s">
        <v>26</v>
      </c>
      <c r="D15" s="245">
        <f>15*2</f>
        <v>30</v>
      </c>
      <c r="E15" s="142"/>
      <c r="F15" s="235"/>
    </row>
    <row r="16" spans="1:6" s="223" customFormat="1" ht="26.4" x14ac:dyDescent="0.25">
      <c r="A16" s="234" t="s">
        <v>249</v>
      </c>
      <c r="B16" s="236" t="s">
        <v>332</v>
      </c>
      <c r="C16" s="246" t="s">
        <v>16</v>
      </c>
      <c r="D16" s="245">
        <f>(3*0.5)</f>
        <v>1.5</v>
      </c>
      <c r="E16" s="142"/>
      <c r="F16" s="235"/>
    </row>
    <row r="17" spans="1:6" s="223" customFormat="1" x14ac:dyDescent="0.25">
      <c r="A17" s="234" t="s">
        <v>251</v>
      </c>
      <c r="B17" s="236" t="s">
        <v>334</v>
      </c>
      <c r="C17" s="246" t="s">
        <v>10</v>
      </c>
      <c r="D17" s="245">
        <f>(0.15*0.2*(15+3))</f>
        <v>0.54</v>
      </c>
      <c r="E17" s="142"/>
      <c r="F17" s="235"/>
    </row>
    <row r="18" spans="1:6" s="223" customFormat="1" x14ac:dyDescent="0.25">
      <c r="A18" s="247"/>
      <c r="B18" s="440" t="s">
        <v>7</v>
      </c>
      <c r="C18" s="440"/>
      <c r="D18" s="440"/>
      <c r="E18" s="440"/>
      <c r="F18" s="248"/>
    </row>
    <row r="19" spans="1:6" s="223" customFormat="1" x14ac:dyDescent="0.25">
      <c r="A19" s="243" t="s">
        <v>12</v>
      </c>
      <c r="B19" s="441" t="s">
        <v>140</v>
      </c>
      <c r="C19" s="441"/>
      <c r="D19" s="441"/>
      <c r="E19" s="441"/>
      <c r="F19" s="442"/>
    </row>
    <row r="20" spans="1:6" s="223" customFormat="1" x14ac:dyDescent="0.25">
      <c r="A20" s="234" t="s">
        <v>41</v>
      </c>
      <c r="B20" s="236" t="s">
        <v>142</v>
      </c>
      <c r="C20" s="249" t="s">
        <v>10</v>
      </c>
      <c r="D20" s="250">
        <f>3*3*0.15</f>
        <v>1.3499999999999999</v>
      </c>
      <c r="E20" s="142"/>
      <c r="F20" s="251"/>
    </row>
    <row r="21" spans="1:6" s="223" customFormat="1" x14ac:dyDescent="0.25">
      <c r="A21" s="234" t="s">
        <v>42</v>
      </c>
      <c r="B21" s="236" t="s">
        <v>335</v>
      </c>
      <c r="C21" s="249" t="s">
        <v>26</v>
      </c>
      <c r="D21" s="245">
        <f>15*2.2</f>
        <v>33</v>
      </c>
      <c r="E21" s="142"/>
      <c r="F21" s="251"/>
    </row>
    <row r="22" spans="1:6" s="223" customFormat="1" x14ac:dyDescent="0.25">
      <c r="A22" s="234" t="s">
        <v>43</v>
      </c>
      <c r="B22" s="236" t="s">
        <v>141</v>
      </c>
      <c r="C22" s="249" t="s">
        <v>26</v>
      </c>
      <c r="D22" s="253">
        <f>8*0.6</f>
        <v>4.8</v>
      </c>
      <c r="E22" s="142"/>
      <c r="F22" s="251"/>
    </row>
    <row r="23" spans="1:6" s="223" customFormat="1" x14ac:dyDescent="0.25">
      <c r="A23" s="234" t="s">
        <v>44</v>
      </c>
      <c r="B23" s="236" t="s">
        <v>56</v>
      </c>
      <c r="C23" s="249" t="s">
        <v>10</v>
      </c>
      <c r="D23" s="250">
        <f>2.5*0.15*0.15*2.5</f>
        <v>0.140625</v>
      </c>
      <c r="E23" s="142"/>
      <c r="F23" s="251"/>
    </row>
    <row r="24" spans="1:6" s="223" customFormat="1" x14ac:dyDescent="0.25">
      <c r="A24" s="234" t="s">
        <v>45</v>
      </c>
      <c r="B24" s="236" t="s">
        <v>336</v>
      </c>
      <c r="C24" s="249" t="s">
        <v>10</v>
      </c>
      <c r="D24" s="245">
        <f>0.15*0.2*15</f>
        <v>0.44999999999999996</v>
      </c>
      <c r="E24" s="142"/>
      <c r="F24" s="251"/>
    </row>
    <row r="25" spans="1:6" s="223" customFormat="1" x14ac:dyDescent="0.25">
      <c r="A25" s="234" t="s">
        <v>46</v>
      </c>
      <c r="B25" s="236" t="s">
        <v>337</v>
      </c>
      <c r="C25" s="249" t="s">
        <v>21</v>
      </c>
      <c r="D25" s="253">
        <v>2</v>
      </c>
      <c r="E25" s="142"/>
      <c r="F25" s="251"/>
    </row>
    <row r="26" spans="1:6" s="223" customFormat="1" x14ac:dyDescent="0.25">
      <c r="A26" s="234" t="s">
        <v>47</v>
      </c>
      <c r="B26" s="236" t="s">
        <v>338</v>
      </c>
      <c r="C26" s="249" t="s">
        <v>10</v>
      </c>
      <c r="D26" s="250">
        <f>0.15*1*3</f>
        <v>0.44999999999999996</v>
      </c>
      <c r="E26" s="142"/>
      <c r="F26" s="251"/>
    </row>
    <row r="27" spans="1:6" s="223" customFormat="1" x14ac:dyDescent="0.25">
      <c r="A27" s="234" t="s">
        <v>48</v>
      </c>
      <c r="B27" s="236" t="s">
        <v>427</v>
      </c>
      <c r="C27" s="249" t="s">
        <v>10</v>
      </c>
      <c r="D27" s="250">
        <f>9*0.15*0.15</f>
        <v>0.20249999999999999</v>
      </c>
      <c r="E27" s="142"/>
      <c r="F27" s="251"/>
    </row>
    <row r="28" spans="1:6" s="223" customFormat="1" x14ac:dyDescent="0.25">
      <c r="A28" s="234" t="s">
        <v>49</v>
      </c>
      <c r="B28" s="236" t="s">
        <v>428</v>
      </c>
      <c r="C28" s="249" t="s">
        <v>10</v>
      </c>
      <c r="D28" s="250">
        <f>(0.1*3*1)*1.5</f>
        <v>0.45000000000000007</v>
      </c>
      <c r="E28" s="142"/>
      <c r="F28" s="251"/>
    </row>
    <row r="29" spans="1:6" s="223" customFormat="1" x14ac:dyDescent="0.25">
      <c r="A29" s="252"/>
      <c r="B29" s="435" t="s">
        <v>7</v>
      </c>
      <c r="C29" s="435"/>
      <c r="D29" s="435"/>
      <c r="E29" s="435"/>
      <c r="F29" s="254"/>
    </row>
    <row r="30" spans="1:6" s="223" customFormat="1" x14ac:dyDescent="0.25">
      <c r="A30" s="255" t="s">
        <v>17</v>
      </c>
      <c r="B30" s="435" t="s">
        <v>339</v>
      </c>
      <c r="C30" s="435"/>
      <c r="D30" s="435"/>
      <c r="E30" s="435"/>
      <c r="F30" s="436"/>
    </row>
    <row r="31" spans="1:6" s="223" customFormat="1" ht="26.4" x14ac:dyDescent="0.25">
      <c r="A31" s="252" t="s">
        <v>40</v>
      </c>
      <c r="B31" s="236" t="s">
        <v>340</v>
      </c>
      <c r="C31" s="249" t="s">
        <v>26</v>
      </c>
      <c r="D31" s="245">
        <f>(12*1.8)</f>
        <v>21.6</v>
      </c>
      <c r="E31" s="142"/>
      <c r="F31" s="251"/>
    </row>
    <row r="32" spans="1:6" s="223" customFormat="1" x14ac:dyDescent="0.25">
      <c r="A32" s="252" t="s">
        <v>61</v>
      </c>
      <c r="B32" s="256" t="s">
        <v>341</v>
      </c>
      <c r="C32" s="256" t="s">
        <v>16</v>
      </c>
      <c r="D32" s="256">
        <f>4*((1.3+2)*2.2)</f>
        <v>29.04</v>
      </c>
      <c r="E32" s="142"/>
      <c r="F32" s="251"/>
    </row>
    <row r="33" spans="1:6" s="223" customFormat="1" x14ac:dyDescent="0.25">
      <c r="A33" s="252" t="s">
        <v>71</v>
      </c>
      <c r="B33" s="256" t="s">
        <v>183</v>
      </c>
      <c r="C33" s="256" t="s">
        <v>10</v>
      </c>
      <c r="D33" s="256">
        <f>(3*4)+(2*2*3)</f>
        <v>24</v>
      </c>
      <c r="E33" s="142"/>
      <c r="F33" s="251"/>
    </row>
    <row r="34" spans="1:6" s="223" customFormat="1" x14ac:dyDescent="0.25">
      <c r="A34" s="252" t="s">
        <v>132</v>
      </c>
      <c r="B34" s="236" t="s">
        <v>342</v>
      </c>
      <c r="C34" s="249" t="s">
        <v>26</v>
      </c>
      <c r="D34" s="245">
        <f>D33</f>
        <v>24</v>
      </c>
      <c r="E34" s="142"/>
      <c r="F34" s="251"/>
    </row>
    <row r="35" spans="1:6" s="223" customFormat="1" x14ac:dyDescent="0.25">
      <c r="A35" s="257"/>
      <c r="B35" s="435" t="s">
        <v>135</v>
      </c>
      <c r="C35" s="435"/>
      <c r="D35" s="435"/>
      <c r="E35" s="435"/>
      <c r="F35" s="254"/>
    </row>
    <row r="36" spans="1:6" s="223" customFormat="1" x14ac:dyDescent="0.25">
      <c r="A36" s="243" t="s">
        <v>19</v>
      </c>
      <c r="B36" s="241" t="s">
        <v>68</v>
      </c>
      <c r="C36" s="241"/>
      <c r="D36" s="240"/>
      <c r="E36" s="241"/>
      <c r="F36" s="258"/>
    </row>
    <row r="37" spans="1:6" s="260" customFormat="1" x14ac:dyDescent="0.25">
      <c r="A37" s="234" t="s">
        <v>65</v>
      </c>
      <c r="B37" s="236" t="s">
        <v>344</v>
      </c>
      <c r="C37" s="237" t="s">
        <v>21</v>
      </c>
      <c r="D37" s="259">
        <v>2</v>
      </c>
      <c r="E37" s="239"/>
      <c r="F37" s="235"/>
    </row>
    <row r="38" spans="1:6" s="223" customFormat="1" x14ac:dyDescent="0.25">
      <c r="A38" s="261"/>
      <c r="B38" s="438" t="s">
        <v>135</v>
      </c>
      <c r="C38" s="438"/>
      <c r="D38" s="438"/>
      <c r="E38" s="438"/>
      <c r="F38" s="242">
        <f>SUM(F37:F37)</f>
        <v>0</v>
      </c>
    </row>
    <row r="39" spans="1:6" s="223" customFormat="1" x14ac:dyDescent="0.25">
      <c r="A39" s="290" t="s">
        <v>22</v>
      </c>
      <c r="B39" s="241" t="s">
        <v>143</v>
      </c>
      <c r="C39" s="240"/>
      <c r="D39" s="240"/>
      <c r="E39" s="240"/>
      <c r="F39" s="242"/>
    </row>
    <row r="40" spans="1:6" s="223" customFormat="1" x14ac:dyDescent="0.25">
      <c r="A40" s="261" t="s">
        <v>63</v>
      </c>
      <c r="B40" s="236" t="s">
        <v>144</v>
      </c>
      <c r="C40" s="237" t="s">
        <v>77</v>
      </c>
      <c r="D40" s="262">
        <f>3*3</f>
        <v>9</v>
      </c>
      <c r="E40" s="237"/>
      <c r="F40" s="242"/>
    </row>
    <row r="41" spans="1:6" s="223" customFormat="1" x14ac:dyDescent="0.25">
      <c r="A41" s="261" t="s">
        <v>64</v>
      </c>
      <c r="B41" s="236" t="s">
        <v>343</v>
      </c>
      <c r="C41" s="237" t="s">
        <v>16</v>
      </c>
      <c r="D41" s="262">
        <f>3*2.3</f>
        <v>6.8999999999999995</v>
      </c>
      <c r="E41" s="237"/>
      <c r="F41" s="242"/>
    </row>
    <row r="42" spans="1:6" s="223" customFormat="1" x14ac:dyDescent="0.25">
      <c r="A42" s="261" t="s">
        <v>74</v>
      </c>
      <c r="B42" s="236" t="s">
        <v>145</v>
      </c>
      <c r="C42" s="237" t="s">
        <v>16</v>
      </c>
      <c r="D42" s="262">
        <f>4*0.4</f>
        <v>1.6</v>
      </c>
      <c r="E42" s="237"/>
      <c r="F42" s="242"/>
    </row>
    <row r="43" spans="1:6" s="223" customFormat="1" x14ac:dyDescent="0.25">
      <c r="A43" s="281"/>
      <c r="B43" s="291" t="s">
        <v>135</v>
      </c>
      <c r="C43" s="282"/>
      <c r="D43" s="282"/>
      <c r="E43" s="283"/>
      <c r="F43" s="242">
        <f>SUM(F39:F42)</f>
        <v>0</v>
      </c>
    </row>
    <row r="44" spans="1:6" s="223" customFormat="1" x14ac:dyDescent="0.25">
      <c r="A44" s="243" t="s">
        <v>101</v>
      </c>
      <c r="B44" s="438" t="s">
        <v>146</v>
      </c>
      <c r="C44" s="438"/>
      <c r="D44" s="438"/>
      <c r="E44" s="438"/>
      <c r="F44" s="439"/>
    </row>
    <row r="45" spans="1:6" s="223" customFormat="1" x14ac:dyDescent="0.25">
      <c r="A45" s="243" t="s">
        <v>136</v>
      </c>
      <c r="B45" s="241" t="s">
        <v>147</v>
      </c>
      <c r="C45" s="237" t="s">
        <v>80</v>
      </c>
      <c r="D45" s="262">
        <v>1</v>
      </c>
      <c r="E45" s="239"/>
      <c r="F45" s="235"/>
    </row>
    <row r="46" spans="1:6" s="223" customFormat="1" ht="39.6" x14ac:dyDescent="0.25">
      <c r="A46" s="234" t="s">
        <v>444</v>
      </c>
      <c r="B46" s="236" t="s">
        <v>148</v>
      </c>
      <c r="C46" s="244" t="s">
        <v>21</v>
      </c>
      <c r="D46" s="263">
        <v>1</v>
      </c>
      <c r="E46" s="239"/>
      <c r="F46" s="235"/>
    </row>
    <row r="47" spans="1:6" s="223" customFormat="1" x14ac:dyDescent="0.25">
      <c r="A47" s="234" t="s">
        <v>137</v>
      </c>
      <c r="B47" s="236" t="s">
        <v>345</v>
      </c>
      <c r="C47" s="237" t="s">
        <v>21</v>
      </c>
      <c r="D47" s="262">
        <v>2</v>
      </c>
      <c r="E47" s="239"/>
      <c r="F47" s="235"/>
    </row>
    <row r="48" spans="1:6" s="223" customFormat="1" x14ac:dyDescent="0.25">
      <c r="A48" s="234"/>
      <c r="B48" s="438" t="s">
        <v>135</v>
      </c>
      <c r="C48" s="438"/>
      <c r="D48" s="438"/>
      <c r="E48" s="438"/>
      <c r="F48" s="264"/>
    </row>
    <row r="49" spans="1:6" s="260" customFormat="1" ht="14.4" thickBot="1" x14ac:dyDescent="0.3">
      <c r="A49" s="443" t="s">
        <v>442</v>
      </c>
      <c r="B49" s="444"/>
      <c r="C49" s="444"/>
      <c r="D49" s="444"/>
      <c r="E49" s="445"/>
      <c r="F49" s="265"/>
    </row>
    <row r="50" spans="1:6" s="223" customFormat="1" ht="15" thickTop="1" thickBot="1" x14ac:dyDescent="0.3">
      <c r="A50" s="443" t="s">
        <v>443</v>
      </c>
      <c r="B50" s="444"/>
      <c r="C50" s="444"/>
      <c r="D50" s="444"/>
      <c r="E50" s="445"/>
      <c r="F50" s="265"/>
    </row>
    <row r="51" spans="1:6" s="223" customFormat="1" ht="14.4" thickTop="1" x14ac:dyDescent="0.25">
      <c r="D51" s="224"/>
      <c r="F51" s="224"/>
    </row>
    <row r="52" spans="1:6" s="223" customFormat="1" ht="15" x14ac:dyDescent="0.25">
      <c r="B52" s="446"/>
      <c r="C52" s="446"/>
      <c r="D52" s="446"/>
      <c r="E52" s="446"/>
      <c r="F52" s="446"/>
    </row>
    <row r="53" spans="1:6" s="223" customFormat="1" x14ac:dyDescent="0.25">
      <c r="D53" s="224"/>
      <c r="F53" s="224"/>
    </row>
    <row r="54" spans="1:6" s="223" customFormat="1" x14ac:dyDescent="0.25">
      <c r="D54" s="224"/>
      <c r="E54" s="269"/>
      <c r="F54" s="270"/>
    </row>
    <row r="55" spans="1:6" s="223" customFormat="1" x14ac:dyDescent="0.25">
      <c r="D55" s="224"/>
      <c r="E55" s="269"/>
      <c r="F55" s="270"/>
    </row>
    <row r="56" spans="1:6" s="223" customFormat="1" x14ac:dyDescent="0.25">
      <c r="D56" s="224"/>
      <c r="E56" s="271"/>
      <c r="F56" s="270"/>
    </row>
    <row r="57" spans="1:6" s="223" customFormat="1" x14ac:dyDescent="0.25">
      <c r="D57" s="224"/>
      <c r="F57" s="224"/>
    </row>
    <row r="58" spans="1:6" s="223" customFormat="1" x14ac:dyDescent="0.25">
      <c r="D58" s="224"/>
      <c r="F58" s="224"/>
    </row>
    <row r="59" spans="1:6" s="223" customFormat="1" x14ac:dyDescent="0.25">
      <c r="D59" s="224"/>
      <c r="F59" s="224"/>
    </row>
    <row r="60" spans="1:6" s="223" customFormat="1" x14ac:dyDescent="0.25">
      <c r="D60" s="224"/>
      <c r="F60" s="224"/>
    </row>
    <row r="61" spans="1:6" s="223" customFormat="1" x14ac:dyDescent="0.25">
      <c r="D61" s="224"/>
      <c r="F61" s="224"/>
    </row>
    <row r="62" spans="1:6" s="223" customFormat="1" x14ac:dyDescent="0.25">
      <c r="D62" s="224"/>
      <c r="F62" s="224"/>
    </row>
    <row r="63" spans="1:6" s="223" customFormat="1" x14ac:dyDescent="0.25">
      <c r="D63" s="224"/>
      <c r="F63" s="224"/>
    </row>
    <row r="64" spans="1:6" s="223" customFormat="1" x14ac:dyDescent="0.25">
      <c r="D64" s="224"/>
      <c r="F64" s="224"/>
    </row>
    <row r="65" spans="4:6" s="223" customFormat="1" x14ac:dyDescent="0.25">
      <c r="D65" s="224"/>
      <c r="F65" s="224"/>
    </row>
    <row r="66" spans="4:6" s="223" customFormat="1" x14ac:dyDescent="0.25">
      <c r="D66" s="224"/>
      <c r="F66" s="224"/>
    </row>
    <row r="67" spans="4:6" s="223" customFormat="1" x14ac:dyDescent="0.25">
      <c r="D67" s="224"/>
      <c r="F67" s="224"/>
    </row>
    <row r="68" spans="4:6" s="223" customFormat="1" x14ac:dyDescent="0.25">
      <c r="D68" s="224"/>
      <c r="F68" s="224"/>
    </row>
    <row r="69" spans="4:6" s="223" customFormat="1" x14ac:dyDescent="0.25">
      <c r="D69" s="224"/>
      <c r="F69" s="224"/>
    </row>
    <row r="70" spans="4:6" s="223" customFormat="1" x14ac:dyDescent="0.25">
      <c r="D70" s="224"/>
      <c r="F70" s="224"/>
    </row>
    <row r="71" spans="4:6" s="223" customFormat="1" x14ac:dyDescent="0.25">
      <c r="D71" s="224"/>
      <c r="F71" s="224"/>
    </row>
    <row r="72" spans="4:6" s="223" customFormat="1" x14ac:dyDescent="0.25">
      <c r="D72" s="224"/>
      <c r="F72" s="224"/>
    </row>
    <row r="73" spans="4:6" s="223" customFormat="1" x14ac:dyDescent="0.25">
      <c r="D73" s="224"/>
      <c r="F73" s="224"/>
    </row>
    <row r="74" spans="4:6" s="223" customFormat="1" x14ac:dyDescent="0.25">
      <c r="D74" s="224"/>
      <c r="F74" s="224"/>
    </row>
    <row r="75" spans="4:6" s="223" customFormat="1" x14ac:dyDescent="0.25">
      <c r="D75" s="224"/>
      <c r="F75" s="224"/>
    </row>
    <row r="76" spans="4:6" s="223" customFormat="1" x14ac:dyDescent="0.25">
      <c r="D76" s="224"/>
      <c r="F76" s="224"/>
    </row>
    <row r="77" spans="4:6" s="223" customFormat="1" x14ac:dyDescent="0.25">
      <c r="D77" s="224"/>
      <c r="F77" s="224"/>
    </row>
    <row r="78" spans="4:6" s="223" customFormat="1" x14ac:dyDescent="0.25">
      <c r="D78" s="224"/>
      <c r="F78" s="224"/>
    </row>
    <row r="79" spans="4:6" s="223" customFormat="1" x14ac:dyDescent="0.25">
      <c r="D79" s="224"/>
      <c r="F79" s="224"/>
    </row>
    <row r="80" spans="4:6" s="223" customFormat="1" x14ac:dyDescent="0.25">
      <c r="D80" s="224"/>
      <c r="F80" s="224"/>
    </row>
    <row r="81" spans="4:6" s="223" customFormat="1" x14ac:dyDescent="0.25">
      <c r="D81" s="224"/>
      <c r="F81" s="224"/>
    </row>
    <row r="82" spans="4:6" s="223" customFormat="1" x14ac:dyDescent="0.25">
      <c r="D82" s="224"/>
      <c r="F82" s="224"/>
    </row>
    <row r="83" spans="4:6" s="223" customFormat="1" x14ac:dyDescent="0.25">
      <c r="D83" s="224"/>
      <c r="F83" s="224"/>
    </row>
    <row r="84" spans="4:6" s="223" customFormat="1" x14ac:dyDescent="0.25">
      <c r="D84" s="224"/>
      <c r="F84" s="224"/>
    </row>
    <row r="85" spans="4:6" s="223" customFormat="1" x14ac:dyDescent="0.25">
      <c r="D85" s="224"/>
      <c r="F85" s="224"/>
    </row>
    <row r="86" spans="4:6" s="223" customFormat="1" x14ac:dyDescent="0.25">
      <c r="D86" s="224"/>
      <c r="F86" s="224"/>
    </row>
    <row r="87" spans="4:6" s="223" customFormat="1" x14ac:dyDescent="0.25">
      <c r="D87" s="224"/>
      <c r="F87" s="224"/>
    </row>
    <row r="88" spans="4:6" s="223" customFormat="1" x14ac:dyDescent="0.25">
      <c r="D88" s="224"/>
      <c r="F88" s="224"/>
    </row>
    <row r="89" spans="4:6" s="223" customFormat="1" x14ac:dyDescent="0.25">
      <c r="D89" s="224"/>
      <c r="F89" s="224"/>
    </row>
    <row r="90" spans="4:6" s="223" customFormat="1" x14ac:dyDescent="0.25">
      <c r="D90" s="224"/>
      <c r="F90" s="224"/>
    </row>
    <row r="91" spans="4:6" s="223" customFormat="1" x14ac:dyDescent="0.25">
      <c r="D91" s="224"/>
      <c r="F91" s="224"/>
    </row>
    <row r="92" spans="4:6" s="223" customFormat="1" x14ac:dyDescent="0.25">
      <c r="D92" s="224"/>
      <c r="F92" s="224"/>
    </row>
    <row r="93" spans="4:6" s="223" customFormat="1" x14ac:dyDescent="0.25">
      <c r="D93" s="224"/>
      <c r="F93" s="224"/>
    </row>
    <row r="94" spans="4:6" s="223" customFormat="1" x14ac:dyDescent="0.25">
      <c r="D94" s="224"/>
      <c r="F94" s="224"/>
    </row>
    <row r="95" spans="4:6" s="223" customFormat="1" x14ac:dyDescent="0.25">
      <c r="D95" s="224"/>
      <c r="F95" s="224"/>
    </row>
    <row r="96" spans="4:6" s="223" customFormat="1" x14ac:dyDescent="0.25">
      <c r="D96" s="224"/>
      <c r="F96" s="224"/>
    </row>
    <row r="97" spans="4:6" s="223" customFormat="1" x14ac:dyDescent="0.25">
      <c r="D97" s="224"/>
      <c r="F97" s="224"/>
    </row>
    <row r="98" spans="4:6" s="223" customFormat="1" x14ac:dyDescent="0.25">
      <c r="D98" s="224"/>
      <c r="F98" s="224"/>
    </row>
    <row r="99" spans="4:6" s="223" customFormat="1" x14ac:dyDescent="0.25">
      <c r="D99" s="224"/>
      <c r="F99" s="224"/>
    </row>
    <row r="100" spans="4:6" s="223" customFormat="1" x14ac:dyDescent="0.25">
      <c r="D100" s="224"/>
      <c r="F100" s="224"/>
    </row>
    <row r="101" spans="4:6" s="223" customFormat="1" x14ac:dyDescent="0.25">
      <c r="D101" s="224"/>
      <c r="F101" s="224"/>
    </row>
    <row r="102" spans="4:6" s="223" customFormat="1" x14ac:dyDescent="0.25">
      <c r="D102" s="224"/>
      <c r="F102" s="224"/>
    </row>
    <row r="103" spans="4:6" s="223" customFormat="1" x14ac:dyDescent="0.25">
      <c r="D103" s="224"/>
      <c r="F103" s="224"/>
    </row>
    <row r="104" spans="4:6" s="223" customFormat="1" x14ac:dyDescent="0.25">
      <c r="D104" s="224"/>
      <c r="F104" s="224"/>
    </row>
    <row r="105" spans="4:6" s="223" customFormat="1" x14ac:dyDescent="0.25">
      <c r="D105" s="224"/>
      <c r="F105" s="224"/>
    </row>
    <row r="106" spans="4:6" s="223" customFormat="1" x14ac:dyDescent="0.25">
      <c r="D106" s="224"/>
      <c r="F106" s="224"/>
    </row>
    <row r="107" spans="4:6" s="223" customFormat="1" x14ac:dyDescent="0.25">
      <c r="D107" s="224"/>
      <c r="F107" s="224"/>
    </row>
    <row r="108" spans="4:6" s="223" customFormat="1" x14ac:dyDescent="0.25">
      <c r="D108" s="224"/>
      <c r="F108" s="224"/>
    </row>
    <row r="109" spans="4:6" s="223" customFormat="1" x14ac:dyDescent="0.25">
      <c r="D109" s="224"/>
      <c r="F109" s="224"/>
    </row>
    <row r="110" spans="4:6" s="223" customFormat="1" x14ac:dyDescent="0.25">
      <c r="D110" s="224"/>
      <c r="F110" s="224"/>
    </row>
    <row r="111" spans="4:6" s="223" customFormat="1" x14ac:dyDescent="0.25">
      <c r="D111" s="224"/>
      <c r="F111" s="224"/>
    </row>
    <row r="112" spans="4:6" s="223" customFormat="1" x14ac:dyDescent="0.25">
      <c r="D112" s="224"/>
      <c r="F112" s="224"/>
    </row>
    <row r="113" spans="4:6" s="223" customFormat="1" x14ac:dyDescent="0.25">
      <c r="D113" s="224"/>
      <c r="F113" s="224"/>
    </row>
    <row r="114" spans="4:6" s="223" customFormat="1" x14ac:dyDescent="0.25">
      <c r="D114" s="224"/>
      <c r="F114" s="224"/>
    </row>
    <row r="115" spans="4:6" s="223" customFormat="1" x14ac:dyDescent="0.25">
      <c r="D115" s="224"/>
      <c r="F115" s="224"/>
    </row>
    <row r="116" spans="4:6" s="223" customFormat="1" x14ac:dyDescent="0.25">
      <c r="D116" s="224"/>
      <c r="F116" s="224"/>
    </row>
    <row r="117" spans="4:6" s="223" customFormat="1" x14ac:dyDescent="0.25">
      <c r="D117" s="224"/>
      <c r="F117" s="224"/>
    </row>
    <row r="118" spans="4:6" s="223" customFormat="1" x14ac:dyDescent="0.25">
      <c r="D118" s="224"/>
      <c r="F118" s="224"/>
    </row>
    <row r="119" spans="4:6" s="223" customFormat="1" x14ac:dyDescent="0.25">
      <c r="D119" s="224"/>
      <c r="F119" s="224"/>
    </row>
    <row r="120" spans="4:6" s="223" customFormat="1" x14ac:dyDescent="0.25">
      <c r="D120" s="224"/>
      <c r="F120" s="224"/>
    </row>
    <row r="121" spans="4:6" s="223" customFormat="1" x14ac:dyDescent="0.25">
      <c r="D121" s="224"/>
      <c r="F121" s="224"/>
    </row>
    <row r="122" spans="4:6" s="223" customFormat="1" x14ac:dyDescent="0.25">
      <c r="D122" s="224"/>
      <c r="F122" s="224"/>
    </row>
    <row r="123" spans="4:6" s="223" customFormat="1" x14ac:dyDescent="0.25">
      <c r="D123" s="224"/>
      <c r="F123" s="224"/>
    </row>
    <row r="124" spans="4:6" s="223" customFormat="1" x14ac:dyDescent="0.25">
      <c r="D124" s="224"/>
      <c r="F124" s="224"/>
    </row>
    <row r="125" spans="4:6" s="223" customFormat="1" x14ac:dyDescent="0.25">
      <c r="D125" s="224"/>
      <c r="F125" s="224"/>
    </row>
    <row r="126" spans="4:6" s="223" customFormat="1" x14ac:dyDescent="0.25">
      <c r="D126" s="224"/>
      <c r="F126" s="224"/>
    </row>
    <row r="127" spans="4:6" s="223" customFormat="1" x14ac:dyDescent="0.25">
      <c r="D127" s="224"/>
      <c r="F127" s="224"/>
    </row>
    <row r="128" spans="4:6" s="223" customFormat="1" x14ac:dyDescent="0.25">
      <c r="D128" s="224"/>
      <c r="F128" s="224"/>
    </row>
    <row r="129" spans="4:6" s="223" customFormat="1" x14ac:dyDescent="0.25">
      <c r="D129" s="224"/>
      <c r="F129" s="224"/>
    </row>
    <row r="130" spans="4:6" s="223" customFormat="1" x14ac:dyDescent="0.25">
      <c r="D130" s="224"/>
      <c r="F130" s="224"/>
    </row>
    <row r="131" spans="4:6" s="223" customFormat="1" x14ac:dyDescent="0.25">
      <c r="D131" s="224"/>
      <c r="F131" s="224"/>
    </row>
    <row r="132" spans="4:6" s="223" customFormat="1" x14ac:dyDescent="0.25">
      <c r="D132" s="224"/>
      <c r="F132" s="224"/>
    </row>
    <row r="133" spans="4:6" s="223" customFormat="1" x14ac:dyDescent="0.25">
      <c r="D133" s="224"/>
      <c r="F133" s="224"/>
    </row>
    <row r="134" spans="4:6" s="223" customFormat="1" x14ac:dyDescent="0.25">
      <c r="D134" s="224"/>
      <c r="F134" s="224"/>
    </row>
    <row r="135" spans="4:6" s="223" customFormat="1" x14ac:dyDescent="0.25">
      <c r="D135" s="224"/>
      <c r="F135" s="224"/>
    </row>
    <row r="136" spans="4:6" s="223" customFormat="1" x14ac:dyDescent="0.25">
      <c r="D136" s="224"/>
      <c r="F136" s="224"/>
    </row>
    <row r="137" spans="4:6" s="223" customFormat="1" x14ac:dyDescent="0.25">
      <c r="D137" s="224"/>
      <c r="F137" s="224"/>
    </row>
    <row r="138" spans="4:6" s="223" customFormat="1" x14ac:dyDescent="0.25">
      <c r="D138" s="224"/>
      <c r="F138" s="224"/>
    </row>
    <row r="139" spans="4:6" s="223" customFormat="1" x14ac:dyDescent="0.25">
      <c r="D139" s="224"/>
      <c r="F139" s="224"/>
    </row>
    <row r="140" spans="4:6" s="223" customFormat="1" x14ac:dyDescent="0.25">
      <c r="D140" s="224"/>
      <c r="F140" s="224"/>
    </row>
    <row r="141" spans="4:6" s="223" customFormat="1" x14ac:dyDescent="0.25">
      <c r="D141" s="224"/>
      <c r="F141" s="224"/>
    </row>
    <row r="142" spans="4:6" s="223" customFormat="1" x14ac:dyDescent="0.25">
      <c r="D142" s="224"/>
      <c r="F142" s="224"/>
    </row>
    <row r="143" spans="4:6" s="223" customFormat="1" x14ac:dyDescent="0.25">
      <c r="D143" s="224"/>
      <c r="F143" s="224"/>
    </row>
    <row r="144" spans="4:6" s="223" customFormat="1" x14ac:dyDescent="0.25">
      <c r="D144" s="224"/>
      <c r="F144" s="224"/>
    </row>
    <row r="145" spans="4:6" s="223" customFormat="1" x14ac:dyDescent="0.25">
      <c r="D145" s="224"/>
      <c r="F145" s="224"/>
    </row>
    <row r="146" spans="4:6" s="223" customFormat="1" x14ac:dyDescent="0.25">
      <c r="D146" s="224"/>
      <c r="F146" s="224"/>
    </row>
    <row r="147" spans="4:6" s="223" customFormat="1" x14ac:dyDescent="0.25">
      <c r="D147" s="224"/>
      <c r="F147" s="224"/>
    </row>
    <row r="148" spans="4:6" s="223" customFormat="1" x14ac:dyDescent="0.25">
      <c r="D148" s="224"/>
      <c r="F148" s="224"/>
    </row>
    <row r="149" spans="4:6" s="223" customFormat="1" x14ac:dyDescent="0.25">
      <c r="D149" s="224"/>
      <c r="F149" s="224"/>
    </row>
    <row r="150" spans="4:6" s="223" customFormat="1" x14ac:dyDescent="0.25">
      <c r="D150" s="224"/>
      <c r="F150" s="224"/>
    </row>
    <row r="151" spans="4:6" s="223" customFormat="1" x14ac:dyDescent="0.25">
      <c r="D151" s="224"/>
      <c r="F151" s="224"/>
    </row>
    <row r="152" spans="4:6" s="223" customFormat="1" x14ac:dyDescent="0.25">
      <c r="D152" s="224"/>
      <c r="F152" s="224"/>
    </row>
    <row r="153" spans="4:6" s="223" customFormat="1" x14ac:dyDescent="0.25">
      <c r="D153" s="224"/>
      <c r="F153" s="224"/>
    </row>
    <row r="154" spans="4:6" s="223" customFormat="1" x14ac:dyDescent="0.25">
      <c r="D154" s="224"/>
      <c r="F154" s="224"/>
    </row>
    <row r="155" spans="4:6" s="223" customFormat="1" x14ac:dyDescent="0.25">
      <c r="D155" s="224"/>
      <c r="F155" s="224"/>
    </row>
    <row r="156" spans="4:6" s="223" customFormat="1" x14ac:dyDescent="0.25">
      <c r="D156" s="224"/>
      <c r="F156" s="224"/>
    </row>
    <row r="157" spans="4:6" s="223" customFormat="1" x14ac:dyDescent="0.25">
      <c r="D157" s="224"/>
      <c r="F157" s="224"/>
    </row>
    <row r="158" spans="4:6" s="223" customFormat="1" x14ac:dyDescent="0.25">
      <c r="D158" s="224"/>
      <c r="F158" s="224"/>
    </row>
    <row r="159" spans="4:6" s="223" customFormat="1" x14ac:dyDescent="0.25">
      <c r="D159" s="224"/>
      <c r="F159" s="224"/>
    </row>
    <row r="160" spans="4:6" s="223" customFormat="1" x14ac:dyDescent="0.25">
      <c r="D160" s="224"/>
      <c r="F160" s="224"/>
    </row>
    <row r="161" spans="4:6" s="223" customFormat="1" x14ac:dyDescent="0.25">
      <c r="D161" s="224"/>
      <c r="F161" s="224"/>
    </row>
    <row r="162" spans="4:6" s="223" customFormat="1" x14ac:dyDescent="0.25">
      <c r="D162" s="224"/>
      <c r="F162" s="224"/>
    </row>
    <row r="163" spans="4:6" s="223" customFormat="1" x14ac:dyDescent="0.25">
      <c r="D163" s="224"/>
      <c r="F163" s="224"/>
    </row>
    <row r="164" spans="4:6" s="223" customFormat="1" x14ac:dyDescent="0.25">
      <c r="D164" s="224"/>
      <c r="F164" s="224"/>
    </row>
    <row r="165" spans="4:6" s="223" customFormat="1" x14ac:dyDescent="0.25">
      <c r="D165" s="224"/>
      <c r="F165" s="224"/>
    </row>
    <row r="166" spans="4:6" s="223" customFormat="1" x14ac:dyDescent="0.25">
      <c r="D166" s="224"/>
      <c r="F166" s="224"/>
    </row>
    <row r="167" spans="4:6" s="223" customFormat="1" x14ac:dyDescent="0.25">
      <c r="D167" s="224"/>
      <c r="F167" s="224"/>
    </row>
    <row r="168" spans="4:6" s="223" customFormat="1" x14ac:dyDescent="0.25">
      <c r="D168" s="224"/>
      <c r="F168" s="224"/>
    </row>
    <row r="169" spans="4:6" s="223" customFormat="1" x14ac:dyDescent="0.25">
      <c r="D169" s="224"/>
      <c r="F169" s="224"/>
    </row>
    <row r="170" spans="4:6" s="223" customFormat="1" x14ac:dyDescent="0.25">
      <c r="D170" s="224"/>
      <c r="F170" s="224"/>
    </row>
    <row r="171" spans="4:6" s="223" customFormat="1" x14ac:dyDescent="0.25">
      <c r="D171" s="224"/>
      <c r="F171" s="224"/>
    </row>
    <row r="172" spans="4:6" s="223" customFormat="1" x14ac:dyDescent="0.25">
      <c r="D172" s="224"/>
      <c r="F172" s="224"/>
    </row>
    <row r="173" spans="4:6" s="223" customFormat="1" x14ac:dyDescent="0.25">
      <c r="D173" s="224"/>
      <c r="F173" s="224"/>
    </row>
    <row r="174" spans="4:6" s="223" customFormat="1" x14ac:dyDescent="0.25">
      <c r="D174" s="224"/>
      <c r="F174" s="224"/>
    </row>
    <row r="175" spans="4:6" s="223" customFormat="1" x14ac:dyDescent="0.25">
      <c r="D175" s="224"/>
      <c r="F175" s="224"/>
    </row>
    <row r="176" spans="4:6" s="223" customFormat="1" x14ac:dyDescent="0.25">
      <c r="D176" s="224"/>
      <c r="F176" s="224"/>
    </row>
    <row r="177" spans="4:6" s="223" customFormat="1" x14ac:dyDescent="0.25">
      <c r="D177" s="224"/>
      <c r="F177" s="224"/>
    </row>
    <row r="178" spans="4:6" s="223" customFormat="1" x14ac:dyDescent="0.25">
      <c r="D178" s="224"/>
      <c r="F178" s="224"/>
    </row>
    <row r="179" spans="4:6" s="223" customFormat="1" x14ac:dyDescent="0.25">
      <c r="D179" s="224"/>
      <c r="F179" s="224"/>
    </row>
    <row r="180" spans="4:6" s="223" customFormat="1" x14ac:dyDescent="0.25">
      <c r="D180" s="224"/>
      <c r="F180" s="224"/>
    </row>
    <row r="181" spans="4:6" s="223" customFormat="1" x14ac:dyDescent="0.25">
      <c r="D181" s="224"/>
      <c r="F181" s="224"/>
    </row>
    <row r="182" spans="4:6" s="223" customFormat="1" x14ac:dyDescent="0.25">
      <c r="D182" s="224"/>
      <c r="F182" s="224"/>
    </row>
    <row r="183" spans="4:6" s="223" customFormat="1" x14ac:dyDescent="0.25">
      <c r="D183" s="224"/>
      <c r="F183" s="224"/>
    </row>
    <row r="184" spans="4:6" s="223" customFormat="1" x14ac:dyDescent="0.25">
      <c r="D184" s="224"/>
      <c r="F184" s="224"/>
    </row>
    <row r="185" spans="4:6" s="223" customFormat="1" x14ac:dyDescent="0.25">
      <c r="D185" s="224"/>
      <c r="F185" s="224"/>
    </row>
    <row r="186" spans="4:6" s="223" customFormat="1" x14ac:dyDescent="0.25">
      <c r="D186" s="224"/>
      <c r="F186" s="224"/>
    </row>
    <row r="187" spans="4:6" s="223" customFormat="1" x14ac:dyDescent="0.25">
      <c r="D187" s="224"/>
      <c r="F187" s="224"/>
    </row>
    <row r="188" spans="4:6" s="223" customFormat="1" x14ac:dyDescent="0.25">
      <c r="D188" s="224"/>
      <c r="F188" s="224"/>
    </row>
    <row r="189" spans="4:6" s="223" customFormat="1" x14ac:dyDescent="0.25">
      <c r="D189" s="224"/>
      <c r="F189" s="224"/>
    </row>
    <row r="190" spans="4:6" s="223" customFormat="1" x14ac:dyDescent="0.25">
      <c r="D190" s="224"/>
      <c r="F190" s="224"/>
    </row>
    <row r="191" spans="4:6" s="223" customFormat="1" x14ac:dyDescent="0.25">
      <c r="D191" s="224"/>
      <c r="F191" s="224"/>
    </row>
    <row r="192" spans="4:6" s="223" customFormat="1" x14ac:dyDescent="0.25">
      <c r="D192" s="224"/>
      <c r="F192" s="224"/>
    </row>
    <row r="193" spans="4:6" s="223" customFormat="1" x14ac:dyDescent="0.25">
      <c r="D193" s="224"/>
      <c r="F193" s="224"/>
    </row>
    <row r="194" spans="4:6" s="223" customFormat="1" x14ac:dyDescent="0.25">
      <c r="D194" s="224"/>
      <c r="F194" s="224"/>
    </row>
    <row r="195" spans="4:6" s="223" customFormat="1" x14ac:dyDescent="0.25">
      <c r="D195" s="224"/>
      <c r="F195" s="224"/>
    </row>
    <row r="196" spans="4:6" s="223" customFormat="1" x14ac:dyDescent="0.25">
      <c r="D196" s="224"/>
      <c r="F196" s="224"/>
    </row>
    <row r="197" spans="4:6" s="223" customFormat="1" x14ac:dyDescent="0.25">
      <c r="D197" s="224"/>
      <c r="F197" s="224"/>
    </row>
    <row r="198" spans="4:6" s="223" customFormat="1" x14ac:dyDescent="0.25">
      <c r="D198" s="224"/>
      <c r="F198" s="224"/>
    </row>
    <row r="199" spans="4:6" s="223" customFormat="1" x14ac:dyDescent="0.25">
      <c r="D199" s="224"/>
      <c r="F199" s="224"/>
    </row>
    <row r="200" spans="4:6" s="223" customFormat="1" x14ac:dyDescent="0.25">
      <c r="D200" s="224"/>
      <c r="F200" s="224"/>
    </row>
    <row r="201" spans="4:6" s="223" customFormat="1" x14ac:dyDescent="0.25">
      <c r="D201" s="224"/>
      <c r="F201" s="224"/>
    </row>
    <row r="202" spans="4:6" s="223" customFormat="1" x14ac:dyDescent="0.25">
      <c r="D202" s="224"/>
      <c r="F202" s="224"/>
    </row>
    <row r="203" spans="4:6" s="223" customFormat="1" x14ac:dyDescent="0.25">
      <c r="D203" s="224"/>
      <c r="F203" s="224"/>
    </row>
    <row r="204" spans="4:6" s="223" customFormat="1" x14ac:dyDescent="0.25">
      <c r="D204" s="224"/>
      <c r="F204" s="224"/>
    </row>
    <row r="205" spans="4:6" s="223" customFormat="1" x14ac:dyDescent="0.25">
      <c r="D205" s="224"/>
      <c r="F205" s="224"/>
    </row>
    <row r="206" spans="4:6" s="223" customFormat="1" x14ac:dyDescent="0.25">
      <c r="D206" s="224"/>
      <c r="F206" s="224"/>
    </row>
    <row r="207" spans="4:6" s="223" customFormat="1" x14ac:dyDescent="0.25">
      <c r="D207" s="224"/>
      <c r="F207" s="224"/>
    </row>
    <row r="208" spans="4:6" s="223" customFormat="1" x14ac:dyDescent="0.25">
      <c r="D208" s="224"/>
      <c r="F208" s="224"/>
    </row>
    <row r="209" spans="4:6" s="223" customFormat="1" x14ac:dyDescent="0.25">
      <c r="D209" s="224"/>
      <c r="F209" s="224"/>
    </row>
    <row r="210" spans="4:6" s="223" customFormat="1" x14ac:dyDescent="0.25">
      <c r="D210" s="224"/>
      <c r="F210" s="224"/>
    </row>
    <row r="211" spans="4:6" s="223" customFormat="1" x14ac:dyDescent="0.25">
      <c r="D211" s="224"/>
      <c r="F211" s="224"/>
    </row>
    <row r="212" spans="4:6" s="223" customFormat="1" x14ac:dyDescent="0.25">
      <c r="D212" s="224"/>
      <c r="F212" s="224"/>
    </row>
    <row r="213" spans="4:6" s="223" customFormat="1" x14ac:dyDescent="0.25">
      <c r="D213" s="224"/>
      <c r="F213" s="224"/>
    </row>
    <row r="214" spans="4:6" s="223" customFormat="1" x14ac:dyDescent="0.25">
      <c r="D214" s="224"/>
      <c r="F214" s="224"/>
    </row>
    <row r="215" spans="4:6" s="223" customFormat="1" x14ac:dyDescent="0.25">
      <c r="D215" s="224"/>
      <c r="F215" s="224"/>
    </row>
    <row r="216" spans="4:6" s="223" customFormat="1" x14ac:dyDescent="0.25">
      <c r="D216" s="224"/>
      <c r="F216" s="224"/>
    </row>
    <row r="217" spans="4:6" s="223" customFormat="1" x14ac:dyDescent="0.25">
      <c r="D217" s="224"/>
      <c r="F217" s="224"/>
    </row>
    <row r="218" spans="4:6" s="223" customFormat="1" x14ac:dyDescent="0.25">
      <c r="D218" s="224"/>
      <c r="F218" s="224"/>
    </row>
    <row r="219" spans="4:6" s="223" customFormat="1" x14ac:dyDescent="0.25">
      <c r="D219" s="224"/>
      <c r="F219" s="224"/>
    </row>
    <row r="220" spans="4:6" s="223" customFormat="1" x14ac:dyDescent="0.25">
      <c r="D220" s="224"/>
      <c r="F220" s="224"/>
    </row>
    <row r="221" spans="4:6" s="223" customFormat="1" x14ac:dyDescent="0.25">
      <c r="D221" s="224"/>
      <c r="F221" s="224"/>
    </row>
    <row r="222" spans="4:6" s="223" customFormat="1" x14ac:dyDescent="0.25">
      <c r="D222" s="224"/>
      <c r="F222" s="224"/>
    </row>
    <row r="223" spans="4:6" s="223" customFormat="1" x14ac:dyDescent="0.25">
      <c r="D223" s="224"/>
      <c r="F223" s="224"/>
    </row>
    <row r="224" spans="4:6" s="223" customFormat="1" x14ac:dyDescent="0.25">
      <c r="D224" s="224"/>
      <c r="F224" s="224"/>
    </row>
    <row r="225" spans="4:6" s="223" customFormat="1" x14ac:dyDescent="0.25">
      <c r="D225" s="224"/>
      <c r="F225" s="224"/>
    </row>
    <row r="226" spans="4:6" s="223" customFormat="1" x14ac:dyDescent="0.25">
      <c r="D226" s="224"/>
      <c r="F226" s="224"/>
    </row>
    <row r="227" spans="4:6" s="223" customFormat="1" x14ac:dyDescent="0.25">
      <c r="D227" s="224"/>
      <c r="F227" s="224"/>
    </row>
    <row r="228" spans="4:6" s="223" customFormat="1" x14ac:dyDescent="0.25">
      <c r="D228" s="224"/>
      <c r="F228" s="224"/>
    </row>
    <row r="229" spans="4:6" s="223" customFormat="1" x14ac:dyDescent="0.25">
      <c r="D229" s="224"/>
      <c r="F229" s="224"/>
    </row>
    <row r="230" spans="4:6" s="223" customFormat="1" x14ac:dyDescent="0.25">
      <c r="D230" s="224"/>
      <c r="F230" s="224"/>
    </row>
    <row r="231" spans="4:6" s="223" customFormat="1" x14ac:dyDescent="0.25">
      <c r="D231" s="224"/>
      <c r="F231" s="224"/>
    </row>
    <row r="232" spans="4:6" s="223" customFormat="1" x14ac:dyDescent="0.25">
      <c r="D232" s="224"/>
      <c r="F232" s="224"/>
    </row>
    <row r="233" spans="4:6" s="223" customFormat="1" x14ac:dyDescent="0.25">
      <c r="D233" s="224"/>
      <c r="F233" s="224"/>
    </row>
    <row r="234" spans="4:6" s="223" customFormat="1" x14ac:dyDescent="0.25">
      <c r="D234" s="224"/>
      <c r="F234" s="224"/>
    </row>
    <row r="235" spans="4:6" s="223" customFormat="1" x14ac:dyDescent="0.25">
      <c r="D235" s="224"/>
      <c r="F235" s="224"/>
    </row>
    <row r="236" spans="4:6" s="223" customFormat="1" x14ac:dyDescent="0.25">
      <c r="D236" s="224"/>
      <c r="F236" s="224"/>
    </row>
    <row r="237" spans="4:6" s="223" customFormat="1" x14ac:dyDescent="0.25">
      <c r="D237" s="224"/>
      <c r="F237" s="224"/>
    </row>
    <row r="238" spans="4:6" s="223" customFormat="1" x14ac:dyDescent="0.25">
      <c r="D238" s="224"/>
      <c r="F238" s="224"/>
    </row>
    <row r="239" spans="4:6" s="223" customFormat="1" x14ac:dyDescent="0.25">
      <c r="D239" s="224"/>
      <c r="F239" s="224"/>
    </row>
    <row r="240" spans="4:6" s="223" customFormat="1" x14ac:dyDescent="0.25">
      <c r="D240" s="224"/>
      <c r="F240" s="224"/>
    </row>
    <row r="241" spans="4:6" s="223" customFormat="1" x14ac:dyDescent="0.25">
      <c r="D241" s="224"/>
      <c r="F241" s="224"/>
    </row>
    <row r="242" spans="4:6" s="223" customFormat="1" x14ac:dyDescent="0.25">
      <c r="D242" s="224"/>
      <c r="F242" s="224"/>
    </row>
    <row r="243" spans="4:6" s="223" customFormat="1" x14ac:dyDescent="0.25">
      <c r="D243" s="224"/>
      <c r="F243" s="224"/>
    </row>
    <row r="244" spans="4:6" s="223" customFormat="1" x14ac:dyDescent="0.25">
      <c r="D244" s="224"/>
      <c r="F244" s="224"/>
    </row>
    <row r="245" spans="4:6" s="223" customFormat="1" x14ac:dyDescent="0.25">
      <c r="D245" s="224"/>
      <c r="F245" s="224"/>
    </row>
    <row r="246" spans="4:6" s="223" customFormat="1" x14ac:dyDescent="0.25">
      <c r="D246" s="224"/>
      <c r="F246" s="224"/>
    </row>
    <row r="247" spans="4:6" s="223" customFormat="1" x14ac:dyDescent="0.25">
      <c r="D247" s="224"/>
      <c r="F247" s="224"/>
    </row>
    <row r="248" spans="4:6" s="223" customFormat="1" x14ac:dyDescent="0.25">
      <c r="D248" s="224"/>
      <c r="F248" s="224"/>
    </row>
    <row r="249" spans="4:6" s="223" customFormat="1" x14ac:dyDescent="0.25">
      <c r="D249" s="224"/>
      <c r="F249" s="224"/>
    </row>
    <row r="250" spans="4:6" s="223" customFormat="1" x14ac:dyDescent="0.25">
      <c r="D250" s="224"/>
      <c r="F250" s="224"/>
    </row>
    <row r="251" spans="4:6" s="223" customFormat="1" x14ac:dyDescent="0.25">
      <c r="D251" s="224"/>
      <c r="F251" s="224"/>
    </row>
    <row r="252" spans="4:6" s="223" customFormat="1" x14ac:dyDescent="0.25">
      <c r="D252" s="224"/>
      <c r="F252" s="224"/>
    </row>
    <row r="253" spans="4:6" s="223" customFormat="1" x14ac:dyDescent="0.25">
      <c r="D253" s="224"/>
      <c r="F253" s="224"/>
    </row>
    <row r="254" spans="4:6" s="223" customFormat="1" x14ac:dyDescent="0.25">
      <c r="D254" s="224"/>
      <c r="F254" s="224"/>
    </row>
    <row r="255" spans="4:6" s="223" customFormat="1" x14ac:dyDescent="0.25">
      <c r="D255" s="224"/>
      <c r="F255" s="224"/>
    </row>
    <row r="256" spans="4:6" s="223" customFormat="1" x14ac:dyDescent="0.25">
      <c r="D256" s="224"/>
      <c r="F256" s="224"/>
    </row>
    <row r="257" spans="4:6" s="223" customFormat="1" x14ac:dyDescent="0.25">
      <c r="D257" s="224"/>
      <c r="F257" s="224"/>
    </row>
    <row r="258" spans="4:6" s="223" customFormat="1" x14ac:dyDescent="0.25">
      <c r="D258" s="224"/>
      <c r="F258" s="224"/>
    </row>
    <row r="259" spans="4:6" s="223" customFormat="1" x14ac:dyDescent="0.25">
      <c r="D259" s="224"/>
      <c r="F259" s="224"/>
    </row>
    <row r="260" spans="4:6" s="223" customFormat="1" x14ac:dyDescent="0.25">
      <c r="D260" s="224"/>
      <c r="F260" s="224"/>
    </row>
    <row r="261" spans="4:6" s="223" customFormat="1" x14ac:dyDescent="0.25">
      <c r="D261" s="224"/>
      <c r="F261" s="224"/>
    </row>
    <row r="262" spans="4:6" s="223" customFormat="1" x14ac:dyDescent="0.25">
      <c r="D262" s="224"/>
      <c r="F262" s="224"/>
    </row>
    <row r="263" spans="4:6" s="223" customFormat="1" x14ac:dyDescent="0.25">
      <c r="D263" s="224"/>
      <c r="F263" s="224"/>
    </row>
    <row r="264" spans="4:6" s="223" customFormat="1" x14ac:dyDescent="0.25">
      <c r="D264" s="224"/>
      <c r="F264" s="224"/>
    </row>
    <row r="265" spans="4:6" s="223" customFormat="1" x14ac:dyDescent="0.25">
      <c r="D265" s="224"/>
      <c r="F265" s="224"/>
    </row>
    <row r="266" spans="4:6" s="223" customFormat="1" x14ac:dyDescent="0.25">
      <c r="D266" s="224"/>
      <c r="F266" s="224"/>
    </row>
    <row r="267" spans="4:6" s="223" customFormat="1" x14ac:dyDescent="0.25">
      <c r="D267" s="224"/>
      <c r="F267" s="224"/>
    </row>
    <row r="268" spans="4:6" s="223" customFormat="1" x14ac:dyDescent="0.25">
      <c r="D268" s="224"/>
      <c r="F268" s="224"/>
    </row>
    <row r="269" spans="4:6" s="223" customFormat="1" x14ac:dyDescent="0.25">
      <c r="D269" s="224"/>
      <c r="F269" s="224"/>
    </row>
    <row r="270" spans="4:6" s="223" customFormat="1" x14ac:dyDescent="0.25">
      <c r="D270" s="224"/>
      <c r="F270" s="224"/>
    </row>
    <row r="271" spans="4:6" s="223" customFormat="1" x14ac:dyDescent="0.25">
      <c r="D271" s="224"/>
      <c r="F271" s="224"/>
    </row>
    <row r="272" spans="4:6" s="223" customFormat="1" x14ac:dyDescent="0.25">
      <c r="D272" s="224"/>
      <c r="F272" s="224"/>
    </row>
    <row r="273" spans="4:6" s="223" customFormat="1" x14ac:dyDescent="0.25">
      <c r="D273" s="224"/>
      <c r="F273" s="224"/>
    </row>
    <row r="274" spans="4:6" s="223" customFormat="1" x14ac:dyDescent="0.25">
      <c r="D274" s="224"/>
      <c r="F274" s="224"/>
    </row>
    <row r="275" spans="4:6" s="223" customFormat="1" x14ac:dyDescent="0.25">
      <c r="D275" s="224"/>
      <c r="F275" s="224"/>
    </row>
    <row r="276" spans="4:6" s="223" customFormat="1" x14ac:dyDescent="0.25">
      <c r="D276" s="224"/>
      <c r="F276" s="224"/>
    </row>
    <row r="277" spans="4:6" s="223" customFormat="1" x14ac:dyDescent="0.25">
      <c r="D277" s="224"/>
      <c r="F277" s="224"/>
    </row>
    <row r="278" spans="4:6" s="223" customFormat="1" x14ac:dyDescent="0.25">
      <c r="D278" s="224"/>
      <c r="F278" s="224"/>
    </row>
    <row r="279" spans="4:6" s="223" customFormat="1" x14ac:dyDescent="0.25">
      <c r="D279" s="224"/>
      <c r="F279" s="224"/>
    </row>
    <row r="280" spans="4:6" s="223" customFormat="1" x14ac:dyDescent="0.25">
      <c r="D280" s="224"/>
      <c r="F280" s="224"/>
    </row>
    <row r="281" spans="4:6" s="223" customFormat="1" x14ac:dyDescent="0.25">
      <c r="D281" s="224"/>
      <c r="F281" s="224"/>
    </row>
    <row r="282" spans="4:6" s="223" customFormat="1" x14ac:dyDescent="0.25">
      <c r="D282" s="224"/>
      <c r="F282" s="224"/>
    </row>
    <row r="283" spans="4:6" s="223" customFormat="1" x14ac:dyDescent="0.25">
      <c r="D283" s="224"/>
      <c r="F283" s="224"/>
    </row>
    <row r="284" spans="4:6" s="223" customFormat="1" x14ac:dyDescent="0.25">
      <c r="D284" s="224"/>
      <c r="F284" s="224"/>
    </row>
    <row r="285" spans="4:6" s="223" customFormat="1" x14ac:dyDescent="0.25">
      <c r="D285" s="224"/>
      <c r="F285" s="224"/>
    </row>
    <row r="286" spans="4:6" s="223" customFormat="1" x14ac:dyDescent="0.25">
      <c r="D286" s="224"/>
      <c r="F286" s="224"/>
    </row>
    <row r="287" spans="4:6" s="223" customFormat="1" x14ac:dyDescent="0.25">
      <c r="D287" s="224"/>
      <c r="F287" s="224"/>
    </row>
    <row r="288" spans="4:6" s="223" customFormat="1" x14ac:dyDescent="0.25">
      <c r="D288" s="224"/>
      <c r="F288" s="224"/>
    </row>
    <row r="289" spans="4:6" s="223" customFormat="1" x14ac:dyDescent="0.25">
      <c r="D289" s="224"/>
      <c r="F289" s="224"/>
    </row>
    <row r="290" spans="4:6" s="223" customFormat="1" x14ac:dyDescent="0.25">
      <c r="D290" s="224"/>
      <c r="F290" s="224"/>
    </row>
    <row r="291" spans="4:6" s="223" customFormat="1" x14ac:dyDescent="0.25">
      <c r="D291" s="224"/>
      <c r="F291" s="224"/>
    </row>
    <row r="292" spans="4:6" s="223" customFormat="1" x14ac:dyDescent="0.25">
      <c r="D292" s="224"/>
      <c r="F292" s="224"/>
    </row>
    <row r="293" spans="4:6" s="223" customFormat="1" x14ac:dyDescent="0.25">
      <c r="D293" s="224"/>
      <c r="F293" s="224"/>
    </row>
    <row r="294" spans="4:6" s="223" customFormat="1" x14ac:dyDescent="0.25">
      <c r="D294" s="224"/>
      <c r="F294" s="224"/>
    </row>
    <row r="295" spans="4:6" s="223" customFormat="1" x14ac:dyDescent="0.25">
      <c r="D295" s="224"/>
      <c r="F295" s="224"/>
    </row>
    <row r="296" spans="4:6" s="223" customFormat="1" x14ac:dyDescent="0.25">
      <c r="D296" s="224"/>
      <c r="F296" s="224"/>
    </row>
    <row r="297" spans="4:6" s="223" customFormat="1" x14ac:dyDescent="0.25">
      <c r="D297" s="224"/>
      <c r="F297" s="224"/>
    </row>
    <row r="298" spans="4:6" s="223" customFormat="1" x14ac:dyDescent="0.25">
      <c r="D298" s="224"/>
      <c r="F298" s="224"/>
    </row>
    <row r="299" spans="4:6" s="223" customFormat="1" x14ac:dyDescent="0.25">
      <c r="D299" s="224"/>
      <c r="F299" s="224"/>
    </row>
    <row r="300" spans="4:6" s="223" customFormat="1" x14ac:dyDescent="0.25">
      <c r="D300" s="224"/>
      <c r="F300" s="224"/>
    </row>
    <row r="301" spans="4:6" s="223" customFormat="1" x14ac:dyDescent="0.25">
      <c r="D301" s="224"/>
      <c r="F301" s="224"/>
    </row>
    <row r="302" spans="4:6" s="223" customFormat="1" x14ac:dyDescent="0.25">
      <c r="D302" s="224"/>
      <c r="F302" s="224"/>
    </row>
    <row r="303" spans="4:6" s="223" customFormat="1" x14ac:dyDescent="0.25">
      <c r="D303" s="224"/>
      <c r="F303" s="224"/>
    </row>
    <row r="304" spans="4:6" s="223" customFormat="1" x14ac:dyDescent="0.25">
      <c r="D304" s="224"/>
      <c r="F304" s="224"/>
    </row>
    <row r="305" spans="4:6" s="223" customFormat="1" x14ac:dyDescent="0.25">
      <c r="D305" s="224"/>
      <c r="F305" s="224"/>
    </row>
    <row r="306" spans="4:6" s="223" customFormat="1" x14ac:dyDescent="0.25">
      <c r="D306" s="224"/>
      <c r="F306" s="224"/>
    </row>
    <row r="307" spans="4:6" s="223" customFormat="1" x14ac:dyDescent="0.25">
      <c r="D307" s="224"/>
      <c r="F307" s="224"/>
    </row>
    <row r="308" spans="4:6" s="223" customFormat="1" x14ac:dyDescent="0.25">
      <c r="D308" s="224"/>
      <c r="F308" s="224"/>
    </row>
    <row r="309" spans="4:6" s="223" customFormat="1" x14ac:dyDescent="0.25">
      <c r="D309" s="224"/>
      <c r="F309" s="224"/>
    </row>
    <row r="310" spans="4:6" s="223" customFormat="1" x14ac:dyDescent="0.25">
      <c r="D310" s="224"/>
      <c r="F310" s="224"/>
    </row>
    <row r="311" spans="4:6" s="223" customFormat="1" x14ac:dyDescent="0.25">
      <c r="D311" s="224"/>
      <c r="F311" s="224"/>
    </row>
    <row r="312" spans="4:6" s="223" customFormat="1" x14ac:dyDescent="0.25">
      <c r="D312" s="224"/>
      <c r="F312" s="224"/>
    </row>
    <row r="313" spans="4:6" s="223" customFormat="1" x14ac:dyDescent="0.25">
      <c r="D313" s="224"/>
      <c r="F313" s="224"/>
    </row>
    <row r="314" spans="4:6" s="223" customFormat="1" x14ac:dyDescent="0.25">
      <c r="D314" s="224"/>
      <c r="F314" s="224"/>
    </row>
    <row r="315" spans="4:6" s="223" customFormat="1" x14ac:dyDescent="0.25">
      <c r="D315" s="224"/>
      <c r="F315" s="224"/>
    </row>
    <row r="316" spans="4:6" s="223" customFormat="1" x14ac:dyDescent="0.25">
      <c r="D316" s="224"/>
      <c r="F316" s="224"/>
    </row>
    <row r="317" spans="4:6" s="223" customFormat="1" x14ac:dyDescent="0.25">
      <c r="D317" s="224"/>
      <c r="F317" s="224"/>
    </row>
    <row r="318" spans="4:6" s="223" customFormat="1" x14ac:dyDescent="0.25">
      <c r="D318" s="224"/>
      <c r="F318" s="224"/>
    </row>
    <row r="319" spans="4:6" s="223" customFormat="1" x14ac:dyDescent="0.25">
      <c r="D319" s="224"/>
      <c r="F319" s="224"/>
    </row>
    <row r="320" spans="4:6" s="223" customFormat="1" x14ac:dyDescent="0.25">
      <c r="D320" s="224"/>
      <c r="F320" s="224"/>
    </row>
    <row r="321" spans="4:6" s="223" customFormat="1" x14ac:dyDescent="0.25">
      <c r="D321" s="224"/>
      <c r="F321" s="224"/>
    </row>
    <row r="322" spans="4:6" s="223" customFormat="1" x14ac:dyDescent="0.25">
      <c r="D322" s="224"/>
      <c r="F322" s="224"/>
    </row>
    <row r="323" spans="4:6" s="223" customFormat="1" x14ac:dyDescent="0.25">
      <c r="D323" s="224"/>
      <c r="F323" s="224"/>
    </row>
    <row r="324" spans="4:6" s="223" customFormat="1" x14ac:dyDescent="0.25">
      <c r="D324" s="224"/>
      <c r="F324" s="224"/>
    </row>
    <row r="325" spans="4:6" s="223" customFormat="1" x14ac:dyDescent="0.25">
      <c r="D325" s="224"/>
      <c r="F325" s="224"/>
    </row>
    <row r="326" spans="4:6" s="223" customFormat="1" x14ac:dyDescent="0.25">
      <c r="D326" s="224"/>
      <c r="F326" s="224"/>
    </row>
    <row r="327" spans="4:6" s="223" customFormat="1" x14ac:dyDescent="0.25">
      <c r="D327" s="224"/>
      <c r="F327" s="224"/>
    </row>
    <row r="328" spans="4:6" s="223" customFormat="1" x14ac:dyDescent="0.25">
      <c r="D328" s="224"/>
      <c r="F328" s="224"/>
    </row>
    <row r="329" spans="4:6" s="223" customFormat="1" x14ac:dyDescent="0.25">
      <c r="D329" s="224"/>
      <c r="F329" s="224"/>
    </row>
    <row r="330" spans="4:6" s="223" customFormat="1" x14ac:dyDescent="0.25">
      <c r="D330" s="224"/>
      <c r="F330" s="224"/>
    </row>
    <row r="331" spans="4:6" s="223" customFormat="1" x14ac:dyDescent="0.25">
      <c r="D331" s="224"/>
      <c r="F331" s="224"/>
    </row>
    <row r="332" spans="4:6" s="223" customFormat="1" x14ac:dyDescent="0.25">
      <c r="D332" s="224"/>
      <c r="F332" s="224"/>
    </row>
    <row r="333" spans="4:6" s="223" customFormat="1" x14ac:dyDescent="0.25">
      <c r="D333" s="224"/>
      <c r="F333" s="224"/>
    </row>
    <row r="334" spans="4:6" s="223" customFormat="1" x14ac:dyDescent="0.25">
      <c r="D334" s="224"/>
      <c r="F334" s="224"/>
    </row>
    <row r="335" spans="4:6" s="223" customFormat="1" x14ac:dyDescent="0.25">
      <c r="D335" s="224"/>
      <c r="F335" s="224"/>
    </row>
    <row r="336" spans="4:6" s="223" customFormat="1" x14ac:dyDescent="0.25">
      <c r="D336" s="224"/>
      <c r="F336" s="224"/>
    </row>
    <row r="337" spans="4:6" s="223" customFormat="1" x14ac:dyDescent="0.25">
      <c r="D337" s="224"/>
      <c r="F337" s="224"/>
    </row>
    <row r="338" spans="4:6" s="223" customFormat="1" x14ac:dyDescent="0.25">
      <c r="D338" s="224"/>
      <c r="F338" s="224"/>
    </row>
    <row r="339" spans="4:6" s="223" customFormat="1" x14ac:dyDescent="0.25">
      <c r="D339" s="224"/>
      <c r="F339" s="224"/>
    </row>
    <row r="340" spans="4:6" s="223" customFormat="1" x14ac:dyDescent="0.25">
      <c r="D340" s="224"/>
      <c r="F340" s="224"/>
    </row>
    <row r="341" spans="4:6" s="223" customFormat="1" x14ac:dyDescent="0.25">
      <c r="D341" s="224"/>
      <c r="F341" s="224"/>
    </row>
    <row r="342" spans="4:6" s="223" customFormat="1" x14ac:dyDescent="0.25">
      <c r="D342" s="224"/>
      <c r="F342" s="224"/>
    </row>
    <row r="343" spans="4:6" s="223" customFormat="1" x14ac:dyDescent="0.25">
      <c r="D343" s="224"/>
      <c r="F343" s="224"/>
    </row>
    <row r="344" spans="4:6" s="223" customFormat="1" x14ac:dyDescent="0.25">
      <c r="D344" s="224"/>
      <c r="F344" s="224"/>
    </row>
    <row r="345" spans="4:6" s="223" customFormat="1" x14ac:dyDescent="0.25">
      <c r="D345" s="224"/>
      <c r="F345" s="224"/>
    </row>
    <row r="346" spans="4:6" s="223" customFormat="1" x14ac:dyDescent="0.25">
      <c r="D346" s="224"/>
      <c r="F346" s="224"/>
    </row>
    <row r="347" spans="4:6" s="223" customFormat="1" x14ac:dyDescent="0.25">
      <c r="D347" s="224"/>
      <c r="F347" s="224"/>
    </row>
    <row r="348" spans="4:6" s="223" customFormat="1" x14ac:dyDescent="0.25">
      <c r="D348" s="224"/>
      <c r="F348" s="224"/>
    </row>
    <row r="349" spans="4:6" s="223" customFormat="1" x14ac:dyDescent="0.25">
      <c r="D349" s="224"/>
      <c r="F349" s="224"/>
    </row>
    <row r="350" spans="4:6" s="223" customFormat="1" x14ac:dyDescent="0.25">
      <c r="D350" s="224"/>
      <c r="F350" s="224"/>
    </row>
    <row r="351" spans="4:6" s="223" customFormat="1" x14ac:dyDescent="0.25">
      <c r="D351" s="224"/>
      <c r="F351" s="224"/>
    </row>
    <row r="352" spans="4:6" s="223" customFormat="1" x14ac:dyDescent="0.25">
      <c r="D352" s="224"/>
      <c r="F352" s="224"/>
    </row>
    <row r="353" spans="4:6" s="223" customFormat="1" x14ac:dyDescent="0.25">
      <c r="D353" s="224"/>
      <c r="F353" s="224"/>
    </row>
    <row r="354" spans="4:6" s="223" customFormat="1" x14ac:dyDescent="0.25">
      <c r="D354" s="224"/>
      <c r="F354" s="224"/>
    </row>
    <row r="355" spans="4:6" s="223" customFormat="1" x14ac:dyDescent="0.25">
      <c r="D355" s="224"/>
      <c r="F355" s="224"/>
    </row>
    <row r="356" spans="4:6" s="223" customFormat="1" x14ac:dyDescent="0.25">
      <c r="D356" s="224"/>
      <c r="F356" s="224"/>
    </row>
    <row r="357" spans="4:6" s="223" customFormat="1" x14ac:dyDescent="0.25">
      <c r="D357" s="224"/>
      <c r="F357" s="224"/>
    </row>
    <row r="358" spans="4:6" s="223" customFormat="1" x14ac:dyDescent="0.25">
      <c r="D358" s="224"/>
      <c r="F358" s="224"/>
    </row>
    <row r="359" spans="4:6" s="223" customFormat="1" x14ac:dyDescent="0.25">
      <c r="D359" s="224"/>
      <c r="F359" s="224"/>
    </row>
    <row r="360" spans="4:6" s="223" customFormat="1" x14ac:dyDescent="0.25">
      <c r="D360" s="224"/>
      <c r="F360" s="224"/>
    </row>
    <row r="361" spans="4:6" s="223" customFormat="1" x14ac:dyDescent="0.25">
      <c r="D361" s="224"/>
      <c r="F361" s="224"/>
    </row>
    <row r="362" spans="4:6" s="223" customFormat="1" x14ac:dyDescent="0.25">
      <c r="D362" s="224"/>
      <c r="F362" s="224"/>
    </row>
    <row r="363" spans="4:6" s="223" customFormat="1" x14ac:dyDescent="0.25">
      <c r="D363" s="224"/>
      <c r="F363" s="224"/>
    </row>
    <row r="364" spans="4:6" s="223" customFormat="1" x14ac:dyDescent="0.25">
      <c r="D364" s="224"/>
      <c r="F364" s="224"/>
    </row>
    <row r="365" spans="4:6" s="223" customFormat="1" x14ac:dyDescent="0.25">
      <c r="D365" s="224"/>
      <c r="F365" s="224"/>
    </row>
    <row r="366" spans="4:6" s="223" customFormat="1" x14ac:dyDescent="0.25">
      <c r="D366" s="224"/>
      <c r="F366" s="224"/>
    </row>
    <row r="367" spans="4:6" s="223" customFormat="1" x14ac:dyDescent="0.25">
      <c r="D367" s="224"/>
      <c r="F367" s="224"/>
    </row>
    <row r="368" spans="4:6" s="223" customFormat="1" x14ac:dyDescent="0.25">
      <c r="D368" s="224"/>
      <c r="F368" s="224"/>
    </row>
    <row r="369" spans="4:6" s="223" customFormat="1" x14ac:dyDescent="0.25">
      <c r="D369" s="224"/>
      <c r="F369" s="224"/>
    </row>
    <row r="370" spans="4:6" s="223" customFormat="1" x14ac:dyDescent="0.25">
      <c r="D370" s="224"/>
      <c r="F370" s="224"/>
    </row>
    <row r="371" spans="4:6" s="223" customFormat="1" x14ac:dyDescent="0.25">
      <c r="D371" s="224"/>
      <c r="F371" s="224"/>
    </row>
    <row r="372" spans="4:6" s="223" customFormat="1" x14ac:dyDescent="0.25">
      <c r="D372" s="224"/>
      <c r="F372" s="224"/>
    </row>
    <row r="373" spans="4:6" s="223" customFormat="1" x14ac:dyDescent="0.25">
      <c r="D373" s="224"/>
      <c r="F373" s="224"/>
    </row>
    <row r="374" spans="4:6" s="223" customFormat="1" x14ac:dyDescent="0.25">
      <c r="D374" s="224"/>
      <c r="F374" s="224"/>
    </row>
    <row r="375" spans="4:6" s="223" customFormat="1" x14ac:dyDescent="0.25">
      <c r="D375" s="224"/>
      <c r="F375" s="224"/>
    </row>
    <row r="376" spans="4:6" s="223" customFormat="1" x14ac:dyDescent="0.25">
      <c r="D376" s="224"/>
      <c r="F376" s="224"/>
    </row>
    <row r="377" spans="4:6" s="223" customFormat="1" x14ac:dyDescent="0.25">
      <c r="D377" s="224"/>
      <c r="F377" s="224"/>
    </row>
    <row r="378" spans="4:6" s="223" customFormat="1" x14ac:dyDescent="0.25">
      <c r="D378" s="224"/>
      <c r="F378" s="224"/>
    </row>
    <row r="379" spans="4:6" s="223" customFormat="1" x14ac:dyDescent="0.25">
      <c r="D379" s="224"/>
      <c r="F379" s="224"/>
    </row>
    <row r="380" spans="4:6" s="223" customFormat="1" x14ac:dyDescent="0.25">
      <c r="D380" s="224"/>
      <c r="F380" s="224"/>
    </row>
    <row r="381" spans="4:6" s="223" customFormat="1" x14ac:dyDescent="0.25">
      <c r="D381" s="224"/>
      <c r="F381" s="224"/>
    </row>
  </sheetData>
  <mergeCells count="14">
    <mergeCell ref="B44:F44"/>
    <mergeCell ref="B48:E48"/>
    <mergeCell ref="A49:E49"/>
    <mergeCell ref="B52:F52"/>
    <mergeCell ref="B30:F30"/>
    <mergeCell ref="B35:E35"/>
    <mergeCell ref="B38:E38"/>
    <mergeCell ref="A50:E50"/>
    <mergeCell ref="B29:E29"/>
    <mergeCell ref="A2:F2"/>
    <mergeCell ref="B3:F3"/>
    <mergeCell ref="B11:F11"/>
    <mergeCell ref="B18:E18"/>
    <mergeCell ref="B19:F19"/>
  </mergeCells>
  <phoneticPr fontId="1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WVN374"/>
  <sheetViews>
    <sheetView workbookViewId="0">
      <selection activeCell="C12" sqref="C12"/>
    </sheetView>
  </sheetViews>
  <sheetFormatPr baseColWidth="10" defaultRowHeight="13.8" x14ac:dyDescent="0.25"/>
  <cols>
    <col min="1" max="1" width="4.88671875" style="223" customWidth="1"/>
    <col min="2" max="2" width="56.109375" style="223" customWidth="1"/>
    <col min="3" max="3" width="6" style="272" bestFit="1" customWidth="1"/>
    <col min="4" max="4" width="20" style="272" bestFit="1" customWidth="1"/>
    <col min="5" max="5" width="38.5546875" style="273" customWidth="1"/>
    <col min="6" max="6" width="12" style="107" bestFit="1" customWidth="1"/>
    <col min="7" max="255" width="11.44140625" style="107"/>
    <col min="256" max="256" width="4.88671875" style="107" customWidth="1"/>
    <col min="257" max="257" width="56.109375" style="107" customWidth="1"/>
    <col min="258" max="258" width="6" style="107" bestFit="1" customWidth="1"/>
    <col min="259" max="259" width="9" style="107" bestFit="1" customWidth="1"/>
    <col min="260" max="260" width="11.44140625" style="107"/>
    <col min="261" max="261" width="13.33203125" style="107" bestFit="1" customWidth="1"/>
    <col min="262" max="262" width="12" style="107" bestFit="1" customWidth="1"/>
    <col min="263" max="511" width="11.44140625" style="107"/>
    <col min="512" max="512" width="4.88671875" style="107" customWidth="1"/>
    <col min="513" max="513" width="56.109375" style="107" customWidth="1"/>
    <col min="514" max="514" width="6" style="107" bestFit="1" customWidth="1"/>
    <col min="515" max="515" width="9" style="107" bestFit="1" customWidth="1"/>
    <col min="516" max="516" width="11.44140625" style="107"/>
    <col min="517" max="517" width="13.33203125" style="107" bestFit="1" customWidth="1"/>
    <col min="518" max="518" width="12" style="107" bestFit="1" customWidth="1"/>
    <col min="519" max="767" width="11.44140625" style="107"/>
    <col min="768" max="768" width="4.88671875" style="107" customWidth="1"/>
    <col min="769" max="769" width="56.109375" style="107" customWidth="1"/>
    <col min="770" max="770" width="6" style="107" bestFit="1" customWidth="1"/>
    <col min="771" max="771" width="9" style="107" bestFit="1" customWidth="1"/>
    <col min="772" max="772" width="11.44140625" style="107"/>
    <col min="773" max="773" width="13.33203125" style="107" bestFit="1" customWidth="1"/>
    <col min="774" max="774" width="12" style="107" bestFit="1" customWidth="1"/>
    <col min="775" max="1023" width="11.44140625" style="107"/>
    <col min="1024" max="1024" width="4.88671875" style="107" customWidth="1"/>
    <col min="1025" max="1025" width="56.109375" style="107" customWidth="1"/>
    <col min="1026" max="1026" width="6" style="107" bestFit="1" customWidth="1"/>
    <col min="1027" max="1027" width="9" style="107" bestFit="1" customWidth="1"/>
    <col min="1028" max="1028" width="11.44140625" style="107"/>
    <col min="1029" max="1029" width="13.33203125" style="107" bestFit="1" customWidth="1"/>
    <col min="1030" max="1030" width="12" style="107" bestFit="1" customWidth="1"/>
    <col min="1031" max="1279" width="11.44140625" style="107"/>
    <col min="1280" max="1280" width="4.88671875" style="107" customWidth="1"/>
    <col min="1281" max="1281" width="56.109375" style="107" customWidth="1"/>
    <col min="1282" max="1282" width="6" style="107" bestFit="1" customWidth="1"/>
    <col min="1283" max="1283" width="9" style="107" bestFit="1" customWidth="1"/>
    <col min="1284" max="1284" width="11.44140625" style="107"/>
    <col min="1285" max="1285" width="13.33203125" style="107" bestFit="1" customWidth="1"/>
    <col min="1286" max="1286" width="12" style="107" bestFit="1" customWidth="1"/>
    <col min="1287" max="1535" width="11.44140625" style="107"/>
    <col min="1536" max="1536" width="4.88671875" style="107" customWidth="1"/>
    <col min="1537" max="1537" width="56.109375" style="107" customWidth="1"/>
    <col min="1538" max="1538" width="6" style="107" bestFit="1" customWidth="1"/>
    <col min="1539" max="1539" width="9" style="107" bestFit="1" customWidth="1"/>
    <col min="1540" max="1540" width="11.44140625" style="107"/>
    <col min="1541" max="1541" width="13.33203125" style="107" bestFit="1" customWidth="1"/>
    <col min="1542" max="1542" width="12" style="107" bestFit="1" customWidth="1"/>
    <col min="1543" max="1791" width="11.44140625" style="107"/>
    <col min="1792" max="1792" width="4.88671875" style="107" customWidth="1"/>
    <col min="1793" max="1793" width="56.109375" style="107" customWidth="1"/>
    <col min="1794" max="1794" width="6" style="107" bestFit="1" customWidth="1"/>
    <col min="1795" max="1795" width="9" style="107" bestFit="1" customWidth="1"/>
    <col min="1796" max="1796" width="11.44140625" style="107"/>
    <col min="1797" max="1797" width="13.33203125" style="107" bestFit="1" customWidth="1"/>
    <col min="1798" max="1798" width="12" style="107" bestFit="1" customWidth="1"/>
    <col min="1799" max="2047" width="11.44140625" style="107"/>
    <col min="2048" max="2048" width="4.88671875" style="107" customWidth="1"/>
    <col min="2049" max="2049" width="56.109375" style="107" customWidth="1"/>
    <col min="2050" max="2050" width="6" style="107" bestFit="1" customWidth="1"/>
    <col min="2051" max="2051" width="9" style="107" bestFit="1" customWidth="1"/>
    <col min="2052" max="2052" width="11.44140625" style="107"/>
    <col min="2053" max="2053" width="13.33203125" style="107" bestFit="1" customWidth="1"/>
    <col min="2054" max="2054" width="12" style="107" bestFit="1" customWidth="1"/>
    <col min="2055" max="2303" width="11.44140625" style="107"/>
    <col min="2304" max="2304" width="4.88671875" style="107" customWidth="1"/>
    <col min="2305" max="2305" width="56.109375" style="107" customWidth="1"/>
    <col min="2306" max="2306" width="6" style="107" bestFit="1" customWidth="1"/>
    <col min="2307" max="2307" width="9" style="107" bestFit="1" customWidth="1"/>
    <col min="2308" max="2308" width="11.44140625" style="107"/>
    <col min="2309" max="2309" width="13.33203125" style="107" bestFit="1" customWidth="1"/>
    <col min="2310" max="2310" width="12" style="107" bestFit="1" customWidth="1"/>
    <col min="2311" max="2559" width="11.44140625" style="107"/>
    <col min="2560" max="2560" width="4.88671875" style="107" customWidth="1"/>
    <col min="2561" max="2561" width="56.109375" style="107" customWidth="1"/>
    <col min="2562" max="2562" width="6" style="107" bestFit="1" customWidth="1"/>
    <col min="2563" max="2563" width="9" style="107" bestFit="1" customWidth="1"/>
    <col min="2564" max="2564" width="11.44140625" style="107"/>
    <col min="2565" max="2565" width="13.33203125" style="107" bestFit="1" customWidth="1"/>
    <col min="2566" max="2566" width="12" style="107" bestFit="1" customWidth="1"/>
    <col min="2567" max="2815" width="11.44140625" style="107"/>
    <col min="2816" max="2816" width="4.88671875" style="107" customWidth="1"/>
    <col min="2817" max="2817" width="56.109375" style="107" customWidth="1"/>
    <col min="2818" max="2818" width="6" style="107" bestFit="1" customWidth="1"/>
    <col min="2819" max="2819" width="9" style="107" bestFit="1" customWidth="1"/>
    <col min="2820" max="2820" width="11.44140625" style="107"/>
    <col min="2821" max="2821" width="13.33203125" style="107" bestFit="1" customWidth="1"/>
    <col min="2822" max="2822" width="12" style="107" bestFit="1" customWidth="1"/>
    <col min="2823" max="3071" width="11.44140625" style="107"/>
    <col min="3072" max="3072" width="4.88671875" style="107" customWidth="1"/>
    <col min="3073" max="3073" width="56.109375" style="107" customWidth="1"/>
    <col min="3074" max="3074" width="6" style="107" bestFit="1" customWidth="1"/>
    <col min="3075" max="3075" width="9" style="107" bestFit="1" customWidth="1"/>
    <col min="3076" max="3076" width="11.44140625" style="107"/>
    <col min="3077" max="3077" width="13.33203125" style="107" bestFit="1" customWidth="1"/>
    <col min="3078" max="3078" width="12" style="107" bestFit="1" customWidth="1"/>
    <col min="3079" max="3327" width="11.44140625" style="107"/>
    <col min="3328" max="3328" width="4.88671875" style="107" customWidth="1"/>
    <col min="3329" max="3329" width="56.109375" style="107" customWidth="1"/>
    <col min="3330" max="3330" width="6" style="107" bestFit="1" customWidth="1"/>
    <col min="3331" max="3331" width="9" style="107" bestFit="1" customWidth="1"/>
    <col min="3332" max="3332" width="11.44140625" style="107"/>
    <col min="3333" max="3333" width="13.33203125" style="107" bestFit="1" customWidth="1"/>
    <col min="3334" max="3334" width="12" style="107" bestFit="1" customWidth="1"/>
    <col min="3335" max="3583" width="11.44140625" style="107"/>
    <col min="3584" max="3584" width="4.88671875" style="107" customWidth="1"/>
    <col min="3585" max="3585" width="56.109375" style="107" customWidth="1"/>
    <col min="3586" max="3586" width="6" style="107" bestFit="1" customWidth="1"/>
    <col min="3587" max="3587" width="9" style="107" bestFit="1" customWidth="1"/>
    <col min="3588" max="3588" width="11.44140625" style="107"/>
    <col min="3589" max="3589" width="13.33203125" style="107" bestFit="1" customWidth="1"/>
    <col min="3590" max="3590" width="12" style="107" bestFit="1" customWidth="1"/>
    <col min="3591" max="3839" width="11.44140625" style="107"/>
    <col min="3840" max="3840" width="4.88671875" style="107" customWidth="1"/>
    <col min="3841" max="3841" width="56.109375" style="107" customWidth="1"/>
    <col min="3842" max="3842" width="6" style="107" bestFit="1" customWidth="1"/>
    <col min="3843" max="3843" width="9" style="107" bestFit="1" customWidth="1"/>
    <col min="3844" max="3844" width="11.44140625" style="107"/>
    <col min="3845" max="3845" width="13.33203125" style="107" bestFit="1" customWidth="1"/>
    <col min="3846" max="3846" width="12" style="107" bestFit="1" customWidth="1"/>
    <col min="3847" max="4095" width="11.44140625" style="107"/>
    <col min="4096" max="4096" width="4.88671875" style="107" customWidth="1"/>
    <col min="4097" max="4097" width="56.109375" style="107" customWidth="1"/>
    <col min="4098" max="4098" width="6" style="107" bestFit="1" customWidth="1"/>
    <col min="4099" max="4099" width="9" style="107" bestFit="1" customWidth="1"/>
    <col min="4100" max="4100" width="11.44140625" style="107"/>
    <col min="4101" max="4101" width="13.33203125" style="107" bestFit="1" customWidth="1"/>
    <col min="4102" max="4102" width="12" style="107" bestFit="1" customWidth="1"/>
    <col min="4103" max="4351" width="11.44140625" style="107"/>
    <col min="4352" max="4352" width="4.88671875" style="107" customWidth="1"/>
    <col min="4353" max="4353" width="56.109375" style="107" customWidth="1"/>
    <col min="4354" max="4354" width="6" style="107" bestFit="1" customWidth="1"/>
    <col min="4355" max="4355" width="9" style="107" bestFit="1" customWidth="1"/>
    <col min="4356" max="4356" width="11.44140625" style="107"/>
    <col min="4357" max="4357" width="13.33203125" style="107" bestFit="1" customWidth="1"/>
    <col min="4358" max="4358" width="12" style="107" bestFit="1" customWidth="1"/>
    <col min="4359" max="4607" width="11.44140625" style="107"/>
    <col min="4608" max="4608" width="4.88671875" style="107" customWidth="1"/>
    <col min="4609" max="4609" width="56.109375" style="107" customWidth="1"/>
    <col min="4610" max="4610" width="6" style="107" bestFit="1" customWidth="1"/>
    <col min="4611" max="4611" width="9" style="107" bestFit="1" customWidth="1"/>
    <col min="4612" max="4612" width="11.44140625" style="107"/>
    <col min="4613" max="4613" width="13.33203125" style="107" bestFit="1" customWidth="1"/>
    <col min="4614" max="4614" width="12" style="107" bestFit="1" customWidth="1"/>
    <col min="4615" max="4863" width="11.44140625" style="107"/>
    <col min="4864" max="4864" width="4.88671875" style="107" customWidth="1"/>
    <col min="4865" max="4865" width="56.109375" style="107" customWidth="1"/>
    <col min="4866" max="4866" width="6" style="107" bestFit="1" customWidth="1"/>
    <col min="4867" max="4867" width="9" style="107" bestFit="1" customWidth="1"/>
    <col min="4868" max="4868" width="11.44140625" style="107"/>
    <col min="4869" max="4869" width="13.33203125" style="107" bestFit="1" customWidth="1"/>
    <col min="4870" max="4870" width="12" style="107" bestFit="1" customWidth="1"/>
    <col min="4871" max="5119" width="11.44140625" style="107"/>
    <col min="5120" max="5120" width="4.88671875" style="107" customWidth="1"/>
    <col min="5121" max="5121" width="56.109375" style="107" customWidth="1"/>
    <col min="5122" max="5122" width="6" style="107" bestFit="1" customWidth="1"/>
    <col min="5123" max="5123" width="9" style="107" bestFit="1" customWidth="1"/>
    <col min="5124" max="5124" width="11.44140625" style="107"/>
    <col min="5125" max="5125" width="13.33203125" style="107" bestFit="1" customWidth="1"/>
    <col min="5126" max="5126" width="12" style="107" bestFit="1" customWidth="1"/>
    <col min="5127" max="5375" width="11.44140625" style="107"/>
    <col min="5376" max="5376" width="4.88671875" style="107" customWidth="1"/>
    <col min="5377" max="5377" width="56.109375" style="107" customWidth="1"/>
    <col min="5378" max="5378" width="6" style="107" bestFit="1" customWidth="1"/>
    <col min="5379" max="5379" width="9" style="107" bestFit="1" customWidth="1"/>
    <col min="5380" max="5380" width="11.44140625" style="107"/>
    <col min="5381" max="5381" width="13.33203125" style="107" bestFit="1" customWidth="1"/>
    <col min="5382" max="5382" width="12" style="107" bestFit="1" customWidth="1"/>
    <col min="5383" max="5631" width="11.44140625" style="107"/>
    <col min="5632" max="5632" width="4.88671875" style="107" customWidth="1"/>
    <col min="5633" max="5633" width="56.109375" style="107" customWidth="1"/>
    <col min="5634" max="5634" width="6" style="107" bestFit="1" customWidth="1"/>
    <col min="5635" max="5635" width="9" style="107" bestFit="1" customWidth="1"/>
    <col min="5636" max="5636" width="11.44140625" style="107"/>
    <col min="5637" max="5637" width="13.33203125" style="107" bestFit="1" customWidth="1"/>
    <col min="5638" max="5638" width="12" style="107" bestFit="1" customWidth="1"/>
    <col min="5639" max="5887" width="11.44140625" style="107"/>
    <col min="5888" max="5888" width="4.88671875" style="107" customWidth="1"/>
    <col min="5889" max="5889" width="56.109375" style="107" customWidth="1"/>
    <col min="5890" max="5890" width="6" style="107" bestFit="1" customWidth="1"/>
    <col min="5891" max="5891" width="9" style="107" bestFit="1" customWidth="1"/>
    <col min="5892" max="5892" width="11.44140625" style="107"/>
    <col min="5893" max="5893" width="13.33203125" style="107" bestFit="1" customWidth="1"/>
    <col min="5894" max="5894" width="12" style="107" bestFit="1" customWidth="1"/>
    <col min="5895" max="6143" width="11.44140625" style="107"/>
    <col min="6144" max="6144" width="4.88671875" style="107" customWidth="1"/>
    <col min="6145" max="6145" width="56.109375" style="107" customWidth="1"/>
    <col min="6146" max="6146" width="6" style="107" bestFit="1" customWidth="1"/>
    <col min="6147" max="6147" width="9" style="107" bestFit="1" customWidth="1"/>
    <col min="6148" max="6148" width="11.44140625" style="107"/>
    <col min="6149" max="6149" width="13.33203125" style="107" bestFit="1" customWidth="1"/>
    <col min="6150" max="6150" width="12" style="107" bestFit="1" customWidth="1"/>
    <col min="6151" max="6399" width="11.44140625" style="107"/>
    <col min="6400" max="6400" width="4.88671875" style="107" customWidth="1"/>
    <col min="6401" max="6401" width="56.109375" style="107" customWidth="1"/>
    <col min="6402" max="6402" width="6" style="107" bestFit="1" customWidth="1"/>
    <col min="6403" max="6403" width="9" style="107" bestFit="1" customWidth="1"/>
    <col min="6404" max="6404" width="11.44140625" style="107"/>
    <col min="6405" max="6405" width="13.33203125" style="107" bestFit="1" customWidth="1"/>
    <col min="6406" max="6406" width="12" style="107" bestFit="1" customWidth="1"/>
    <col min="6407" max="6655" width="11.44140625" style="107"/>
    <col min="6656" max="6656" width="4.88671875" style="107" customWidth="1"/>
    <col min="6657" max="6657" width="56.109375" style="107" customWidth="1"/>
    <col min="6658" max="6658" width="6" style="107" bestFit="1" customWidth="1"/>
    <col min="6659" max="6659" width="9" style="107" bestFit="1" customWidth="1"/>
    <col min="6660" max="6660" width="11.44140625" style="107"/>
    <col min="6661" max="6661" width="13.33203125" style="107" bestFit="1" customWidth="1"/>
    <col min="6662" max="6662" width="12" style="107" bestFit="1" customWidth="1"/>
    <col min="6663" max="6911" width="11.44140625" style="107"/>
    <col min="6912" max="6912" width="4.88671875" style="107" customWidth="1"/>
    <col min="6913" max="6913" width="56.109375" style="107" customWidth="1"/>
    <col min="6914" max="6914" width="6" style="107" bestFit="1" customWidth="1"/>
    <col min="6915" max="6915" width="9" style="107" bestFit="1" customWidth="1"/>
    <col min="6916" max="6916" width="11.44140625" style="107"/>
    <col min="6917" max="6917" width="13.33203125" style="107" bestFit="1" customWidth="1"/>
    <col min="6918" max="6918" width="12" style="107" bestFit="1" customWidth="1"/>
    <col min="6919" max="7167" width="11.44140625" style="107"/>
    <col min="7168" max="7168" width="4.88671875" style="107" customWidth="1"/>
    <col min="7169" max="7169" width="56.109375" style="107" customWidth="1"/>
    <col min="7170" max="7170" width="6" style="107" bestFit="1" customWidth="1"/>
    <col min="7171" max="7171" width="9" style="107" bestFit="1" customWidth="1"/>
    <col min="7172" max="7172" width="11.44140625" style="107"/>
    <col min="7173" max="7173" width="13.33203125" style="107" bestFit="1" customWidth="1"/>
    <col min="7174" max="7174" width="12" style="107" bestFit="1" customWidth="1"/>
    <col min="7175" max="7423" width="11.44140625" style="107"/>
    <col min="7424" max="7424" width="4.88671875" style="107" customWidth="1"/>
    <col min="7425" max="7425" width="56.109375" style="107" customWidth="1"/>
    <col min="7426" max="7426" width="6" style="107" bestFit="1" customWidth="1"/>
    <col min="7427" max="7427" width="9" style="107" bestFit="1" customWidth="1"/>
    <col min="7428" max="7428" width="11.44140625" style="107"/>
    <col min="7429" max="7429" width="13.33203125" style="107" bestFit="1" customWidth="1"/>
    <col min="7430" max="7430" width="12" style="107" bestFit="1" customWidth="1"/>
    <col min="7431" max="7679" width="11.44140625" style="107"/>
    <col min="7680" max="7680" width="4.88671875" style="107" customWidth="1"/>
    <col min="7681" max="7681" width="56.109375" style="107" customWidth="1"/>
    <col min="7682" max="7682" width="6" style="107" bestFit="1" customWidth="1"/>
    <col min="7683" max="7683" width="9" style="107" bestFit="1" customWidth="1"/>
    <col min="7684" max="7684" width="11.44140625" style="107"/>
    <col min="7685" max="7685" width="13.33203125" style="107" bestFit="1" customWidth="1"/>
    <col min="7686" max="7686" width="12" style="107" bestFit="1" customWidth="1"/>
    <col min="7687" max="7935" width="11.44140625" style="107"/>
    <col min="7936" max="7936" width="4.88671875" style="107" customWidth="1"/>
    <col min="7937" max="7937" width="56.109375" style="107" customWidth="1"/>
    <col min="7938" max="7938" width="6" style="107" bestFit="1" customWidth="1"/>
    <col min="7939" max="7939" width="9" style="107" bestFit="1" customWidth="1"/>
    <col min="7940" max="7940" width="11.44140625" style="107"/>
    <col min="7941" max="7941" width="13.33203125" style="107" bestFit="1" customWidth="1"/>
    <col min="7942" max="7942" width="12" style="107" bestFit="1" customWidth="1"/>
    <col min="7943" max="8191" width="11.44140625" style="107"/>
    <col min="8192" max="8192" width="4.88671875" style="107" customWidth="1"/>
    <col min="8193" max="8193" width="56.109375" style="107" customWidth="1"/>
    <col min="8194" max="8194" width="6" style="107" bestFit="1" customWidth="1"/>
    <col min="8195" max="8195" width="9" style="107" bestFit="1" customWidth="1"/>
    <col min="8196" max="8196" width="11.44140625" style="107"/>
    <col min="8197" max="8197" width="13.33203125" style="107" bestFit="1" customWidth="1"/>
    <col min="8198" max="8198" width="12" style="107" bestFit="1" customWidth="1"/>
    <col min="8199" max="8447" width="11.44140625" style="107"/>
    <col min="8448" max="8448" width="4.88671875" style="107" customWidth="1"/>
    <col min="8449" max="8449" width="56.109375" style="107" customWidth="1"/>
    <col min="8450" max="8450" width="6" style="107" bestFit="1" customWidth="1"/>
    <col min="8451" max="8451" width="9" style="107" bestFit="1" customWidth="1"/>
    <col min="8452" max="8452" width="11.44140625" style="107"/>
    <col min="8453" max="8453" width="13.33203125" style="107" bestFit="1" customWidth="1"/>
    <col min="8454" max="8454" width="12" style="107" bestFit="1" customWidth="1"/>
    <col min="8455" max="8703" width="11.44140625" style="107"/>
    <col min="8704" max="8704" width="4.88671875" style="107" customWidth="1"/>
    <col min="8705" max="8705" width="56.109375" style="107" customWidth="1"/>
    <col min="8706" max="8706" width="6" style="107" bestFit="1" customWidth="1"/>
    <col min="8707" max="8707" width="9" style="107" bestFit="1" customWidth="1"/>
    <col min="8708" max="8708" width="11.44140625" style="107"/>
    <col min="8709" max="8709" width="13.33203125" style="107" bestFit="1" customWidth="1"/>
    <col min="8710" max="8710" width="12" style="107" bestFit="1" customWidth="1"/>
    <col min="8711" max="8959" width="11.44140625" style="107"/>
    <col min="8960" max="8960" width="4.88671875" style="107" customWidth="1"/>
    <col min="8961" max="8961" width="56.109375" style="107" customWidth="1"/>
    <col min="8962" max="8962" width="6" style="107" bestFit="1" customWidth="1"/>
    <col min="8963" max="8963" width="9" style="107" bestFit="1" customWidth="1"/>
    <col min="8964" max="8964" width="11.44140625" style="107"/>
    <col min="8965" max="8965" width="13.33203125" style="107" bestFit="1" customWidth="1"/>
    <col min="8966" max="8966" width="12" style="107" bestFit="1" customWidth="1"/>
    <col min="8967" max="9215" width="11.44140625" style="107"/>
    <col min="9216" max="9216" width="4.88671875" style="107" customWidth="1"/>
    <col min="9217" max="9217" width="56.109375" style="107" customWidth="1"/>
    <col min="9218" max="9218" width="6" style="107" bestFit="1" customWidth="1"/>
    <col min="9219" max="9219" width="9" style="107" bestFit="1" customWidth="1"/>
    <col min="9220" max="9220" width="11.44140625" style="107"/>
    <col min="9221" max="9221" width="13.33203125" style="107" bestFit="1" customWidth="1"/>
    <col min="9222" max="9222" width="12" style="107" bestFit="1" customWidth="1"/>
    <col min="9223" max="9471" width="11.44140625" style="107"/>
    <col min="9472" max="9472" width="4.88671875" style="107" customWidth="1"/>
    <col min="9473" max="9473" width="56.109375" style="107" customWidth="1"/>
    <col min="9474" max="9474" width="6" style="107" bestFit="1" customWidth="1"/>
    <col min="9475" max="9475" width="9" style="107" bestFit="1" customWidth="1"/>
    <col min="9476" max="9476" width="11.44140625" style="107"/>
    <col min="9477" max="9477" width="13.33203125" style="107" bestFit="1" customWidth="1"/>
    <col min="9478" max="9478" width="12" style="107" bestFit="1" customWidth="1"/>
    <col min="9479" max="9727" width="11.44140625" style="107"/>
    <col min="9728" max="9728" width="4.88671875" style="107" customWidth="1"/>
    <col min="9729" max="9729" width="56.109375" style="107" customWidth="1"/>
    <col min="9730" max="9730" width="6" style="107" bestFit="1" customWidth="1"/>
    <col min="9731" max="9731" width="9" style="107" bestFit="1" customWidth="1"/>
    <col min="9732" max="9732" width="11.44140625" style="107"/>
    <col min="9733" max="9733" width="13.33203125" style="107" bestFit="1" customWidth="1"/>
    <col min="9734" max="9734" width="12" style="107" bestFit="1" customWidth="1"/>
    <col min="9735" max="9983" width="11.44140625" style="107"/>
    <col min="9984" max="9984" width="4.88671875" style="107" customWidth="1"/>
    <col min="9985" max="9985" width="56.109375" style="107" customWidth="1"/>
    <col min="9986" max="9986" width="6" style="107" bestFit="1" customWidth="1"/>
    <col min="9987" max="9987" width="9" style="107" bestFit="1" customWidth="1"/>
    <col min="9988" max="9988" width="11.44140625" style="107"/>
    <col min="9989" max="9989" width="13.33203125" style="107" bestFit="1" customWidth="1"/>
    <col min="9990" max="9990" width="12" style="107" bestFit="1" customWidth="1"/>
    <col min="9991" max="10239" width="11.44140625" style="107"/>
    <col min="10240" max="10240" width="4.88671875" style="107" customWidth="1"/>
    <col min="10241" max="10241" width="56.109375" style="107" customWidth="1"/>
    <col min="10242" max="10242" width="6" style="107" bestFit="1" customWidth="1"/>
    <col min="10243" max="10243" width="9" style="107" bestFit="1" customWidth="1"/>
    <col min="10244" max="10244" width="11.44140625" style="107"/>
    <col min="10245" max="10245" width="13.33203125" style="107" bestFit="1" customWidth="1"/>
    <col min="10246" max="10246" width="12" style="107" bestFit="1" customWidth="1"/>
    <col min="10247" max="10495" width="11.44140625" style="107"/>
    <col min="10496" max="10496" width="4.88671875" style="107" customWidth="1"/>
    <col min="10497" max="10497" width="56.109375" style="107" customWidth="1"/>
    <col min="10498" max="10498" width="6" style="107" bestFit="1" customWidth="1"/>
    <col min="10499" max="10499" width="9" style="107" bestFit="1" customWidth="1"/>
    <col min="10500" max="10500" width="11.44140625" style="107"/>
    <col min="10501" max="10501" width="13.33203125" style="107" bestFit="1" customWidth="1"/>
    <col min="10502" max="10502" width="12" style="107" bestFit="1" customWidth="1"/>
    <col min="10503" max="10751" width="11.44140625" style="107"/>
    <col min="10752" max="10752" width="4.88671875" style="107" customWidth="1"/>
    <col min="10753" max="10753" width="56.109375" style="107" customWidth="1"/>
    <col min="10754" max="10754" width="6" style="107" bestFit="1" customWidth="1"/>
    <col min="10755" max="10755" width="9" style="107" bestFit="1" customWidth="1"/>
    <col min="10756" max="10756" width="11.44140625" style="107"/>
    <col min="10757" max="10757" width="13.33203125" style="107" bestFit="1" customWidth="1"/>
    <col min="10758" max="10758" width="12" style="107" bestFit="1" customWidth="1"/>
    <col min="10759" max="11007" width="11.44140625" style="107"/>
    <col min="11008" max="11008" width="4.88671875" style="107" customWidth="1"/>
    <col min="11009" max="11009" width="56.109375" style="107" customWidth="1"/>
    <col min="11010" max="11010" width="6" style="107" bestFit="1" customWidth="1"/>
    <col min="11011" max="11011" width="9" style="107" bestFit="1" customWidth="1"/>
    <col min="11012" max="11012" width="11.44140625" style="107"/>
    <col min="11013" max="11013" width="13.33203125" style="107" bestFit="1" customWidth="1"/>
    <col min="11014" max="11014" width="12" style="107" bestFit="1" customWidth="1"/>
    <col min="11015" max="11263" width="11.44140625" style="107"/>
    <col min="11264" max="11264" width="4.88671875" style="107" customWidth="1"/>
    <col min="11265" max="11265" width="56.109375" style="107" customWidth="1"/>
    <col min="11266" max="11266" width="6" style="107" bestFit="1" customWidth="1"/>
    <col min="11267" max="11267" width="9" style="107" bestFit="1" customWidth="1"/>
    <col min="11268" max="11268" width="11.44140625" style="107"/>
    <col min="11269" max="11269" width="13.33203125" style="107" bestFit="1" customWidth="1"/>
    <col min="11270" max="11270" width="12" style="107" bestFit="1" customWidth="1"/>
    <col min="11271" max="11519" width="11.44140625" style="107"/>
    <col min="11520" max="11520" width="4.88671875" style="107" customWidth="1"/>
    <col min="11521" max="11521" width="56.109375" style="107" customWidth="1"/>
    <col min="11522" max="11522" width="6" style="107" bestFit="1" customWidth="1"/>
    <col min="11523" max="11523" width="9" style="107" bestFit="1" customWidth="1"/>
    <col min="11524" max="11524" width="11.44140625" style="107"/>
    <col min="11525" max="11525" width="13.33203125" style="107" bestFit="1" customWidth="1"/>
    <col min="11526" max="11526" width="12" style="107" bestFit="1" customWidth="1"/>
    <col min="11527" max="11775" width="11.44140625" style="107"/>
    <col min="11776" max="11776" width="4.88671875" style="107" customWidth="1"/>
    <col min="11777" max="11777" width="56.109375" style="107" customWidth="1"/>
    <col min="11778" max="11778" width="6" style="107" bestFit="1" customWidth="1"/>
    <col min="11779" max="11779" width="9" style="107" bestFit="1" customWidth="1"/>
    <col min="11780" max="11780" width="11.44140625" style="107"/>
    <col min="11781" max="11781" width="13.33203125" style="107" bestFit="1" customWidth="1"/>
    <col min="11782" max="11782" width="12" style="107" bestFit="1" customWidth="1"/>
    <col min="11783" max="12031" width="11.44140625" style="107"/>
    <col min="12032" max="12032" width="4.88671875" style="107" customWidth="1"/>
    <col min="12033" max="12033" width="56.109375" style="107" customWidth="1"/>
    <col min="12034" max="12034" width="6" style="107" bestFit="1" customWidth="1"/>
    <col min="12035" max="12035" width="9" style="107" bestFit="1" customWidth="1"/>
    <col min="12036" max="12036" width="11.44140625" style="107"/>
    <col min="12037" max="12037" width="13.33203125" style="107" bestFit="1" customWidth="1"/>
    <col min="12038" max="12038" width="12" style="107" bestFit="1" customWidth="1"/>
    <col min="12039" max="12287" width="11.44140625" style="107"/>
    <col min="12288" max="12288" width="4.88671875" style="107" customWidth="1"/>
    <col min="12289" max="12289" width="56.109375" style="107" customWidth="1"/>
    <col min="12290" max="12290" width="6" style="107" bestFit="1" customWidth="1"/>
    <col min="12291" max="12291" width="9" style="107" bestFit="1" customWidth="1"/>
    <col min="12292" max="12292" width="11.44140625" style="107"/>
    <col min="12293" max="12293" width="13.33203125" style="107" bestFit="1" customWidth="1"/>
    <col min="12294" max="12294" width="12" style="107" bestFit="1" customWidth="1"/>
    <col min="12295" max="12543" width="11.44140625" style="107"/>
    <col min="12544" max="12544" width="4.88671875" style="107" customWidth="1"/>
    <col min="12545" max="12545" width="56.109375" style="107" customWidth="1"/>
    <col min="12546" max="12546" width="6" style="107" bestFit="1" customWidth="1"/>
    <col min="12547" max="12547" width="9" style="107" bestFit="1" customWidth="1"/>
    <col min="12548" max="12548" width="11.44140625" style="107"/>
    <col min="12549" max="12549" width="13.33203125" style="107" bestFit="1" customWidth="1"/>
    <col min="12550" max="12550" width="12" style="107" bestFit="1" customWidth="1"/>
    <col min="12551" max="12799" width="11.44140625" style="107"/>
    <col min="12800" max="12800" width="4.88671875" style="107" customWidth="1"/>
    <col min="12801" max="12801" width="56.109375" style="107" customWidth="1"/>
    <col min="12802" max="12802" width="6" style="107" bestFit="1" customWidth="1"/>
    <col min="12803" max="12803" width="9" style="107" bestFit="1" customWidth="1"/>
    <col min="12804" max="12804" width="11.44140625" style="107"/>
    <col min="12805" max="12805" width="13.33203125" style="107" bestFit="1" customWidth="1"/>
    <col min="12806" max="12806" width="12" style="107" bestFit="1" customWidth="1"/>
    <col min="12807" max="13055" width="11.44140625" style="107"/>
    <col min="13056" max="13056" width="4.88671875" style="107" customWidth="1"/>
    <col min="13057" max="13057" width="56.109375" style="107" customWidth="1"/>
    <col min="13058" max="13058" width="6" style="107" bestFit="1" customWidth="1"/>
    <col min="13059" max="13059" width="9" style="107" bestFit="1" customWidth="1"/>
    <col min="13060" max="13060" width="11.44140625" style="107"/>
    <col min="13061" max="13061" width="13.33203125" style="107" bestFit="1" customWidth="1"/>
    <col min="13062" max="13062" width="12" style="107" bestFit="1" customWidth="1"/>
    <col min="13063" max="13311" width="11.44140625" style="107"/>
    <col min="13312" max="13312" width="4.88671875" style="107" customWidth="1"/>
    <col min="13313" max="13313" width="56.109375" style="107" customWidth="1"/>
    <col min="13314" max="13314" width="6" style="107" bestFit="1" customWidth="1"/>
    <col min="13315" max="13315" width="9" style="107" bestFit="1" customWidth="1"/>
    <col min="13316" max="13316" width="11.44140625" style="107"/>
    <col min="13317" max="13317" width="13.33203125" style="107" bestFit="1" customWidth="1"/>
    <col min="13318" max="13318" width="12" style="107" bestFit="1" customWidth="1"/>
    <col min="13319" max="13567" width="11.44140625" style="107"/>
    <col min="13568" max="13568" width="4.88671875" style="107" customWidth="1"/>
    <col min="13569" max="13569" width="56.109375" style="107" customWidth="1"/>
    <col min="13570" max="13570" width="6" style="107" bestFit="1" customWidth="1"/>
    <col min="13571" max="13571" width="9" style="107" bestFit="1" customWidth="1"/>
    <col min="13572" max="13572" width="11.44140625" style="107"/>
    <col min="13573" max="13573" width="13.33203125" style="107" bestFit="1" customWidth="1"/>
    <col min="13574" max="13574" width="12" style="107" bestFit="1" customWidth="1"/>
    <col min="13575" max="13823" width="11.44140625" style="107"/>
    <col min="13824" max="13824" width="4.88671875" style="107" customWidth="1"/>
    <col min="13825" max="13825" width="56.109375" style="107" customWidth="1"/>
    <col min="13826" max="13826" width="6" style="107" bestFit="1" customWidth="1"/>
    <col min="13827" max="13827" width="9" style="107" bestFit="1" customWidth="1"/>
    <col min="13828" max="13828" width="11.44140625" style="107"/>
    <col min="13829" max="13829" width="13.33203125" style="107" bestFit="1" customWidth="1"/>
    <col min="13830" max="13830" width="12" style="107" bestFit="1" customWidth="1"/>
    <col min="13831" max="14079" width="11.44140625" style="107"/>
    <col min="14080" max="14080" width="4.88671875" style="107" customWidth="1"/>
    <col min="14081" max="14081" width="56.109375" style="107" customWidth="1"/>
    <col min="14082" max="14082" width="6" style="107" bestFit="1" customWidth="1"/>
    <col min="14083" max="14083" width="9" style="107" bestFit="1" customWidth="1"/>
    <col min="14084" max="14084" width="11.44140625" style="107"/>
    <col min="14085" max="14085" width="13.33203125" style="107" bestFit="1" customWidth="1"/>
    <col min="14086" max="14086" width="12" style="107" bestFit="1" customWidth="1"/>
    <col min="14087" max="14335" width="11.44140625" style="107"/>
    <col min="14336" max="14336" width="4.88671875" style="107" customWidth="1"/>
    <col min="14337" max="14337" width="56.109375" style="107" customWidth="1"/>
    <col min="14338" max="14338" width="6" style="107" bestFit="1" customWidth="1"/>
    <col min="14339" max="14339" width="9" style="107" bestFit="1" customWidth="1"/>
    <col min="14340" max="14340" width="11.44140625" style="107"/>
    <col min="14341" max="14341" width="13.33203125" style="107" bestFit="1" customWidth="1"/>
    <col min="14342" max="14342" width="12" style="107" bestFit="1" customWidth="1"/>
    <col min="14343" max="14591" width="11.44140625" style="107"/>
    <col min="14592" max="14592" width="4.88671875" style="107" customWidth="1"/>
    <col min="14593" max="14593" width="56.109375" style="107" customWidth="1"/>
    <col min="14594" max="14594" width="6" style="107" bestFit="1" customWidth="1"/>
    <col min="14595" max="14595" width="9" style="107" bestFit="1" customWidth="1"/>
    <col min="14596" max="14596" width="11.44140625" style="107"/>
    <col min="14597" max="14597" width="13.33203125" style="107" bestFit="1" customWidth="1"/>
    <col min="14598" max="14598" width="12" style="107" bestFit="1" customWidth="1"/>
    <col min="14599" max="14847" width="11.44140625" style="107"/>
    <col min="14848" max="14848" width="4.88671875" style="107" customWidth="1"/>
    <col min="14849" max="14849" width="56.109375" style="107" customWidth="1"/>
    <col min="14850" max="14850" width="6" style="107" bestFit="1" customWidth="1"/>
    <col min="14851" max="14851" width="9" style="107" bestFit="1" customWidth="1"/>
    <col min="14852" max="14852" width="11.44140625" style="107"/>
    <col min="14853" max="14853" width="13.33203125" style="107" bestFit="1" customWidth="1"/>
    <col min="14854" max="14854" width="12" style="107" bestFit="1" customWidth="1"/>
    <col min="14855" max="15103" width="11.44140625" style="107"/>
    <col min="15104" max="15104" width="4.88671875" style="107" customWidth="1"/>
    <col min="15105" max="15105" width="56.109375" style="107" customWidth="1"/>
    <col min="15106" max="15106" width="6" style="107" bestFit="1" customWidth="1"/>
    <col min="15107" max="15107" width="9" style="107" bestFit="1" customWidth="1"/>
    <col min="15108" max="15108" width="11.44140625" style="107"/>
    <col min="15109" max="15109" width="13.33203125" style="107" bestFit="1" customWidth="1"/>
    <col min="15110" max="15110" width="12" style="107" bestFit="1" customWidth="1"/>
    <col min="15111" max="15359" width="11.44140625" style="107"/>
    <col min="15360" max="15360" width="4.88671875" style="107" customWidth="1"/>
    <col min="15361" max="15361" width="56.109375" style="107" customWidth="1"/>
    <col min="15362" max="15362" width="6" style="107" bestFit="1" customWidth="1"/>
    <col min="15363" max="15363" width="9" style="107" bestFit="1" customWidth="1"/>
    <col min="15364" max="15364" width="11.44140625" style="107"/>
    <col min="15365" max="15365" width="13.33203125" style="107" bestFit="1" customWidth="1"/>
    <col min="15366" max="15366" width="12" style="107" bestFit="1" customWidth="1"/>
    <col min="15367" max="15615" width="11.44140625" style="107"/>
    <col min="15616" max="15616" width="4.88671875" style="107" customWidth="1"/>
    <col min="15617" max="15617" width="56.109375" style="107" customWidth="1"/>
    <col min="15618" max="15618" width="6" style="107" bestFit="1" customWidth="1"/>
    <col min="15619" max="15619" width="9" style="107" bestFit="1" customWidth="1"/>
    <col min="15620" max="15620" width="11.44140625" style="107"/>
    <col min="15621" max="15621" width="13.33203125" style="107" bestFit="1" customWidth="1"/>
    <col min="15622" max="15622" width="12" style="107" bestFit="1" customWidth="1"/>
    <col min="15623" max="15871" width="11.44140625" style="107"/>
    <col min="15872" max="15872" width="4.88671875" style="107" customWidth="1"/>
    <col min="15873" max="15873" width="56.109375" style="107" customWidth="1"/>
    <col min="15874" max="15874" width="6" style="107" bestFit="1" customWidth="1"/>
    <col min="15875" max="15875" width="9" style="107" bestFit="1" customWidth="1"/>
    <col min="15876" max="15876" width="11.44140625" style="107"/>
    <col min="15877" max="15877" width="13.33203125" style="107" bestFit="1" customWidth="1"/>
    <col min="15878" max="15878" width="12" style="107" bestFit="1" customWidth="1"/>
    <col min="15879" max="16127" width="11.44140625" style="107"/>
    <col min="16128" max="16128" width="4.88671875" style="107" customWidth="1"/>
    <col min="16129" max="16129" width="56.109375" style="107" customWidth="1"/>
    <col min="16130" max="16130" width="6" style="107" bestFit="1" customWidth="1"/>
    <col min="16131" max="16131" width="9" style="107" bestFit="1" customWidth="1"/>
    <col min="16132" max="16132" width="11.44140625" style="107"/>
    <col min="16133" max="16133" width="13.33203125" style="107" bestFit="1" customWidth="1"/>
    <col min="16134" max="16134" width="12" style="107" bestFit="1" customWidth="1"/>
    <col min="16135" max="16384" width="11.44140625" style="223"/>
  </cols>
  <sheetData>
    <row r="1" spans="1:6" s="223" customFormat="1" x14ac:dyDescent="0.25">
      <c r="E1" s="224"/>
    </row>
    <row r="2" spans="1:6" s="123" customFormat="1" x14ac:dyDescent="0.25">
      <c r="A2" s="401" t="s">
        <v>460</v>
      </c>
      <c r="B2" s="402"/>
      <c r="C2" s="402"/>
      <c r="D2" s="402"/>
      <c r="E2" s="403"/>
      <c r="F2" s="310"/>
    </row>
    <row r="3" spans="1:6" s="223" customFormat="1" ht="15.6" x14ac:dyDescent="0.25">
      <c r="A3" s="225"/>
      <c r="B3" s="437" t="s">
        <v>523</v>
      </c>
      <c r="C3" s="437"/>
      <c r="D3" s="437"/>
      <c r="E3" s="437"/>
    </row>
    <row r="4" spans="1:6" s="223" customFormat="1" ht="16.2" thickBot="1" x14ac:dyDescent="0.3">
      <c r="A4" s="225"/>
      <c r="B4" s="226"/>
      <c r="C4" s="226"/>
      <c r="D4" s="226"/>
      <c r="E4" s="226"/>
    </row>
    <row r="5" spans="1:6" s="223" customFormat="1" ht="15" thickTop="1" thickBot="1" x14ac:dyDescent="0.3">
      <c r="A5" s="227" t="s">
        <v>121</v>
      </c>
      <c r="B5" s="227" t="s">
        <v>122</v>
      </c>
      <c r="C5" s="227" t="s">
        <v>123</v>
      </c>
      <c r="D5" s="48" t="s">
        <v>425</v>
      </c>
      <c r="E5" s="220" t="s">
        <v>424</v>
      </c>
    </row>
    <row r="6" spans="1:6" s="223" customFormat="1" ht="14.4" thickTop="1" x14ac:dyDescent="0.25">
      <c r="A6" s="229" t="s">
        <v>0</v>
      </c>
      <c r="B6" s="230" t="s">
        <v>127</v>
      </c>
      <c r="C6" s="231"/>
      <c r="D6" s="232"/>
      <c r="E6" s="233"/>
    </row>
    <row r="7" spans="1:6" s="223" customFormat="1" x14ac:dyDescent="0.25">
      <c r="A7" s="234" t="s">
        <v>25</v>
      </c>
      <c r="B7" s="120" t="s">
        <v>73</v>
      </c>
      <c r="C7" s="119" t="s">
        <v>6</v>
      </c>
      <c r="D7" s="124"/>
      <c r="E7" s="235"/>
    </row>
    <row r="8" spans="1:6" s="223" customFormat="1" x14ac:dyDescent="0.25">
      <c r="A8" s="234" t="s">
        <v>128</v>
      </c>
      <c r="B8" s="236" t="s">
        <v>139</v>
      </c>
      <c r="C8" s="237" t="s">
        <v>10</v>
      </c>
      <c r="D8" s="239"/>
      <c r="E8" s="235"/>
    </row>
    <row r="9" spans="1:6" s="223" customFormat="1" x14ac:dyDescent="0.25">
      <c r="A9" s="234" t="s">
        <v>129</v>
      </c>
      <c r="B9" s="236" t="s">
        <v>27</v>
      </c>
      <c r="C9" s="237" t="s">
        <v>10</v>
      </c>
      <c r="D9" s="239"/>
      <c r="E9" s="235"/>
    </row>
    <row r="10" spans="1:6" s="223" customFormat="1" x14ac:dyDescent="0.25">
      <c r="A10" s="234" t="s">
        <v>130</v>
      </c>
      <c r="B10" s="236" t="s">
        <v>327</v>
      </c>
      <c r="C10" s="237" t="s">
        <v>10</v>
      </c>
      <c r="D10" s="239"/>
      <c r="E10" s="235"/>
    </row>
    <row r="11" spans="1:6" s="223" customFormat="1" x14ac:dyDescent="0.25">
      <c r="A11" s="243" t="s">
        <v>8</v>
      </c>
      <c r="B11" s="438" t="s">
        <v>330</v>
      </c>
      <c r="C11" s="438"/>
      <c r="D11" s="438"/>
      <c r="E11" s="439"/>
    </row>
    <row r="12" spans="1:6" s="223" customFormat="1" x14ac:dyDescent="0.25">
      <c r="A12" s="234" t="s">
        <v>50</v>
      </c>
      <c r="B12" s="236" t="s">
        <v>328</v>
      </c>
      <c r="C12" s="237" t="s">
        <v>10</v>
      </c>
      <c r="D12" s="239"/>
      <c r="E12" s="235"/>
    </row>
    <row r="13" spans="1:6" s="223" customFormat="1" x14ac:dyDescent="0.25">
      <c r="A13" s="234" t="s">
        <v>51</v>
      </c>
      <c r="B13" s="236" t="s">
        <v>329</v>
      </c>
      <c r="C13" s="244" t="s">
        <v>10</v>
      </c>
      <c r="D13" s="239"/>
      <c r="E13" s="235"/>
    </row>
    <row r="14" spans="1:6" s="223" customFormat="1" x14ac:dyDescent="0.25">
      <c r="A14" s="234" t="s">
        <v>52</v>
      </c>
      <c r="B14" s="236" t="s">
        <v>333</v>
      </c>
      <c r="C14" s="244" t="s">
        <v>10</v>
      </c>
      <c r="D14" s="239"/>
      <c r="E14" s="235"/>
    </row>
    <row r="15" spans="1:6" s="223" customFormat="1" ht="26.4" x14ac:dyDescent="0.25">
      <c r="A15" s="234" t="s">
        <v>131</v>
      </c>
      <c r="B15" s="236" t="s">
        <v>331</v>
      </c>
      <c r="C15" s="246" t="s">
        <v>26</v>
      </c>
      <c r="D15" s="142"/>
      <c r="E15" s="235"/>
    </row>
    <row r="16" spans="1:6" s="223" customFormat="1" ht="26.4" x14ac:dyDescent="0.25">
      <c r="A16" s="234" t="s">
        <v>249</v>
      </c>
      <c r="B16" s="236" t="s">
        <v>332</v>
      </c>
      <c r="C16" s="246" t="s">
        <v>16</v>
      </c>
      <c r="D16" s="142"/>
      <c r="E16" s="235"/>
    </row>
    <row r="17" spans="1:5" s="223" customFormat="1" x14ac:dyDescent="0.25">
      <c r="A17" s="234" t="s">
        <v>251</v>
      </c>
      <c r="B17" s="236" t="s">
        <v>334</v>
      </c>
      <c r="C17" s="246" t="s">
        <v>10</v>
      </c>
      <c r="D17" s="142"/>
      <c r="E17" s="235"/>
    </row>
    <row r="18" spans="1:5" s="223" customFormat="1" x14ac:dyDescent="0.25">
      <c r="A18" s="243" t="s">
        <v>12</v>
      </c>
      <c r="B18" s="441" t="s">
        <v>140</v>
      </c>
      <c r="C18" s="441"/>
      <c r="D18" s="441"/>
      <c r="E18" s="442"/>
    </row>
    <row r="19" spans="1:5" s="223" customFormat="1" x14ac:dyDescent="0.25">
      <c r="A19" s="234" t="s">
        <v>41</v>
      </c>
      <c r="B19" s="236" t="s">
        <v>142</v>
      </c>
      <c r="C19" s="249" t="s">
        <v>10</v>
      </c>
      <c r="D19" s="142"/>
      <c r="E19" s="251"/>
    </row>
    <row r="20" spans="1:5" s="223" customFormat="1" x14ac:dyDescent="0.25">
      <c r="A20" s="234" t="s">
        <v>42</v>
      </c>
      <c r="B20" s="236" t="s">
        <v>335</v>
      </c>
      <c r="C20" s="249" t="s">
        <v>26</v>
      </c>
      <c r="D20" s="142"/>
      <c r="E20" s="251"/>
    </row>
    <row r="21" spans="1:5" s="223" customFormat="1" x14ac:dyDescent="0.25">
      <c r="A21" s="234" t="s">
        <v>43</v>
      </c>
      <c r="B21" s="236" t="s">
        <v>141</v>
      </c>
      <c r="C21" s="249" t="s">
        <v>26</v>
      </c>
      <c r="D21" s="142"/>
      <c r="E21" s="251"/>
    </row>
    <row r="22" spans="1:5" s="223" customFormat="1" x14ac:dyDescent="0.25">
      <c r="A22" s="234" t="s">
        <v>44</v>
      </c>
      <c r="B22" s="236" t="s">
        <v>56</v>
      </c>
      <c r="C22" s="249" t="s">
        <v>10</v>
      </c>
      <c r="D22" s="142"/>
      <c r="E22" s="251"/>
    </row>
    <row r="23" spans="1:5" s="223" customFormat="1" x14ac:dyDescent="0.25">
      <c r="A23" s="234" t="s">
        <v>45</v>
      </c>
      <c r="B23" s="236" t="s">
        <v>336</v>
      </c>
      <c r="C23" s="249" t="s">
        <v>10</v>
      </c>
      <c r="D23" s="142"/>
      <c r="E23" s="251"/>
    </row>
    <row r="24" spans="1:5" s="223" customFormat="1" x14ac:dyDescent="0.25">
      <c r="A24" s="234" t="s">
        <v>46</v>
      </c>
      <c r="B24" s="236" t="s">
        <v>337</v>
      </c>
      <c r="C24" s="249" t="s">
        <v>21</v>
      </c>
      <c r="D24" s="142"/>
      <c r="E24" s="251"/>
    </row>
    <row r="25" spans="1:5" s="223" customFormat="1" x14ac:dyDescent="0.25">
      <c r="A25" s="234" t="s">
        <v>47</v>
      </c>
      <c r="B25" s="236" t="s">
        <v>338</v>
      </c>
      <c r="C25" s="249" t="s">
        <v>10</v>
      </c>
      <c r="D25" s="142"/>
      <c r="E25" s="251"/>
    </row>
    <row r="26" spans="1:5" s="223" customFormat="1" x14ac:dyDescent="0.25">
      <c r="A26" s="234" t="s">
        <v>48</v>
      </c>
      <c r="B26" s="236" t="s">
        <v>427</v>
      </c>
      <c r="C26" s="249" t="s">
        <v>10</v>
      </c>
      <c r="D26" s="142"/>
      <c r="E26" s="251"/>
    </row>
    <row r="27" spans="1:5" s="223" customFormat="1" x14ac:dyDescent="0.25">
      <c r="A27" s="234" t="s">
        <v>49</v>
      </c>
      <c r="B27" s="236" t="s">
        <v>428</v>
      </c>
      <c r="C27" s="249" t="s">
        <v>10</v>
      </c>
      <c r="D27" s="142"/>
      <c r="E27" s="251"/>
    </row>
    <row r="28" spans="1:5" s="223" customFormat="1" x14ac:dyDescent="0.25">
      <c r="A28" s="255" t="s">
        <v>17</v>
      </c>
      <c r="B28" s="435" t="s">
        <v>339</v>
      </c>
      <c r="C28" s="435"/>
      <c r="D28" s="435"/>
      <c r="E28" s="436"/>
    </row>
    <row r="29" spans="1:5" s="223" customFormat="1" ht="26.4" x14ac:dyDescent="0.25">
      <c r="A29" s="252" t="s">
        <v>40</v>
      </c>
      <c r="B29" s="236" t="s">
        <v>340</v>
      </c>
      <c r="C29" s="249" t="s">
        <v>26</v>
      </c>
      <c r="D29" s="142"/>
      <c r="E29" s="251"/>
    </row>
    <row r="30" spans="1:5" s="223" customFormat="1" x14ac:dyDescent="0.25">
      <c r="A30" s="252" t="s">
        <v>61</v>
      </c>
      <c r="B30" s="256" t="s">
        <v>341</v>
      </c>
      <c r="C30" s="256" t="s">
        <v>16</v>
      </c>
      <c r="D30" s="142"/>
      <c r="E30" s="251"/>
    </row>
    <row r="31" spans="1:5" s="223" customFormat="1" x14ac:dyDescent="0.25">
      <c r="A31" s="252" t="s">
        <v>71</v>
      </c>
      <c r="B31" s="256" t="s">
        <v>183</v>
      </c>
      <c r="C31" s="256" t="s">
        <v>10</v>
      </c>
      <c r="D31" s="142"/>
      <c r="E31" s="251"/>
    </row>
    <row r="32" spans="1:5" s="223" customFormat="1" x14ac:dyDescent="0.25">
      <c r="A32" s="252" t="s">
        <v>132</v>
      </c>
      <c r="B32" s="236" t="s">
        <v>342</v>
      </c>
      <c r="C32" s="249" t="s">
        <v>26</v>
      </c>
      <c r="D32" s="142"/>
      <c r="E32" s="251"/>
    </row>
    <row r="33" spans="1:5" s="223" customFormat="1" x14ac:dyDescent="0.25">
      <c r="A33" s="243" t="s">
        <v>19</v>
      </c>
      <c r="B33" s="241" t="s">
        <v>68</v>
      </c>
      <c r="C33" s="241"/>
      <c r="D33" s="241"/>
      <c r="E33" s="258"/>
    </row>
    <row r="34" spans="1:5" s="260" customFormat="1" x14ac:dyDescent="0.25">
      <c r="A34" s="234" t="s">
        <v>65</v>
      </c>
      <c r="B34" s="236" t="s">
        <v>344</v>
      </c>
      <c r="C34" s="237" t="s">
        <v>21</v>
      </c>
      <c r="D34" s="239"/>
      <c r="E34" s="235"/>
    </row>
    <row r="35" spans="1:5" s="223" customFormat="1" x14ac:dyDescent="0.25">
      <c r="A35" s="243" t="s">
        <v>22</v>
      </c>
      <c r="B35" s="241" t="s">
        <v>143</v>
      </c>
      <c r="C35" s="240"/>
      <c r="D35" s="240"/>
      <c r="E35" s="242"/>
    </row>
    <row r="36" spans="1:5" s="223" customFormat="1" x14ac:dyDescent="0.25">
      <c r="A36" s="234" t="s">
        <v>63</v>
      </c>
      <c r="B36" s="236" t="s">
        <v>144</v>
      </c>
      <c r="C36" s="237" t="s">
        <v>77</v>
      </c>
      <c r="D36" s="237"/>
      <c r="E36" s="242"/>
    </row>
    <row r="37" spans="1:5" s="223" customFormat="1" x14ac:dyDescent="0.25">
      <c r="A37" s="234" t="s">
        <v>64</v>
      </c>
      <c r="B37" s="236" t="s">
        <v>343</v>
      </c>
      <c r="C37" s="237" t="s">
        <v>16</v>
      </c>
      <c r="D37" s="237"/>
      <c r="E37" s="242"/>
    </row>
    <row r="38" spans="1:5" s="223" customFormat="1" x14ac:dyDescent="0.25">
      <c r="A38" s="234" t="s">
        <v>74</v>
      </c>
      <c r="B38" s="236" t="s">
        <v>145</v>
      </c>
      <c r="C38" s="237" t="s">
        <v>16</v>
      </c>
      <c r="D38" s="237"/>
      <c r="E38" s="242"/>
    </row>
    <row r="39" spans="1:5" s="223" customFormat="1" x14ac:dyDescent="0.25">
      <c r="A39" s="243" t="s">
        <v>101</v>
      </c>
      <c r="B39" s="438" t="s">
        <v>146</v>
      </c>
      <c r="C39" s="438"/>
      <c r="D39" s="438"/>
      <c r="E39" s="439"/>
    </row>
    <row r="40" spans="1:5" s="223" customFormat="1" x14ac:dyDescent="0.25">
      <c r="A40" s="234" t="s">
        <v>136</v>
      </c>
      <c r="B40" s="241" t="s">
        <v>147</v>
      </c>
      <c r="C40" s="237" t="s">
        <v>80</v>
      </c>
      <c r="D40" s="239"/>
      <c r="E40" s="235"/>
    </row>
    <row r="41" spans="1:5" s="223" customFormat="1" ht="39.6" x14ac:dyDescent="0.25">
      <c r="A41" s="234" t="s">
        <v>444</v>
      </c>
      <c r="B41" s="236" t="s">
        <v>148</v>
      </c>
      <c r="C41" s="244" t="s">
        <v>21</v>
      </c>
      <c r="D41" s="239"/>
      <c r="E41" s="235"/>
    </row>
    <row r="42" spans="1:5" s="223" customFormat="1" x14ac:dyDescent="0.25">
      <c r="A42" s="234" t="s">
        <v>137</v>
      </c>
      <c r="B42" s="236" t="s">
        <v>345</v>
      </c>
      <c r="C42" s="237" t="s">
        <v>21</v>
      </c>
      <c r="D42" s="239"/>
      <c r="E42" s="235"/>
    </row>
    <row r="43" spans="1:5" s="223" customFormat="1" x14ac:dyDescent="0.25">
      <c r="A43" s="260"/>
      <c r="B43" s="266"/>
      <c r="D43" s="267"/>
      <c r="E43" s="268"/>
    </row>
    <row r="44" spans="1:5" s="223" customFormat="1" x14ac:dyDescent="0.25">
      <c r="E44" s="224"/>
    </row>
    <row r="45" spans="1:5" s="223" customFormat="1" ht="15" x14ac:dyDescent="0.25">
      <c r="B45" s="446"/>
      <c r="C45" s="446"/>
      <c r="D45" s="446"/>
      <c r="E45" s="446"/>
    </row>
    <row r="46" spans="1:5" s="223" customFormat="1" x14ac:dyDescent="0.25">
      <c r="E46" s="224"/>
    </row>
    <row r="47" spans="1:5" s="223" customFormat="1" x14ac:dyDescent="0.25">
      <c r="D47" s="269"/>
      <c r="E47" s="270"/>
    </row>
    <row r="48" spans="1:5" s="223" customFormat="1" x14ac:dyDescent="0.25">
      <c r="D48" s="269"/>
      <c r="E48" s="270"/>
    </row>
    <row r="49" spans="4:5" s="223" customFormat="1" x14ac:dyDescent="0.25">
      <c r="D49" s="271"/>
      <c r="E49" s="270"/>
    </row>
    <row r="50" spans="4:5" s="223" customFormat="1" x14ac:dyDescent="0.25">
      <c r="E50" s="224"/>
    </row>
    <row r="51" spans="4:5" s="223" customFormat="1" x14ac:dyDescent="0.25">
      <c r="E51" s="224"/>
    </row>
    <row r="52" spans="4:5" s="223" customFormat="1" x14ac:dyDescent="0.25">
      <c r="E52" s="224"/>
    </row>
    <row r="53" spans="4:5" s="223" customFormat="1" x14ac:dyDescent="0.25">
      <c r="E53" s="224"/>
    </row>
    <row r="54" spans="4:5" s="223" customFormat="1" x14ac:dyDescent="0.25">
      <c r="E54" s="224"/>
    </row>
    <row r="55" spans="4:5" s="223" customFormat="1" x14ac:dyDescent="0.25">
      <c r="E55" s="224"/>
    </row>
    <row r="56" spans="4:5" s="223" customFormat="1" x14ac:dyDescent="0.25">
      <c r="E56" s="224"/>
    </row>
    <row r="57" spans="4:5" s="223" customFormat="1" x14ac:dyDescent="0.25">
      <c r="E57" s="224"/>
    </row>
    <row r="58" spans="4:5" s="223" customFormat="1" x14ac:dyDescent="0.25">
      <c r="E58" s="224"/>
    </row>
    <row r="59" spans="4:5" s="223" customFormat="1" x14ac:dyDescent="0.25">
      <c r="E59" s="224"/>
    </row>
    <row r="60" spans="4:5" s="223" customFormat="1" x14ac:dyDescent="0.25">
      <c r="E60" s="224"/>
    </row>
    <row r="61" spans="4:5" s="223" customFormat="1" x14ac:dyDescent="0.25">
      <c r="E61" s="224"/>
    </row>
    <row r="62" spans="4:5" s="223" customFormat="1" x14ac:dyDescent="0.25">
      <c r="E62" s="224"/>
    </row>
    <row r="63" spans="4:5" s="223" customFormat="1" x14ac:dyDescent="0.25">
      <c r="E63" s="224"/>
    </row>
    <row r="64" spans="4:5" s="223" customFormat="1" x14ac:dyDescent="0.25">
      <c r="E64" s="224"/>
    </row>
    <row r="65" spans="5:5" s="223" customFormat="1" x14ac:dyDescent="0.25">
      <c r="E65" s="224"/>
    </row>
    <row r="66" spans="5:5" s="223" customFormat="1" x14ac:dyDescent="0.25">
      <c r="E66" s="224"/>
    </row>
    <row r="67" spans="5:5" s="223" customFormat="1" x14ac:dyDescent="0.25">
      <c r="E67" s="224"/>
    </row>
    <row r="68" spans="5:5" s="223" customFormat="1" x14ac:dyDescent="0.25">
      <c r="E68" s="224"/>
    </row>
    <row r="69" spans="5:5" s="223" customFormat="1" x14ac:dyDescent="0.25">
      <c r="E69" s="224"/>
    </row>
    <row r="70" spans="5:5" s="223" customFormat="1" x14ac:dyDescent="0.25">
      <c r="E70" s="224"/>
    </row>
    <row r="71" spans="5:5" s="223" customFormat="1" x14ac:dyDescent="0.25">
      <c r="E71" s="224"/>
    </row>
    <row r="72" spans="5:5" s="223" customFormat="1" x14ac:dyDescent="0.25">
      <c r="E72" s="224"/>
    </row>
    <row r="73" spans="5:5" s="223" customFormat="1" x14ac:dyDescent="0.25">
      <c r="E73" s="224"/>
    </row>
    <row r="74" spans="5:5" s="223" customFormat="1" x14ac:dyDescent="0.25">
      <c r="E74" s="224"/>
    </row>
    <row r="75" spans="5:5" s="223" customFormat="1" x14ac:dyDescent="0.25">
      <c r="E75" s="224"/>
    </row>
    <row r="76" spans="5:5" s="223" customFormat="1" x14ac:dyDescent="0.25">
      <c r="E76" s="224"/>
    </row>
    <row r="77" spans="5:5" s="223" customFormat="1" x14ac:dyDescent="0.25">
      <c r="E77" s="224"/>
    </row>
    <row r="78" spans="5:5" s="223" customFormat="1" x14ac:dyDescent="0.25">
      <c r="E78" s="224"/>
    </row>
    <row r="79" spans="5:5" s="223" customFormat="1" x14ac:dyDescent="0.25">
      <c r="E79" s="224"/>
    </row>
    <row r="80" spans="5:5" s="223" customFormat="1" x14ac:dyDescent="0.25">
      <c r="E80" s="224"/>
    </row>
    <row r="81" spans="5:5" s="223" customFormat="1" x14ac:dyDescent="0.25">
      <c r="E81" s="224"/>
    </row>
    <row r="82" spans="5:5" s="223" customFormat="1" x14ac:dyDescent="0.25">
      <c r="E82" s="224"/>
    </row>
    <row r="83" spans="5:5" s="223" customFormat="1" x14ac:dyDescent="0.25">
      <c r="E83" s="224"/>
    </row>
    <row r="84" spans="5:5" s="223" customFormat="1" x14ac:dyDescent="0.25">
      <c r="E84" s="224"/>
    </row>
    <row r="85" spans="5:5" s="223" customFormat="1" x14ac:dyDescent="0.25">
      <c r="E85" s="224"/>
    </row>
    <row r="86" spans="5:5" s="223" customFormat="1" x14ac:dyDescent="0.25">
      <c r="E86" s="224"/>
    </row>
    <row r="87" spans="5:5" s="223" customFormat="1" x14ac:dyDescent="0.25">
      <c r="E87" s="224"/>
    </row>
    <row r="88" spans="5:5" s="223" customFormat="1" x14ac:dyDescent="0.25">
      <c r="E88" s="224"/>
    </row>
    <row r="89" spans="5:5" s="223" customFormat="1" x14ac:dyDescent="0.25">
      <c r="E89" s="224"/>
    </row>
    <row r="90" spans="5:5" s="223" customFormat="1" x14ac:dyDescent="0.25">
      <c r="E90" s="224"/>
    </row>
    <row r="91" spans="5:5" s="223" customFormat="1" x14ac:dyDescent="0.25">
      <c r="E91" s="224"/>
    </row>
    <row r="92" spans="5:5" s="223" customFormat="1" x14ac:dyDescent="0.25">
      <c r="E92" s="224"/>
    </row>
    <row r="93" spans="5:5" s="223" customFormat="1" x14ac:dyDescent="0.25">
      <c r="E93" s="224"/>
    </row>
    <row r="94" spans="5:5" s="223" customFormat="1" x14ac:dyDescent="0.25">
      <c r="E94" s="224"/>
    </row>
    <row r="95" spans="5:5" s="223" customFormat="1" x14ac:dyDescent="0.25">
      <c r="E95" s="224"/>
    </row>
    <row r="96" spans="5:5" s="223" customFormat="1" x14ac:dyDescent="0.25">
      <c r="E96" s="224"/>
    </row>
    <row r="97" spans="5:5" s="223" customFormat="1" x14ac:dyDescent="0.25">
      <c r="E97" s="224"/>
    </row>
    <row r="98" spans="5:5" s="223" customFormat="1" x14ac:dyDescent="0.25">
      <c r="E98" s="224"/>
    </row>
    <row r="99" spans="5:5" s="223" customFormat="1" x14ac:dyDescent="0.25">
      <c r="E99" s="224"/>
    </row>
    <row r="100" spans="5:5" s="223" customFormat="1" x14ac:dyDescent="0.25">
      <c r="E100" s="224"/>
    </row>
    <row r="101" spans="5:5" s="223" customFormat="1" x14ac:dyDescent="0.25">
      <c r="E101" s="224"/>
    </row>
    <row r="102" spans="5:5" s="223" customFormat="1" x14ac:dyDescent="0.25">
      <c r="E102" s="224"/>
    </row>
    <row r="103" spans="5:5" s="223" customFormat="1" x14ac:dyDescent="0.25">
      <c r="E103" s="224"/>
    </row>
    <row r="104" spans="5:5" s="223" customFormat="1" x14ac:dyDescent="0.25">
      <c r="E104" s="224"/>
    </row>
    <row r="105" spans="5:5" s="223" customFormat="1" x14ac:dyDescent="0.25">
      <c r="E105" s="224"/>
    </row>
    <row r="106" spans="5:5" s="223" customFormat="1" x14ac:dyDescent="0.25">
      <c r="E106" s="224"/>
    </row>
    <row r="107" spans="5:5" s="223" customFormat="1" x14ac:dyDescent="0.25">
      <c r="E107" s="224"/>
    </row>
    <row r="108" spans="5:5" s="223" customFormat="1" x14ac:dyDescent="0.25">
      <c r="E108" s="224"/>
    </row>
    <row r="109" spans="5:5" s="223" customFormat="1" x14ac:dyDescent="0.25">
      <c r="E109" s="224"/>
    </row>
    <row r="110" spans="5:5" s="223" customFormat="1" x14ac:dyDescent="0.25">
      <c r="E110" s="224"/>
    </row>
    <row r="111" spans="5:5" s="223" customFormat="1" x14ac:dyDescent="0.25">
      <c r="E111" s="224"/>
    </row>
    <row r="112" spans="5:5" s="223" customFormat="1" x14ac:dyDescent="0.25">
      <c r="E112" s="224"/>
    </row>
    <row r="113" spans="5:5" s="223" customFormat="1" x14ac:dyDescent="0.25">
      <c r="E113" s="224"/>
    </row>
    <row r="114" spans="5:5" s="223" customFormat="1" x14ac:dyDescent="0.25">
      <c r="E114" s="224"/>
    </row>
    <row r="115" spans="5:5" s="223" customFormat="1" x14ac:dyDescent="0.25">
      <c r="E115" s="224"/>
    </row>
    <row r="116" spans="5:5" s="223" customFormat="1" x14ac:dyDescent="0.25">
      <c r="E116" s="224"/>
    </row>
    <row r="117" spans="5:5" s="223" customFormat="1" x14ac:dyDescent="0.25">
      <c r="E117" s="224"/>
    </row>
    <row r="118" spans="5:5" s="223" customFormat="1" x14ac:dyDescent="0.25">
      <c r="E118" s="224"/>
    </row>
    <row r="119" spans="5:5" s="223" customFormat="1" x14ac:dyDescent="0.25">
      <c r="E119" s="224"/>
    </row>
    <row r="120" spans="5:5" s="223" customFormat="1" x14ac:dyDescent="0.25">
      <c r="E120" s="224"/>
    </row>
    <row r="121" spans="5:5" s="223" customFormat="1" x14ac:dyDescent="0.25">
      <c r="E121" s="224"/>
    </row>
    <row r="122" spans="5:5" s="223" customFormat="1" x14ac:dyDescent="0.25">
      <c r="E122" s="224"/>
    </row>
    <row r="123" spans="5:5" s="223" customFormat="1" x14ac:dyDescent="0.25">
      <c r="E123" s="224"/>
    </row>
    <row r="124" spans="5:5" s="223" customFormat="1" x14ac:dyDescent="0.25">
      <c r="E124" s="224"/>
    </row>
    <row r="125" spans="5:5" s="223" customFormat="1" x14ac:dyDescent="0.25">
      <c r="E125" s="224"/>
    </row>
    <row r="126" spans="5:5" s="223" customFormat="1" x14ac:dyDescent="0.25">
      <c r="E126" s="224"/>
    </row>
    <row r="127" spans="5:5" s="223" customFormat="1" x14ac:dyDescent="0.25">
      <c r="E127" s="224"/>
    </row>
    <row r="128" spans="5:5" s="223" customFormat="1" x14ac:dyDescent="0.25">
      <c r="E128" s="224"/>
    </row>
    <row r="129" spans="5:5" s="223" customFormat="1" x14ac:dyDescent="0.25">
      <c r="E129" s="224"/>
    </row>
    <row r="130" spans="5:5" s="223" customFormat="1" x14ac:dyDescent="0.25">
      <c r="E130" s="224"/>
    </row>
    <row r="131" spans="5:5" s="223" customFormat="1" x14ac:dyDescent="0.25">
      <c r="E131" s="224"/>
    </row>
    <row r="132" spans="5:5" s="223" customFormat="1" x14ac:dyDescent="0.25">
      <c r="E132" s="224"/>
    </row>
    <row r="133" spans="5:5" s="223" customFormat="1" x14ac:dyDescent="0.25">
      <c r="E133" s="224"/>
    </row>
    <row r="134" spans="5:5" s="223" customFormat="1" x14ac:dyDescent="0.25">
      <c r="E134" s="224"/>
    </row>
    <row r="135" spans="5:5" s="223" customFormat="1" x14ac:dyDescent="0.25">
      <c r="E135" s="224"/>
    </row>
    <row r="136" spans="5:5" s="223" customFormat="1" x14ac:dyDescent="0.25">
      <c r="E136" s="224"/>
    </row>
    <row r="137" spans="5:5" s="223" customFormat="1" x14ac:dyDescent="0.25">
      <c r="E137" s="224"/>
    </row>
    <row r="138" spans="5:5" s="223" customFormat="1" x14ac:dyDescent="0.25">
      <c r="E138" s="224"/>
    </row>
    <row r="139" spans="5:5" s="223" customFormat="1" x14ac:dyDescent="0.25">
      <c r="E139" s="224"/>
    </row>
    <row r="140" spans="5:5" s="223" customFormat="1" x14ac:dyDescent="0.25">
      <c r="E140" s="224"/>
    </row>
    <row r="141" spans="5:5" s="223" customFormat="1" x14ac:dyDescent="0.25">
      <c r="E141" s="224"/>
    </row>
    <row r="142" spans="5:5" s="223" customFormat="1" x14ac:dyDescent="0.25">
      <c r="E142" s="224"/>
    </row>
    <row r="143" spans="5:5" s="223" customFormat="1" x14ac:dyDescent="0.25">
      <c r="E143" s="224"/>
    </row>
    <row r="144" spans="5:5" s="223" customFormat="1" x14ac:dyDescent="0.25">
      <c r="E144" s="224"/>
    </row>
    <row r="145" spans="5:5" s="223" customFormat="1" x14ac:dyDescent="0.25">
      <c r="E145" s="224"/>
    </row>
    <row r="146" spans="5:5" s="223" customFormat="1" x14ac:dyDescent="0.25">
      <c r="E146" s="224"/>
    </row>
    <row r="147" spans="5:5" s="223" customFormat="1" x14ac:dyDescent="0.25">
      <c r="E147" s="224"/>
    </row>
    <row r="148" spans="5:5" s="223" customFormat="1" x14ac:dyDescent="0.25">
      <c r="E148" s="224"/>
    </row>
    <row r="149" spans="5:5" s="223" customFormat="1" x14ac:dyDescent="0.25">
      <c r="E149" s="224"/>
    </row>
    <row r="150" spans="5:5" s="223" customFormat="1" x14ac:dyDescent="0.25">
      <c r="E150" s="224"/>
    </row>
    <row r="151" spans="5:5" s="223" customFormat="1" x14ac:dyDescent="0.25">
      <c r="E151" s="224"/>
    </row>
    <row r="152" spans="5:5" s="223" customFormat="1" x14ac:dyDescent="0.25">
      <c r="E152" s="224"/>
    </row>
    <row r="153" spans="5:5" s="223" customFormat="1" x14ac:dyDescent="0.25">
      <c r="E153" s="224"/>
    </row>
    <row r="154" spans="5:5" s="223" customFormat="1" x14ac:dyDescent="0.25">
      <c r="E154" s="224"/>
    </row>
    <row r="155" spans="5:5" s="223" customFormat="1" x14ac:dyDescent="0.25">
      <c r="E155" s="224"/>
    </row>
    <row r="156" spans="5:5" s="223" customFormat="1" x14ac:dyDescent="0.25">
      <c r="E156" s="224"/>
    </row>
    <row r="157" spans="5:5" s="223" customFormat="1" x14ac:dyDescent="0.25">
      <c r="E157" s="224"/>
    </row>
    <row r="158" spans="5:5" s="223" customFormat="1" x14ac:dyDescent="0.25">
      <c r="E158" s="224"/>
    </row>
    <row r="159" spans="5:5" s="223" customFormat="1" x14ac:dyDescent="0.25">
      <c r="E159" s="224"/>
    </row>
    <row r="160" spans="5:5" s="223" customFormat="1" x14ac:dyDescent="0.25">
      <c r="E160" s="224"/>
    </row>
    <row r="161" spans="5:5" s="223" customFormat="1" x14ac:dyDescent="0.25">
      <c r="E161" s="224"/>
    </row>
    <row r="162" spans="5:5" s="223" customFormat="1" x14ac:dyDescent="0.25">
      <c r="E162" s="224"/>
    </row>
    <row r="163" spans="5:5" s="223" customFormat="1" x14ac:dyDescent="0.25">
      <c r="E163" s="224"/>
    </row>
    <row r="164" spans="5:5" s="223" customFormat="1" x14ac:dyDescent="0.25">
      <c r="E164" s="224"/>
    </row>
    <row r="165" spans="5:5" s="223" customFormat="1" x14ac:dyDescent="0.25">
      <c r="E165" s="224"/>
    </row>
    <row r="166" spans="5:5" s="223" customFormat="1" x14ac:dyDescent="0.25">
      <c r="E166" s="224"/>
    </row>
    <row r="167" spans="5:5" s="223" customFormat="1" x14ac:dyDescent="0.25">
      <c r="E167" s="224"/>
    </row>
    <row r="168" spans="5:5" s="223" customFormat="1" x14ac:dyDescent="0.25">
      <c r="E168" s="224"/>
    </row>
    <row r="169" spans="5:5" s="223" customFormat="1" x14ac:dyDescent="0.25">
      <c r="E169" s="224"/>
    </row>
    <row r="170" spans="5:5" s="223" customFormat="1" x14ac:dyDescent="0.25">
      <c r="E170" s="224"/>
    </row>
    <row r="171" spans="5:5" s="223" customFormat="1" x14ac:dyDescent="0.25">
      <c r="E171" s="224"/>
    </row>
    <row r="172" spans="5:5" s="223" customFormat="1" x14ac:dyDescent="0.25">
      <c r="E172" s="224"/>
    </row>
    <row r="173" spans="5:5" s="223" customFormat="1" x14ac:dyDescent="0.25">
      <c r="E173" s="224"/>
    </row>
    <row r="174" spans="5:5" s="223" customFormat="1" x14ac:dyDescent="0.25">
      <c r="E174" s="224"/>
    </row>
    <row r="175" spans="5:5" s="223" customFormat="1" x14ac:dyDescent="0.25">
      <c r="E175" s="224"/>
    </row>
    <row r="176" spans="5:5" s="223" customFormat="1" x14ac:dyDescent="0.25">
      <c r="E176" s="224"/>
    </row>
    <row r="177" spans="5:5" s="223" customFormat="1" x14ac:dyDescent="0.25">
      <c r="E177" s="224"/>
    </row>
    <row r="178" spans="5:5" s="223" customFormat="1" x14ac:dyDescent="0.25">
      <c r="E178" s="224"/>
    </row>
    <row r="179" spans="5:5" s="223" customFormat="1" x14ac:dyDescent="0.25">
      <c r="E179" s="224"/>
    </row>
    <row r="180" spans="5:5" s="223" customFormat="1" x14ac:dyDescent="0.25">
      <c r="E180" s="224"/>
    </row>
    <row r="181" spans="5:5" s="223" customFormat="1" x14ac:dyDescent="0.25">
      <c r="E181" s="224"/>
    </row>
    <row r="182" spans="5:5" s="223" customFormat="1" x14ac:dyDescent="0.25">
      <c r="E182" s="224"/>
    </row>
    <row r="183" spans="5:5" s="223" customFormat="1" x14ac:dyDescent="0.25">
      <c r="E183" s="224"/>
    </row>
    <row r="184" spans="5:5" s="223" customFormat="1" x14ac:dyDescent="0.25">
      <c r="E184" s="224"/>
    </row>
    <row r="185" spans="5:5" s="223" customFormat="1" x14ac:dyDescent="0.25">
      <c r="E185" s="224"/>
    </row>
    <row r="186" spans="5:5" s="223" customFormat="1" x14ac:dyDescent="0.25">
      <c r="E186" s="224"/>
    </row>
    <row r="187" spans="5:5" s="223" customFormat="1" x14ac:dyDescent="0.25">
      <c r="E187" s="224"/>
    </row>
    <row r="188" spans="5:5" s="223" customFormat="1" x14ac:dyDescent="0.25">
      <c r="E188" s="224"/>
    </row>
    <row r="189" spans="5:5" s="223" customFormat="1" x14ac:dyDescent="0.25">
      <c r="E189" s="224"/>
    </row>
    <row r="190" spans="5:5" s="223" customFormat="1" x14ac:dyDescent="0.25">
      <c r="E190" s="224"/>
    </row>
    <row r="191" spans="5:5" s="223" customFormat="1" x14ac:dyDescent="0.25">
      <c r="E191" s="224"/>
    </row>
    <row r="192" spans="5:5" s="223" customFormat="1" x14ac:dyDescent="0.25">
      <c r="E192" s="224"/>
    </row>
    <row r="193" spans="5:5" s="223" customFormat="1" x14ac:dyDescent="0.25">
      <c r="E193" s="224"/>
    </row>
    <row r="194" spans="5:5" s="223" customFormat="1" x14ac:dyDescent="0.25">
      <c r="E194" s="224"/>
    </row>
    <row r="195" spans="5:5" s="223" customFormat="1" x14ac:dyDescent="0.25">
      <c r="E195" s="224"/>
    </row>
    <row r="196" spans="5:5" s="223" customFormat="1" x14ac:dyDescent="0.25">
      <c r="E196" s="224"/>
    </row>
    <row r="197" spans="5:5" s="223" customFormat="1" x14ac:dyDescent="0.25">
      <c r="E197" s="224"/>
    </row>
    <row r="198" spans="5:5" s="223" customFormat="1" x14ac:dyDescent="0.25">
      <c r="E198" s="224"/>
    </row>
    <row r="199" spans="5:5" s="223" customFormat="1" x14ac:dyDescent="0.25">
      <c r="E199" s="224"/>
    </row>
    <row r="200" spans="5:5" s="223" customFormat="1" x14ac:dyDescent="0.25">
      <c r="E200" s="224"/>
    </row>
    <row r="201" spans="5:5" s="223" customFormat="1" x14ac:dyDescent="0.25">
      <c r="E201" s="224"/>
    </row>
    <row r="202" spans="5:5" s="223" customFormat="1" x14ac:dyDescent="0.25">
      <c r="E202" s="224"/>
    </row>
    <row r="203" spans="5:5" s="223" customFormat="1" x14ac:dyDescent="0.25">
      <c r="E203" s="224"/>
    </row>
    <row r="204" spans="5:5" s="223" customFormat="1" x14ac:dyDescent="0.25">
      <c r="E204" s="224"/>
    </row>
    <row r="205" spans="5:5" s="223" customFormat="1" x14ac:dyDescent="0.25">
      <c r="E205" s="224"/>
    </row>
    <row r="206" spans="5:5" s="223" customFormat="1" x14ac:dyDescent="0.25">
      <c r="E206" s="224"/>
    </row>
    <row r="207" spans="5:5" s="223" customFormat="1" x14ac:dyDescent="0.25">
      <c r="E207" s="224"/>
    </row>
    <row r="208" spans="5:5" s="223" customFormat="1" x14ac:dyDescent="0.25">
      <c r="E208" s="224"/>
    </row>
    <row r="209" spans="5:5" s="223" customFormat="1" x14ac:dyDescent="0.25">
      <c r="E209" s="224"/>
    </row>
    <row r="210" spans="5:5" s="223" customFormat="1" x14ac:dyDescent="0.25">
      <c r="E210" s="224"/>
    </row>
    <row r="211" spans="5:5" s="223" customFormat="1" x14ac:dyDescent="0.25">
      <c r="E211" s="224"/>
    </row>
    <row r="212" spans="5:5" s="223" customFormat="1" x14ac:dyDescent="0.25">
      <c r="E212" s="224"/>
    </row>
    <row r="213" spans="5:5" s="223" customFormat="1" x14ac:dyDescent="0.25">
      <c r="E213" s="224"/>
    </row>
    <row r="214" spans="5:5" s="223" customFormat="1" x14ac:dyDescent="0.25">
      <c r="E214" s="224"/>
    </row>
    <row r="215" spans="5:5" s="223" customFormat="1" x14ac:dyDescent="0.25">
      <c r="E215" s="224"/>
    </row>
    <row r="216" spans="5:5" s="223" customFormat="1" x14ac:dyDescent="0.25">
      <c r="E216" s="224"/>
    </row>
    <row r="217" spans="5:5" s="223" customFormat="1" x14ac:dyDescent="0.25">
      <c r="E217" s="224"/>
    </row>
    <row r="218" spans="5:5" s="223" customFormat="1" x14ac:dyDescent="0.25">
      <c r="E218" s="224"/>
    </row>
    <row r="219" spans="5:5" s="223" customFormat="1" x14ac:dyDescent="0.25">
      <c r="E219" s="224"/>
    </row>
    <row r="220" spans="5:5" s="223" customFormat="1" x14ac:dyDescent="0.25">
      <c r="E220" s="224"/>
    </row>
    <row r="221" spans="5:5" s="223" customFormat="1" x14ac:dyDescent="0.25">
      <c r="E221" s="224"/>
    </row>
    <row r="222" spans="5:5" s="223" customFormat="1" x14ac:dyDescent="0.25">
      <c r="E222" s="224"/>
    </row>
    <row r="223" spans="5:5" s="223" customFormat="1" x14ac:dyDescent="0.25">
      <c r="E223" s="224"/>
    </row>
    <row r="224" spans="5:5" s="223" customFormat="1" x14ac:dyDescent="0.25">
      <c r="E224" s="224"/>
    </row>
    <row r="225" spans="5:5" s="223" customFormat="1" x14ac:dyDescent="0.25">
      <c r="E225" s="224"/>
    </row>
    <row r="226" spans="5:5" s="223" customFormat="1" x14ac:dyDescent="0.25">
      <c r="E226" s="224"/>
    </row>
    <row r="227" spans="5:5" s="223" customFormat="1" x14ac:dyDescent="0.25">
      <c r="E227" s="224"/>
    </row>
    <row r="228" spans="5:5" s="223" customFormat="1" x14ac:dyDescent="0.25">
      <c r="E228" s="224"/>
    </row>
    <row r="229" spans="5:5" s="223" customFormat="1" x14ac:dyDescent="0.25">
      <c r="E229" s="224"/>
    </row>
    <row r="230" spans="5:5" s="223" customFormat="1" x14ac:dyDescent="0.25">
      <c r="E230" s="224"/>
    </row>
    <row r="231" spans="5:5" s="223" customFormat="1" x14ac:dyDescent="0.25">
      <c r="E231" s="224"/>
    </row>
    <row r="232" spans="5:5" s="223" customFormat="1" x14ac:dyDescent="0.25">
      <c r="E232" s="224"/>
    </row>
    <row r="233" spans="5:5" s="223" customFormat="1" x14ac:dyDescent="0.25">
      <c r="E233" s="224"/>
    </row>
    <row r="234" spans="5:5" s="223" customFormat="1" x14ac:dyDescent="0.25">
      <c r="E234" s="224"/>
    </row>
    <row r="235" spans="5:5" s="223" customFormat="1" x14ac:dyDescent="0.25">
      <c r="E235" s="224"/>
    </row>
    <row r="236" spans="5:5" s="223" customFormat="1" x14ac:dyDescent="0.25">
      <c r="E236" s="224"/>
    </row>
    <row r="237" spans="5:5" s="223" customFormat="1" x14ac:dyDescent="0.25">
      <c r="E237" s="224"/>
    </row>
    <row r="238" spans="5:5" s="223" customFormat="1" x14ac:dyDescent="0.25">
      <c r="E238" s="224"/>
    </row>
    <row r="239" spans="5:5" s="223" customFormat="1" x14ac:dyDescent="0.25">
      <c r="E239" s="224"/>
    </row>
    <row r="240" spans="5:5" s="223" customFormat="1" x14ac:dyDescent="0.25">
      <c r="E240" s="224"/>
    </row>
    <row r="241" spans="5:5" s="223" customFormat="1" x14ac:dyDescent="0.25">
      <c r="E241" s="224"/>
    </row>
    <row r="242" spans="5:5" s="223" customFormat="1" x14ac:dyDescent="0.25">
      <c r="E242" s="224"/>
    </row>
    <row r="243" spans="5:5" s="223" customFormat="1" x14ac:dyDescent="0.25">
      <c r="E243" s="224"/>
    </row>
    <row r="244" spans="5:5" s="223" customFormat="1" x14ac:dyDescent="0.25">
      <c r="E244" s="224"/>
    </row>
    <row r="245" spans="5:5" s="223" customFormat="1" x14ac:dyDescent="0.25">
      <c r="E245" s="224"/>
    </row>
    <row r="246" spans="5:5" s="223" customFormat="1" x14ac:dyDescent="0.25">
      <c r="E246" s="224"/>
    </row>
    <row r="247" spans="5:5" s="223" customFormat="1" x14ac:dyDescent="0.25">
      <c r="E247" s="224"/>
    </row>
    <row r="248" spans="5:5" s="223" customFormat="1" x14ac:dyDescent="0.25">
      <c r="E248" s="224"/>
    </row>
    <row r="249" spans="5:5" s="223" customFormat="1" x14ac:dyDescent="0.25">
      <c r="E249" s="224"/>
    </row>
    <row r="250" spans="5:5" s="223" customFormat="1" x14ac:dyDescent="0.25">
      <c r="E250" s="224"/>
    </row>
    <row r="251" spans="5:5" s="223" customFormat="1" x14ac:dyDescent="0.25">
      <c r="E251" s="224"/>
    </row>
    <row r="252" spans="5:5" s="223" customFormat="1" x14ac:dyDescent="0.25">
      <c r="E252" s="224"/>
    </row>
    <row r="253" spans="5:5" s="223" customFormat="1" x14ac:dyDescent="0.25">
      <c r="E253" s="224"/>
    </row>
    <row r="254" spans="5:5" s="223" customFormat="1" x14ac:dyDescent="0.25">
      <c r="E254" s="224"/>
    </row>
    <row r="255" spans="5:5" s="223" customFormat="1" x14ac:dyDescent="0.25">
      <c r="E255" s="224"/>
    </row>
    <row r="256" spans="5:5" s="223" customFormat="1" x14ac:dyDescent="0.25">
      <c r="E256" s="224"/>
    </row>
    <row r="257" spans="5:5" s="223" customFormat="1" x14ac:dyDescent="0.25">
      <c r="E257" s="224"/>
    </row>
    <row r="258" spans="5:5" s="223" customFormat="1" x14ac:dyDescent="0.25">
      <c r="E258" s="224"/>
    </row>
    <row r="259" spans="5:5" s="223" customFormat="1" x14ac:dyDescent="0.25">
      <c r="E259" s="224"/>
    </row>
    <row r="260" spans="5:5" s="223" customFormat="1" x14ac:dyDescent="0.25">
      <c r="E260" s="224"/>
    </row>
    <row r="261" spans="5:5" s="223" customFormat="1" x14ac:dyDescent="0.25">
      <c r="E261" s="224"/>
    </row>
    <row r="262" spans="5:5" s="223" customFormat="1" x14ac:dyDescent="0.25">
      <c r="E262" s="224"/>
    </row>
    <row r="263" spans="5:5" s="223" customFormat="1" x14ac:dyDescent="0.25">
      <c r="E263" s="224"/>
    </row>
    <row r="264" spans="5:5" s="223" customFormat="1" x14ac:dyDescent="0.25">
      <c r="E264" s="224"/>
    </row>
    <row r="265" spans="5:5" s="223" customFormat="1" x14ac:dyDescent="0.25">
      <c r="E265" s="224"/>
    </row>
    <row r="266" spans="5:5" s="223" customFormat="1" x14ac:dyDescent="0.25">
      <c r="E266" s="224"/>
    </row>
    <row r="267" spans="5:5" s="223" customFormat="1" x14ac:dyDescent="0.25">
      <c r="E267" s="224"/>
    </row>
    <row r="268" spans="5:5" s="223" customFormat="1" x14ac:dyDescent="0.25">
      <c r="E268" s="224"/>
    </row>
    <row r="269" spans="5:5" s="223" customFormat="1" x14ac:dyDescent="0.25">
      <c r="E269" s="224"/>
    </row>
    <row r="270" spans="5:5" s="223" customFormat="1" x14ac:dyDescent="0.25">
      <c r="E270" s="224"/>
    </row>
    <row r="271" spans="5:5" s="223" customFormat="1" x14ac:dyDescent="0.25">
      <c r="E271" s="224"/>
    </row>
    <row r="272" spans="5:5" s="223" customFormat="1" x14ac:dyDescent="0.25">
      <c r="E272" s="224"/>
    </row>
    <row r="273" spans="5:5" s="223" customFormat="1" x14ac:dyDescent="0.25">
      <c r="E273" s="224"/>
    </row>
    <row r="274" spans="5:5" s="223" customFormat="1" x14ac:dyDescent="0.25">
      <c r="E274" s="224"/>
    </row>
    <row r="275" spans="5:5" s="223" customFormat="1" x14ac:dyDescent="0.25">
      <c r="E275" s="224"/>
    </row>
    <row r="276" spans="5:5" s="223" customFormat="1" x14ac:dyDescent="0.25">
      <c r="E276" s="224"/>
    </row>
    <row r="277" spans="5:5" s="223" customFormat="1" x14ac:dyDescent="0.25">
      <c r="E277" s="224"/>
    </row>
    <row r="278" spans="5:5" s="223" customFormat="1" x14ac:dyDescent="0.25">
      <c r="E278" s="224"/>
    </row>
    <row r="279" spans="5:5" s="223" customFormat="1" x14ac:dyDescent="0.25">
      <c r="E279" s="224"/>
    </row>
    <row r="280" spans="5:5" s="223" customFormat="1" x14ac:dyDescent="0.25">
      <c r="E280" s="224"/>
    </row>
    <row r="281" spans="5:5" s="223" customFormat="1" x14ac:dyDescent="0.25">
      <c r="E281" s="224"/>
    </row>
    <row r="282" spans="5:5" s="223" customFormat="1" x14ac:dyDescent="0.25">
      <c r="E282" s="224"/>
    </row>
    <row r="283" spans="5:5" s="223" customFormat="1" x14ac:dyDescent="0.25">
      <c r="E283" s="224"/>
    </row>
    <row r="284" spans="5:5" s="223" customFormat="1" x14ac:dyDescent="0.25">
      <c r="E284" s="224"/>
    </row>
    <row r="285" spans="5:5" s="223" customFormat="1" x14ac:dyDescent="0.25">
      <c r="E285" s="224"/>
    </row>
    <row r="286" spans="5:5" s="223" customFormat="1" x14ac:dyDescent="0.25">
      <c r="E286" s="224"/>
    </row>
    <row r="287" spans="5:5" s="223" customFormat="1" x14ac:dyDescent="0.25">
      <c r="E287" s="224"/>
    </row>
    <row r="288" spans="5:5" s="223" customFormat="1" x14ac:dyDescent="0.25">
      <c r="E288" s="224"/>
    </row>
    <row r="289" spans="5:5" s="223" customFormat="1" x14ac:dyDescent="0.25">
      <c r="E289" s="224"/>
    </row>
    <row r="290" spans="5:5" s="223" customFormat="1" x14ac:dyDescent="0.25">
      <c r="E290" s="224"/>
    </row>
    <row r="291" spans="5:5" s="223" customFormat="1" x14ac:dyDescent="0.25">
      <c r="E291" s="224"/>
    </row>
    <row r="292" spans="5:5" s="223" customFormat="1" x14ac:dyDescent="0.25">
      <c r="E292" s="224"/>
    </row>
    <row r="293" spans="5:5" s="223" customFormat="1" x14ac:dyDescent="0.25">
      <c r="E293" s="224"/>
    </row>
    <row r="294" spans="5:5" s="223" customFormat="1" x14ac:dyDescent="0.25">
      <c r="E294" s="224"/>
    </row>
    <row r="295" spans="5:5" s="223" customFormat="1" x14ac:dyDescent="0.25">
      <c r="E295" s="224"/>
    </row>
    <row r="296" spans="5:5" s="223" customFormat="1" x14ac:dyDescent="0.25">
      <c r="E296" s="224"/>
    </row>
    <row r="297" spans="5:5" s="223" customFormat="1" x14ac:dyDescent="0.25">
      <c r="E297" s="224"/>
    </row>
    <row r="298" spans="5:5" s="223" customFormat="1" x14ac:dyDescent="0.25">
      <c r="E298" s="224"/>
    </row>
    <row r="299" spans="5:5" s="223" customFormat="1" x14ac:dyDescent="0.25">
      <c r="E299" s="224"/>
    </row>
    <row r="300" spans="5:5" s="223" customFormat="1" x14ac:dyDescent="0.25">
      <c r="E300" s="224"/>
    </row>
    <row r="301" spans="5:5" s="223" customFormat="1" x14ac:dyDescent="0.25">
      <c r="E301" s="224"/>
    </row>
    <row r="302" spans="5:5" s="223" customFormat="1" x14ac:dyDescent="0.25">
      <c r="E302" s="224"/>
    </row>
    <row r="303" spans="5:5" s="223" customFormat="1" x14ac:dyDescent="0.25">
      <c r="E303" s="224"/>
    </row>
    <row r="304" spans="5:5" s="223" customFormat="1" x14ac:dyDescent="0.25">
      <c r="E304" s="224"/>
    </row>
    <row r="305" spans="5:5" s="223" customFormat="1" x14ac:dyDescent="0.25">
      <c r="E305" s="224"/>
    </row>
    <row r="306" spans="5:5" s="223" customFormat="1" x14ac:dyDescent="0.25">
      <c r="E306" s="224"/>
    </row>
    <row r="307" spans="5:5" s="223" customFormat="1" x14ac:dyDescent="0.25">
      <c r="E307" s="224"/>
    </row>
    <row r="308" spans="5:5" s="223" customFormat="1" x14ac:dyDescent="0.25">
      <c r="E308" s="224"/>
    </row>
    <row r="309" spans="5:5" s="223" customFormat="1" x14ac:dyDescent="0.25">
      <c r="E309" s="224"/>
    </row>
    <row r="310" spans="5:5" s="223" customFormat="1" x14ac:dyDescent="0.25">
      <c r="E310" s="224"/>
    </row>
    <row r="311" spans="5:5" s="223" customFormat="1" x14ac:dyDescent="0.25">
      <c r="E311" s="224"/>
    </row>
    <row r="312" spans="5:5" s="223" customFormat="1" x14ac:dyDescent="0.25">
      <c r="E312" s="224"/>
    </row>
    <row r="313" spans="5:5" s="223" customFormat="1" x14ac:dyDescent="0.25">
      <c r="E313" s="224"/>
    </row>
    <row r="314" spans="5:5" s="223" customFormat="1" x14ac:dyDescent="0.25">
      <c r="E314" s="224"/>
    </row>
    <row r="315" spans="5:5" s="223" customFormat="1" x14ac:dyDescent="0.25">
      <c r="E315" s="224"/>
    </row>
    <row r="316" spans="5:5" s="223" customFormat="1" x14ac:dyDescent="0.25">
      <c r="E316" s="224"/>
    </row>
    <row r="317" spans="5:5" s="223" customFormat="1" x14ac:dyDescent="0.25">
      <c r="E317" s="224"/>
    </row>
    <row r="318" spans="5:5" s="223" customFormat="1" x14ac:dyDescent="0.25">
      <c r="E318" s="224"/>
    </row>
    <row r="319" spans="5:5" s="223" customFormat="1" x14ac:dyDescent="0.25">
      <c r="E319" s="224"/>
    </row>
    <row r="320" spans="5:5" s="223" customFormat="1" x14ac:dyDescent="0.25">
      <c r="E320" s="224"/>
    </row>
    <row r="321" spans="5:5" s="223" customFormat="1" x14ac:dyDescent="0.25">
      <c r="E321" s="224"/>
    </row>
    <row r="322" spans="5:5" s="223" customFormat="1" x14ac:dyDescent="0.25">
      <c r="E322" s="224"/>
    </row>
    <row r="323" spans="5:5" s="223" customFormat="1" x14ac:dyDescent="0.25">
      <c r="E323" s="224"/>
    </row>
    <row r="324" spans="5:5" s="223" customFormat="1" x14ac:dyDescent="0.25">
      <c r="E324" s="224"/>
    </row>
    <row r="325" spans="5:5" s="223" customFormat="1" x14ac:dyDescent="0.25">
      <c r="E325" s="224"/>
    </row>
    <row r="326" spans="5:5" s="223" customFormat="1" x14ac:dyDescent="0.25">
      <c r="E326" s="224"/>
    </row>
    <row r="327" spans="5:5" s="223" customFormat="1" x14ac:dyDescent="0.25">
      <c r="E327" s="224"/>
    </row>
    <row r="328" spans="5:5" s="223" customFormat="1" x14ac:dyDescent="0.25">
      <c r="E328" s="224"/>
    </row>
    <row r="329" spans="5:5" s="223" customFormat="1" x14ac:dyDescent="0.25">
      <c r="E329" s="224"/>
    </row>
    <row r="330" spans="5:5" s="223" customFormat="1" x14ac:dyDescent="0.25">
      <c r="E330" s="224"/>
    </row>
    <row r="331" spans="5:5" s="223" customFormat="1" x14ac:dyDescent="0.25">
      <c r="E331" s="224"/>
    </row>
    <row r="332" spans="5:5" s="223" customFormat="1" x14ac:dyDescent="0.25">
      <c r="E332" s="224"/>
    </row>
    <row r="333" spans="5:5" s="223" customFormat="1" x14ac:dyDescent="0.25">
      <c r="E333" s="224"/>
    </row>
    <row r="334" spans="5:5" s="223" customFormat="1" x14ac:dyDescent="0.25">
      <c r="E334" s="224"/>
    </row>
    <row r="335" spans="5:5" s="223" customFormat="1" x14ac:dyDescent="0.25">
      <c r="E335" s="224"/>
    </row>
    <row r="336" spans="5:5" s="223" customFormat="1" x14ac:dyDescent="0.25">
      <c r="E336" s="224"/>
    </row>
    <row r="337" spans="5:5" s="223" customFormat="1" x14ac:dyDescent="0.25">
      <c r="E337" s="224"/>
    </row>
    <row r="338" spans="5:5" s="223" customFormat="1" x14ac:dyDescent="0.25">
      <c r="E338" s="224"/>
    </row>
    <row r="339" spans="5:5" s="223" customFormat="1" x14ac:dyDescent="0.25">
      <c r="E339" s="224"/>
    </row>
    <row r="340" spans="5:5" s="223" customFormat="1" x14ac:dyDescent="0.25">
      <c r="E340" s="224"/>
    </row>
    <row r="341" spans="5:5" s="223" customFormat="1" x14ac:dyDescent="0.25">
      <c r="E341" s="224"/>
    </row>
    <row r="342" spans="5:5" s="223" customFormat="1" x14ac:dyDescent="0.25">
      <c r="E342" s="224"/>
    </row>
    <row r="343" spans="5:5" s="223" customFormat="1" x14ac:dyDescent="0.25">
      <c r="E343" s="224"/>
    </row>
    <row r="344" spans="5:5" s="223" customFormat="1" x14ac:dyDescent="0.25">
      <c r="E344" s="224"/>
    </row>
    <row r="345" spans="5:5" s="223" customFormat="1" x14ac:dyDescent="0.25">
      <c r="E345" s="224"/>
    </row>
    <row r="346" spans="5:5" s="223" customFormat="1" x14ac:dyDescent="0.25">
      <c r="E346" s="224"/>
    </row>
    <row r="347" spans="5:5" s="223" customFormat="1" x14ac:dyDescent="0.25">
      <c r="E347" s="224"/>
    </row>
    <row r="348" spans="5:5" s="223" customFormat="1" x14ac:dyDescent="0.25">
      <c r="E348" s="224"/>
    </row>
    <row r="349" spans="5:5" s="223" customFormat="1" x14ac:dyDescent="0.25">
      <c r="E349" s="224"/>
    </row>
    <row r="350" spans="5:5" s="223" customFormat="1" x14ac:dyDescent="0.25">
      <c r="E350" s="224"/>
    </row>
    <row r="351" spans="5:5" s="223" customFormat="1" x14ac:dyDescent="0.25">
      <c r="E351" s="224"/>
    </row>
    <row r="352" spans="5:5" s="223" customFormat="1" x14ac:dyDescent="0.25">
      <c r="E352" s="224"/>
    </row>
    <row r="353" spans="5:5" s="223" customFormat="1" x14ac:dyDescent="0.25">
      <c r="E353" s="224"/>
    </row>
    <row r="354" spans="5:5" s="223" customFormat="1" x14ac:dyDescent="0.25">
      <c r="E354" s="224"/>
    </row>
    <row r="355" spans="5:5" s="223" customFormat="1" x14ac:dyDescent="0.25">
      <c r="E355" s="224"/>
    </row>
    <row r="356" spans="5:5" s="223" customFormat="1" x14ac:dyDescent="0.25">
      <c r="E356" s="224"/>
    </row>
    <row r="357" spans="5:5" s="223" customFormat="1" x14ac:dyDescent="0.25">
      <c r="E357" s="224"/>
    </row>
    <row r="358" spans="5:5" s="223" customFormat="1" x14ac:dyDescent="0.25">
      <c r="E358" s="224"/>
    </row>
    <row r="359" spans="5:5" s="223" customFormat="1" x14ac:dyDescent="0.25">
      <c r="E359" s="224"/>
    </row>
    <row r="360" spans="5:5" s="223" customFormat="1" x14ac:dyDescent="0.25">
      <c r="E360" s="224"/>
    </row>
    <row r="361" spans="5:5" s="223" customFormat="1" x14ac:dyDescent="0.25">
      <c r="E361" s="224"/>
    </row>
    <row r="362" spans="5:5" s="223" customFormat="1" x14ac:dyDescent="0.25">
      <c r="E362" s="224"/>
    </row>
    <row r="363" spans="5:5" s="223" customFormat="1" x14ac:dyDescent="0.25">
      <c r="E363" s="224"/>
    </row>
    <row r="364" spans="5:5" s="223" customFormat="1" x14ac:dyDescent="0.25">
      <c r="E364" s="224"/>
    </row>
    <row r="365" spans="5:5" s="223" customFormat="1" x14ac:dyDescent="0.25">
      <c r="E365" s="224"/>
    </row>
    <row r="366" spans="5:5" s="223" customFormat="1" x14ac:dyDescent="0.25">
      <c r="E366" s="224"/>
    </row>
    <row r="367" spans="5:5" s="223" customFormat="1" x14ac:dyDescent="0.25">
      <c r="E367" s="224"/>
    </row>
    <row r="368" spans="5:5" s="223" customFormat="1" x14ac:dyDescent="0.25">
      <c r="E368" s="224"/>
    </row>
    <row r="369" spans="5:5" s="223" customFormat="1" x14ac:dyDescent="0.25">
      <c r="E369" s="224"/>
    </row>
    <row r="370" spans="5:5" s="223" customFormat="1" x14ac:dyDescent="0.25">
      <c r="E370" s="224"/>
    </row>
    <row r="371" spans="5:5" s="223" customFormat="1" x14ac:dyDescent="0.25">
      <c r="E371" s="224"/>
    </row>
    <row r="372" spans="5:5" s="223" customFormat="1" x14ac:dyDescent="0.25">
      <c r="E372" s="224"/>
    </row>
    <row r="373" spans="5:5" s="223" customFormat="1" x14ac:dyDescent="0.25">
      <c r="E373" s="224"/>
    </row>
    <row r="374" spans="5:5" s="223" customFormat="1" x14ac:dyDescent="0.25">
      <c r="E374" s="224"/>
    </row>
  </sheetData>
  <mergeCells count="7">
    <mergeCell ref="B45:E45"/>
    <mergeCell ref="B28:E28"/>
    <mergeCell ref="A2:E2"/>
    <mergeCell ref="B3:E3"/>
    <mergeCell ref="B11:E11"/>
    <mergeCell ref="B18:E18"/>
    <mergeCell ref="B39:E39"/>
  </mergeCells>
  <phoneticPr fontId="1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F136"/>
  <sheetViews>
    <sheetView workbookViewId="0">
      <selection activeCell="B7" sqref="B7"/>
    </sheetView>
  </sheetViews>
  <sheetFormatPr baseColWidth="10" defaultColWidth="11.5546875" defaultRowHeight="13.2" x14ac:dyDescent="0.25"/>
  <cols>
    <col min="1" max="1" width="6.88671875" style="274" customWidth="1"/>
    <col min="2" max="2" width="46.109375" style="274" customWidth="1"/>
    <col min="3" max="3" width="8.44140625" style="274" customWidth="1"/>
    <col min="4" max="4" width="11.5546875" style="274"/>
    <col min="5" max="5" width="12.109375" style="274" bestFit="1" customWidth="1"/>
    <col min="6" max="6" width="15.33203125" style="274" customWidth="1"/>
    <col min="7" max="16384" width="11.5546875" style="274"/>
  </cols>
  <sheetData>
    <row r="2" spans="1:6" s="123" customFormat="1" ht="13.8" x14ac:dyDescent="0.25">
      <c r="A2" s="397" t="s">
        <v>460</v>
      </c>
      <c r="B2" s="397"/>
      <c r="C2" s="397"/>
      <c r="D2" s="397"/>
      <c r="E2" s="397"/>
      <c r="F2" s="397"/>
    </row>
    <row r="3" spans="1:6" ht="17.399999999999999" customHeight="1" thickBot="1" x14ac:dyDescent="0.3">
      <c r="A3" s="447" t="s">
        <v>524</v>
      </c>
      <c r="B3" s="448"/>
      <c r="C3" s="448"/>
      <c r="D3" s="448"/>
      <c r="E3" s="448"/>
      <c r="F3" s="448"/>
    </row>
    <row r="4" spans="1:6" ht="14.4" thickTop="1" thickBot="1" x14ac:dyDescent="0.3">
      <c r="A4" s="227" t="s">
        <v>121</v>
      </c>
      <c r="B4" s="227" t="s">
        <v>122</v>
      </c>
      <c r="C4" s="227" t="s">
        <v>123</v>
      </c>
      <c r="D4" s="227" t="s">
        <v>124</v>
      </c>
      <c r="E4" s="228" t="s">
        <v>125</v>
      </c>
      <c r="F4" s="228" t="s">
        <v>126</v>
      </c>
    </row>
    <row r="5" spans="1:6" ht="13.8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11*15</f>
        <v>165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ht="16.5" customHeight="1" x14ac:dyDescent="0.25">
      <c r="A9" s="84" t="s">
        <v>50</v>
      </c>
      <c r="B9" s="118" t="s">
        <v>162</v>
      </c>
      <c r="C9" s="86" t="s">
        <v>10</v>
      </c>
      <c r="D9" s="95">
        <f>74.1*0.5*0.85</f>
        <v>31.492499999999996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22">
        <f>74.1*0.3*0.6</f>
        <v>13.337999999999997</v>
      </c>
      <c r="E10" s="88"/>
      <c r="F10" s="89"/>
    </row>
    <row r="11" spans="1:6" ht="25.5" customHeight="1" x14ac:dyDescent="0.25">
      <c r="A11" s="84" t="s">
        <v>52</v>
      </c>
      <c r="B11" s="118" t="s">
        <v>211</v>
      </c>
      <c r="C11" s="86" t="s">
        <v>10</v>
      </c>
      <c r="D11" s="95">
        <f>(16.14+15.86+13.11+27.35+4.35+16.49+7.75+4.39)*0.4</f>
        <v>42.176000000000002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ht="16.5" customHeight="1" x14ac:dyDescent="0.25">
      <c r="A14" s="84" t="s">
        <v>41</v>
      </c>
      <c r="B14" s="118" t="s">
        <v>163</v>
      </c>
      <c r="C14" s="119" t="s">
        <v>10</v>
      </c>
      <c r="D14" s="95">
        <f>74.1*0.05*0.5</f>
        <v>1.8525</v>
      </c>
      <c r="E14" s="88"/>
      <c r="F14" s="89"/>
    </row>
    <row r="15" spans="1:6" ht="30.75" customHeight="1" x14ac:dyDescent="0.25">
      <c r="A15" s="84" t="s">
        <v>42</v>
      </c>
      <c r="B15" s="118" t="s">
        <v>164</v>
      </c>
      <c r="C15" s="119" t="s">
        <v>10</v>
      </c>
      <c r="D15" s="95">
        <f>0.2*0.2*1*27</f>
        <v>1.0800000000000003</v>
      </c>
      <c r="E15" s="88"/>
      <c r="F15" s="89"/>
    </row>
    <row r="16" spans="1:6" ht="42.75" customHeight="1" x14ac:dyDescent="0.25">
      <c r="A16" s="84" t="s">
        <v>43</v>
      </c>
      <c r="B16" s="118" t="s">
        <v>87</v>
      </c>
      <c r="C16" s="119" t="s">
        <v>10</v>
      </c>
      <c r="D16" s="95">
        <f>74.1*0.5*0.2</f>
        <v>7.41</v>
      </c>
      <c r="E16" s="88"/>
      <c r="F16" s="89"/>
    </row>
    <row r="17" spans="1:6" ht="27.75" customHeight="1" x14ac:dyDescent="0.25">
      <c r="A17" s="84" t="s">
        <v>44</v>
      </c>
      <c r="B17" s="118" t="s">
        <v>88</v>
      </c>
      <c r="C17" s="119" t="s">
        <v>10</v>
      </c>
      <c r="D17" s="95">
        <f>74.1*0.2*0.2</f>
        <v>2.9640000000000004</v>
      </c>
      <c r="E17" s="88"/>
      <c r="F17" s="89"/>
    </row>
    <row r="18" spans="1:6" ht="42.75" customHeight="1" x14ac:dyDescent="0.25">
      <c r="A18" s="84" t="s">
        <v>45</v>
      </c>
      <c r="B18" s="118" t="s">
        <v>89</v>
      </c>
      <c r="C18" s="119" t="s">
        <v>10</v>
      </c>
      <c r="D18" s="95">
        <f>105.44*0.1</f>
        <v>10.544</v>
      </c>
      <c r="E18" s="88"/>
      <c r="F18" s="89"/>
    </row>
    <row r="19" spans="1:6" ht="17.25" customHeight="1" x14ac:dyDescent="0.25">
      <c r="A19" s="84" t="s">
        <v>46</v>
      </c>
      <c r="B19" s="118" t="s">
        <v>91</v>
      </c>
      <c r="C19" s="119" t="s">
        <v>10</v>
      </c>
      <c r="D19" s="95">
        <f>((0.1*1*1.5)+(0.15*0.3*1.5)*3/2)*2</f>
        <v>0.50250000000000006</v>
      </c>
      <c r="E19" s="88"/>
      <c r="F19" s="89"/>
    </row>
    <row r="20" spans="1:6" ht="24" customHeight="1" x14ac:dyDescent="0.25">
      <c r="A20" s="84" t="s">
        <v>47</v>
      </c>
      <c r="B20" s="120" t="s">
        <v>92</v>
      </c>
      <c r="C20" s="119" t="s">
        <v>10</v>
      </c>
      <c r="D20" s="95">
        <f>74.1*0.15*0.2</f>
        <v>2.2229999999999999</v>
      </c>
      <c r="E20" s="88"/>
      <c r="F20" s="89"/>
    </row>
    <row r="21" spans="1:6" ht="27" customHeight="1" x14ac:dyDescent="0.25">
      <c r="A21" s="84" t="s">
        <v>48</v>
      </c>
      <c r="B21" s="118" t="s">
        <v>93</v>
      </c>
      <c r="C21" s="119" t="s">
        <v>10</v>
      </c>
      <c r="D21" s="95">
        <f>(12.07*2+10.03)*0.15*0.45</f>
        <v>2.3064749999999998</v>
      </c>
      <c r="E21" s="88"/>
      <c r="F21" s="89"/>
    </row>
    <row r="22" spans="1:6" ht="27.75" customHeight="1" x14ac:dyDescent="0.25">
      <c r="A22" s="84" t="s">
        <v>49</v>
      </c>
      <c r="B22" s="118" t="s">
        <v>94</v>
      </c>
      <c r="C22" s="119" t="s">
        <v>10</v>
      </c>
      <c r="D22" s="95">
        <f>(12.07*2+10.03*2+4.42*2)*0.1*0.15</f>
        <v>0.7956000000000002</v>
      </c>
      <c r="E22" s="88"/>
      <c r="F22" s="89"/>
    </row>
    <row r="23" spans="1:6" ht="27" customHeight="1" x14ac:dyDescent="0.25">
      <c r="A23" s="84" t="s">
        <v>310</v>
      </c>
      <c r="B23" s="118" t="s">
        <v>95</v>
      </c>
      <c r="C23" s="119" t="s">
        <v>10</v>
      </c>
      <c r="D23" s="95">
        <f>0.15*0.15*4.5*20</f>
        <v>2.0249999999999999</v>
      </c>
      <c r="E23" s="88"/>
      <c r="F23" s="89"/>
    </row>
    <row r="24" spans="1:6" ht="23.25" customHeight="1" x14ac:dyDescent="0.25">
      <c r="A24" s="84" t="s">
        <v>311</v>
      </c>
      <c r="B24" s="120" t="s">
        <v>97</v>
      </c>
      <c r="C24" s="119" t="s">
        <v>16</v>
      </c>
      <c r="D24" s="87">
        <f>74.1*1</f>
        <v>74.099999999999994</v>
      </c>
      <c r="E24" s="88"/>
      <c r="F24" s="89"/>
    </row>
    <row r="25" spans="1:6" ht="26.25" customHeight="1" x14ac:dyDescent="0.25">
      <c r="A25" s="84" t="s">
        <v>312</v>
      </c>
      <c r="B25" s="118" t="s">
        <v>98</v>
      </c>
      <c r="C25" s="119" t="s">
        <v>16</v>
      </c>
      <c r="D25" s="87">
        <f>74.1*4.5</f>
        <v>333.45</v>
      </c>
      <c r="E25" s="88"/>
      <c r="F25" s="89"/>
    </row>
    <row r="26" spans="1:6" x14ac:dyDescent="0.25">
      <c r="A26" s="90"/>
      <c r="B26" s="91" t="s">
        <v>7</v>
      </c>
      <c r="C26" s="92"/>
      <c r="D26" s="92"/>
      <c r="E26" s="93"/>
      <c r="F26" s="94"/>
    </row>
    <row r="27" spans="1:6" x14ac:dyDescent="0.25">
      <c r="A27" s="90" t="s">
        <v>17</v>
      </c>
      <c r="B27" s="91" t="s">
        <v>18</v>
      </c>
      <c r="C27" s="92"/>
      <c r="D27" s="92"/>
      <c r="E27" s="93"/>
      <c r="F27" s="94"/>
    </row>
    <row r="28" spans="1:6" ht="15.75" customHeight="1" x14ac:dyDescent="0.25">
      <c r="A28" s="84" t="s">
        <v>40</v>
      </c>
      <c r="B28" s="200" t="s">
        <v>183</v>
      </c>
      <c r="C28" s="86" t="s">
        <v>16</v>
      </c>
      <c r="D28" s="87">
        <f>(12.07*2+10.03*2)*5</f>
        <v>221</v>
      </c>
      <c r="E28" s="88"/>
      <c r="F28" s="89"/>
    </row>
    <row r="29" spans="1:6" x14ac:dyDescent="0.25">
      <c r="A29" s="84" t="s">
        <v>61</v>
      </c>
      <c r="B29" s="85" t="s">
        <v>99</v>
      </c>
      <c r="C29" s="86" t="s">
        <v>16</v>
      </c>
      <c r="D29" s="87">
        <f>79.42*3.2</f>
        <v>254.14400000000001</v>
      </c>
      <c r="E29" s="88"/>
      <c r="F29" s="89"/>
    </row>
    <row r="30" spans="1:6" x14ac:dyDescent="0.25">
      <c r="A30" s="84" t="s">
        <v>71</v>
      </c>
      <c r="B30" s="85" t="s">
        <v>214</v>
      </c>
      <c r="C30" s="86" t="s">
        <v>16</v>
      </c>
      <c r="D30" s="87">
        <f>D28</f>
        <v>221</v>
      </c>
      <c r="E30" s="88"/>
      <c r="F30" s="89"/>
    </row>
    <row r="31" spans="1:6" x14ac:dyDescent="0.25">
      <c r="A31" s="84" t="s">
        <v>132</v>
      </c>
      <c r="B31" s="85" t="s">
        <v>217</v>
      </c>
      <c r="C31" s="86" t="s">
        <v>16</v>
      </c>
      <c r="D31" s="87">
        <f>(16.49+7.75+4.35+13.11+27.35+4.39+16.14+15.86)</f>
        <v>105.44</v>
      </c>
      <c r="E31" s="88"/>
      <c r="F31" s="89"/>
    </row>
    <row r="32" spans="1:6" x14ac:dyDescent="0.25">
      <c r="A32" s="84" t="s">
        <v>133</v>
      </c>
      <c r="B32" s="85" t="s">
        <v>218</v>
      </c>
      <c r="C32" s="86" t="s">
        <v>77</v>
      </c>
      <c r="D32" s="87">
        <v>79.42</v>
      </c>
      <c r="E32" s="88"/>
      <c r="F32" s="89"/>
    </row>
    <row r="33" spans="1:6" x14ac:dyDescent="0.25">
      <c r="A33" s="90"/>
      <c r="B33" s="91" t="s">
        <v>7</v>
      </c>
      <c r="C33" s="92"/>
      <c r="D33" s="92"/>
      <c r="E33" s="93"/>
      <c r="F33" s="94"/>
    </row>
    <row r="34" spans="1:6" x14ac:dyDescent="0.25">
      <c r="A34" s="90" t="s">
        <v>19</v>
      </c>
      <c r="B34" s="91" t="s">
        <v>169</v>
      </c>
      <c r="C34" s="92"/>
      <c r="D34" s="92"/>
      <c r="E34" s="93"/>
      <c r="F34" s="94"/>
    </row>
    <row r="35" spans="1:6" ht="26.4" x14ac:dyDescent="0.25">
      <c r="A35" s="84" t="s">
        <v>65</v>
      </c>
      <c r="B35" s="200" t="s">
        <v>171</v>
      </c>
      <c r="C35" s="119" t="s">
        <v>77</v>
      </c>
      <c r="D35" s="121">
        <f>13*10.03</f>
        <v>130.38999999999999</v>
      </c>
      <c r="E35" s="88"/>
      <c r="F35" s="89"/>
    </row>
    <row r="36" spans="1:6" ht="26.4" x14ac:dyDescent="0.25">
      <c r="A36" s="84" t="s">
        <v>66</v>
      </c>
      <c r="B36" s="122" t="s">
        <v>219</v>
      </c>
      <c r="C36" s="119" t="s">
        <v>16</v>
      </c>
      <c r="D36" s="3">
        <f>9.82*12.27</f>
        <v>120.4914</v>
      </c>
      <c r="E36" s="88"/>
      <c r="F36" s="89"/>
    </row>
    <row r="37" spans="1:6" ht="26.4" x14ac:dyDescent="0.25">
      <c r="A37" s="84" t="s">
        <v>67</v>
      </c>
      <c r="B37" s="105" t="s">
        <v>429</v>
      </c>
      <c r="C37" s="218" t="s">
        <v>21</v>
      </c>
      <c r="D37" s="219">
        <v>8</v>
      </c>
      <c r="E37" s="216"/>
      <c r="F37" s="217"/>
    </row>
    <row r="38" spans="1:6" x14ac:dyDescent="0.25">
      <c r="A38" s="90"/>
      <c r="B38" s="91" t="s">
        <v>7</v>
      </c>
      <c r="C38" s="92"/>
      <c r="D38" s="99"/>
      <c r="E38" s="93"/>
      <c r="F38" s="94"/>
    </row>
    <row r="39" spans="1:6" x14ac:dyDescent="0.25">
      <c r="A39" s="90" t="s">
        <v>22</v>
      </c>
      <c r="B39" s="91" t="s">
        <v>220</v>
      </c>
      <c r="C39" s="92"/>
      <c r="D39" s="99"/>
      <c r="E39" s="93"/>
      <c r="F39" s="94"/>
    </row>
    <row r="40" spans="1:6" ht="26.4" x14ac:dyDescent="0.25">
      <c r="A40" s="84" t="s">
        <v>63</v>
      </c>
      <c r="B40" s="122" t="s">
        <v>221</v>
      </c>
      <c r="C40" s="86" t="s">
        <v>21</v>
      </c>
      <c r="D40" s="87">
        <v>1</v>
      </c>
      <c r="E40" s="88"/>
      <c r="F40" s="89"/>
    </row>
    <row r="41" spans="1:6" ht="26.4" x14ac:dyDescent="0.25">
      <c r="A41" s="84" t="s">
        <v>64</v>
      </c>
      <c r="B41" s="122" t="s">
        <v>175</v>
      </c>
      <c r="C41" s="86" t="s">
        <v>21</v>
      </c>
      <c r="D41" s="87">
        <v>5</v>
      </c>
      <c r="E41" s="88"/>
      <c r="F41" s="89"/>
    </row>
    <row r="42" spans="1:6" ht="26.4" x14ac:dyDescent="0.25">
      <c r="A42" s="84" t="s">
        <v>74</v>
      </c>
      <c r="B42" s="122" t="s">
        <v>222</v>
      </c>
      <c r="C42" s="86" t="s">
        <v>21</v>
      </c>
      <c r="D42" s="87">
        <v>4</v>
      </c>
      <c r="E42" s="88"/>
      <c r="F42" s="89"/>
    </row>
    <row r="43" spans="1:6" ht="26.25" customHeight="1" x14ac:dyDescent="0.25">
      <c r="A43" s="84" t="s">
        <v>75</v>
      </c>
      <c r="B43" s="122" t="s">
        <v>223</v>
      </c>
      <c r="C43" s="86" t="s">
        <v>21</v>
      </c>
      <c r="D43" s="87">
        <v>3</v>
      </c>
      <c r="E43" s="88"/>
      <c r="F43" s="89"/>
    </row>
    <row r="44" spans="1:6" ht="26.4" x14ac:dyDescent="0.25">
      <c r="A44" s="84" t="s">
        <v>76</v>
      </c>
      <c r="B44" s="122" t="s">
        <v>224</v>
      </c>
      <c r="C44" s="86" t="s">
        <v>21</v>
      </c>
      <c r="D44" s="87">
        <v>1</v>
      </c>
      <c r="E44" s="88"/>
      <c r="F44" s="89"/>
    </row>
    <row r="45" spans="1:6" ht="26.4" x14ac:dyDescent="0.25">
      <c r="A45" s="84" t="s">
        <v>383</v>
      </c>
      <c r="B45" s="122" t="s">
        <v>225</v>
      </c>
      <c r="C45" s="86" t="s">
        <v>21</v>
      </c>
      <c r="D45" s="87">
        <v>1</v>
      </c>
      <c r="E45" s="88"/>
      <c r="F45" s="89"/>
    </row>
    <row r="46" spans="1:6" ht="26.4" x14ac:dyDescent="0.25">
      <c r="A46" s="84" t="s">
        <v>445</v>
      </c>
      <c r="B46" s="122" t="s">
        <v>226</v>
      </c>
      <c r="C46" s="86" t="s">
        <v>21</v>
      </c>
      <c r="D46" s="87">
        <v>4</v>
      </c>
      <c r="E46" s="88"/>
      <c r="F46" s="89"/>
    </row>
    <row r="47" spans="1:6" ht="26.4" x14ac:dyDescent="0.25">
      <c r="A47" s="84" t="s">
        <v>446</v>
      </c>
      <c r="B47" s="122" t="s">
        <v>223</v>
      </c>
      <c r="C47" s="86" t="s">
        <v>21</v>
      </c>
      <c r="D47" s="87">
        <v>3</v>
      </c>
      <c r="E47" s="88"/>
      <c r="F47" s="89"/>
    </row>
    <row r="48" spans="1:6" x14ac:dyDescent="0.25">
      <c r="A48" s="90"/>
      <c r="B48" s="91" t="s">
        <v>7</v>
      </c>
      <c r="C48" s="92"/>
      <c r="D48" s="99"/>
      <c r="E48" s="93"/>
      <c r="F48" s="94"/>
    </row>
    <row r="49" spans="1:6" x14ac:dyDescent="0.25">
      <c r="A49" s="90" t="s">
        <v>101</v>
      </c>
      <c r="B49" s="91" t="s">
        <v>102</v>
      </c>
      <c r="C49" s="92"/>
      <c r="D49" s="99"/>
      <c r="E49" s="93"/>
      <c r="F49" s="94"/>
    </row>
    <row r="50" spans="1:6" ht="26.4" x14ac:dyDescent="0.25">
      <c r="A50" s="84" t="s">
        <v>136</v>
      </c>
      <c r="B50" s="120" t="s">
        <v>103</v>
      </c>
      <c r="C50" s="86" t="s">
        <v>16</v>
      </c>
      <c r="D50" s="87">
        <f>60+13.5</f>
        <v>73.5</v>
      </c>
      <c r="E50" s="88"/>
      <c r="F50" s="89"/>
    </row>
    <row r="51" spans="1:6" x14ac:dyDescent="0.25">
      <c r="A51" s="90"/>
      <c r="B51" s="91" t="s">
        <v>7</v>
      </c>
      <c r="C51" s="92"/>
      <c r="D51" s="99"/>
      <c r="E51" s="93"/>
      <c r="F51" s="94"/>
    </row>
    <row r="52" spans="1:6" x14ac:dyDescent="0.25">
      <c r="A52" s="90" t="s">
        <v>104</v>
      </c>
      <c r="B52" s="91" t="s">
        <v>138</v>
      </c>
      <c r="C52" s="92"/>
      <c r="D52" s="99"/>
      <c r="E52" s="93"/>
      <c r="F52" s="94"/>
    </row>
    <row r="53" spans="1:6" x14ac:dyDescent="0.25">
      <c r="A53" s="84" t="s">
        <v>365</v>
      </c>
      <c r="B53" s="85" t="s">
        <v>106</v>
      </c>
      <c r="C53" s="86" t="s">
        <v>16</v>
      </c>
      <c r="D53" s="87">
        <f>(1.6*2.2+0.9*2.2*5+0.6*1.2*3)*2</f>
        <v>31.160000000000004</v>
      </c>
      <c r="E53" s="88"/>
      <c r="F53" s="89"/>
    </row>
    <row r="54" spans="1:6" x14ac:dyDescent="0.25">
      <c r="A54" s="84" t="s">
        <v>366</v>
      </c>
      <c r="B54" s="85" t="s">
        <v>107</v>
      </c>
      <c r="C54" s="86" t="s">
        <v>16</v>
      </c>
      <c r="D54" s="87">
        <f>D29</f>
        <v>254.14400000000001</v>
      </c>
      <c r="E54" s="88"/>
      <c r="F54" s="89"/>
    </row>
    <row r="55" spans="1:6" x14ac:dyDescent="0.25">
      <c r="A55" s="84" t="s">
        <v>367</v>
      </c>
      <c r="B55" s="85" t="s">
        <v>108</v>
      </c>
      <c r="C55" s="86" t="s">
        <v>16</v>
      </c>
      <c r="D55" s="87">
        <f>D50</f>
        <v>73.5</v>
      </c>
      <c r="E55" s="88"/>
      <c r="F55" s="89"/>
    </row>
    <row r="56" spans="1:6" x14ac:dyDescent="0.25">
      <c r="A56" s="90"/>
      <c r="B56" s="91" t="s">
        <v>7</v>
      </c>
      <c r="C56" s="92"/>
      <c r="D56" s="99"/>
      <c r="E56" s="93"/>
      <c r="F56" s="94"/>
    </row>
    <row r="57" spans="1:6" x14ac:dyDescent="0.25">
      <c r="A57" s="90" t="s">
        <v>109</v>
      </c>
      <c r="B57" s="91" t="s">
        <v>160</v>
      </c>
      <c r="C57" s="92"/>
      <c r="D57" s="99"/>
      <c r="E57" s="93"/>
      <c r="F57" s="94"/>
    </row>
    <row r="58" spans="1:6" x14ac:dyDescent="0.25">
      <c r="A58" s="84" t="s">
        <v>368</v>
      </c>
      <c r="B58" s="116" t="s">
        <v>447</v>
      </c>
      <c r="C58" s="86" t="s">
        <v>111</v>
      </c>
      <c r="D58" s="87">
        <v>1</v>
      </c>
      <c r="E58" s="88"/>
      <c r="F58" s="89"/>
    </row>
    <row r="59" spans="1:6" ht="79.2" x14ac:dyDescent="0.25">
      <c r="A59" s="84" t="s">
        <v>369</v>
      </c>
      <c r="B59" s="105" t="s">
        <v>112</v>
      </c>
      <c r="C59" s="86" t="s">
        <v>6</v>
      </c>
      <c r="D59" s="87">
        <v>1</v>
      </c>
      <c r="E59" s="88"/>
      <c r="F59" s="89"/>
    </row>
    <row r="60" spans="1:6" x14ac:dyDescent="0.25">
      <c r="A60" s="84" t="s">
        <v>370</v>
      </c>
      <c r="B60" s="85" t="s">
        <v>113</v>
      </c>
      <c r="C60" s="86" t="s">
        <v>21</v>
      </c>
      <c r="D60" s="87">
        <v>5</v>
      </c>
      <c r="E60" s="88"/>
      <c r="F60" s="89"/>
    </row>
    <row r="61" spans="1:6" x14ac:dyDescent="0.25">
      <c r="A61" s="84" t="s">
        <v>371</v>
      </c>
      <c r="B61" s="85" t="s">
        <v>114</v>
      </c>
      <c r="C61" s="86" t="s">
        <v>21</v>
      </c>
      <c r="D61" s="87">
        <v>2</v>
      </c>
      <c r="E61" s="88"/>
      <c r="F61" s="89"/>
    </row>
    <row r="62" spans="1:6" x14ac:dyDescent="0.25">
      <c r="A62" s="84" t="s">
        <v>372</v>
      </c>
      <c r="B62" s="85" t="s">
        <v>115</v>
      </c>
      <c r="C62" s="86" t="s">
        <v>21</v>
      </c>
      <c r="D62" s="87">
        <v>7</v>
      </c>
      <c r="E62" s="88"/>
      <c r="F62" s="89"/>
    </row>
    <row r="63" spans="1:6" x14ac:dyDescent="0.25">
      <c r="A63" s="84" t="s">
        <v>373</v>
      </c>
      <c r="B63" s="85" t="s">
        <v>116</v>
      </c>
      <c r="C63" s="86" t="s">
        <v>21</v>
      </c>
      <c r="D63" s="87">
        <v>2</v>
      </c>
      <c r="E63" s="88"/>
      <c r="F63" s="89"/>
    </row>
    <row r="64" spans="1:6" x14ac:dyDescent="0.25">
      <c r="A64" s="84" t="s">
        <v>374</v>
      </c>
      <c r="B64" s="85" t="s">
        <v>117</v>
      </c>
      <c r="C64" s="86" t="s">
        <v>21</v>
      </c>
      <c r="D64" s="87">
        <v>10</v>
      </c>
      <c r="E64" s="88"/>
      <c r="F64" s="89"/>
    </row>
    <row r="65" spans="1:6" ht="39.6" x14ac:dyDescent="0.25">
      <c r="A65" s="84" t="s">
        <v>375</v>
      </c>
      <c r="B65" s="116" t="s">
        <v>118</v>
      </c>
      <c r="C65" s="86" t="s">
        <v>21</v>
      </c>
      <c r="D65" s="87">
        <v>1</v>
      </c>
      <c r="E65" s="88"/>
      <c r="F65" s="89"/>
    </row>
    <row r="66" spans="1:6" x14ac:dyDescent="0.25">
      <c r="A66" s="84"/>
      <c r="B66" s="91" t="s">
        <v>7</v>
      </c>
      <c r="C66" s="92"/>
      <c r="D66" s="99"/>
      <c r="E66" s="93"/>
      <c r="F66" s="94"/>
    </row>
    <row r="67" spans="1:6" x14ac:dyDescent="0.25">
      <c r="A67" s="90" t="s">
        <v>119</v>
      </c>
      <c r="B67" s="91" t="s">
        <v>154</v>
      </c>
      <c r="C67" s="92"/>
      <c r="D67" s="99"/>
      <c r="E67" s="93"/>
      <c r="F67" s="94"/>
    </row>
    <row r="68" spans="1:6" x14ac:dyDescent="0.25">
      <c r="A68" s="84" t="s">
        <v>439</v>
      </c>
      <c r="B68" s="85" t="s">
        <v>120</v>
      </c>
      <c r="C68" s="86" t="s">
        <v>21</v>
      </c>
      <c r="D68" s="87">
        <v>6</v>
      </c>
      <c r="E68" s="88"/>
      <c r="F68" s="89"/>
    </row>
    <row r="69" spans="1:6" x14ac:dyDescent="0.25">
      <c r="A69" s="90"/>
      <c r="B69" s="91" t="s">
        <v>7</v>
      </c>
      <c r="C69" s="92"/>
      <c r="D69" s="99"/>
      <c r="E69" s="93"/>
      <c r="F69" s="94"/>
    </row>
    <row r="70" spans="1:6" ht="13.8" thickBot="1" x14ac:dyDescent="0.3">
      <c r="A70" s="100"/>
      <c r="B70" s="101" t="s">
        <v>155</v>
      </c>
      <c r="C70" s="102"/>
      <c r="D70" s="102"/>
      <c r="E70" s="103"/>
      <c r="F70" s="104"/>
    </row>
    <row r="71" spans="1:6" ht="13.8" thickTop="1" x14ac:dyDescent="0.25"/>
    <row r="73" spans="1:6" x14ac:dyDescent="0.25">
      <c r="B73" s="292" t="s">
        <v>298</v>
      </c>
    </row>
    <row r="74" spans="1:6" ht="13.8" thickBot="1" x14ac:dyDescent="0.3"/>
    <row r="75" spans="1:6" ht="14.4" thickTop="1" thickBot="1" x14ac:dyDescent="0.3">
      <c r="A75" s="227" t="s">
        <v>121</v>
      </c>
      <c r="B75" s="227" t="s">
        <v>122</v>
      </c>
      <c r="C75" s="227" t="s">
        <v>123</v>
      </c>
      <c r="D75" s="227" t="s">
        <v>124</v>
      </c>
      <c r="E75" s="228" t="s">
        <v>125</v>
      </c>
      <c r="F75" s="228" t="s">
        <v>126</v>
      </c>
    </row>
    <row r="76" spans="1:6" ht="13.8" thickTop="1" x14ac:dyDescent="0.25">
      <c r="A76" s="79" t="s">
        <v>0</v>
      </c>
      <c r="B76" s="80" t="s">
        <v>1</v>
      </c>
      <c r="C76" s="81"/>
      <c r="D76" s="81"/>
      <c r="E76" s="82"/>
      <c r="F76" s="83"/>
    </row>
    <row r="77" spans="1:6" x14ac:dyDescent="0.25">
      <c r="A77" s="84" t="s">
        <v>25</v>
      </c>
      <c r="B77" s="85" t="s">
        <v>73</v>
      </c>
      <c r="C77" s="86" t="s">
        <v>16</v>
      </c>
      <c r="D77" s="87">
        <f>5*5</f>
        <v>25</v>
      </c>
      <c r="E77" s="88"/>
      <c r="F77" s="89"/>
    </row>
    <row r="78" spans="1:6" x14ac:dyDescent="0.25">
      <c r="A78" s="90"/>
      <c r="B78" s="91" t="s">
        <v>7</v>
      </c>
      <c r="C78" s="92"/>
      <c r="D78" s="92"/>
      <c r="E78" s="93"/>
      <c r="F78" s="94"/>
    </row>
    <row r="79" spans="1:6" x14ac:dyDescent="0.25">
      <c r="A79" s="90" t="s">
        <v>8</v>
      </c>
      <c r="B79" s="91" t="s">
        <v>9</v>
      </c>
      <c r="C79" s="92"/>
      <c r="D79" s="92"/>
      <c r="E79" s="93"/>
      <c r="F79" s="94"/>
    </row>
    <row r="80" spans="1:6" x14ac:dyDescent="0.25">
      <c r="A80" s="84" t="s">
        <v>50</v>
      </c>
      <c r="B80" s="118" t="s">
        <v>162</v>
      </c>
      <c r="C80" s="86" t="s">
        <v>10</v>
      </c>
      <c r="D80" s="95">
        <f>12*0.5*0.85</f>
        <v>5.0999999999999996</v>
      </c>
      <c r="E80" s="88"/>
      <c r="F80" s="89"/>
    </row>
    <row r="81" spans="1:6" x14ac:dyDescent="0.25">
      <c r="A81" s="84" t="s">
        <v>51</v>
      </c>
      <c r="B81" s="85" t="s">
        <v>11</v>
      </c>
      <c r="C81" s="86" t="s">
        <v>10</v>
      </c>
      <c r="D81" s="222">
        <f>12*0.3*0.6</f>
        <v>2.1599999999999997</v>
      </c>
      <c r="E81" s="88"/>
      <c r="F81" s="89"/>
    </row>
    <row r="82" spans="1:6" x14ac:dyDescent="0.25">
      <c r="A82" s="84" t="s">
        <v>52</v>
      </c>
      <c r="B82" s="118" t="s">
        <v>211</v>
      </c>
      <c r="C82" s="86" t="s">
        <v>10</v>
      </c>
      <c r="D82" s="95">
        <f>7.32*0.4</f>
        <v>2.9280000000000004</v>
      </c>
      <c r="E82" s="88"/>
      <c r="F82" s="89"/>
    </row>
    <row r="83" spans="1:6" x14ac:dyDescent="0.25">
      <c r="A83" s="90"/>
      <c r="B83" s="91" t="s">
        <v>7</v>
      </c>
      <c r="C83" s="92"/>
      <c r="D83" s="96"/>
      <c r="E83" s="93"/>
      <c r="F83" s="94"/>
    </row>
    <row r="84" spans="1:6" x14ac:dyDescent="0.25">
      <c r="A84" s="90" t="s">
        <v>12</v>
      </c>
      <c r="B84" s="91" t="s">
        <v>13</v>
      </c>
      <c r="C84" s="92"/>
      <c r="D84" s="96"/>
      <c r="E84" s="93"/>
      <c r="F84" s="94"/>
    </row>
    <row r="85" spans="1:6" x14ac:dyDescent="0.25">
      <c r="A85" s="84" t="s">
        <v>41</v>
      </c>
      <c r="B85" s="118" t="s">
        <v>163</v>
      </c>
      <c r="C85" s="119" t="s">
        <v>10</v>
      </c>
      <c r="D85" s="95">
        <f>12*0.05*0.5</f>
        <v>0.30000000000000004</v>
      </c>
      <c r="E85" s="88"/>
      <c r="F85" s="89"/>
    </row>
    <row r="86" spans="1:6" x14ac:dyDescent="0.25">
      <c r="A86" s="84" t="s">
        <v>42</v>
      </c>
      <c r="B86" s="118" t="s">
        <v>164</v>
      </c>
      <c r="C86" s="119" t="s">
        <v>10</v>
      </c>
      <c r="D86" s="95">
        <f>0.2*0.2*1*4</f>
        <v>0.16000000000000003</v>
      </c>
      <c r="E86" s="88"/>
      <c r="F86" s="89"/>
    </row>
    <row r="87" spans="1:6" ht="26.4" x14ac:dyDescent="0.25">
      <c r="A87" s="84" t="s">
        <v>43</v>
      </c>
      <c r="B87" s="118" t="s">
        <v>87</v>
      </c>
      <c r="C87" s="119" t="s">
        <v>10</v>
      </c>
      <c r="D87" s="95">
        <f>12*0.5*0.2</f>
        <v>1.2000000000000002</v>
      </c>
      <c r="E87" s="88"/>
      <c r="F87" s="89"/>
    </row>
    <row r="88" spans="1:6" x14ac:dyDescent="0.25">
      <c r="A88" s="84" t="s">
        <v>44</v>
      </c>
      <c r="B88" s="118" t="s">
        <v>88</v>
      </c>
      <c r="C88" s="119" t="s">
        <v>10</v>
      </c>
      <c r="D88" s="95">
        <f>12*0.2*0.2</f>
        <v>0.48000000000000009</v>
      </c>
      <c r="E88" s="88"/>
      <c r="F88" s="89"/>
    </row>
    <row r="89" spans="1:6" ht="39.6" x14ac:dyDescent="0.25">
      <c r="A89" s="84" t="s">
        <v>45</v>
      </c>
      <c r="B89" s="118" t="s">
        <v>426</v>
      </c>
      <c r="C89" s="119" t="s">
        <v>10</v>
      </c>
      <c r="D89" s="95">
        <f>7.32*0.1</f>
        <v>0.7320000000000001</v>
      </c>
      <c r="E89" s="88"/>
      <c r="F89" s="89"/>
    </row>
    <row r="90" spans="1:6" x14ac:dyDescent="0.25">
      <c r="A90" s="84" t="s">
        <v>46</v>
      </c>
      <c r="B90" s="118" t="s">
        <v>91</v>
      </c>
      <c r="C90" s="119" t="s">
        <v>10</v>
      </c>
      <c r="D90" s="95">
        <f>(0.1*1*0.9)+(0.15*0.3*1.5)*3/2</f>
        <v>0.19125000000000003</v>
      </c>
      <c r="E90" s="88"/>
      <c r="F90" s="89"/>
    </row>
    <row r="91" spans="1:6" x14ac:dyDescent="0.25">
      <c r="A91" s="84" t="s">
        <v>47</v>
      </c>
      <c r="B91" s="120" t="s">
        <v>92</v>
      </c>
      <c r="C91" s="119" t="s">
        <v>10</v>
      </c>
      <c r="D91" s="95">
        <f>12*0.15*0.2</f>
        <v>0.36</v>
      </c>
      <c r="E91" s="88"/>
      <c r="F91" s="89"/>
    </row>
    <row r="92" spans="1:6" x14ac:dyDescent="0.25">
      <c r="A92" s="84" t="s">
        <v>48</v>
      </c>
      <c r="B92" s="118" t="s">
        <v>93</v>
      </c>
      <c r="C92" s="119" t="s">
        <v>10</v>
      </c>
      <c r="D92" s="95">
        <f>3*3*0.15*0.45</f>
        <v>0.60749999999999993</v>
      </c>
      <c r="E92" s="88"/>
      <c r="F92" s="89"/>
    </row>
    <row r="93" spans="1:6" ht="26.4" x14ac:dyDescent="0.25">
      <c r="A93" s="84" t="s">
        <v>49</v>
      </c>
      <c r="B93" s="118" t="s">
        <v>94</v>
      </c>
      <c r="C93" s="119" t="s">
        <v>10</v>
      </c>
      <c r="D93" s="95">
        <f>11.2*0.1*0.15</f>
        <v>0.16799999999999998</v>
      </c>
      <c r="E93" s="88"/>
      <c r="F93" s="89"/>
    </row>
    <row r="94" spans="1:6" ht="26.4" x14ac:dyDescent="0.25">
      <c r="A94" s="84" t="s">
        <v>310</v>
      </c>
      <c r="B94" s="118" t="s">
        <v>227</v>
      </c>
      <c r="C94" s="119" t="s">
        <v>10</v>
      </c>
      <c r="D94" s="95">
        <f>2.7*0.6*0.12</f>
        <v>0.19440000000000002</v>
      </c>
      <c r="E94" s="88"/>
      <c r="F94" s="89"/>
    </row>
    <row r="95" spans="1:6" x14ac:dyDescent="0.25">
      <c r="A95" s="84" t="s">
        <v>311</v>
      </c>
      <c r="B95" s="118" t="s">
        <v>95</v>
      </c>
      <c r="C95" s="119" t="s">
        <v>10</v>
      </c>
      <c r="D95" s="95">
        <f>0.15*0.15*4.5*4</f>
        <v>0.40499999999999997</v>
      </c>
      <c r="E95" s="88"/>
      <c r="F95" s="89"/>
    </row>
    <row r="96" spans="1:6" x14ac:dyDescent="0.25">
      <c r="A96" s="84" t="s">
        <v>312</v>
      </c>
      <c r="B96" s="120" t="s">
        <v>97</v>
      </c>
      <c r="C96" s="119" t="s">
        <v>16</v>
      </c>
      <c r="D96" s="87">
        <f>12*1</f>
        <v>12</v>
      </c>
      <c r="E96" s="88"/>
      <c r="F96" s="89"/>
    </row>
    <row r="97" spans="1:6" x14ac:dyDescent="0.25">
      <c r="A97" s="84" t="s">
        <v>156</v>
      </c>
      <c r="B97" s="118" t="s">
        <v>98</v>
      </c>
      <c r="C97" s="119" t="s">
        <v>16</v>
      </c>
      <c r="D97" s="87">
        <f>12*4.5</f>
        <v>54</v>
      </c>
      <c r="E97" s="88"/>
      <c r="F97" s="89"/>
    </row>
    <row r="98" spans="1:6" x14ac:dyDescent="0.25">
      <c r="A98" s="90"/>
      <c r="B98" s="91" t="s">
        <v>7</v>
      </c>
      <c r="C98" s="92"/>
      <c r="D98" s="92"/>
      <c r="E98" s="93"/>
      <c r="F98" s="94"/>
    </row>
    <row r="99" spans="1:6" x14ac:dyDescent="0.25">
      <c r="A99" s="90" t="s">
        <v>17</v>
      </c>
      <c r="B99" s="91" t="s">
        <v>18</v>
      </c>
      <c r="C99" s="92"/>
      <c r="D99" s="92"/>
      <c r="E99" s="93"/>
      <c r="F99" s="94"/>
    </row>
    <row r="100" spans="1:6" x14ac:dyDescent="0.25">
      <c r="A100" s="84" t="s">
        <v>40</v>
      </c>
      <c r="B100" s="200" t="s">
        <v>183</v>
      </c>
      <c r="C100" s="86" t="s">
        <v>16</v>
      </c>
      <c r="D100" s="87">
        <f>12*5</f>
        <v>60</v>
      </c>
      <c r="E100" s="88"/>
      <c r="F100" s="89"/>
    </row>
    <row r="101" spans="1:6" x14ac:dyDescent="0.25">
      <c r="A101" s="84" t="s">
        <v>61</v>
      </c>
      <c r="B101" s="85" t="s">
        <v>99</v>
      </c>
      <c r="C101" s="86" t="s">
        <v>16</v>
      </c>
      <c r="D101" s="87">
        <f>2.7*4*3.2</f>
        <v>34.56</v>
      </c>
      <c r="E101" s="88"/>
      <c r="F101" s="89"/>
    </row>
    <row r="102" spans="1:6" x14ac:dyDescent="0.25">
      <c r="A102" s="84" t="s">
        <v>71</v>
      </c>
      <c r="B102" s="85" t="s">
        <v>214</v>
      </c>
      <c r="C102" s="86" t="s">
        <v>16</v>
      </c>
      <c r="D102" s="87">
        <f>D100</f>
        <v>60</v>
      </c>
      <c r="E102" s="88"/>
      <c r="F102" s="89"/>
    </row>
    <row r="103" spans="1:6" x14ac:dyDescent="0.25">
      <c r="A103" s="84" t="s">
        <v>132</v>
      </c>
      <c r="B103" s="200" t="s">
        <v>217</v>
      </c>
      <c r="C103" s="86" t="s">
        <v>16</v>
      </c>
      <c r="D103" s="87">
        <v>7.32</v>
      </c>
      <c r="E103" s="88"/>
      <c r="F103" s="89"/>
    </row>
    <row r="104" spans="1:6" x14ac:dyDescent="0.25">
      <c r="A104" s="84" t="s">
        <v>133</v>
      </c>
      <c r="B104" s="85" t="s">
        <v>218</v>
      </c>
      <c r="C104" s="86" t="s">
        <v>77</v>
      </c>
      <c r="D104" s="87">
        <v>6</v>
      </c>
      <c r="E104" s="88"/>
      <c r="F104" s="89"/>
    </row>
    <row r="105" spans="1:6" x14ac:dyDescent="0.25">
      <c r="A105" s="84" t="s">
        <v>351</v>
      </c>
      <c r="B105" s="85" t="s">
        <v>228</v>
      </c>
      <c r="C105" s="86" t="s">
        <v>16</v>
      </c>
      <c r="D105" s="87">
        <f>0.6*2.7+0.6*2.7</f>
        <v>3.24</v>
      </c>
      <c r="E105" s="88"/>
      <c r="F105" s="89"/>
    </row>
    <row r="106" spans="1:6" x14ac:dyDescent="0.25">
      <c r="A106" s="90"/>
      <c r="B106" s="91" t="s">
        <v>7</v>
      </c>
      <c r="C106" s="92"/>
      <c r="D106" s="92"/>
      <c r="E106" s="93"/>
      <c r="F106" s="94"/>
    </row>
    <row r="107" spans="1:6" x14ac:dyDescent="0.25">
      <c r="A107" s="90" t="s">
        <v>19</v>
      </c>
      <c r="B107" s="91" t="s">
        <v>169</v>
      </c>
      <c r="C107" s="92"/>
      <c r="D107" s="92"/>
      <c r="E107" s="93"/>
      <c r="F107" s="94"/>
    </row>
    <row r="108" spans="1:6" ht="26.4" x14ac:dyDescent="0.25">
      <c r="A108" s="84" t="s">
        <v>65</v>
      </c>
      <c r="B108" s="200" t="s">
        <v>171</v>
      </c>
      <c r="C108" s="119" t="s">
        <v>77</v>
      </c>
      <c r="D108" s="121">
        <f>4*3</f>
        <v>12</v>
      </c>
      <c r="E108" s="88"/>
      <c r="F108" s="89"/>
    </row>
    <row r="109" spans="1:6" ht="26.4" x14ac:dyDescent="0.25">
      <c r="A109" s="84" t="s">
        <v>66</v>
      </c>
      <c r="B109" s="122" t="s">
        <v>229</v>
      </c>
      <c r="C109" s="119" t="s">
        <v>16</v>
      </c>
      <c r="D109" s="3">
        <f>3*3.2</f>
        <v>9.6000000000000014</v>
      </c>
      <c r="E109" s="88"/>
      <c r="F109" s="89"/>
    </row>
    <row r="110" spans="1:6" x14ac:dyDescent="0.25">
      <c r="A110" s="90"/>
      <c r="B110" s="91" t="s">
        <v>7</v>
      </c>
      <c r="C110" s="92"/>
      <c r="D110" s="99"/>
      <c r="E110" s="93"/>
      <c r="F110" s="94"/>
    </row>
    <row r="111" spans="1:6" x14ac:dyDescent="0.25">
      <c r="A111" s="90" t="s">
        <v>22</v>
      </c>
      <c r="B111" s="91" t="s">
        <v>230</v>
      </c>
      <c r="C111" s="92"/>
      <c r="D111" s="99"/>
      <c r="E111" s="93"/>
      <c r="F111" s="94"/>
    </row>
    <row r="112" spans="1:6" ht="26.4" x14ac:dyDescent="0.25">
      <c r="A112" s="84" t="s">
        <v>63</v>
      </c>
      <c r="B112" s="122" t="s">
        <v>175</v>
      </c>
      <c r="C112" s="86" t="s">
        <v>21</v>
      </c>
      <c r="D112" s="87">
        <v>5</v>
      </c>
      <c r="E112" s="88"/>
      <c r="F112" s="89"/>
    </row>
    <row r="113" spans="1:6" ht="26.4" x14ac:dyDescent="0.25">
      <c r="A113" s="84" t="s">
        <v>64</v>
      </c>
      <c r="B113" s="122" t="s">
        <v>222</v>
      </c>
      <c r="C113" s="86" t="s">
        <v>21</v>
      </c>
      <c r="D113" s="87">
        <f>2</f>
        <v>2</v>
      </c>
      <c r="E113" s="88"/>
      <c r="F113" s="89"/>
    </row>
    <row r="114" spans="1:6" x14ac:dyDescent="0.25">
      <c r="A114" s="90"/>
      <c r="B114" s="91" t="s">
        <v>7</v>
      </c>
      <c r="C114" s="92"/>
      <c r="D114" s="99"/>
      <c r="E114" s="93"/>
      <c r="F114" s="94"/>
    </row>
    <row r="115" spans="1:6" x14ac:dyDescent="0.25">
      <c r="A115" s="90" t="s">
        <v>101</v>
      </c>
      <c r="B115" s="91" t="s">
        <v>102</v>
      </c>
      <c r="C115" s="92"/>
      <c r="D115" s="99"/>
      <c r="E115" s="93"/>
      <c r="F115" s="94"/>
    </row>
    <row r="116" spans="1:6" ht="26.4" x14ac:dyDescent="0.25">
      <c r="A116" s="84" t="s">
        <v>136</v>
      </c>
      <c r="B116" s="120" t="s">
        <v>103</v>
      </c>
      <c r="C116" s="86" t="s">
        <v>16</v>
      </c>
      <c r="D116" s="87">
        <v>0</v>
      </c>
      <c r="E116" s="88"/>
      <c r="F116" s="89"/>
    </row>
    <row r="117" spans="1:6" x14ac:dyDescent="0.25">
      <c r="A117" s="90"/>
      <c r="B117" s="91" t="s">
        <v>7</v>
      </c>
      <c r="C117" s="92"/>
      <c r="D117" s="99"/>
      <c r="E117" s="93"/>
      <c r="F117" s="94"/>
    </row>
    <row r="118" spans="1:6" x14ac:dyDescent="0.25">
      <c r="A118" s="90" t="s">
        <v>104</v>
      </c>
      <c r="B118" s="91" t="s">
        <v>138</v>
      </c>
      <c r="C118" s="92"/>
      <c r="D118" s="99"/>
      <c r="E118" s="93"/>
      <c r="F118" s="94"/>
    </row>
    <row r="119" spans="1:6" x14ac:dyDescent="0.25">
      <c r="A119" s="84" t="s">
        <v>365</v>
      </c>
      <c r="B119" s="85" t="s">
        <v>106</v>
      </c>
      <c r="C119" s="86" t="s">
        <v>16</v>
      </c>
      <c r="D119" s="87">
        <f>(0.9*2.2+1.2*1.2*2)*2</f>
        <v>9.7200000000000006</v>
      </c>
      <c r="E119" s="88"/>
      <c r="F119" s="89"/>
    </row>
    <row r="120" spans="1:6" x14ac:dyDescent="0.25">
      <c r="A120" s="84" t="s">
        <v>366</v>
      </c>
      <c r="B120" s="85" t="s">
        <v>107</v>
      </c>
      <c r="C120" s="86" t="s">
        <v>16</v>
      </c>
      <c r="D120" s="87">
        <f>2.7*4</f>
        <v>10.8</v>
      </c>
      <c r="E120" s="88"/>
      <c r="F120" s="89"/>
    </row>
    <row r="121" spans="1:6" x14ac:dyDescent="0.25">
      <c r="A121" s="84" t="s">
        <v>367</v>
      </c>
      <c r="B121" s="85" t="s">
        <v>108</v>
      </c>
      <c r="C121" s="86" t="s">
        <v>16</v>
      </c>
      <c r="D121" s="87">
        <f>D116</f>
        <v>0</v>
      </c>
      <c r="E121" s="88"/>
      <c r="F121" s="89"/>
    </row>
    <row r="122" spans="1:6" x14ac:dyDescent="0.25">
      <c r="A122" s="90"/>
      <c r="B122" s="91" t="s">
        <v>7</v>
      </c>
      <c r="C122" s="92"/>
      <c r="D122" s="99"/>
      <c r="E122" s="93"/>
      <c r="F122" s="94"/>
    </row>
    <row r="123" spans="1:6" x14ac:dyDescent="0.25">
      <c r="A123" s="90" t="s">
        <v>109</v>
      </c>
      <c r="B123" s="91" t="s">
        <v>160</v>
      </c>
      <c r="C123" s="92"/>
      <c r="D123" s="99"/>
      <c r="E123" s="93"/>
      <c r="F123" s="94"/>
    </row>
    <row r="124" spans="1:6" x14ac:dyDescent="0.25">
      <c r="A124" s="84" t="s">
        <v>368</v>
      </c>
      <c r="B124" s="85" t="s">
        <v>113</v>
      </c>
      <c r="C124" s="86" t="s">
        <v>21</v>
      </c>
      <c r="D124" s="87">
        <v>1</v>
      </c>
      <c r="E124" s="88"/>
      <c r="F124" s="89"/>
    </row>
    <row r="125" spans="1:6" x14ac:dyDescent="0.25">
      <c r="A125" s="84" t="s">
        <v>369</v>
      </c>
      <c r="B125" s="85" t="s">
        <v>210</v>
      </c>
      <c r="C125" s="86" t="s">
        <v>21</v>
      </c>
      <c r="D125" s="87">
        <v>1</v>
      </c>
      <c r="E125" s="88"/>
      <c r="F125" s="89"/>
    </row>
    <row r="126" spans="1:6" x14ac:dyDescent="0.25">
      <c r="A126" s="84"/>
      <c r="B126" s="91" t="s">
        <v>7</v>
      </c>
      <c r="C126" s="92"/>
      <c r="D126" s="99"/>
      <c r="E126" s="93"/>
      <c r="F126" s="94"/>
    </row>
    <row r="127" spans="1:6" x14ac:dyDescent="0.25">
      <c r="A127" s="90" t="s">
        <v>119</v>
      </c>
      <c r="B127" s="91" t="s">
        <v>154</v>
      </c>
      <c r="C127" s="92"/>
      <c r="D127" s="99"/>
      <c r="E127" s="93"/>
      <c r="F127" s="94"/>
    </row>
    <row r="128" spans="1:6" x14ac:dyDescent="0.25">
      <c r="A128" s="84" t="s">
        <v>439</v>
      </c>
      <c r="B128" s="85" t="s">
        <v>120</v>
      </c>
      <c r="C128" s="86" t="s">
        <v>21</v>
      </c>
      <c r="D128" s="87">
        <v>1</v>
      </c>
      <c r="E128" s="88"/>
      <c r="F128" s="89"/>
    </row>
    <row r="129" spans="1:6" x14ac:dyDescent="0.25">
      <c r="A129" s="90"/>
      <c r="B129" s="91" t="s">
        <v>7</v>
      </c>
      <c r="C129" s="92"/>
      <c r="D129" s="99"/>
      <c r="E129" s="93"/>
      <c r="F129" s="94"/>
    </row>
    <row r="130" spans="1:6" ht="13.8" thickBot="1" x14ac:dyDescent="0.3">
      <c r="A130" s="100"/>
      <c r="B130" s="101" t="s">
        <v>448</v>
      </c>
      <c r="C130" s="102"/>
      <c r="D130" s="102"/>
      <c r="E130" s="103"/>
      <c r="F130" s="104"/>
    </row>
    <row r="131" spans="1:6" ht="14.4" thickTop="1" thickBot="1" x14ac:dyDescent="0.3"/>
    <row r="132" spans="1:6" ht="14.4" thickTop="1" thickBot="1" x14ac:dyDescent="0.3">
      <c r="A132" s="293"/>
      <c r="B132" s="295" t="s">
        <v>299</v>
      </c>
      <c r="C132" s="294" t="s">
        <v>149</v>
      </c>
      <c r="D132" s="294">
        <v>1</v>
      </c>
      <c r="E132" s="298"/>
      <c r="F132" s="299"/>
    </row>
    <row r="133" spans="1:6" ht="14.4" thickTop="1" thickBot="1" x14ac:dyDescent="0.3"/>
    <row r="134" spans="1:6" ht="13.8" thickTop="1" x14ac:dyDescent="0.25">
      <c r="A134" s="449" t="s">
        <v>449</v>
      </c>
      <c r="B134" s="450"/>
      <c r="C134" s="450"/>
      <c r="D134" s="450"/>
      <c r="E134" s="450"/>
      <c r="F134" s="296"/>
    </row>
    <row r="135" spans="1:6" ht="13.8" thickBot="1" x14ac:dyDescent="0.3">
      <c r="A135" s="451" t="s">
        <v>450</v>
      </c>
      <c r="B135" s="452"/>
      <c r="C135" s="452"/>
      <c r="D135" s="452"/>
      <c r="E135" s="452"/>
      <c r="F135" s="297"/>
    </row>
    <row r="136" spans="1:6" ht="13.8" thickTop="1" x14ac:dyDescent="0.25"/>
  </sheetData>
  <mergeCells count="4">
    <mergeCell ref="A2:F2"/>
    <mergeCell ref="A3:F3"/>
    <mergeCell ref="A134:E134"/>
    <mergeCell ref="A135:E13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F112"/>
  <sheetViews>
    <sheetView workbookViewId="0">
      <selection activeCell="E7" sqref="E7"/>
    </sheetView>
  </sheetViews>
  <sheetFormatPr baseColWidth="10" defaultColWidth="11.5546875" defaultRowHeight="13.2" x14ac:dyDescent="0.25"/>
  <cols>
    <col min="1" max="1" width="6.88671875" style="274" customWidth="1"/>
    <col min="2" max="2" width="56.6640625" style="274" customWidth="1"/>
    <col min="3" max="3" width="8.44140625" style="274" customWidth="1"/>
    <col min="4" max="4" width="19.44140625" style="274" bestFit="1" customWidth="1"/>
    <col min="5" max="5" width="38.33203125" style="274" customWidth="1"/>
    <col min="6" max="16384" width="11.5546875" style="274"/>
  </cols>
  <sheetData>
    <row r="2" spans="1:6" s="123" customFormat="1" ht="13.8" x14ac:dyDescent="0.25">
      <c r="A2" s="401" t="s">
        <v>460</v>
      </c>
      <c r="B2" s="402"/>
      <c r="C2" s="402"/>
      <c r="D2" s="402"/>
      <c r="E2" s="403"/>
      <c r="F2" s="310"/>
    </row>
    <row r="3" spans="1:6" ht="17.399999999999999" customHeight="1" thickBot="1" x14ac:dyDescent="0.3">
      <c r="A3" s="447" t="s">
        <v>525</v>
      </c>
      <c r="B3" s="448"/>
      <c r="C3" s="448"/>
      <c r="D3" s="448"/>
      <c r="E3" s="448"/>
    </row>
    <row r="4" spans="1:6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3.8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/>
      <c r="B7" s="91" t="s">
        <v>7</v>
      </c>
      <c r="C7" s="92"/>
      <c r="D7" s="93"/>
      <c r="E7" s="94"/>
    </row>
    <row r="8" spans="1:6" x14ac:dyDescent="0.25">
      <c r="A8" s="90" t="s">
        <v>8</v>
      </c>
      <c r="B8" s="91" t="s">
        <v>9</v>
      </c>
      <c r="C8" s="92"/>
      <c r="D8" s="93"/>
      <c r="E8" s="94"/>
    </row>
    <row r="9" spans="1:6" x14ac:dyDescent="0.25">
      <c r="A9" s="84" t="s">
        <v>50</v>
      </c>
      <c r="B9" s="118" t="s">
        <v>162</v>
      </c>
      <c r="C9" s="86" t="s">
        <v>10</v>
      </c>
      <c r="D9" s="88"/>
      <c r="E9" s="89"/>
    </row>
    <row r="10" spans="1:6" x14ac:dyDescent="0.25">
      <c r="A10" s="84" t="s">
        <v>51</v>
      </c>
      <c r="B10" s="85" t="s">
        <v>11</v>
      </c>
      <c r="C10" s="86" t="s">
        <v>10</v>
      </c>
      <c r="D10" s="88"/>
      <c r="E10" s="89"/>
    </row>
    <row r="11" spans="1:6" x14ac:dyDescent="0.25">
      <c r="A11" s="84" t="s">
        <v>52</v>
      </c>
      <c r="B11" s="118" t="s">
        <v>211</v>
      </c>
      <c r="C11" s="86" t="s">
        <v>10</v>
      </c>
      <c r="D11" s="88"/>
      <c r="E11" s="89"/>
    </row>
    <row r="12" spans="1:6" x14ac:dyDescent="0.25">
      <c r="A12" s="90" t="s">
        <v>12</v>
      </c>
      <c r="B12" s="91" t="s">
        <v>13</v>
      </c>
      <c r="C12" s="92"/>
      <c r="D12" s="93"/>
      <c r="E12" s="94"/>
    </row>
    <row r="13" spans="1:6" ht="16.5" customHeight="1" x14ac:dyDescent="0.25">
      <c r="A13" s="84" t="s">
        <v>41</v>
      </c>
      <c r="B13" s="118" t="s">
        <v>163</v>
      </c>
      <c r="C13" s="119" t="s">
        <v>10</v>
      </c>
      <c r="D13" s="88"/>
      <c r="E13" s="89"/>
    </row>
    <row r="14" spans="1:6" x14ac:dyDescent="0.25">
      <c r="A14" s="84" t="s">
        <v>42</v>
      </c>
      <c r="B14" s="118" t="s">
        <v>164</v>
      </c>
      <c r="C14" s="119" t="s">
        <v>10</v>
      </c>
      <c r="D14" s="88"/>
      <c r="E14" s="89"/>
    </row>
    <row r="15" spans="1:6" ht="26.4" x14ac:dyDescent="0.25">
      <c r="A15" s="84" t="s">
        <v>43</v>
      </c>
      <c r="B15" s="118" t="s">
        <v>87</v>
      </c>
      <c r="C15" s="119" t="s">
        <v>10</v>
      </c>
      <c r="D15" s="88"/>
      <c r="E15" s="89"/>
    </row>
    <row r="16" spans="1:6" x14ac:dyDescent="0.25">
      <c r="A16" s="84" t="s">
        <v>44</v>
      </c>
      <c r="B16" s="118" t="s">
        <v>88</v>
      </c>
      <c r="C16" s="119" t="s">
        <v>10</v>
      </c>
      <c r="D16" s="88"/>
      <c r="E16" s="89"/>
    </row>
    <row r="17" spans="1:5" ht="26.4" x14ac:dyDescent="0.25">
      <c r="A17" s="84" t="s">
        <v>45</v>
      </c>
      <c r="B17" s="118" t="s">
        <v>89</v>
      </c>
      <c r="C17" s="119" t="s">
        <v>10</v>
      </c>
      <c r="D17" s="88"/>
      <c r="E17" s="89"/>
    </row>
    <row r="18" spans="1:5" ht="17.25" customHeight="1" x14ac:dyDescent="0.25">
      <c r="A18" s="84" t="s">
        <v>46</v>
      </c>
      <c r="B18" s="118" t="s">
        <v>91</v>
      </c>
      <c r="C18" s="119" t="s">
        <v>10</v>
      </c>
      <c r="D18" s="88"/>
      <c r="E18" s="89"/>
    </row>
    <row r="19" spans="1:5" x14ac:dyDescent="0.25">
      <c r="A19" s="84" t="s">
        <v>47</v>
      </c>
      <c r="B19" s="120" t="s">
        <v>92</v>
      </c>
      <c r="C19" s="119" t="s">
        <v>10</v>
      </c>
      <c r="D19" s="88"/>
      <c r="E19" s="89"/>
    </row>
    <row r="20" spans="1:5" x14ac:dyDescent="0.25">
      <c r="A20" s="84" t="s">
        <v>48</v>
      </c>
      <c r="B20" s="118" t="s">
        <v>93</v>
      </c>
      <c r="C20" s="119" t="s">
        <v>10</v>
      </c>
      <c r="D20" s="88"/>
      <c r="E20" s="89"/>
    </row>
    <row r="21" spans="1:5" x14ac:dyDescent="0.25">
      <c r="A21" s="84" t="s">
        <v>49</v>
      </c>
      <c r="B21" s="118" t="s">
        <v>94</v>
      </c>
      <c r="C21" s="119" t="s">
        <v>10</v>
      </c>
      <c r="D21" s="88"/>
      <c r="E21" s="89"/>
    </row>
    <row r="22" spans="1:5" x14ac:dyDescent="0.25">
      <c r="A22" s="84" t="s">
        <v>310</v>
      </c>
      <c r="B22" s="118" t="s">
        <v>95</v>
      </c>
      <c r="C22" s="119" t="s">
        <v>10</v>
      </c>
      <c r="D22" s="88"/>
      <c r="E22" s="89"/>
    </row>
    <row r="23" spans="1:5" x14ac:dyDescent="0.25">
      <c r="A23" s="84" t="s">
        <v>311</v>
      </c>
      <c r="B23" s="120" t="s">
        <v>97</v>
      </c>
      <c r="C23" s="119" t="s">
        <v>16</v>
      </c>
      <c r="D23" s="88"/>
      <c r="E23" s="89"/>
    </row>
    <row r="24" spans="1:5" x14ac:dyDescent="0.25">
      <c r="A24" s="84" t="s">
        <v>312</v>
      </c>
      <c r="B24" s="118" t="s">
        <v>98</v>
      </c>
      <c r="C24" s="119" t="s">
        <v>16</v>
      </c>
      <c r="D24" s="88"/>
      <c r="E24" s="89"/>
    </row>
    <row r="25" spans="1:5" x14ac:dyDescent="0.25">
      <c r="A25" s="90" t="s">
        <v>17</v>
      </c>
      <c r="B25" s="91" t="s">
        <v>18</v>
      </c>
      <c r="C25" s="92"/>
      <c r="D25" s="93"/>
      <c r="E25" s="94"/>
    </row>
    <row r="26" spans="1:5" ht="15.75" customHeight="1" x14ac:dyDescent="0.25">
      <c r="A26" s="84" t="s">
        <v>40</v>
      </c>
      <c r="B26" s="200" t="s">
        <v>183</v>
      </c>
      <c r="C26" s="86" t="s">
        <v>16</v>
      </c>
      <c r="D26" s="88"/>
      <c r="E26" s="89"/>
    </row>
    <row r="27" spans="1:5" x14ac:dyDescent="0.25">
      <c r="A27" s="84" t="s">
        <v>61</v>
      </c>
      <c r="B27" s="85" t="s">
        <v>99</v>
      </c>
      <c r="C27" s="86" t="s">
        <v>16</v>
      </c>
      <c r="D27" s="88"/>
      <c r="E27" s="89"/>
    </row>
    <row r="28" spans="1:5" x14ac:dyDescent="0.25">
      <c r="A28" s="84" t="s">
        <v>71</v>
      </c>
      <c r="B28" s="85" t="s">
        <v>214</v>
      </c>
      <c r="C28" s="86" t="s">
        <v>16</v>
      </c>
      <c r="D28" s="88"/>
      <c r="E28" s="89"/>
    </row>
    <row r="29" spans="1:5" x14ac:dyDescent="0.25">
      <c r="A29" s="84" t="s">
        <v>132</v>
      </c>
      <c r="B29" s="85" t="s">
        <v>217</v>
      </c>
      <c r="C29" s="86" t="s">
        <v>16</v>
      </c>
      <c r="D29" s="88"/>
      <c r="E29" s="89"/>
    </row>
    <row r="30" spans="1:5" x14ac:dyDescent="0.25">
      <c r="A30" s="84" t="s">
        <v>133</v>
      </c>
      <c r="B30" s="85" t="s">
        <v>218</v>
      </c>
      <c r="C30" s="86" t="s">
        <v>77</v>
      </c>
      <c r="D30" s="88"/>
      <c r="E30" s="89"/>
    </row>
    <row r="31" spans="1:5" x14ac:dyDescent="0.25">
      <c r="A31" s="90" t="s">
        <v>19</v>
      </c>
      <c r="B31" s="91" t="s">
        <v>169</v>
      </c>
      <c r="C31" s="92"/>
      <c r="D31" s="93"/>
      <c r="E31" s="94"/>
    </row>
    <row r="32" spans="1:5" ht="26.4" x14ac:dyDescent="0.25">
      <c r="A32" s="84" t="s">
        <v>65</v>
      </c>
      <c r="B32" s="200" t="s">
        <v>171</v>
      </c>
      <c r="C32" s="119" t="s">
        <v>77</v>
      </c>
      <c r="D32" s="88"/>
      <c r="E32" s="89"/>
    </row>
    <row r="33" spans="1:5" x14ac:dyDescent="0.25">
      <c r="A33" s="84" t="s">
        <v>66</v>
      </c>
      <c r="B33" s="122" t="s">
        <v>219</v>
      </c>
      <c r="C33" s="119" t="s">
        <v>16</v>
      </c>
      <c r="D33" s="88"/>
      <c r="E33" s="89"/>
    </row>
    <row r="34" spans="1:5" ht="26.4" x14ac:dyDescent="0.25">
      <c r="A34" s="84" t="s">
        <v>67</v>
      </c>
      <c r="B34" s="105" t="s">
        <v>389</v>
      </c>
      <c r="C34" s="218" t="s">
        <v>21</v>
      </c>
      <c r="D34" s="216"/>
      <c r="E34" s="217"/>
    </row>
    <row r="35" spans="1:5" x14ac:dyDescent="0.25">
      <c r="A35" s="90" t="s">
        <v>22</v>
      </c>
      <c r="B35" s="91" t="s">
        <v>220</v>
      </c>
      <c r="C35" s="92"/>
      <c r="D35" s="93"/>
      <c r="E35" s="94"/>
    </row>
    <row r="36" spans="1:5" ht="26.4" x14ac:dyDescent="0.25">
      <c r="A36" s="84" t="s">
        <v>63</v>
      </c>
      <c r="B36" s="122" t="s">
        <v>221</v>
      </c>
      <c r="C36" s="86" t="s">
        <v>21</v>
      </c>
      <c r="D36" s="88"/>
      <c r="E36" s="89"/>
    </row>
    <row r="37" spans="1:5" ht="36" customHeight="1" x14ac:dyDescent="0.25">
      <c r="A37" s="84" t="s">
        <v>64</v>
      </c>
      <c r="B37" s="122" t="s">
        <v>175</v>
      </c>
      <c r="C37" s="86" t="s">
        <v>21</v>
      </c>
      <c r="D37" s="88"/>
      <c r="E37" s="89"/>
    </row>
    <row r="38" spans="1:5" ht="26.25" customHeight="1" x14ac:dyDescent="0.25">
      <c r="A38" s="84" t="s">
        <v>74</v>
      </c>
      <c r="B38" s="122" t="s">
        <v>222</v>
      </c>
      <c r="C38" s="86" t="s">
        <v>21</v>
      </c>
      <c r="D38" s="88"/>
      <c r="E38" s="89"/>
    </row>
    <row r="39" spans="1:5" ht="26.25" customHeight="1" x14ac:dyDescent="0.25">
      <c r="A39" s="84" t="s">
        <v>75</v>
      </c>
      <c r="B39" s="122" t="s">
        <v>223</v>
      </c>
      <c r="C39" s="86" t="s">
        <v>21</v>
      </c>
      <c r="D39" s="88"/>
      <c r="E39" s="89"/>
    </row>
    <row r="40" spans="1:5" ht="40.5" customHeight="1" x14ac:dyDescent="0.25">
      <c r="A40" s="84" t="s">
        <v>76</v>
      </c>
      <c r="B40" s="122" t="s">
        <v>224</v>
      </c>
      <c r="C40" s="86" t="s">
        <v>21</v>
      </c>
      <c r="D40" s="88"/>
      <c r="E40" s="89"/>
    </row>
    <row r="41" spans="1:5" ht="42" customHeight="1" x14ac:dyDescent="0.25">
      <c r="A41" s="84" t="s">
        <v>383</v>
      </c>
      <c r="B41" s="122" t="s">
        <v>225</v>
      </c>
      <c r="C41" s="86" t="s">
        <v>21</v>
      </c>
      <c r="D41" s="88"/>
      <c r="E41" s="89"/>
    </row>
    <row r="42" spans="1:5" ht="39.75" customHeight="1" x14ac:dyDescent="0.25">
      <c r="A42" s="84" t="s">
        <v>445</v>
      </c>
      <c r="B42" s="122" t="s">
        <v>226</v>
      </c>
      <c r="C42" s="86" t="s">
        <v>21</v>
      </c>
      <c r="D42" s="88"/>
      <c r="E42" s="89"/>
    </row>
    <row r="43" spans="1:5" ht="26.25" customHeight="1" x14ac:dyDescent="0.25">
      <c r="A43" s="84" t="s">
        <v>446</v>
      </c>
      <c r="B43" s="122" t="s">
        <v>223</v>
      </c>
      <c r="C43" s="86" t="s">
        <v>21</v>
      </c>
      <c r="D43" s="88"/>
      <c r="E43" s="89"/>
    </row>
    <row r="44" spans="1:5" x14ac:dyDescent="0.25">
      <c r="A44" s="90" t="s">
        <v>101</v>
      </c>
      <c r="B44" s="91" t="s">
        <v>102</v>
      </c>
      <c r="C44" s="92"/>
      <c r="D44" s="93"/>
      <c r="E44" s="94"/>
    </row>
    <row r="45" spans="1:5" ht="26.4" x14ac:dyDescent="0.25">
      <c r="A45" s="84" t="s">
        <v>136</v>
      </c>
      <c r="B45" s="120" t="s">
        <v>103</v>
      </c>
      <c r="C45" s="86" t="s">
        <v>16</v>
      </c>
      <c r="D45" s="88"/>
      <c r="E45" s="89"/>
    </row>
    <row r="46" spans="1:5" x14ac:dyDescent="0.25">
      <c r="A46" s="90" t="s">
        <v>104</v>
      </c>
      <c r="B46" s="91" t="s">
        <v>138</v>
      </c>
      <c r="C46" s="92"/>
      <c r="D46" s="93"/>
      <c r="E46" s="94"/>
    </row>
    <row r="47" spans="1:5" x14ac:dyDescent="0.25">
      <c r="A47" s="84" t="s">
        <v>365</v>
      </c>
      <c r="B47" s="85" t="s">
        <v>106</v>
      </c>
      <c r="C47" s="86" t="s">
        <v>16</v>
      </c>
      <c r="D47" s="88"/>
      <c r="E47" s="89"/>
    </row>
    <row r="48" spans="1:5" x14ac:dyDescent="0.25">
      <c r="A48" s="84" t="s">
        <v>366</v>
      </c>
      <c r="B48" s="85" t="s">
        <v>107</v>
      </c>
      <c r="C48" s="86" t="s">
        <v>16</v>
      </c>
      <c r="D48" s="88"/>
      <c r="E48" s="89"/>
    </row>
    <row r="49" spans="1:5" x14ac:dyDescent="0.25">
      <c r="A49" s="84" t="s">
        <v>367</v>
      </c>
      <c r="B49" s="85" t="s">
        <v>108</v>
      </c>
      <c r="C49" s="86" t="s">
        <v>16</v>
      </c>
      <c r="D49" s="88"/>
      <c r="E49" s="89"/>
    </row>
    <row r="50" spans="1:5" x14ac:dyDescent="0.25">
      <c r="A50" s="90" t="s">
        <v>109</v>
      </c>
      <c r="B50" s="91" t="s">
        <v>160</v>
      </c>
      <c r="C50" s="92"/>
      <c r="D50" s="93"/>
      <c r="E50" s="94"/>
    </row>
    <row r="51" spans="1:5" x14ac:dyDescent="0.25">
      <c r="A51" s="84" t="s">
        <v>368</v>
      </c>
      <c r="B51" s="116" t="s">
        <v>447</v>
      </c>
      <c r="C51" s="86" t="s">
        <v>111</v>
      </c>
      <c r="D51" s="88"/>
      <c r="E51" s="89"/>
    </row>
    <row r="52" spans="1:5" ht="66" x14ac:dyDescent="0.25">
      <c r="A52" s="84" t="s">
        <v>369</v>
      </c>
      <c r="B52" s="105" t="s">
        <v>112</v>
      </c>
      <c r="C52" s="86" t="s">
        <v>6</v>
      </c>
      <c r="D52" s="88"/>
      <c r="E52" s="89"/>
    </row>
    <row r="53" spans="1:5" x14ac:dyDescent="0.25">
      <c r="A53" s="84" t="s">
        <v>370</v>
      </c>
      <c r="B53" s="85" t="s">
        <v>113</v>
      </c>
      <c r="C53" s="86" t="s">
        <v>21</v>
      </c>
      <c r="D53" s="88"/>
      <c r="E53" s="89"/>
    </row>
    <row r="54" spans="1:5" x14ac:dyDescent="0.25">
      <c r="A54" s="84" t="s">
        <v>371</v>
      </c>
      <c r="B54" s="85" t="s">
        <v>114</v>
      </c>
      <c r="C54" s="86" t="s">
        <v>21</v>
      </c>
      <c r="D54" s="88"/>
      <c r="E54" s="89"/>
    </row>
    <row r="55" spans="1:5" x14ac:dyDescent="0.25">
      <c r="A55" s="84" t="s">
        <v>372</v>
      </c>
      <c r="B55" s="85" t="s">
        <v>115</v>
      </c>
      <c r="C55" s="86" t="s">
        <v>21</v>
      </c>
      <c r="D55" s="88"/>
      <c r="E55" s="89"/>
    </row>
    <row r="56" spans="1:5" x14ac:dyDescent="0.25">
      <c r="A56" s="84" t="s">
        <v>373</v>
      </c>
      <c r="B56" s="85" t="s">
        <v>116</v>
      </c>
      <c r="C56" s="86" t="s">
        <v>21</v>
      </c>
      <c r="D56" s="88"/>
      <c r="E56" s="89"/>
    </row>
    <row r="57" spans="1:5" x14ac:dyDescent="0.25">
      <c r="A57" s="84" t="s">
        <v>374</v>
      </c>
      <c r="B57" s="85" t="s">
        <v>117</v>
      </c>
      <c r="C57" s="86" t="s">
        <v>21</v>
      </c>
      <c r="D57" s="88"/>
      <c r="E57" s="89"/>
    </row>
    <row r="58" spans="1:5" ht="39.6" x14ac:dyDescent="0.25">
      <c r="A58" s="84" t="s">
        <v>375</v>
      </c>
      <c r="B58" s="116" t="s">
        <v>118</v>
      </c>
      <c r="C58" s="86" t="s">
        <v>21</v>
      </c>
      <c r="D58" s="88"/>
      <c r="E58" s="89"/>
    </row>
    <row r="59" spans="1:5" x14ac:dyDescent="0.25">
      <c r="A59" s="90" t="s">
        <v>119</v>
      </c>
      <c r="B59" s="91" t="s">
        <v>154</v>
      </c>
      <c r="C59" s="92"/>
      <c r="D59" s="93"/>
      <c r="E59" s="94"/>
    </row>
    <row r="60" spans="1:5" x14ac:dyDescent="0.25">
      <c r="A60" s="84" t="s">
        <v>439</v>
      </c>
      <c r="B60" s="85" t="s">
        <v>120</v>
      </c>
      <c r="C60" s="86" t="s">
        <v>21</v>
      </c>
      <c r="D60" s="88"/>
      <c r="E60" s="89"/>
    </row>
    <row r="62" spans="1:5" x14ac:dyDescent="0.25">
      <c r="B62" s="274" t="s">
        <v>298</v>
      </c>
    </row>
    <row r="63" spans="1:5" ht="13.8" thickBot="1" x14ac:dyDescent="0.3"/>
    <row r="64" spans="1:5" ht="14.4" thickTop="1" thickBot="1" x14ac:dyDescent="0.3">
      <c r="A64" s="11" t="s">
        <v>78</v>
      </c>
      <c r="B64" s="130" t="s">
        <v>30</v>
      </c>
      <c r="C64" s="209" t="s">
        <v>2</v>
      </c>
      <c r="D64" s="210" t="s">
        <v>307</v>
      </c>
      <c r="E64" s="211" t="s">
        <v>308</v>
      </c>
    </row>
    <row r="65" spans="1:5" ht="13.8" thickTop="1" x14ac:dyDescent="0.25">
      <c r="A65" s="79" t="s">
        <v>0</v>
      </c>
      <c r="B65" s="80" t="s">
        <v>1</v>
      </c>
      <c r="C65" s="81"/>
      <c r="D65" s="82"/>
      <c r="E65" s="83"/>
    </row>
    <row r="66" spans="1:5" x14ac:dyDescent="0.25">
      <c r="A66" s="84" t="s">
        <v>25</v>
      </c>
      <c r="B66" s="85" t="s">
        <v>73</v>
      </c>
      <c r="C66" s="86" t="s">
        <v>16</v>
      </c>
      <c r="D66" s="88"/>
      <c r="E66" s="89"/>
    </row>
    <row r="67" spans="1:5" x14ac:dyDescent="0.25">
      <c r="A67" s="90" t="s">
        <v>8</v>
      </c>
      <c r="B67" s="91" t="s">
        <v>9</v>
      </c>
      <c r="C67" s="92"/>
      <c r="D67" s="93"/>
      <c r="E67" s="94"/>
    </row>
    <row r="68" spans="1:5" x14ac:dyDescent="0.25">
      <c r="A68" s="84" t="s">
        <v>50</v>
      </c>
      <c r="B68" s="118" t="s">
        <v>162</v>
      </c>
      <c r="C68" s="86" t="s">
        <v>10</v>
      </c>
      <c r="D68" s="88"/>
      <c r="E68" s="89"/>
    </row>
    <row r="69" spans="1:5" x14ac:dyDescent="0.25">
      <c r="A69" s="84" t="s">
        <v>51</v>
      </c>
      <c r="B69" s="85" t="s">
        <v>11</v>
      </c>
      <c r="C69" s="86" t="s">
        <v>10</v>
      </c>
      <c r="D69" s="88"/>
      <c r="E69" s="89"/>
    </row>
    <row r="70" spans="1:5" x14ac:dyDescent="0.25">
      <c r="A70" s="84" t="s">
        <v>52</v>
      </c>
      <c r="B70" s="118" t="s">
        <v>211</v>
      </c>
      <c r="C70" s="86" t="s">
        <v>10</v>
      </c>
      <c r="D70" s="88"/>
      <c r="E70" s="89"/>
    </row>
    <row r="71" spans="1:5" x14ac:dyDescent="0.25">
      <c r="A71" s="90" t="s">
        <v>12</v>
      </c>
      <c r="B71" s="91" t="s">
        <v>13</v>
      </c>
      <c r="C71" s="92"/>
      <c r="D71" s="93"/>
      <c r="E71" s="94"/>
    </row>
    <row r="72" spans="1:5" x14ac:dyDescent="0.25">
      <c r="A72" s="84" t="s">
        <v>41</v>
      </c>
      <c r="B72" s="118" t="s">
        <v>163</v>
      </c>
      <c r="C72" s="119" t="s">
        <v>10</v>
      </c>
      <c r="D72" s="88"/>
      <c r="E72" s="89"/>
    </row>
    <row r="73" spans="1:5" x14ac:dyDescent="0.25">
      <c r="A73" s="84" t="s">
        <v>42</v>
      </c>
      <c r="B73" s="118" t="s">
        <v>164</v>
      </c>
      <c r="C73" s="119" t="s">
        <v>10</v>
      </c>
      <c r="D73" s="88"/>
      <c r="E73" s="89"/>
    </row>
    <row r="74" spans="1:5" ht="26.4" x14ac:dyDescent="0.25">
      <c r="A74" s="84" t="s">
        <v>43</v>
      </c>
      <c r="B74" s="118" t="s">
        <v>87</v>
      </c>
      <c r="C74" s="119" t="s">
        <v>10</v>
      </c>
      <c r="D74" s="88"/>
      <c r="E74" s="89"/>
    </row>
    <row r="75" spans="1:5" x14ac:dyDescent="0.25">
      <c r="A75" s="84" t="s">
        <v>44</v>
      </c>
      <c r="B75" s="118" t="s">
        <v>88</v>
      </c>
      <c r="C75" s="119" t="s">
        <v>10</v>
      </c>
      <c r="D75" s="88"/>
      <c r="E75" s="89"/>
    </row>
    <row r="76" spans="1:5" ht="39.6" x14ac:dyDescent="0.25">
      <c r="A76" s="84" t="s">
        <v>45</v>
      </c>
      <c r="B76" s="118" t="s">
        <v>426</v>
      </c>
      <c r="C76" s="119" t="s">
        <v>10</v>
      </c>
      <c r="D76" s="88"/>
      <c r="E76" s="89"/>
    </row>
    <row r="77" spans="1:5" x14ac:dyDescent="0.25">
      <c r="A77" s="84" t="s">
        <v>46</v>
      </c>
      <c r="B77" s="118" t="s">
        <v>91</v>
      </c>
      <c r="C77" s="119" t="s">
        <v>10</v>
      </c>
      <c r="D77" s="88"/>
      <c r="E77" s="89"/>
    </row>
    <row r="78" spans="1:5" x14ac:dyDescent="0.25">
      <c r="A78" s="84" t="s">
        <v>47</v>
      </c>
      <c r="B78" s="120" t="s">
        <v>92</v>
      </c>
      <c r="C78" s="119" t="s">
        <v>10</v>
      </c>
      <c r="D78" s="88"/>
      <c r="E78" s="89"/>
    </row>
    <row r="79" spans="1:5" x14ac:dyDescent="0.25">
      <c r="A79" s="84" t="s">
        <v>48</v>
      </c>
      <c r="B79" s="118" t="s">
        <v>93</v>
      </c>
      <c r="C79" s="119" t="s">
        <v>10</v>
      </c>
      <c r="D79" s="88"/>
      <c r="E79" s="89"/>
    </row>
    <row r="80" spans="1:5" x14ac:dyDescent="0.25">
      <c r="A80" s="84" t="s">
        <v>49</v>
      </c>
      <c r="B80" s="118" t="s">
        <v>94</v>
      </c>
      <c r="C80" s="119" t="s">
        <v>10</v>
      </c>
      <c r="D80" s="88"/>
      <c r="E80" s="89"/>
    </row>
    <row r="81" spans="1:5" x14ac:dyDescent="0.25">
      <c r="A81" s="84" t="s">
        <v>310</v>
      </c>
      <c r="B81" s="118" t="s">
        <v>227</v>
      </c>
      <c r="C81" s="119" t="s">
        <v>10</v>
      </c>
      <c r="D81" s="88"/>
      <c r="E81" s="89"/>
    </row>
    <row r="82" spans="1:5" x14ac:dyDescent="0.25">
      <c r="A82" s="84" t="s">
        <v>311</v>
      </c>
      <c r="B82" s="118" t="s">
        <v>95</v>
      </c>
      <c r="C82" s="119" t="s">
        <v>10</v>
      </c>
      <c r="D82" s="88"/>
      <c r="E82" s="89"/>
    </row>
    <row r="83" spans="1:5" x14ac:dyDescent="0.25">
      <c r="A83" s="84" t="s">
        <v>312</v>
      </c>
      <c r="B83" s="120" t="s">
        <v>97</v>
      </c>
      <c r="C83" s="119" t="s">
        <v>16</v>
      </c>
      <c r="D83" s="88"/>
      <c r="E83" s="89"/>
    </row>
    <row r="84" spans="1:5" x14ac:dyDescent="0.25">
      <c r="A84" s="84" t="s">
        <v>156</v>
      </c>
      <c r="B84" s="118" t="s">
        <v>98</v>
      </c>
      <c r="C84" s="119" t="s">
        <v>16</v>
      </c>
      <c r="D84" s="88"/>
      <c r="E84" s="89"/>
    </row>
    <row r="85" spans="1:5" x14ac:dyDescent="0.25">
      <c r="A85" s="90" t="s">
        <v>17</v>
      </c>
      <c r="B85" s="91" t="s">
        <v>18</v>
      </c>
      <c r="C85" s="92"/>
      <c r="D85" s="93"/>
      <c r="E85" s="94"/>
    </row>
    <row r="86" spans="1:5" x14ac:dyDescent="0.25">
      <c r="A86" s="84" t="s">
        <v>40</v>
      </c>
      <c r="B86" s="200" t="s">
        <v>183</v>
      </c>
      <c r="C86" s="86" t="s">
        <v>16</v>
      </c>
      <c r="D86" s="88"/>
      <c r="E86" s="89"/>
    </row>
    <row r="87" spans="1:5" x14ac:dyDescent="0.25">
      <c r="A87" s="84" t="s">
        <v>61</v>
      </c>
      <c r="B87" s="85" t="s">
        <v>99</v>
      </c>
      <c r="C87" s="86" t="s">
        <v>16</v>
      </c>
      <c r="D87" s="88"/>
      <c r="E87" s="89"/>
    </row>
    <row r="88" spans="1:5" x14ac:dyDescent="0.25">
      <c r="A88" s="84" t="s">
        <v>71</v>
      </c>
      <c r="B88" s="85" t="s">
        <v>214</v>
      </c>
      <c r="C88" s="86" t="s">
        <v>16</v>
      </c>
      <c r="D88" s="88"/>
      <c r="E88" s="89"/>
    </row>
    <row r="89" spans="1:5" x14ac:dyDescent="0.25">
      <c r="A89" s="84" t="s">
        <v>132</v>
      </c>
      <c r="B89" s="200" t="s">
        <v>217</v>
      </c>
      <c r="C89" s="86" t="s">
        <v>16</v>
      </c>
      <c r="D89" s="88"/>
      <c r="E89" s="89"/>
    </row>
    <row r="90" spans="1:5" x14ac:dyDescent="0.25">
      <c r="A90" s="84" t="s">
        <v>133</v>
      </c>
      <c r="B90" s="85" t="s">
        <v>218</v>
      </c>
      <c r="C90" s="86" t="s">
        <v>77</v>
      </c>
      <c r="D90" s="88"/>
      <c r="E90" s="89"/>
    </row>
    <row r="91" spans="1:5" x14ac:dyDescent="0.25">
      <c r="A91" s="84" t="s">
        <v>351</v>
      </c>
      <c r="B91" s="85" t="s">
        <v>228</v>
      </c>
      <c r="C91" s="86" t="s">
        <v>16</v>
      </c>
      <c r="D91" s="88"/>
      <c r="E91" s="89"/>
    </row>
    <row r="92" spans="1:5" x14ac:dyDescent="0.25">
      <c r="A92" s="90" t="s">
        <v>19</v>
      </c>
      <c r="B92" s="91" t="s">
        <v>169</v>
      </c>
      <c r="C92" s="92"/>
      <c r="D92" s="93"/>
      <c r="E92" s="94"/>
    </row>
    <row r="93" spans="1:5" ht="26.4" x14ac:dyDescent="0.25">
      <c r="A93" s="84" t="s">
        <v>65</v>
      </c>
      <c r="B93" s="200" t="s">
        <v>171</v>
      </c>
      <c r="C93" s="119" t="s">
        <v>77</v>
      </c>
      <c r="D93" s="88"/>
      <c r="E93" s="89"/>
    </row>
    <row r="94" spans="1:5" x14ac:dyDescent="0.25">
      <c r="A94" s="84" t="s">
        <v>66</v>
      </c>
      <c r="B94" s="122" t="s">
        <v>229</v>
      </c>
      <c r="C94" s="119" t="s">
        <v>16</v>
      </c>
      <c r="D94" s="88"/>
      <c r="E94" s="89"/>
    </row>
    <row r="95" spans="1:5" x14ac:dyDescent="0.25">
      <c r="A95" s="90" t="s">
        <v>22</v>
      </c>
      <c r="B95" s="91" t="s">
        <v>230</v>
      </c>
      <c r="C95" s="92"/>
      <c r="D95" s="93"/>
      <c r="E95" s="94"/>
    </row>
    <row r="96" spans="1:5" ht="26.4" x14ac:dyDescent="0.25">
      <c r="A96" s="84" t="s">
        <v>63</v>
      </c>
      <c r="B96" s="122" t="s">
        <v>175</v>
      </c>
      <c r="C96" s="86" t="s">
        <v>21</v>
      </c>
      <c r="D96" s="88"/>
      <c r="E96" s="89"/>
    </row>
    <row r="97" spans="1:5" x14ac:dyDescent="0.25">
      <c r="A97" s="84" t="s">
        <v>64</v>
      </c>
      <c r="B97" s="122" t="s">
        <v>222</v>
      </c>
      <c r="C97" s="86" t="s">
        <v>21</v>
      </c>
      <c r="D97" s="88"/>
      <c r="E97" s="89"/>
    </row>
    <row r="98" spans="1:5" x14ac:dyDescent="0.25">
      <c r="A98" s="90" t="s">
        <v>101</v>
      </c>
      <c r="B98" s="91" t="s">
        <v>102</v>
      </c>
      <c r="C98" s="92"/>
      <c r="D98" s="93"/>
      <c r="E98" s="94"/>
    </row>
    <row r="99" spans="1:5" ht="26.4" x14ac:dyDescent="0.25">
      <c r="A99" s="84" t="s">
        <v>136</v>
      </c>
      <c r="B99" s="120" t="s">
        <v>103</v>
      </c>
      <c r="C99" s="86" t="s">
        <v>16</v>
      </c>
      <c r="D99" s="88"/>
      <c r="E99" s="89"/>
    </row>
    <row r="100" spans="1:5" x14ac:dyDescent="0.25">
      <c r="A100" s="90" t="s">
        <v>104</v>
      </c>
      <c r="B100" s="91" t="s">
        <v>138</v>
      </c>
      <c r="C100" s="92"/>
      <c r="D100" s="93"/>
      <c r="E100" s="94"/>
    </row>
    <row r="101" spans="1:5" x14ac:dyDescent="0.25">
      <c r="A101" s="84" t="s">
        <v>365</v>
      </c>
      <c r="B101" s="85" t="s">
        <v>106</v>
      </c>
      <c r="C101" s="86" t="s">
        <v>16</v>
      </c>
      <c r="D101" s="88"/>
      <c r="E101" s="89"/>
    </row>
    <row r="102" spans="1:5" x14ac:dyDescent="0.25">
      <c r="A102" s="84" t="s">
        <v>366</v>
      </c>
      <c r="B102" s="85" t="s">
        <v>107</v>
      </c>
      <c r="C102" s="86" t="s">
        <v>16</v>
      </c>
      <c r="D102" s="88"/>
      <c r="E102" s="89"/>
    </row>
    <row r="103" spans="1:5" x14ac:dyDescent="0.25">
      <c r="A103" s="84" t="s">
        <v>367</v>
      </c>
      <c r="B103" s="85" t="s">
        <v>108</v>
      </c>
      <c r="C103" s="86" t="s">
        <v>16</v>
      </c>
      <c r="D103" s="88"/>
      <c r="E103" s="89"/>
    </row>
    <row r="104" spans="1:5" x14ac:dyDescent="0.25">
      <c r="A104" s="90" t="s">
        <v>109</v>
      </c>
      <c r="B104" s="91" t="s">
        <v>160</v>
      </c>
      <c r="C104" s="92"/>
      <c r="D104" s="93"/>
      <c r="E104" s="94"/>
    </row>
    <row r="105" spans="1:5" x14ac:dyDescent="0.25">
      <c r="A105" s="84" t="s">
        <v>368</v>
      </c>
      <c r="B105" s="85" t="s">
        <v>113</v>
      </c>
      <c r="C105" s="86" t="s">
        <v>21</v>
      </c>
      <c r="D105" s="88"/>
      <c r="E105" s="89"/>
    </row>
    <row r="106" spans="1:5" x14ac:dyDescent="0.25">
      <c r="A106" s="84" t="s">
        <v>369</v>
      </c>
      <c r="B106" s="85" t="s">
        <v>210</v>
      </c>
      <c r="C106" s="86" t="s">
        <v>21</v>
      </c>
      <c r="D106" s="88"/>
      <c r="E106" s="89"/>
    </row>
    <row r="107" spans="1:5" x14ac:dyDescent="0.25">
      <c r="A107" s="90" t="s">
        <v>119</v>
      </c>
      <c r="B107" s="91" t="s">
        <v>154</v>
      </c>
      <c r="C107" s="92"/>
      <c r="D107" s="93"/>
      <c r="E107" s="94"/>
    </row>
    <row r="108" spans="1:5" x14ac:dyDescent="0.25">
      <c r="A108" s="84" t="s">
        <v>439</v>
      </c>
      <c r="B108" s="85" t="s">
        <v>120</v>
      </c>
      <c r="C108" s="86" t="s">
        <v>21</v>
      </c>
      <c r="D108" s="88"/>
      <c r="E108" s="89"/>
    </row>
    <row r="112" spans="1:5" x14ac:dyDescent="0.25">
      <c r="E112" s="275"/>
    </row>
  </sheetData>
  <mergeCells count="2"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67"/>
  <sheetViews>
    <sheetView zoomScale="110" zoomScaleNormal="110" workbookViewId="0">
      <selection activeCell="B3" sqref="B3"/>
    </sheetView>
  </sheetViews>
  <sheetFormatPr baseColWidth="10" defaultColWidth="11.5546875" defaultRowHeight="13.2" x14ac:dyDescent="0.25"/>
  <cols>
    <col min="1" max="1" width="5.88671875" style="276" bestFit="1" customWidth="1"/>
    <col min="2" max="2" width="43.109375" style="276" customWidth="1"/>
    <col min="3" max="16384" width="11.5546875" style="276"/>
  </cols>
  <sheetData>
    <row r="1" spans="1:6" s="123" customFormat="1" ht="13.8" x14ac:dyDescent="0.25">
      <c r="A1" s="397" t="s">
        <v>460</v>
      </c>
      <c r="B1" s="397"/>
      <c r="C1" s="397"/>
      <c r="D1" s="397"/>
      <c r="E1" s="397"/>
      <c r="F1" s="397"/>
    </row>
    <row r="2" spans="1:6" s="123" customFormat="1" ht="13.8" thickBot="1" x14ac:dyDescent="0.3">
      <c r="A2" s="389" t="s">
        <v>393</v>
      </c>
      <c r="B2" s="390"/>
      <c r="C2" s="390"/>
      <c r="D2" s="390"/>
      <c r="E2" s="390"/>
      <c r="F2" s="391"/>
    </row>
    <row r="3" spans="1:6" ht="14.4" thickTop="1" thickBot="1" x14ac:dyDescent="0.3">
      <c r="A3" s="227" t="s">
        <v>121</v>
      </c>
      <c r="B3" s="227" t="s">
        <v>122</v>
      </c>
      <c r="C3" s="227" t="s">
        <v>123</v>
      </c>
      <c r="D3" s="227" t="s">
        <v>124</v>
      </c>
      <c r="E3" s="228" t="s">
        <v>125</v>
      </c>
      <c r="F3" s="228" t="s">
        <v>126</v>
      </c>
    </row>
    <row r="4" spans="1:6" ht="13.8" thickTop="1" x14ac:dyDescent="0.25">
      <c r="A4" s="179" t="s">
        <v>0</v>
      </c>
      <c r="B4" s="180" t="s">
        <v>9</v>
      </c>
      <c r="C4" s="179"/>
      <c r="D4" s="179"/>
      <c r="E4" s="181"/>
      <c r="F4" s="182"/>
    </row>
    <row r="5" spans="1:6" x14ac:dyDescent="0.25">
      <c r="A5" s="119" t="s">
        <v>25</v>
      </c>
      <c r="B5" s="212" t="s">
        <v>73</v>
      </c>
      <c r="C5" s="119" t="s">
        <v>16</v>
      </c>
      <c r="D5" s="121">
        <v>72.319999999999993</v>
      </c>
      <c r="E5" s="124"/>
      <c r="F5" s="182"/>
    </row>
    <row r="6" spans="1:6" x14ac:dyDescent="0.25">
      <c r="A6" s="119" t="s">
        <v>128</v>
      </c>
      <c r="B6" s="212" t="s">
        <v>27</v>
      </c>
      <c r="C6" s="119" t="s">
        <v>10</v>
      </c>
      <c r="D6" s="121">
        <v>10.54</v>
      </c>
      <c r="E6" s="124"/>
      <c r="F6" s="182"/>
    </row>
    <row r="7" spans="1:6" x14ac:dyDescent="0.25">
      <c r="A7" s="119" t="s">
        <v>129</v>
      </c>
      <c r="B7" s="212" t="s">
        <v>11</v>
      </c>
      <c r="C7" s="119" t="s">
        <v>10</v>
      </c>
      <c r="D7" s="121">
        <v>7.5540000000000003</v>
      </c>
      <c r="E7" s="124"/>
      <c r="F7" s="182"/>
    </row>
    <row r="8" spans="1:6" x14ac:dyDescent="0.25">
      <c r="A8" s="119" t="s">
        <v>130</v>
      </c>
      <c r="B8" s="212" t="s">
        <v>245</v>
      </c>
      <c r="C8" s="119" t="s">
        <v>10</v>
      </c>
      <c r="D8" s="121">
        <v>11.16</v>
      </c>
      <c r="E8" s="124"/>
      <c r="F8" s="182"/>
    </row>
    <row r="9" spans="1:6" x14ac:dyDescent="0.25">
      <c r="A9" s="179"/>
      <c r="B9" s="183" t="s">
        <v>7</v>
      </c>
      <c r="C9" s="179"/>
      <c r="D9" s="121"/>
      <c r="E9" s="181"/>
      <c r="F9" s="182"/>
    </row>
    <row r="10" spans="1:6" x14ac:dyDescent="0.25">
      <c r="A10" s="179" t="s">
        <v>8</v>
      </c>
      <c r="B10" s="180" t="s">
        <v>13</v>
      </c>
      <c r="C10" s="179"/>
      <c r="D10" s="121"/>
      <c r="E10" s="181"/>
      <c r="F10" s="182"/>
    </row>
    <row r="11" spans="1:6" x14ac:dyDescent="0.25">
      <c r="A11" s="119" t="s">
        <v>50</v>
      </c>
      <c r="B11" s="212" t="s">
        <v>86</v>
      </c>
      <c r="C11" s="119" t="s">
        <v>10</v>
      </c>
      <c r="D11" s="121">
        <f>26.05*0.5*0.05</f>
        <v>0.65125000000000011</v>
      </c>
      <c r="E11" s="124"/>
      <c r="F11" s="182"/>
    </row>
    <row r="12" spans="1:6" ht="26.4" x14ac:dyDescent="0.25">
      <c r="A12" s="119" t="s">
        <v>51</v>
      </c>
      <c r="B12" s="212" t="s">
        <v>246</v>
      </c>
      <c r="C12" s="119" t="s">
        <v>10</v>
      </c>
      <c r="D12" s="121">
        <f>26.05*0.5*0.2</f>
        <v>2.6050000000000004</v>
      </c>
      <c r="E12" s="124"/>
      <c r="F12" s="182"/>
    </row>
    <row r="13" spans="1:6" x14ac:dyDescent="0.25">
      <c r="A13" s="119" t="s">
        <v>52</v>
      </c>
      <c r="B13" s="212" t="s">
        <v>247</v>
      </c>
      <c r="C13" s="119" t="s">
        <v>10</v>
      </c>
      <c r="D13" s="121">
        <f>26.05*0.2*0.2</f>
        <v>1.0420000000000003</v>
      </c>
      <c r="E13" s="124"/>
      <c r="F13" s="182"/>
    </row>
    <row r="14" spans="1:6" ht="26.4" x14ac:dyDescent="0.25">
      <c r="A14" s="119" t="s">
        <v>131</v>
      </c>
      <c r="B14" s="212" t="s">
        <v>248</v>
      </c>
      <c r="C14" s="119" t="s">
        <v>10</v>
      </c>
      <c r="D14" s="121">
        <f>6*0.2*0.2*0.8</f>
        <v>0.19200000000000006</v>
      </c>
      <c r="E14" s="124"/>
      <c r="F14" s="182"/>
    </row>
    <row r="15" spans="1:6" ht="26.4" x14ac:dyDescent="0.25">
      <c r="A15" s="119" t="s">
        <v>249</v>
      </c>
      <c r="B15" s="212" t="s">
        <v>250</v>
      </c>
      <c r="C15" s="119" t="s">
        <v>10</v>
      </c>
      <c r="D15" s="121">
        <f>26.05*0.15*0.2</f>
        <v>0.78149999999999997</v>
      </c>
      <c r="E15" s="124"/>
      <c r="F15" s="182"/>
    </row>
    <row r="16" spans="1:6" x14ac:dyDescent="0.25">
      <c r="A16" s="119" t="s">
        <v>251</v>
      </c>
      <c r="B16" s="212" t="s">
        <v>95</v>
      </c>
      <c r="C16" s="119" t="s">
        <v>10</v>
      </c>
      <c r="D16" s="121">
        <f>6*0.15*0.15*3.75</f>
        <v>0.50624999999999998</v>
      </c>
      <c r="E16" s="124"/>
      <c r="F16" s="182"/>
    </row>
    <row r="17" spans="1:8" ht="52.8" x14ac:dyDescent="0.25">
      <c r="A17" s="119" t="s">
        <v>252</v>
      </c>
      <c r="B17" s="118" t="s">
        <v>426</v>
      </c>
      <c r="C17" s="119" t="s">
        <v>10</v>
      </c>
      <c r="D17" s="121">
        <f>3.1*4*0.1*2</f>
        <v>2.4800000000000004</v>
      </c>
      <c r="E17" s="124"/>
      <c r="F17" s="182"/>
    </row>
    <row r="18" spans="1:8" x14ac:dyDescent="0.25">
      <c r="A18" s="119" t="s">
        <v>253</v>
      </c>
      <c r="B18" s="212" t="s">
        <v>254</v>
      </c>
      <c r="C18" s="119" t="s">
        <v>10</v>
      </c>
      <c r="D18" s="121">
        <f>13.8*0.15*0.1</f>
        <v>0.20699999999999999</v>
      </c>
      <c r="E18" s="124"/>
      <c r="F18" s="182"/>
    </row>
    <row r="19" spans="1:8" ht="26.4" x14ac:dyDescent="0.25">
      <c r="A19" s="119" t="s">
        <v>255</v>
      </c>
      <c r="B19" s="212" t="s">
        <v>256</v>
      </c>
      <c r="C19" s="119" t="s">
        <v>10</v>
      </c>
      <c r="D19" s="121">
        <f>3*2.2*(0.15*0.3)/2+(0.92*2.2*0.1)</f>
        <v>0.35090000000000005</v>
      </c>
      <c r="E19" s="124"/>
      <c r="F19" s="182"/>
    </row>
    <row r="20" spans="1:8" x14ac:dyDescent="0.25">
      <c r="A20" s="119" t="s">
        <v>257</v>
      </c>
      <c r="B20" s="212" t="s">
        <v>258</v>
      </c>
      <c r="C20" s="119" t="s">
        <v>16</v>
      </c>
      <c r="D20" s="121">
        <v>21.08</v>
      </c>
      <c r="E20" s="124"/>
      <c r="F20" s="182"/>
    </row>
    <row r="21" spans="1:8" x14ac:dyDescent="0.25">
      <c r="A21" s="119" t="s">
        <v>259</v>
      </c>
      <c r="B21" s="212" t="s">
        <v>260</v>
      </c>
      <c r="C21" s="119" t="s">
        <v>16</v>
      </c>
      <c r="D21" s="121">
        <v>94.69</v>
      </c>
      <c r="E21" s="124"/>
      <c r="F21" s="182"/>
    </row>
    <row r="22" spans="1:8" x14ac:dyDescent="0.25">
      <c r="A22" s="179"/>
      <c r="B22" s="183" t="s">
        <v>7</v>
      </c>
      <c r="C22" s="179"/>
      <c r="D22" s="121"/>
      <c r="E22" s="181"/>
      <c r="F22" s="182"/>
    </row>
    <row r="23" spans="1:8" x14ac:dyDescent="0.25">
      <c r="A23" s="179" t="s">
        <v>12</v>
      </c>
      <c r="B23" s="180" t="s">
        <v>18</v>
      </c>
      <c r="C23" s="179"/>
      <c r="D23" s="121"/>
      <c r="E23" s="181"/>
      <c r="F23" s="182"/>
    </row>
    <row r="24" spans="1:8" x14ac:dyDescent="0.25">
      <c r="A24" s="119" t="s">
        <v>41</v>
      </c>
      <c r="B24" s="212" t="s">
        <v>183</v>
      </c>
      <c r="C24" s="119" t="s">
        <v>16</v>
      </c>
      <c r="D24" s="121">
        <f>(26.05*4.45)-(0.8*1.2)*2-(0.8*2.2)</f>
        <v>112.24250000000001</v>
      </c>
      <c r="E24" s="124"/>
      <c r="F24" s="182"/>
    </row>
    <row r="25" spans="1:8" x14ac:dyDescent="0.25">
      <c r="A25" s="119" t="s">
        <v>42</v>
      </c>
      <c r="B25" s="212" t="s">
        <v>261</v>
      </c>
      <c r="C25" s="119" t="s">
        <v>16</v>
      </c>
      <c r="D25" s="121">
        <f>(14.2*3.2*2)-(0.8*1.2)*2-(0.8*2.2)*2</f>
        <v>85.44</v>
      </c>
      <c r="E25" s="124"/>
      <c r="F25" s="182"/>
      <c r="H25" s="277"/>
    </row>
    <row r="26" spans="1:8" x14ac:dyDescent="0.25">
      <c r="A26" s="119" t="s">
        <v>44</v>
      </c>
      <c r="B26" s="212" t="s">
        <v>262</v>
      </c>
      <c r="C26" s="119" t="s">
        <v>16</v>
      </c>
      <c r="D26" s="121">
        <v>28.73</v>
      </c>
      <c r="E26" s="124"/>
      <c r="F26" s="182"/>
    </row>
    <row r="27" spans="1:8" x14ac:dyDescent="0.25">
      <c r="A27" s="119" t="s">
        <v>45</v>
      </c>
      <c r="B27" s="212" t="s">
        <v>263</v>
      </c>
      <c r="C27" s="119" t="s">
        <v>77</v>
      </c>
      <c r="D27" s="121">
        <f>(3.4+8.45)*2</f>
        <v>23.7</v>
      </c>
      <c r="E27" s="124"/>
      <c r="F27" s="182"/>
    </row>
    <row r="28" spans="1:8" x14ac:dyDescent="0.25">
      <c r="A28" s="179"/>
      <c r="B28" s="183" t="s">
        <v>7</v>
      </c>
      <c r="C28" s="179"/>
      <c r="D28" s="121"/>
      <c r="E28" s="181"/>
      <c r="F28" s="182"/>
    </row>
    <row r="29" spans="1:8" x14ac:dyDescent="0.25">
      <c r="A29" s="179" t="s">
        <v>17</v>
      </c>
      <c r="B29" s="180" t="s">
        <v>264</v>
      </c>
      <c r="C29" s="179"/>
      <c r="D29" s="121"/>
      <c r="E29" s="181"/>
      <c r="F29" s="182"/>
    </row>
    <row r="30" spans="1:8" ht="39.6" x14ac:dyDescent="0.25">
      <c r="A30" s="119" t="s">
        <v>40</v>
      </c>
      <c r="B30" s="212" t="s">
        <v>265</v>
      </c>
      <c r="C30" s="119" t="s">
        <v>77</v>
      </c>
      <c r="D30" s="121">
        <v>33</v>
      </c>
      <c r="E30" s="182"/>
      <c r="F30" s="182"/>
    </row>
    <row r="31" spans="1:8" ht="26.4" x14ac:dyDescent="0.25">
      <c r="A31" s="119" t="s">
        <v>61</v>
      </c>
      <c r="B31" s="212" t="s">
        <v>266</v>
      </c>
      <c r="C31" s="184" t="s">
        <v>26</v>
      </c>
      <c r="D31" s="121">
        <f>3.25*8.425</f>
        <v>27.381250000000001</v>
      </c>
      <c r="E31" s="182"/>
      <c r="F31" s="182"/>
    </row>
    <row r="32" spans="1:8" x14ac:dyDescent="0.25">
      <c r="A32" s="119" t="s">
        <v>71</v>
      </c>
      <c r="B32" s="212" t="s">
        <v>267</v>
      </c>
      <c r="C32" s="119" t="s">
        <v>77</v>
      </c>
      <c r="D32" s="121">
        <v>33</v>
      </c>
      <c r="E32" s="124"/>
      <c r="F32" s="182"/>
    </row>
    <row r="33" spans="1:6" ht="26.4" x14ac:dyDescent="0.25">
      <c r="A33" s="119" t="s">
        <v>132</v>
      </c>
      <c r="B33" s="212" t="s">
        <v>268</v>
      </c>
      <c r="C33" s="119" t="s">
        <v>21</v>
      </c>
      <c r="D33" s="121">
        <v>4</v>
      </c>
      <c r="E33" s="124"/>
      <c r="F33" s="182"/>
    </row>
    <row r="34" spans="1:6" x14ac:dyDescent="0.25">
      <c r="A34" s="119" t="s">
        <v>133</v>
      </c>
      <c r="B34" s="212" t="s">
        <v>269</v>
      </c>
      <c r="C34" s="119" t="s">
        <v>16</v>
      </c>
      <c r="D34" s="121">
        <f>(8.15+8.15+3.1)*0.5</f>
        <v>9.7000000000000011</v>
      </c>
      <c r="E34" s="300"/>
      <c r="F34" s="182"/>
    </row>
    <row r="35" spans="1:6" x14ac:dyDescent="0.25">
      <c r="A35" s="119"/>
      <c r="B35" s="183" t="s">
        <v>7</v>
      </c>
      <c r="C35" s="119"/>
      <c r="D35" s="121"/>
      <c r="E35" s="124"/>
      <c r="F35" s="182"/>
    </row>
    <row r="36" spans="1:6" x14ac:dyDescent="0.25">
      <c r="A36" s="179" t="s">
        <v>19</v>
      </c>
      <c r="B36" s="180" t="s">
        <v>199</v>
      </c>
      <c r="C36" s="179"/>
      <c r="D36" s="121"/>
      <c r="E36" s="181"/>
      <c r="F36" s="182"/>
    </row>
    <row r="37" spans="1:6" x14ac:dyDescent="0.25">
      <c r="A37" s="119" t="s">
        <v>65</v>
      </c>
      <c r="B37" s="212" t="s">
        <v>270</v>
      </c>
      <c r="C37" s="119" t="s">
        <v>21</v>
      </c>
      <c r="D37" s="121">
        <v>1</v>
      </c>
      <c r="E37" s="124"/>
      <c r="F37" s="182"/>
    </row>
    <row r="38" spans="1:6" ht="27.75" customHeight="1" x14ac:dyDescent="0.25">
      <c r="A38" s="119" t="s">
        <v>66</v>
      </c>
      <c r="B38" s="212" t="s">
        <v>271</v>
      </c>
      <c r="C38" s="119" t="s">
        <v>21</v>
      </c>
      <c r="D38" s="121">
        <v>2</v>
      </c>
      <c r="E38" s="124"/>
      <c r="F38" s="182"/>
    </row>
    <row r="39" spans="1:6" x14ac:dyDescent="0.25">
      <c r="A39" s="119" t="s">
        <v>67</v>
      </c>
      <c r="B39" s="212" t="s">
        <v>272</v>
      </c>
      <c r="C39" s="119" t="s">
        <v>21</v>
      </c>
      <c r="D39" s="121">
        <v>2</v>
      </c>
      <c r="E39" s="124"/>
      <c r="F39" s="182"/>
    </row>
    <row r="40" spans="1:6" x14ac:dyDescent="0.25">
      <c r="A40" s="179"/>
      <c r="B40" s="183" t="s">
        <v>7</v>
      </c>
      <c r="C40" s="179"/>
      <c r="D40" s="121"/>
      <c r="E40" s="181"/>
      <c r="F40" s="182"/>
    </row>
    <row r="41" spans="1:6" x14ac:dyDescent="0.25">
      <c r="A41" s="179" t="s">
        <v>22</v>
      </c>
      <c r="B41" s="180" t="s">
        <v>138</v>
      </c>
      <c r="C41" s="179"/>
      <c r="D41" s="121"/>
      <c r="E41" s="181"/>
      <c r="F41" s="182"/>
    </row>
    <row r="42" spans="1:6" x14ac:dyDescent="0.25">
      <c r="A42" s="119" t="s">
        <v>63</v>
      </c>
      <c r="B42" s="212" t="s">
        <v>159</v>
      </c>
      <c r="C42" s="119" t="s">
        <v>16</v>
      </c>
      <c r="D42" s="121">
        <f>(0.8*1.2)*2*2+(0.8*2.2)*2</f>
        <v>7.36</v>
      </c>
      <c r="E42" s="124"/>
      <c r="F42" s="182"/>
    </row>
    <row r="43" spans="1:6" ht="33" customHeight="1" x14ac:dyDescent="0.25">
      <c r="A43" s="185" t="s">
        <v>64</v>
      </c>
      <c r="B43" s="278" t="s">
        <v>273</v>
      </c>
      <c r="C43" s="119" t="s">
        <v>16</v>
      </c>
      <c r="D43" s="121">
        <f>(8.45*2)+(3.4*4)</f>
        <v>30.5</v>
      </c>
      <c r="E43" s="124"/>
      <c r="F43" s="182"/>
    </row>
    <row r="44" spans="1:6" ht="26.4" x14ac:dyDescent="0.25">
      <c r="A44" s="185" t="s">
        <v>74</v>
      </c>
      <c r="B44" s="278" t="s">
        <v>274</v>
      </c>
      <c r="C44" s="119" t="s">
        <v>16</v>
      </c>
      <c r="D44" s="121">
        <f>3.4*8.45</f>
        <v>28.729999999999997</v>
      </c>
      <c r="E44" s="124"/>
      <c r="F44" s="182"/>
    </row>
    <row r="45" spans="1:6" x14ac:dyDescent="0.25">
      <c r="A45" s="185" t="s">
        <v>75</v>
      </c>
      <c r="B45" s="212" t="s">
        <v>214</v>
      </c>
      <c r="C45" s="119" t="s">
        <v>16</v>
      </c>
      <c r="D45" s="121">
        <f>(8.4*2)+(3.45*2)</f>
        <v>23.700000000000003</v>
      </c>
      <c r="E45" s="124"/>
      <c r="F45" s="182"/>
    </row>
    <row r="46" spans="1:6" x14ac:dyDescent="0.25">
      <c r="A46" s="179"/>
      <c r="B46" s="183" t="s">
        <v>7</v>
      </c>
      <c r="C46" s="179"/>
      <c r="D46" s="121"/>
      <c r="E46" s="181"/>
      <c r="F46" s="182"/>
    </row>
    <row r="47" spans="1:6" x14ac:dyDescent="0.25">
      <c r="A47" s="179" t="s">
        <v>101</v>
      </c>
      <c r="B47" s="180" t="s">
        <v>275</v>
      </c>
      <c r="C47" s="179"/>
      <c r="D47" s="121"/>
      <c r="E47" s="181"/>
      <c r="F47" s="182"/>
    </row>
    <row r="48" spans="1:6" ht="26.4" x14ac:dyDescent="0.25">
      <c r="A48" s="119" t="s">
        <v>136</v>
      </c>
      <c r="B48" s="212" t="s">
        <v>415</v>
      </c>
      <c r="C48" s="119" t="s">
        <v>6</v>
      </c>
      <c r="D48" s="121">
        <v>1</v>
      </c>
      <c r="E48" s="124"/>
      <c r="F48" s="182"/>
    </row>
    <row r="49" spans="1:6" ht="66" x14ac:dyDescent="0.25">
      <c r="A49" s="119" t="s">
        <v>137</v>
      </c>
      <c r="B49" s="212" t="s">
        <v>276</v>
      </c>
      <c r="C49" s="119" t="s">
        <v>77</v>
      </c>
      <c r="D49" s="121">
        <f>26.05+2</f>
        <v>28.05</v>
      </c>
      <c r="E49" s="124"/>
      <c r="F49" s="182"/>
    </row>
    <row r="50" spans="1:6" ht="26.4" x14ac:dyDescent="0.25">
      <c r="A50" s="119" t="s">
        <v>277</v>
      </c>
      <c r="B50" s="212" t="s">
        <v>278</v>
      </c>
      <c r="C50" s="119" t="s">
        <v>77</v>
      </c>
      <c r="D50" s="121">
        <v>45</v>
      </c>
      <c r="E50" s="124"/>
      <c r="F50" s="182"/>
    </row>
    <row r="51" spans="1:6" ht="46.5" customHeight="1" x14ac:dyDescent="0.25">
      <c r="A51" s="119" t="s">
        <v>279</v>
      </c>
      <c r="B51" s="212" t="s">
        <v>280</v>
      </c>
      <c r="C51" s="119" t="s">
        <v>77</v>
      </c>
      <c r="D51" s="121">
        <v>45</v>
      </c>
      <c r="E51" s="124"/>
      <c r="F51" s="182"/>
    </row>
    <row r="52" spans="1:6" ht="39.6" x14ac:dyDescent="0.25">
      <c r="A52" s="119" t="s">
        <v>281</v>
      </c>
      <c r="B52" s="212" t="s">
        <v>282</v>
      </c>
      <c r="C52" s="119" t="s">
        <v>77</v>
      </c>
      <c r="D52" s="121">
        <v>45</v>
      </c>
      <c r="E52" s="124"/>
      <c r="F52" s="182"/>
    </row>
    <row r="53" spans="1:6" ht="30.75" customHeight="1" x14ac:dyDescent="0.25">
      <c r="A53" s="119" t="s">
        <v>283</v>
      </c>
      <c r="B53" s="212" t="s">
        <v>284</v>
      </c>
      <c r="C53" s="119" t="s">
        <v>21</v>
      </c>
      <c r="D53" s="121">
        <v>2</v>
      </c>
      <c r="E53" s="124"/>
      <c r="F53" s="182"/>
    </row>
    <row r="54" spans="1:6" ht="27" customHeight="1" x14ac:dyDescent="0.25">
      <c r="A54" s="119" t="s">
        <v>285</v>
      </c>
      <c r="B54" s="212" t="s">
        <v>286</v>
      </c>
      <c r="C54" s="119" t="s">
        <v>21</v>
      </c>
      <c r="D54" s="121">
        <v>2</v>
      </c>
      <c r="E54" s="124"/>
      <c r="F54" s="182"/>
    </row>
    <row r="55" spans="1:6" x14ac:dyDescent="0.25">
      <c r="A55" s="119" t="s">
        <v>287</v>
      </c>
      <c r="B55" s="212" t="s">
        <v>288</v>
      </c>
      <c r="C55" s="119" t="s">
        <v>21</v>
      </c>
      <c r="D55" s="121">
        <v>2</v>
      </c>
      <c r="E55" s="124"/>
      <c r="F55" s="182"/>
    </row>
    <row r="56" spans="1:6" x14ac:dyDescent="0.25">
      <c r="A56" s="119" t="s">
        <v>289</v>
      </c>
      <c r="B56" s="212" t="s">
        <v>290</v>
      </c>
      <c r="C56" s="119" t="s">
        <v>21</v>
      </c>
      <c r="D56" s="121">
        <v>1</v>
      </c>
      <c r="E56" s="182"/>
      <c r="F56" s="182"/>
    </row>
    <row r="57" spans="1:6" x14ac:dyDescent="0.25">
      <c r="A57" s="119" t="s">
        <v>291</v>
      </c>
      <c r="B57" s="212" t="s">
        <v>292</v>
      </c>
      <c r="C57" s="119" t="s">
        <v>21</v>
      </c>
      <c r="D57" s="121">
        <v>2</v>
      </c>
      <c r="E57" s="124"/>
      <c r="F57" s="182"/>
    </row>
    <row r="58" spans="1:6" x14ac:dyDescent="0.25">
      <c r="A58" s="119" t="s">
        <v>293</v>
      </c>
      <c r="B58" s="212" t="s">
        <v>294</v>
      </c>
      <c r="C58" s="119" t="s">
        <v>21</v>
      </c>
      <c r="D58" s="121">
        <v>2</v>
      </c>
      <c r="E58" s="124"/>
      <c r="F58" s="182"/>
    </row>
    <row r="59" spans="1:6" x14ac:dyDescent="0.25">
      <c r="A59" s="119"/>
      <c r="B59" s="183" t="s">
        <v>7</v>
      </c>
      <c r="C59" s="119"/>
      <c r="D59" s="119"/>
      <c r="E59" s="124"/>
      <c r="F59" s="279"/>
    </row>
    <row r="60" spans="1:6" x14ac:dyDescent="0.25">
      <c r="A60" s="455" t="s">
        <v>451</v>
      </c>
      <c r="B60" s="456"/>
      <c r="C60" s="456"/>
      <c r="D60" s="456"/>
      <c r="E60" s="457"/>
      <c r="F60" s="279"/>
    </row>
    <row r="61" spans="1:6" x14ac:dyDescent="0.25">
      <c r="A61" s="186"/>
      <c r="B61" s="187"/>
      <c r="C61" s="186"/>
      <c r="D61" s="186"/>
      <c r="E61" s="188"/>
      <c r="F61" s="280"/>
    </row>
    <row r="62" spans="1:6" x14ac:dyDescent="0.25">
      <c r="A62" s="189" t="s">
        <v>0</v>
      </c>
      <c r="B62" s="190" t="s">
        <v>295</v>
      </c>
      <c r="C62" s="72"/>
      <c r="D62" s="189"/>
      <c r="E62" s="191"/>
      <c r="F62" s="189"/>
    </row>
    <row r="63" spans="1:6" ht="66" x14ac:dyDescent="0.25">
      <c r="A63" s="189" t="s">
        <v>25</v>
      </c>
      <c r="B63" s="192" t="s">
        <v>296</v>
      </c>
      <c r="C63" s="72" t="s">
        <v>6</v>
      </c>
      <c r="D63" s="189">
        <v>1</v>
      </c>
      <c r="E63" s="191"/>
      <c r="F63" s="193"/>
    </row>
    <row r="64" spans="1:6" ht="13.8" thickBot="1" x14ac:dyDescent="0.3">
      <c r="A64" s="301"/>
      <c r="B64" s="302" t="s">
        <v>297</v>
      </c>
      <c r="C64" s="301"/>
      <c r="D64" s="303"/>
      <c r="E64" s="304"/>
      <c r="F64" s="305"/>
    </row>
    <row r="65" spans="1:6" ht="14.4" thickTop="1" thickBot="1" x14ac:dyDescent="0.3">
      <c r="A65" s="453" t="s">
        <v>452</v>
      </c>
      <c r="B65" s="454"/>
      <c r="C65" s="454"/>
      <c r="D65" s="454"/>
      <c r="E65" s="458"/>
      <c r="F65" s="306"/>
    </row>
    <row r="66" spans="1:6" ht="14.4" thickTop="1" thickBot="1" x14ac:dyDescent="0.3">
      <c r="A66" s="453" t="s">
        <v>453</v>
      </c>
      <c r="B66" s="454"/>
      <c r="C66" s="454"/>
      <c r="D66" s="454"/>
      <c r="E66" s="454"/>
      <c r="F66" s="307"/>
    </row>
    <row r="67" spans="1:6" ht="13.8" thickTop="1" x14ac:dyDescent="0.25"/>
  </sheetData>
  <mergeCells count="5">
    <mergeCell ref="A1:F1"/>
    <mergeCell ref="A2:F2"/>
    <mergeCell ref="A60:E60"/>
    <mergeCell ref="A65:E65"/>
    <mergeCell ref="A66:E6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5"/>
  <sheetViews>
    <sheetView zoomScale="110" zoomScaleNormal="110" workbookViewId="0">
      <selection activeCell="D9" sqref="D9"/>
    </sheetView>
  </sheetViews>
  <sheetFormatPr baseColWidth="10" defaultColWidth="11.5546875" defaultRowHeight="13.2" x14ac:dyDescent="0.25"/>
  <cols>
    <col min="1" max="1" width="5.88671875" style="276" bestFit="1" customWidth="1"/>
    <col min="2" max="2" width="43.109375" style="276" customWidth="1"/>
    <col min="3" max="3" width="5.5546875" style="276" bestFit="1" customWidth="1"/>
    <col min="4" max="4" width="15.33203125" style="276" customWidth="1"/>
    <col min="5" max="5" width="34.5546875" style="276" customWidth="1"/>
    <col min="6" max="16384" width="11.5546875" style="276"/>
  </cols>
  <sheetData>
    <row r="1" spans="1:6" s="123" customFormat="1" ht="13.8" x14ac:dyDescent="0.25">
      <c r="A1" s="401" t="s">
        <v>460</v>
      </c>
      <c r="B1" s="402"/>
      <c r="C1" s="402"/>
      <c r="D1" s="402"/>
      <c r="E1" s="403"/>
      <c r="F1" s="310"/>
    </row>
    <row r="2" spans="1:6" s="123" customFormat="1" ht="13.8" thickBot="1" x14ac:dyDescent="0.3">
      <c r="A2" s="389" t="s">
        <v>526</v>
      </c>
      <c r="B2" s="390"/>
      <c r="C2" s="390"/>
      <c r="D2" s="390"/>
      <c r="E2" s="391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</row>
    <row r="4" spans="1:6" ht="13.8" thickTop="1" x14ac:dyDescent="0.25">
      <c r="A4" s="179" t="s">
        <v>0</v>
      </c>
      <c r="B4" s="180" t="s">
        <v>9</v>
      </c>
      <c r="C4" s="179"/>
      <c r="D4" s="181"/>
      <c r="E4" s="182"/>
    </row>
    <row r="5" spans="1:6" x14ac:dyDescent="0.25">
      <c r="A5" s="119" t="s">
        <v>25</v>
      </c>
      <c r="B5" s="212" t="s">
        <v>73</v>
      </c>
      <c r="C5" s="119" t="s">
        <v>16</v>
      </c>
      <c r="D5" s="124"/>
      <c r="E5" s="182"/>
    </row>
    <row r="6" spans="1:6" x14ac:dyDescent="0.25">
      <c r="A6" s="119" t="s">
        <v>128</v>
      </c>
      <c r="B6" s="212" t="s">
        <v>27</v>
      </c>
      <c r="C6" s="119" t="s">
        <v>10</v>
      </c>
      <c r="D6" s="124"/>
      <c r="E6" s="182"/>
    </row>
    <row r="7" spans="1:6" x14ac:dyDescent="0.25">
      <c r="A7" s="119" t="s">
        <v>129</v>
      </c>
      <c r="B7" s="212" t="s">
        <v>11</v>
      </c>
      <c r="C7" s="119" t="s">
        <v>10</v>
      </c>
      <c r="D7" s="124"/>
      <c r="E7" s="182"/>
    </row>
    <row r="8" spans="1:6" x14ac:dyDescent="0.25">
      <c r="A8" s="119" t="s">
        <v>130</v>
      </c>
      <c r="B8" s="212" t="s">
        <v>245</v>
      </c>
      <c r="C8" s="119" t="s">
        <v>10</v>
      </c>
      <c r="D8" s="124"/>
      <c r="E8" s="182"/>
    </row>
    <row r="9" spans="1:6" x14ac:dyDescent="0.25">
      <c r="A9" s="179" t="s">
        <v>8</v>
      </c>
      <c r="B9" s="180" t="s">
        <v>13</v>
      </c>
      <c r="C9" s="179"/>
      <c r="D9" s="181"/>
      <c r="E9" s="182"/>
    </row>
    <row r="10" spans="1:6" x14ac:dyDescent="0.25">
      <c r="A10" s="119" t="s">
        <v>50</v>
      </c>
      <c r="B10" s="212" t="s">
        <v>86</v>
      </c>
      <c r="C10" s="119" t="s">
        <v>10</v>
      </c>
      <c r="D10" s="124"/>
      <c r="E10" s="182"/>
    </row>
    <row r="11" spans="1:6" ht="26.4" x14ac:dyDescent="0.25">
      <c r="A11" s="119" t="s">
        <v>51</v>
      </c>
      <c r="B11" s="212" t="s">
        <v>246</v>
      </c>
      <c r="C11" s="119" t="s">
        <v>10</v>
      </c>
      <c r="D11" s="124"/>
      <c r="E11" s="182"/>
    </row>
    <row r="12" spans="1:6" x14ac:dyDescent="0.25">
      <c r="A12" s="119" t="s">
        <v>52</v>
      </c>
      <c r="B12" s="212" t="s">
        <v>247</v>
      </c>
      <c r="C12" s="119" t="s">
        <v>10</v>
      </c>
      <c r="D12" s="124"/>
      <c r="E12" s="182"/>
    </row>
    <row r="13" spans="1:6" ht="26.4" x14ac:dyDescent="0.25">
      <c r="A13" s="119" t="s">
        <v>131</v>
      </c>
      <c r="B13" s="212" t="s">
        <v>248</v>
      </c>
      <c r="C13" s="119" t="s">
        <v>10</v>
      </c>
      <c r="D13" s="124"/>
      <c r="E13" s="182"/>
    </row>
    <row r="14" spans="1:6" ht="26.4" x14ac:dyDescent="0.25">
      <c r="A14" s="119" t="s">
        <v>249</v>
      </c>
      <c r="B14" s="212" t="s">
        <v>250</v>
      </c>
      <c r="C14" s="119" t="s">
        <v>10</v>
      </c>
      <c r="D14" s="124"/>
      <c r="E14" s="182"/>
    </row>
    <row r="15" spans="1:6" x14ac:dyDescent="0.25">
      <c r="A15" s="119" t="s">
        <v>251</v>
      </c>
      <c r="B15" s="212" t="s">
        <v>95</v>
      </c>
      <c r="C15" s="119" t="s">
        <v>10</v>
      </c>
      <c r="D15" s="124"/>
      <c r="E15" s="182"/>
    </row>
    <row r="16" spans="1:6" ht="52.8" x14ac:dyDescent="0.25">
      <c r="A16" s="119" t="s">
        <v>252</v>
      </c>
      <c r="B16" s="118" t="s">
        <v>426</v>
      </c>
      <c r="C16" s="119" t="s">
        <v>10</v>
      </c>
      <c r="D16" s="124"/>
      <c r="E16" s="182"/>
    </row>
    <row r="17" spans="1:7" x14ac:dyDescent="0.25">
      <c r="A17" s="119" t="s">
        <v>253</v>
      </c>
      <c r="B17" s="212" t="s">
        <v>254</v>
      </c>
      <c r="C17" s="119" t="s">
        <v>10</v>
      </c>
      <c r="D17" s="124"/>
      <c r="E17" s="182"/>
    </row>
    <row r="18" spans="1:7" ht="26.4" x14ac:dyDescent="0.25">
      <c r="A18" s="119" t="s">
        <v>255</v>
      </c>
      <c r="B18" s="212" t="s">
        <v>256</v>
      </c>
      <c r="C18" s="119" t="s">
        <v>10</v>
      </c>
      <c r="D18" s="124"/>
      <c r="E18" s="182"/>
    </row>
    <row r="19" spans="1:7" x14ac:dyDescent="0.25">
      <c r="A19" s="119" t="s">
        <v>257</v>
      </c>
      <c r="B19" s="212" t="s">
        <v>258</v>
      </c>
      <c r="C19" s="119" t="s">
        <v>16</v>
      </c>
      <c r="D19" s="124"/>
      <c r="E19" s="182"/>
    </row>
    <row r="20" spans="1:7" x14ac:dyDescent="0.25">
      <c r="A20" s="119" t="s">
        <v>259</v>
      </c>
      <c r="B20" s="212" t="s">
        <v>260</v>
      </c>
      <c r="C20" s="119" t="s">
        <v>16</v>
      </c>
      <c r="D20" s="124"/>
      <c r="E20" s="182"/>
    </row>
    <row r="21" spans="1:7" x14ac:dyDescent="0.25">
      <c r="A21" s="179" t="s">
        <v>12</v>
      </c>
      <c r="B21" s="180" t="s">
        <v>18</v>
      </c>
      <c r="C21" s="179"/>
      <c r="D21" s="181"/>
      <c r="E21" s="182"/>
    </row>
    <row r="22" spans="1:7" x14ac:dyDescent="0.25">
      <c r="A22" s="119" t="s">
        <v>41</v>
      </c>
      <c r="B22" s="212" t="s">
        <v>183</v>
      </c>
      <c r="C22" s="119" t="s">
        <v>16</v>
      </c>
      <c r="D22" s="124"/>
      <c r="E22" s="182"/>
    </row>
    <row r="23" spans="1:7" x14ac:dyDescent="0.25">
      <c r="A23" s="119" t="s">
        <v>42</v>
      </c>
      <c r="B23" s="212" t="s">
        <v>261</v>
      </c>
      <c r="C23" s="119" t="s">
        <v>16</v>
      </c>
      <c r="D23" s="124"/>
      <c r="E23" s="182"/>
      <c r="G23" s="277"/>
    </row>
    <row r="24" spans="1:7" x14ac:dyDescent="0.25">
      <c r="A24" s="119" t="s">
        <v>44</v>
      </c>
      <c r="B24" s="212" t="s">
        <v>262</v>
      </c>
      <c r="C24" s="119" t="s">
        <v>16</v>
      </c>
      <c r="D24" s="124"/>
      <c r="E24" s="182"/>
    </row>
    <row r="25" spans="1:7" x14ac:dyDescent="0.25">
      <c r="A25" s="119" t="s">
        <v>45</v>
      </c>
      <c r="B25" s="212" t="s">
        <v>263</v>
      </c>
      <c r="C25" s="119" t="s">
        <v>77</v>
      </c>
      <c r="D25" s="124"/>
      <c r="E25" s="182"/>
    </row>
    <row r="26" spans="1:7" x14ac:dyDescent="0.25">
      <c r="A26" s="179" t="s">
        <v>17</v>
      </c>
      <c r="B26" s="180" t="s">
        <v>264</v>
      </c>
      <c r="C26" s="179"/>
      <c r="D26" s="181"/>
      <c r="E26" s="182"/>
    </row>
    <row r="27" spans="1:7" ht="39.6" x14ac:dyDescent="0.25">
      <c r="A27" s="119" t="s">
        <v>40</v>
      </c>
      <c r="B27" s="212" t="s">
        <v>265</v>
      </c>
      <c r="C27" s="119" t="s">
        <v>77</v>
      </c>
      <c r="D27" s="182"/>
      <c r="E27" s="182"/>
    </row>
    <row r="28" spans="1:7" ht="26.4" x14ac:dyDescent="0.25">
      <c r="A28" s="119" t="s">
        <v>61</v>
      </c>
      <c r="B28" s="212" t="s">
        <v>266</v>
      </c>
      <c r="C28" s="184" t="s">
        <v>26</v>
      </c>
      <c r="D28" s="182"/>
      <c r="E28" s="182"/>
    </row>
    <row r="29" spans="1:7" x14ac:dyDescent="0.25">
      <c r="A29" s="119" t="s">
        <v>71</v>
      </c>
      <c r="B29" s="212" t="s">
        <v>267</v>
      </c>
      <c r="C29" s="119" t="s">
        <v>77</v>
      </c>
      <c r="D29" s="124"/>
      <c r="E29" s="182"/>
    </row>
    <row r="30" spans="1:7" ht="26.4" x14ac:dyDescent="0.25">
      <c r="A30" s="119" t="s">
        <v>132</v>
      </c>
      <c r="B30" s="212" t="s">
        <v>268</v>
      </c>
      <c r="C30" s="119" t="s">
        <v>21</v>
      </c>
      <c r="D30" s="124"/>
      <c r="E30" s="182"/>
    </row>
    <row r="31" spans="1:7" x14ac:dyDescent="0.25">
      <c r="A31" s="119" t="s">
        <v>133</v>
      </c>
      <c r="B31" s="212" t="s">
        <v>269</v>
      </c>
      <c r="C31" s="119" t="s">
        <v>16</v>
      </c>
      <c r="D31" s="300"/>
      <c r="E31" s="182"/>
    </row>
    <row r="32" spans="1:7" x14ac:dyDescent="0.25">
      <c r="A32" s="179" t="s">
        <v>19</v>
      </c>
      <c r="B32" s="180" t="s">
        <v>199</v>
      </c>
      <c r="C32" s="179"/>
      <c r="D32" s="181"/>
      <c r="E32" s="182"/>
    </row>
    <row r="33" spans="1:5" x14ac:dyDescent="0.25">
      <c r="A33" s="119" t="s">
        <v>65</v>
      </c>
      <c r="B33" s="212" t="s">
        <v>270</v>
      </c>
      <c r="C33" s="119" t="s">
        <v>21</v>
      </c>
      <c r="D33" s="124"/>
      <c r="E33" s="182"/>
    </row>
    <row r="34" spans="1:5" ht="27.75" customHeight="1" x14ac:dyDescent="0.25">
      <c r="A34" s="119" t="s">
        <v>66</v>
      </c>
      <c r="B34" s="212" t="s">
        <v>271</v>
      </c>
      <c r="C34" s="119" t="s">
        <v>21</v>
      </c>
      <c r="D34" s="124"/>
      <c r="E34" s="182"/>
    </row>
    <row r="35" spans="1:5" x14ac:dyDescent="0.25">
      <c r="A35" s="119" t="s">
        <v>67</v>
      </c>
      <c r="B35" s="212" t="s">
        <v>272</v>
      </c>
      <c r="C35" s="119" t="s">
        <v>21</v>
      </c>
      <c r="D35" s="124"/>
      <c r="E35" s="182"/>
    </row>
    <row r="36" spans="1:5" x14ac:dyDescent="0.25">
      <c r="A36" s="179" t="s">
        <v>22</v>
      </c>
      <c r="B36" s="180" t="s">
        <v>138</v>
      </c>
      <c r="C36" s="179"/>
      <c r="D36" s="181"/>
      <c r="E36" s="182"/>
    </row>
    <row r="37" spans="1:5" x14ac:dyDescent="0.25">
      <c r="A37" s="119" t="s">
        <v>63</v>
      </c>
      <c r="B37" s="212" t="s">
        <v>159</v>
      </c>
      <c r="C37" s="119" t="s">
        <v>16</v>
      </c>
      <c r="D37" s="124"/>
      <c r="E37" s="182"/>
    </row>
    <row r="38" spans="1:5" ht="33" customHeight="1" x14ac:dyDescent="0.25">
      <c r="A38" s="185" t="s">
        <v>64</v>
      </c>
      <c r="B38" s="278" t="s">
        <v>273</v>
      </c>
      <c r="C38" s="119" t="s">
        <v>16</v>
      </c>
      <c r="D38" s="124"/>
      <c r="E38" s="182"/>
    </row>
    <row r="39" spans="1:5" ht="26.4" x14ac:dyDescent="0.25">
      <c r="A39" s="185" t="s">
        <v>74</v>
      </c>
      <c r="B39" s="278" t="s">
        <v>274</v>
      </c>
      <c r="C39" s="119" t="s">
        <v>16</v>
      </c>
      <c r="D39" s="124"/>
      <c r="E39" s="182"/>
    </row>
    <row r="40" spans="1:5" x14ac:dyDescent="0.25">
      <c r="A40" s="185" t="s">
        <v>75</v>
      </c>
      <c r="B40" s="212" t="s">
        <v>214</v>
      </c>
      <c r="C40" s="119" t="s">
        <v>16</v>
      </c>
      <c r="D40" s="124"/>
      <c r="E40" s="182"/>
    </row>
    <row r="41" spans="1:5" x14ac:dyDescent="0.25">
      <c r="A41" s="179" t="s">
        <v>101</v>
      </c>
      <c r="B41" s="180" t="s">
        <v>275</v>
      </c>
      <c r="C41" s="179"/>
      <c r="D41" s="181"/>
      <c r="E41" s="182"/>
    </row>
    <row r="42" spans="1:5" ht="26.4" x14ac:dyDescent="0.25">
      <c r="A42" s="119" t="s">
        <v>136</v>
      </c>
      <c r="B42" s="212" t="s">
        <v>415</v>
      </c>
      <c r="C42" s="119" t="s">
        <v>6</v>
      </c>
      <c r="D42" s="124"/>
      <c r="E42" s="182"/>
    </row>
    <row r="43" spans="1:5" ht="66" x14ac:dyDescent="0.25">
      <c r="A43" s="119" t="s">
        <v>137</v>
      </c>
      <c r="B43" s="212" t="s">
        <v>276</v>
      </c>
      <c r="C43" s="119" t="s">
        <v>77</v>
      </c>
      <c r="D43" s="124"/>
      <c r="E43" s="182"/>
    </row>
    <row r="44" spans="1:5" ht="26.4" x14ac:dyDescent="0.25">
      <c r="A44" s="119" t="s">
        <v>277</v>
      </c>
      <c r="B44" s="212" t="s">
        <v>278</v>
      </c>
      <c r="C44" s="119" t="s">
        <v>77</v>
      </c>
      <c r="D44" s="124"/>
      <c r="E44" s="182"/>
    </row>
    <row r="45" spans="1:5" ht="46.5" customHeight="1" x14ac:dyDescent="0.25">
      <c r="A45" s="119" t="s">
        <v>279</v>
      </c>
      <c r="B45" s="212" t="s">
        <v>280</v>
      </c>
      <c r="C45" s="119" t="s">
        <v>77</v>
      </c>
      <c r="D45" s="124"/>
      <c r="E45" s="182"/>
    </row>
    <row r="46" spans="1:5" ht="39.6" x14ac:dyDescent="0.25">
      <c r="A46" s="119" t="s">
        <v>281</v>
      </c>
      <c r="B46" s="212" t="s">
        <v>282</v>
      </c>
      <c r="C46" s="119" t="s">
        <v>77</v>
      </c>
      <c r="D46" s="124"/>
      <c r="E46" s="182"/>
    </row>
    <row r="47" spans="1:5" ht="30.75" customHeight="1" x14ac:dyDescent="0.25">
      <c r="A47" s="119" t="s">
        <v>283</v>
      </c>
      <c r="B47" s="212" t="s">
        <v>284</v>
      </c>
      <c r="C47" s="119" t="s">
        <v>21</v>
      </c>
      <c r="D47" s="124"/>
      <c r="E47" s="182"/>
    </row>
    <row r="48" spans="1:5" ht="27" customHeight="1" x14ac:dyDescent="0.25">
      <c r="A48" s="119" t="s">
        <v>285</v>
      </c>
      <c r="B48" s="212" t="s">
        <v>286</v>
      </c>
      <c r="C48" s="119" t="s">
        <v>21</v>
      </c>
      <c r="D48" s="124"/>
      <c r="E48" s="182"/>
    </row>
    <row r="49" spans="1:5" x14ac:dyDescent="0.25">
      <c r="A49" s="119" t="s">
        <v>287</v>
      </c>
      <c r="B49" s="212" t="s">
        <v>288</v>
      </c>
      <c r="C49" s="119" t="s">
        <v>21</v>
      </c>
      <c r="D49" s="124"/>
      <c r="E49" s="182"/>
    </row>
    <row r="50" spans="1:5" x14ac:dyDescent="0.25">
      <c r="A50" s="119" t="s">
        <v>289</v>
      </c>
      <c r="B50" s="212" t="s">
        <v>290</v>
      </c>
      <c r="C50" s="119" t="s">
        <v>21</v>
      </c>
      <c r="D50" s="182"/>
      <c r="E50" s="182"/>
    </row>
    <row r="51" spans="1:5" x14ac:dyDescent="0.25">
      <c r="A51" s="119" t="s">
        <v>291</v>
      </c>
      <c r="B51" s="212" t="s">
        <v>292</v>
      </c>
      <c r="C51" s="119" t="s">
        <v>21</v>
      </c>
      <c r="D51" s="124"/>
      <c r="E51" s="182"/>
    </row>
    <row r="52" spans="1:5" x14ac:dyDescent="0.25">
      <c r="A52" s="119" t="s">
        <v>293</v>
      </c>
      <c r="B52" s="212" t="s">
        <v>294</v>
      </c>
      <c r="C52" s="119" t="s">
        <v>21</v>
      </c>
      <c r="D52" s="124"/>
      <c r="E52" s="182"/>
    </row>
    <row r="53" spans="1:5" x14ac:dyDescent="0.25">
      <c r="A53" s="186"/>
      <c r="B53" s="187"/>
      <c r="C53" s="186"/>
      <c r="D53" s="188"/>
      <c r="E53" s="280"/>
    </row>
    <row r="54" spans="1:5" x14ac:dyDescent="0.25">
      <c r="A54" s="189" t="s">
        <v>0</v>
      </c>
      <c r="B54" s="190" t="s">
        <v>295</v>
      </c>
      <c r="C54" s="72"/>
      <c r="D54" s="191"/>
      <c r="E54" s="189"/>
    </row>
    <row r="55" spans="1:5" ht="66" x14ac:dyDescent="0.25">
      <c r="A55" s="189" t="s">
        <v>25</v>
      </c>
      <c r="B55" s="308" t="s">
        <v>296</v>
      </c>
      <c r="C55" s="72" t="s">
        <v>6</v>
      </c>
      <c r="D55" s="191"/>
      <c r="E55" s="19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selection activeCell="D5" sqref="D5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19.5546875" style="1" customWidth="1"/>
    <col min="5" max="5" width="30.33203125" style="1" customWidth="1"/>
    <col min="6" max="16384" width="11.44140625" style="1"/>
  </cols>
  <sheetData>
    <row r="1" spans="1:6" x14ac:dyDescent="0.25">
      <c r="A1" s="379" t="s">
        <v>460</v>
      </c>
      <c r="B1" s="380"/>
      <c r="C1" s="380"/>
      <c r="D1" s="380"/>
      <c r="E1" s="381"/>
      <c r="F1" s="311"/>
    </row>
    <row r="2" spans="1:6" x14ac:dyDescent="0.25">
      <c r="A2" s="386" t="s">
        <v>539</v>
      </c>
      <c r="B2" s="387"/>
      <c r="C2" s="387"/>
      <c r="D2" s="387"/>
      <c r="E2" s="388"/>
    </row>
    <row r="3" spans="1:6" x14ac:dyDescent="0.25">
      <c r="A3" s="156"/>
      <c r="B3" s="157" t="s">
        <v>30</v>
      </c>
      <c r="C3" s="158" t="s">
        <v>2</v>
      </c>
      <c r="D3" s="133" t="s">
        <v>307</v>
      </c>
      <c r="E3" s="138" t="s">
        <v>308</v>
      </c>
    </row>
    <row r="4" spans="1:6" x14ac:dyDescent="0.25">
      <c r="A4" s="156" t="s">
        <v>0</v>
      </c>
      <c r="B4" s="157" t="s">
        <v>1</v>
      </c>
      <c r="C4" s="158"/>
      <c r="D4" s="133"/>
      <c r="E4" s="138"/>
    </row>
    <row r="5" spans="1:6" ht="122.25" customHeight="1" x14ac:dyDescent="0.25">
      <c r="A5" s="135" t="s">
        <v>25</v>
      </c>
      <c r="B5" s="159" t="s">
        <v>304</v>
      </c>
      <c r="C5" s="119" t="s">
        <v>6</v>
      </c>
      <c r="D5" s="142"/>
      <c r="E5" s="160"/>
      <c r="F5" s="16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21"/>
  <sheetViews>
    <sheetView zoomScale="120" zoomScaleNormal="120" workbookViewId="0">
      <selection activeCell="B7" sqref="B7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6.664062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ht="13.8" x14ac:dyDescent="0.25">
      <c r="A1" s="397" t="s">
        <v>460</v>
      </c>
      <c r="B1" s="397"/>
      <c r="C1" s="397"/>
      <c r="D1" s="397"/>
      <c r="E1" s="397"/>
      <c r="F1" s="397"/>
    </row>
    <row r="2" spans="1:6" ht="13.8" thickBot="1" x14ac:dyDescent="0.3">
      <c r="A2" s="389" t="s">
        <v>527</v>
      </c>
      <c r="B2" s="390"/>
      <c r="C2" s="390"/>
      <c r="D2" s="390"/>
      <c r="E2" s="390"/>
      <c r="F2" s="391"/>
    </row>
    <row r="3" spans="1:6" ht="14.4" thickTop="1" thickBot="1" x14ac:dyDescent="0.3">
      <c r="A3" s="227" t="s">
        <v>121</v>
      </c>
      <c r="B3" s="227" t="s">
        <v>122</v>
      </c>
      <c r="C3" s="227" t="s">
        <v>123</v>
      </c>
      <c r="D3" s="227" t="s">
        <v>124</v>
      </c>
      <c r="E3" s="228" t="s">
        <v>125</v>
      </c>
      <c r="F3" s="228" t="s">
        <v>126</v>
      </c>
    </row>
    <row r="4" spans="1:6" ht="13.8" thickTop="1" x14ac:dyDescent="0.25">
      <c r="A4" s="137" t="s">
        <v>0</v>
      </c>
      <c r="B4" s="130" t="s">
        <v>320</v>
      </c>
      <c r="C4" s="131"/>
      <c r="D4" s="132"/>
      <c r="E4" s="133"/>
      <c r="F4" s="134"/>
    </row>
    <row r="5" spans="1:6" x14ac:dyDescent="0.25">
      <c r="A5" s="139" t="s">
        <v>25</v>
      </c>
      <c r="B5" s="194" t="s">
        <v>73</v>
      </c>
      <c r="C5" s="141" t="s">
        <v>6</v>
      </c>
      <c r="D5" s="149">
        <v>1</v>
      </c>
      <c r="E5" s="142"/>
      <c r="F5" s="143"/>
    </row>
    <row r="6" spans="1:6" x14ac:dyDescent="0.25">
      <c r="A6" s="139" t="s">
        <v>128</v>
      </c>
      <c r="B6" s="147" t="s">
        <v>314</v>
      </c>
      <c r="C6" s="141" t="s">
        <v>10</v>
      </c>
      <c r="D6" s="149">
        <f>(75*50)*0.1</f>
        <v>375</v>
      </c>
      <c r="E6" s="142"/>
      <c r="F6" s="143"/>
    </row>
    <row r="7" spans="1:6" x14ac:dyDescent="0.25">
      <c r="A7" s="139" t="s">
        <v>130</v>
      </c>
      <c r="B7" s="147" t="s">
        <v>317</v>
      </c>
      <c r="C7" s="141" t="s">
        <v>10</v>
      </c>
      <c r="D7" s="149">
        <f>(75*50)*0.05</f>
        <v>187.5</v>
      </c>
      <c r="E7" s="142"/>
      <c r="F7" s="143"/>
    </row>
    <row r="8" spans="1:6" x14ac:dyDescent="0.25">
      <c r="A8" s="139" t="s">
        <v>318</v>
      </c>
      <c r="B8" s="147" t="s">
        <v>315</v>
      </c>
      <c r="C8" s="141" t="s">
        <v>21</v>
      </c>
      <c r="D8" s="149">
        <v>2</v>
      </c>
      <c r="E8" s="142"/>
      <c r="F8" s="143"/>
    </row>
    <row r="9" spans="1:6" x14ac:dyDescent="0.25">
      <c r="A9" s="139" t="s">
        <v>319</v>
      </c>
      <c r="B9" s="147" t="s">
        <v>316</v>
      </c>
      <c r="C9" s="141" t="s">
        <v>6</v>
      </c>
      <c r="D9" s="149">
        <v>1</v>
      </c>
      <c r="E9" s="142"/>
      <c r="F9" s="143"/>
    </row>
    <row r="10" spans="1:6" x14ac:dyDescent="0.25">
      <c r="A10" s="137"/>
      <c r="B10" s="130" t="s">
        <v>7</v>
      </c>
      <c r="C10" s="144"/>
      <c r="D10" s="150"/>
      <c r="E10" s="145"/>
      <c r="F10" s="146"/>
    </row>
    <row r="11" spans="1:6" x14ac:dyDescent="0.25">
      <c r="A11" s="137" t="s">
        <v>321</v>
      </c>
      <c r="B11" s="130" t="s">
        <v>322</v>
      </c>
      <c r="C11" s="144"/>
      <c r="D11" s="150"/>
      <c r="E11" s="145"/>
      <c r="F11" s="146"/>
    </row>
    <row r="12" spans="1:6" x14ac:dyDescent="0.25">
      <c r="A12" s="139" t="s">
        <v>50</v>
      </c>
      <c r="B12" s="194" t="s">
        <v>73</v>
      </c>
      <c r="C12" s="141" t="s">
        <v>6</v>
      </c>
      <c r="D12" s="149">
        <v>1</v>
      </c>
      <c r="E12" s="142"/>
      <c r="F12" s="143"/>
    </row>
    <row r="13" spans="1:6" x14ac:dyDescent="0.25">
      <c r="A13" s="139" t="s">
        <v>51</v>
      </c>
      <c r="B13" s="147" t="s">
        <v>314</v>
      </c>
      <c r="C13" s="141" t="s">
        <v>16</v>
      </c>
      <c r="D13" s="149">
        <f>(30*15)*0.15</f>
        <v>67.5</v>
      </c>
      <c r="E13" s="142"/>
      <c r="F13" s="143"/>
    </row>
    <row r="14" spans="1:6" x14ac:dyDescent="0.25">
      <c r="A14" s="139" t="s">
        <v>52</v>
      </c>
      <c r="B14" s="147" t="s">
        <v>323</v>
      </c>
      <c r="C14" s="141" t="s">
        <v>10</v>
      </c>
      <c r="D14" s="149">
        <f>(30*15)*0.15</f>
        <v>67.5</v>
      </c>
      <c r="E14" s="142"/>
      <c r="F14" s="143"/>
    </row>
    <row r="15" spans="1:6" x14ac:dyDescent="0.25">
      <c r="A15" s="139" t="s">
        <v>131</v>
      </c>
      <c r="B15" s="147" t="s">
        <v>324</v>
      </c>
      <c r="C15" s="141" t="s">
        <v>10</v>
      </c>
      <c r="D15" s="151">
        <f>(30*15)*0.1</f>
        <v>45</v>
      </c>
      <c r="E15" s="142"/>
      <c r="F15" s="143"/>
    </row>
    <row r="16" spans="1:6" x14ac:dyDescent="0.25">
      <c r="A16" s="139" t="s">
        <v>249</v>
      </c>
      <c r="B16" s="147" t="s">
        <v>325</v>
      </c>
      <c r="C16" s="141" t="s">
        <v>21</v>
      </c>
      <c r="D16" s="149">
        <v>2</v>
      </c>
      <c r="E16" s="142"/>
      <c r="F16" s="143"/>
    </row>
    <row r="17" spans="1:6" x14ac:dyDescent="0.25">
      <c r="A17" s="139" t="s">
        <v>251</v>
      </c>
      <c r="B17" s="147" t="s">
        <v>326</v>
      </c>
      <c r="C17" s="141" t="s">
        <v>6</v>
      </c>
      <c r="D17" s="149">
        <v>1</v>
      </c>
      <c r="E17" s="142"/>
      <c r="F17" s="143"/>
    </row>
    <row r="18" spans="1:6" x14ac:dyDescent="0.25">
      <c r="A18" s="137"/>
      <c r="B18" s="130" t="s">
        <v>7</v>
      </c>
      <c r="C18" s="144"/>
      <c r="D18" s="150"/>
      <c r="E18" s="145"/>
      <c r="F18" s="146"/>
    </row>
    <row r="19" spans="1:6" x14ac:dyDescent="0.25">
      <c r="A19" s="459" t="s">
        <v>458</v>
      </c>
      <c r="B19" s="460"/>
      <c r="C19" s="460"/>
      <c r="D19" s="460"/>
      <c r="E19" s="460"/>
      <c r="F19" s="152"/>
    </row>
    <row r="20" spans="1:6" ht="13.8" thickBot="1" x14ac:dyDescent="0.3">
      <c r="A20" s="461" t="s">
        <v>459</v>
      </c>
      <c r="B20" s="462"/>
      <c r="C20" s="462"/>
      <c r="D20" s="462"/>
      <c r="E20" s="462"/>
      <c r="F20" s="153"/>
    </row>
    <row r="21" spans="1:6" ht="13.8" thickTop="1" x14ac:dyDescent="0.25"/>
  </sheetData>
  <mergeCells count="4">
    <mergeCell ref="A1:F1"/>
    <mergeCell ref="A2:F2"/>
    <mergeCell ref="A19:E19"/>
    <mergeCell ref="A20:E20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18"/>
  <sheetViews>
    <sheetView zoomScale="120" zoomScaleNormal="120" workbookViewId="0">
      <selection activeCell="D9" sqref="D9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4.88671875" style="123" customWidth="1"/>
    <col min="4" max="4" width="16" style="123" customWidth="1"/>
    <col min="5" max="5" width="31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ht="13.8" x14ac:dyDescent="0.25">
      <c r="A1" s="401" t="s">
        <v>460</v>
      </c>
      <c r="B1" s="402"/>
      <c r="C1" s="402"/>
      <c r="D1" s="402"/>
      <c r="E1" s="403"/>
      <c r="F1" s="310"/>
    </row>
    <row r="2" spans="1:6" ht="13.8" thickBot="1" x14ac:dyDescent="0.3">
      <c r="A2" s="389" t="s">
        <v>528</v>
      </c>
      <c r="B2" s="390"/>
      <c r="C2" s="390"/>
      <c r="D2" s="390"/>
      <c r="E2" s="391"/>
    </row>
    <row r="3" spans="1:6" ht="14.4" thickTop="1" thickBot="1" x14ac:dyDescent="0.3">
      <c r="A3" s="136"/>
      <c r="B3" s="463"/>
      <c r="C3" s="463"/>
      <c r="D3" s="463"/>
      <c r="E3" s="463"/>
    </row>
    <row r="4" spans="1:6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3.8" thickTop="1" x14ac:dyDescent="0.25">
      <c r="A5" s="137"/>
      <c r="B5" s="130"/>
      <c r="C5" s="131"/>
      <c r="D5" s="133"/>
      <c r="E5" s="134"/>
    </row>
    <row r="6" spans="1:6" x14ac:dyDescent="0.25">
      <c r="A6" s="137" t="s">
        <v>0</v>
      </c>
      <c r="B6" s="130" t="s">
        <v>320</v>
      </c>
      <c r="C6" s="131"/>
      <c r="D6" s="133"/>
      <c r="E6" s="134"/>
    </row>
    <row r="7" spans="1:6" x14ac:dyDescent="0.25">
      <c r="A7" s="139" t="s">
        <v>25</v>
      </c>
      <c r="B7" s="194" t="s">
        <v>73</v>
      </c>
      <c r="C7" s="141" t="s">
        <v>6</v>
      </c>
      <c r="D7" s="142"/>
      <c r="E7" s="143"/>
    </row>
    <row r="8" spans="1:6" x14ac:dyDescent="0.25">
      <c r="A8" s="139" t="s">
        <v>128</v>
      </c>
      <c r="B8" s="147" t="s">
        <v>314</v>
      </c>
      <c r="C8" s="141" t="s">
        <v>10</v>
      </c>
      <c r="D8" s="142"/>
      <c r="E8" s="143"/>
    </row>
    <row r="9" spans="1:6" x14ac:dyDescent="0.25">
      <c r="A9" s="139" t="s">
        <v>130</v>
      </c>
      <c r="B9" s="147" t="s">
        <v>317</v>
      </c>
      <c r="C9" s="141" t="s">
        <v>10</v>
      </c>
      <c r="D9" s="142"/>
      <c r="E9" s="143"/>
    </row>
    <row r="10" spans="1:6" x14ac:dyDescent="0.25">
      <c r="A10" s="139" t="s">
        <v>318</v>
      </c>
      <c r="B10" s="147" t="s">
        <v>315</v>
      </c>
      <c r="C10" s="141" t="s">
        <v>21</v>
      </c>
      <c r="D10" s="142"/>
      <c r="E10" s="143"/>
    </row>
    <row r="11" spans="1:6" x14ac:dyDescent="0.25">
      <c r="A11" s="139" t="s">
        <v>319</v>
      </c>
      <c r="B11" s="147" t="s">
        <v>316</v>
      </c>
      <c r="C11" s="141" t="s">
        <v>6</v>
      </c>
      <c r="D11" s="142"/>
      <c r="E11" s="143"/>
    </row>
    <row r="12" spans="1:6" x14ac:dyDescent="0.25">
      <c r="A12" s="137" t="s">
        <v>321</v>
      </c>
      <c r="B12" s="130" t="s">
        <v>322</v>
      </c>
      <c r="C12" s="144"/>
      <c r="D12" s="145"/>
      <c r="E12" s="146"/>
    </row>
    <row r="13" spans="1:6" x14ac:dyDescent="0.25">
      <c r="A13" s="139" t="s">
        <v>50</v>
      </c>
      <c r="B13" s="194" t="s">
        <v>73</v>
      </c>
      <c r="C13" s="141" t="s">
        <v>6</v>
      </c>
      <c r="D13" s="142"/>
      <c r="E13" s="143"/>
    </row>
    <row r="14" spans="1:6" x14ac:dyDescent="0.25">
      <c r="A14" s="139" t="s">
        <v>51</v>
      </c>
      <c r="B14" s="147" t="s">
        <v>314</v>
      </c>
      <c r="C14" s="141" t="s">
        <v>16</v>
      </c>
      <c r="D14" s="142"/>
      <c r="E14" s="143"/>
    </row>
    <row r="15" spans="1:6" x14ac:dyDescent="0.25">
      <c r="A15" s="139" t="s">
        <v>52</v>
      </c>
      <c r="B15" s="147" t="s">
        <v>323</v>
      </c>
      <c r="C15" s="141" t="s">
        <v>10</v>
      </c>
      <c r="D15" s="142"/>
      <c r="E15" s="143"/>
    </row>
    <row r="16" spans="1:6" x14ac:dyDescent="0.25">
      <c r="A16" s="139" t="s">
        <v>131</v>
      </c>
      <c r="B16" s="147" t="s">
        <v>324</v>
      </c>
      <c r="C16" s="141" t="s">
        <v>10</v>
      </c>
      <c r="D16" s="142"/>
      <c r="E16" s="143"/>
    </row>
    <row r="17" spans="1:5" x14ac:dyDescent="0.25">
      <c r="A17" s="139" t="s">
        <v>249</v>
      </c>
      <c r="B17" s="147" t="s">
        <v>325</v>
      </c>
      <c r="C17" s="141" t="s">
        <v>21</v>
      </c>
      <c r="D17" s="142"/>
      <c r="E17" s="143"/>
    </row>
    <row r="18" spans="1:5" x14ac:dyDescent="0.25">
      <c r="A18" s="139" t="s">
        <v>251</v>
      </c>
      <c r="B18" s="147" t="s">
        <v>326</v>
      </c>
      <c r="C18" s="141" t="s">
        <v>6</v>
      </c>
      <c r="D18" s="142"/>
      <c r="E18" s="143"/>
    </row>
  </sheetData>
  <mergeCells count="3">
    <mergeCell ref="A1:E1"/>
    <mergeCell ref="A2:E2"/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zoomScale="120" zoomScaleNormal="120" workbookViewId="0">
      <selection activeCell="B5" sqref="B5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x14ac:dyDescent="0.25">
      <c r="A1" s="382" t="s">
        <v>460</v>
      </c>
      <c r="B1" s="382"/>
      <c r="C1" s="382"/>
      <c r="D1" s="382"/>
      <c r="E1" s="382"/>
      <c r="F1" s="382"/>
    </row>
    <row r="2" spans="1:6" x14ac:dyDescent="0.25">
      <c r="A2" s="389" t="s">
        <v>538</v>
      </c>
      <c r="B2" s="390"/>
      <c r="C2" s="390"/>
      <c r="D2" s="390"/>
      <c r="E2" s="390"/>
      <c r="F2" s="391"/>
    </row>
    <row r="3" spans="1:6" x14ac:dyDescent="0.25">
      <c r="A3" s="137"/>
      <c r="B3" s="130" t="s">
        <v>30</v>
      </c>
      <c r="C3" s="131" t="s">
        <v>2</v>
      </c>
      <c r="D3" s="132" t="s">
        <v>3</v>
      </c>
      <c r="E3" s="133" t="s">
        <v>4</v>
      </c>
      <c r="F3" s="134" t="s">
        <v>5</v>
      </c>
    </row>
    <row r="4" spans="1:6" x14ac:dyDescent="0.25">
      <c r="A4" s="137" t="s">
        <v>0</v>
      </c>
      <c r="B4" s="130" t="s">
        <v>24</v>
      </c>
      <c r="C4" s="131"/>
      <c r="D4" s="132"/>
      <c r="E4" s="133"/>
      <c r="F4" s="134"/>
    </row>
    <row r="5" spans="1:6" ht="66" x14ac:dyDescent="0.25">
      <c r="A5" s="139" t="s">
        <v>25</v>
      </c>
      <c r="B5" s="140" t="s">
        <v>418</v>
      </c>
      <c r="C5" s="141" t="s">
        <v>26</v>
      </c>
      <c r="D5" s="149">
        <f>(((13.6+1+1)*(2.22+1.5+1.5)+((1.5*3)*2)))</f>
        <v>90.432000000000002</v>
      </c>
      <c r="E5" s="142"/>
      <c r="F5" s="143"/>
    </row>
    <row r="6" spans="1:6" x14ac:dyDescent="0.25">
      <c r="A6" s="137"/>
      <c r="B6" s="130" t="s">
        <v>7</v>
      </c>
      <c r="C6" s="144"/>
      <c r="D6" s="150"/>
      <c r="E6" s="145"/>
      <c r="F6" s="146"/>
    </row>
    <row r="7" spans="1:6" x14ac:dyDescent="0.25">
      <c r="A7" s="137" t="s">
        <v>8</v>
      </c>
      <c r="B7" s="130" t="s">
        <v>9</v>
      </c>
      <c r="C7" s="144"/>
      <c r="D7" s="150"/>
      <c r="E7" s="145"/>
      <c r="F7" s="146"/>
    </row>
    <row r="8" spans="1:6" x14ac:dyDescent="0.25">
      <c r="A8" s="139" t="s">
        <v>50</v>
      </c>
      <c r="B8" s="147" t="s">
        <v>27</v>
      </c>
      <c r="C8" s="141" t="s">
        <v>10</v>
      </c>
      <c r="D8" s="149">
        <f>20.6*0.5*1.2</f>
        <v>12.360000000000001</v>
      </c>
      <c r="E8" s="142"/>
      <c r="F8" s="143"/>
    </row>
    <row r="9" spans="1:6" x14ac:dyDescent="0.25">
      <c r="A9" s="139" t="s">
        <v>51</v>
      </c>
      <c r="B9" s="147" t="s">
        <v>28</v>
      </c>
      <c r="C9" s="141" t="s">
        <v>10</v>
      </c>
      <c r="D9" s="149">
        <f>(0.5*0.5*1.2)*2</f>
        <v>0.6</v>
      </c>
      <c r="E9" s="142"/>
      <c r="F9" s="143"/>
    </row>
    <row r="10" spans="1:6" x14ac:dyDescent="0.25">
      <c r="A10" s="139" t="s">
        <v>52</v>
      </c>
      <c r="B10" s="147" t="s">
        <v>11</v>
      </c>
      <c r="C10" s="141" t="s">
        <v>10</v>
      </c>
      <c r="D10" s="149">
        <f>(0.3*0.75*100)</f>
        <v>22.499999999999996</v>
      </c>
      <c r="E10" s="142"/>
      <c r="F10" s="143"/>
    </row>
    <row r="11" spans="1:6" x14ac:dyDescent="0.25">
      <c r="A11" s="137"/>
      <c r="B11" s="130" t="s">
        <v>7</v>
      </c>
      <c r="C11" s="144"/>
      <c r="D11" s="150"/>
      <c r="E11" s="145"/>
      <c r="F11" s="146"/>
    </row>
    <row r="12" spans="1:6" x14ac:dyDescent="0.25">
      <c r="A12" s="137" t="s">
        <v>12</v>
      </c>
      <c r="B12" s="130" t="s">
        <v>13</v>
      </c>
      <c r="C12" s="144"/>
      <c r="D12" s="150"/>
      <c r="E12" s="145"/>
      <c r="F12" s="146"/>
    </row>
    <row r="13" spans="1:6" x14ac:dyDescent="0.25">
      <c r="A13" s="139" t="s">
        <v>41</v>
      </c>
      <c r="B13" s="147" t="s">
        <v>53</v>
      </c>
      <c r="C13" s="141" t="s">
        <v>10</v>
      </c>
      <c r="D13" s="149">
        <f>20.6*0.5*0.05</f>
        <v>0.51500000000000001</v>
      </c>
      <c r="E13" s="142"/>
      <c r="F13" s="143"/>
    </row>
    <row r="14" spans="1:6" x14ac:dyDescent="0.25">
      <c r="A14" s="139" t="s">
        <v>42</v>
      </c>
      <c r="B14" s="147" t="s">
        <v>54</v>
      </c>
      <c r="C14" s="141" t="s">
        <v>10</v>
      </c>
      <c r="D14" s="149">
        <f>20.6*0.5*0.3</f>
        <v>3.0900000000000003</v>
      </c>
      <c r="E14" s="142"/>
      <c r="F14" s="143"/>
    </row>
    <row r="15" spans="1:6" x14ac:dyDescent="0.25">
      <c r="A15" s="139" t="s">
        <v>43</v>
      </c>
      <c r="B15" s="147" t="s">
        <v>29</v>
      </c>
      <c r="C15" s="141" t="s">
        <v>10</v>
      </c>
      <c r="D15" s="149">
        <f>(1*1*0.3*2)+(0.8*0.8*0.3*2)</f>
        <v>0.98399999999999999</v>
      </c>
      <c r="E15" s="142"/>
      <c r="F15" s="143"/>
    </row>
    <row r="16" spans="1:6" x14ac:dyDescent="0.25">
      <c r="A16" s="139" t="s">
        <v>44</v>
      </c>
      <c r="B16" s="147" t="s">
        <v>14</v>
      </c>
      <c r="C16" s="141" t="s">
        <v>10</v>
      </c>
      <c r="D16" s="149">
        <f>0.2*0.2*20.6</f>
        <v>0.82400000000000018</v>
      </c>
      <c r="E16" s="142"/>
      <c r="F16" s="143"/>
    </row>
    <row r="17" spans="1:6" x14ac:dyDescent="0.25">
      <c r="A17" s="139" t="s">
        <v>45</v>
      </c>
      <c r="B17" s="147" t="s">
        <v>15</v>
      </c>
      <c r="C17" s="141" t="s">
        <v>10</v>
      </c>
      <c r="D17" s="149">
        <f>4.5*0.1*0.2</f>
        <v>9.0000000000000011E-2</v>
      </c>
      <c r="E17" s="142"/>
      <c r="F17" s="143"/>
    </row>
    <row r="18" spans="1:6" x14ac:dyDescent="0.25">
      <c r="A18" s="139" t="s">
        <v>46</v>
      </c>
      <c r="B18" s="147" t="s">
        <v>55</v>
      </c>
      <c r="C18" s="141" t="s">
        <v>10</v>
      </c>
      <c r="D18" s="149">
        <f>(0.4*0.4*0.85*2)+(0.3*0.3*0.85*2)+(0.2*0.2*2*0.85)</f>
        <v>0.49300000000000005</v>
      </c>
      <c r="E18" s="142"/>
      <c r="F18" s="143"/>
    </row>
    <row r="19" spans="1:6" x14ac:dyDescent="0.25">
      <c r="A19" s="139" t="s">
        <v>47</v>
      </c>
      <c r="B19" s="147" t="s">
        <v>56</v>
      </c>
      <c r="C19" s="141" t="s">
        <v>10</v>
      </c>
      <c r="D19" s="149">
        <f>(0.4*0.4*3*2)+(0.3*0.3*2.2*2)+(0.2*0.2*2*1.5)</f>
        <v>1.4760000000000004</v>
      </c>
      <c r="E19" s="142"/>
      <c r="F19" s="143"/>
    </row>
    <row r="20" spans="1:6" x14ac:dyDescent="0.25">
      <c r="A20" s="139" t="s">
        <v>48</v>
      </c>
      <c r="B20" s="147" t="s">
        <v>57</v>
      </c>
      <c r="C20" s="141" t="s">
        <v>16</v>
      </c>
      <c r="D20" s="149">
        <f>20.6*0.65</f>
        <v>13.39</v>
      </c>
      <c r="E20" s="142"/>
      <c r="F20" s="143"/>
    </row>
    <row r="21" spans="1:6" x14ac:dyDescent="0.25">
      <c r="A21" s="139" t="s">
        <v>49</v>
      </c>
      <c r="B21" s="147" t="s">
        <v>58</v>
      </c>
      <c r="C21" s="141" t="s">
        <v>16</v>
      </c>
      <c r="D21" s="149">
        <f>10.6*(2.38+0.72)</f>
        <v>32.859999999999992</v>
      </c>
      <c r="E21" s="142"/>
      <c r="F21" s="143"/>
    </row>
    <row r="22" spans="1:6" x14ac:dyDescent="0.25">
      <c r="A22" s="137"/>
      <c r="B22" s="130" t="s">
        <v>7</v>
      </c>
      <c r="C22" s="144"/>
      <c r="D22" s="150"/>
      <c r="E22" s="145"/>
      <c r="F22" s="146"/>
    </row>
    <row r="23" spans="1:6" x14ac:dyDescent="0.25">
      <c r="A23" s="137" t="s">
        <v>17</v>
      </c>
      <c r="B23" s="130" t="s">
        <v>69</v>
      </c>
      <c r="C23" s="144"/>
      <c r="D23" s="150"/>
      <c r="E23" s="145"/>
      <c r="F23" s="146"/>
    </row>
    <row r="24" spans="1:6" ht="26.4" x14ac:dyDescent="0.25">
      <c r="A24" s="139" t="s">
        <v>40</v>
      </c>
      <c r="B24" s="148" t="s">
        <v>60</v>
      </c>
      <c r="C24" s="141" t="s">
        <v>16</v>
      </c>
      <c r="D24" s="149">
        <f>8.21*2*2+(0.4*0.4*3*2)+(0.3*0.3*2.2*2)</f>
        <v>34.196000000000005</v>
      </c>
      <c r="E24" s="142"/>
      <c r="F24" s="143"/>
    </row>
    <row r="25" spans="1:6" x14ac:dyDescent="0.25">
      <c r="A25" s="139" t="s">
        <v>61</v>
      </c>
      <c r="B25" s="148" t="s">
        <v>59</v>
      </c>
      <c r="C25" s="141" t="s">
        <v>16</v>
      </c>
      <c r="D25" s="149">
        <f>8.21*2*2+(0.4*0.4*3*2)+(0.3*0.3*2.2*2)</f>
        <v>34.196000000000005</v>
      </c>
      <c r="E25" s="142"/>
      <c r="F25" s="143"/>
    </row>
    <row r="26" spans="1:6" ht="26.4" x14ac:dyDescent="0.25">
      <c r="A26" s="139" t="s">
        <v>71</v>
      </c>
      <c r="B26" s="148" t="s">
        <v>70</v>
      </c>
      <c r="C26" s="141" t="s">
        <v>26</v>
      </c>
      <c r="D26" s="151">
        <f>(4+1.5+1.5)*2.2*2</f>
        <v>30.800000000000004</v>
      </c>
      <c r="E26" s="142"/>
      <c r="F26" s="143"/>
    </row>
    <row r="27" spans="1:6" x14ac:dyDescent="0.25">
      <c r="A27" s="137"/>
      <c r="B27" s="130" t="s">
        <v>7</v>
      </c>
      <c r="C27" s="144"/>
      <c r="D27" s="150"/>
      <c r="E27" s="145"/>
      <c r="F27" s="146"/>
    </row>
    <row r="28" spans="1:6" x14ac:dyDescent="0.25">
      <c r="A28" s="137" t="s">
        <v>19</v>
      </c>
      <c r="B28" s="130" t="s">
        <v>68</v>
      </c>
      <c r="C28" s="144"/>
      <c r="D28" s="150"/>
      <c r="E28" s="145"/>
      <c r="F28" s="146"/>
    </row>
    <row r="29" spans="1:6" ht="52.8" x14ac:dyDescent="0.25">
      <c r="A29" s="139" t="s">
        <v>65</v>
      </c>
      <c r="B29" s="148" t="s">
        <v>72</v>
      </c>
      <c r="C29" s="141" t="s">
        <v>21</v>
      </c>
      <c r="D29" s="149">
        <v>2</v>
      </c>
      <c r="E29" s="142"/>
      <c r="F29" s="143"/>
    </row>
    <row r="30" spans="1:6" ht="39.6" x14ac:dyDescent="0.25">
      <c r="A30" s="139" t="s">
        <v>66</v>
      </c>
      <c r="B30" s="148" t="s">
        <v>62</v>
      </c>
      <c r="C30" s="141" t="s">
        <v>21</v>
      </c>
      <c r="D30" s="149">
        <v>1</v>
      </c>
      <c r="E30" s="142"/>
      <c r="F30" s="143"/>
    </row>
    <row r="31" spans="1:6" ht="39.6" x14ac:dyDescent="0.25">
      <c r="A31" s="139" t="s">
        <v>67</v>
      </c>
      <c r="B31" s="148" t="s">
        <v>309</v>
      </c>
      <c r="C31" s="141" t="s">
        <v>21</v>
      </c>
      <c r="D31" s="149">
        <v>2</v>
      </c>
      <c r="E31" s="142"/>
      <c r="F31" s="143"/>
    </row>
    <row r="32" spans="1:6" x14ac:dyDescent="0.25">
      <c r="A32" s="137"/>
      <c r="B32" s="130" t="s">
        <v>7</v>
      </c>
      <c r="C32" s="144"/>
      <c r="D32" s="150"/>
      <c r="E32" s="145"/>
      <c r="F32" s="146"/>
    </row>
    <row r="33" spans="1:6" x14ac:dyDescent="0.25">
      <c r="A33" s="137" t="s">
        <v>22</v>
      </c>
      <c r="B33" s="130" t="s">
        <v>23</v>
      </c>
      <c r="C33" s="144"/>
      <c r="D33" s="150"/>
      <c r="E33" s="145"/>
      <c r="F33" s="146"/>
    </row>
    <row r="34" spans="1:6" x14ac:dyDescent="0.25">
      <c r="A34" s="139" t="s">
        <v>63</v>
      </c>
      <c r="B34" s="147" t="s">
        <v>305</v>
      </c>
      <c r="C34" s="141" t="s">
        <v>16</v>
      </c>
      <c r="D34" s="149">
        <f>357*2</f>
        <v>714</v>
      </c>
      <c r="E34" s="142"/>
      <c r="F34" s="143"/>
    </row>
    <row r="35" spans="1:6" ht="26.4" x14ac:dyDescent="0.25">
      <c r="A35" s="139" t="s">
        <v>64</v>
      </c>
      <c r="B35" s="148" t="s">
        <v>306</v>
      </c>
      <c r="C35" s="141" t="s">
        <v>77</v>
      </c>
      <c r="D35" s="149">
        <v>364</v>
      </c>
      <c r="E35" s="142"/>
      <c r="F35" s="143"/>
    </row>
    <row r="36" spans="1:6" ht="26.4" x14ac:dyDescent="0.25">
      <c r="A36" s="139" t="s">
        <v>74</v>
      </c>
      <c r="B36" s="148" t="s">
        <v>346</v>
      </c>
      <c r="C36" s="141" t="s">
        <v>10</v>
      </c>
      <c r="D36" s="149">
        <f>714*0.15</f>
        <v>107.1</v>
      </c>
      <c r="E36" s="142"/>
      <c r="F36" s="143"/>
    </row>
    <row r="37" spans="1:6" x14ac:dyDescent="0.25">
      <c r="A37" s="137"/>
      <c r="B37" s="130" t="s">
        <v>7</v>
      </c>
      <c r="C37" s="144"/>
      <c r="D37" s="150"/>
      <c r="E37" s="145"/>
      <c r="F37" s="146"/>
    </row>
    <row r="38" spans="1:6" x14ac:dyDescent="0.25">
      <c r="A38" s="392" t="s">
        <v>455</v>
      </c>
      <c r="B38" s="393"/>
      <c r="C38" s="393"/>
      <c r="D38" s="393"/>
      <c r="E38" s="393"/>
      <c r="F38" s="152"/>
    </row>
    <row r="39" spans="1:6" ht="13.8" thickBot="1" x14ac:dyDescent="0.3">
      <c r="A39" s="394" t="s">
        <v>456</v>
      </c>
      <c r="B39" s="395"/>
      <c r="C39" s="395"/>
      <c r="D39" s="395"/>
      <c r="E39" s="395"/>
      <c r="F39" s="153"/>
    </row>
    <row r="40" spans="1:6" ht="13.8" thickTop="1" x14ac:dyDescent="0.25"/>
  </sheetData>
  <mergeCells count="4">
    <mergeCell ref="A1:F1"/>
    <mergeCell ref="A2:F2"/>
    <mergeCell ref="A38:E38"/>
    <mergeCell ref="A39: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zoomScale="120" zoomScaleNormal="120" workbookViewId="0">
      <selection activeCell="C5" sqref="C5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14.6640625" style="123" customWidth="1"/>
    <col min="5" max="5" width="34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x14ac:dyDescent="0.25">
      <c r="A1" s="379" t="s">
        <v>460</v>
      </c>
      <c r="B1" s="380"/>
      <c r="C1" s="380"/>
      <c r="D1" s="380"/>
      <c r="E1" s="381"/>
      <c r="F1" s="311"/>
    </row>
    <row r="2" spans="1:6" x14ac:dyDescent="0.25">
      <c r="A2" s="389" t="s">
        <v>537</v>
      </c>
      <c r="B2" s="390"/>
      <c r="C2" s="390"/>
      <c r="D2" s="390"/>
      <c r="E2" s="391"/>
    </row>
    <row r="3" spans="1:6" x14ac:dyDescent="0.25">
      <c r="A3" s="137"/>
      <c r="B3" s="130" t="s">
        <v>30</v>
      </c>
      <c r="C3" s="131" t="s">
        <v>2</v>
      </c>
      <c r="D3" s="133" t="s">
        <v>307</v>
      </c>
      <c r="E3" s="138" t="s">
        <v>308</v>
      </c>
    </row>
    <row r="4" spans="1:6" x14ac:dyDescent="0.25">
      <c r="A4" s="137" t="s">
        <v>0</v>
      </c>
      <c r="B4" s="130" t="s">
        <v>24</v>
      </c>
      <c r="C4" s="131"/>
      <c r="D4" s="133"/>
      <c r="E4" s="134"/>
    </row>
    <row r="5" spans="1:6" ht="66" x14ac:dyDescent="0.25">
      <c r="A5" s="139" t="s">
        <v>25</v>
      </c>
      <c r="B5" s="140" t="s">
        <v>418</v>
      </c>
      <c r="C5" s="141" t="s">
        <v>26</v>
      </c>
      <c r="D5" s="142"/>
      <c r="E5" s="143"/>
    </row>
    <row r="6" spans="1:6" x14ac:dyDescent="0.25">
      <c r="A6" s="137" t="s">
        <v>8</v>
      </c>
      <c r="B6" s="130" t="s">
        <v>9</v>
      </c>
      <c r="C6" s="144"/>
      <c r="D6" s="145"/>
      <c r="E6" s="146"/>
    </row>
    <row r="7" spans="1:6" x14ac:dyDescent="0.25">
      <c r="A7" s="139" t="s">
        <v>50</v>
      </c>
      <c r="B7" s="147" t="s">
        <v>27</v>
      </c>
      <c r="C7" s="141" t="s">
        <v>10</v>
      </c>
      <c r="D7" s="142"/>
      <c r="E7" s="143"/>
    </row>
    <row r="8" spans="1:6" x14ac:dyDescent="0.25">
      <c r="A8" s="139" t="s">
        <v>51</v>
      </c>
      <c r="B8" s="147" t="s">
        <v>28</v>
      </c>
      <c r="C8" s="141" t="s">
        <v>10</v>
      </c>
      <c r="D8" s="142"/>
      <c r="E8" s="143"/>
    </row>
    <row r="9" spans="1:6" x14ac:dyDescent="0.25">
      <c r="A9" s="139" t="s">
        <v>52</v>
      </c>
      <c r="B9" s="147" t="s">
        <v>11</v>
      </c>
      <c r="C9" s="141" t="s">
        <v>10</v>
      </c>
      <c r="D9" s="142"/>
      <c r="E9" s="143"/>
    </row>
    <row r="10" spans="1:6" x14ac:dyDescent="0.25">
      <c r="A10" s="137" t="s">
        <v>12</v>
      </c>
      <c r="B10" s="130" t="s">
        <v>13</v>
      </c>
      <c r="C10" s="144"/>
      <c r="D10" s="145"/>
      <c r="E10" s="146"/>
    </row>
    <row r="11" spans="1:6" x14ac:dyDescent="0.25">
      <c r="A11" s="139" t="s">
        <v>41</v>
      </c>
      <c r="B11" s="147" t="s">
        <v>53</v>
      </c>
      <c r="C11" s="141" t="s">
        <v>10</v>
      </c>
      <c r="D11" s="142"/>
      <c r="E11" s="143"/>
    </row>
    <row r="12" spans="1:6" x14ac:dyDescent="0.25">
      <c r="A12" s="139" t="s">
        <v>42</v>
      </c>
      <c r="B12" s="147" t="s">
        <v>54</v>
      </c>
      <c r="C12" s="141" t="s">
        <v>10</v>
      </c>
      <c r="D12" s="142"/>
      <c r="E12" s="143"/>
    </row>
    <row r="13" spans="1:6" x14ac:dyDescent="0.25">
      <c r="A13" s="139" t="s">
        <v>43</v>
      </c>
      <c r="B13" s="147" t="s">
        <v>29</v>
      </c>
      <c r="C13" s="141" t="s">
        <v>10</v>
      </c>
      <c r="D13" s="142"/>
      <c r="E13" s="143"/>
    </row>
    <row r="14" spans="1:6" x14ac:dyDescent="0.25">
      <c r="A14" s="139" t="s">
        <v>44</v>
      </c>
      <c r="B14" s="147" t="s">
        <v>14</v>
      </c>
      <c r="C14" s="141" t="s">
        <v>10</v>
      </c>
      <c r="D14" s="142"/>
      <c r="E14" s="143"/>
    </row>
    <row r="15" spans="1:6" x14ac:dyDescent="0.25">
      <c r="A15" s="139" t="s">
        <v>45</v>
      </c>
      <c r="B15" s="147" t="s">
        <v>15</v>
      </c>
      <c r="C15" s="141" t="s">
        <v>10</v>
      </c>
      <c r="D15" s="142"/>
      <c r="E15" s="143"/>
    </row>
    <row r="16" spans="1:6" x14ac:dyDescent="0.25">
      <c r="A16" s="139" t="s">
        <v>46</v>
      </c>
      <c r="B16" s="147" t="s">
        <v>55</v>
      </c>
      <c r="C16" s="141" t="s">
        <v>10</v>
      </c>
      <c r="D16" s="142"/>
      <c r="E16" s="143"/>
    </row>
    <row r="17" spans="1:5" x14ac:dyDescent="0.25">
      <c r="A17" s="139" t="s">
        <v>47</v>
      </c>
      <c r="B17" s="147" t="s">
        <v>56</v>
      </c>
      <c r="C17" s="141" t="s">
        <v>10</v>
      </c>
      <c r="D17" s="142"/>
      <c r="E17" s="143"/>
    </row>
    <row r="18" spans="1:5" x14ac:dyDescent="0.25">
      <c r="A18" s="139" t="s">
        <v>48</v>
      </c>
      <c r="B18" s="147" t="s">
        <v>57</v>
      </c>
      <c r="C18" s="141" t="s">
        <v>16</v>
      </c>
      <c r="D18" s="142"/>
      <c r="E18" s="143"/>
    </row>
    <row r="19" spans="1:5" x14ac:dyDescent="0.25">
      <c r="A19" s="139" t="s">
        <v>49</v>
      </c>
      <c r="B19" s="147" t="s">
        <v>58</v>
      </c>
      <c r="C19" s="141" t="s">
        <v>16</v>
      </c>
      <c r="D19" s="142"/>
      <c r="E19" s="143"/>
    </row>
    <row r="20" spans="1:5" x14ac:dyDescent="0.25">
      <c r="A20" s="137" t="s">
        <v>17</v>
      </c>
      <c r="B20" s="130" t="s">
        <v>69</v>
      </c>
      <c r="C20" s="144"/>
      <c r="D20" s="145"/>
      <c r="E20" s="146"/>
    </row>
    <row r="21" spans="1:5" ht="26.4" x14ac:dyDescent="0.25">
      <c r="A21" s="139" t="s">
        <v>40</v>
      </c>
      <c r="B21" s="148" t="s">
        <v>60</v>
      </c>
      <c r="C21" s="141" t="s">
        <v>16</v>
      </c>
      <c r="D21" s="142"/>
      <c r="E21" s="143"/>
    </row>
    <row r="22" spans="1:5" x14ac:dyDescent="0.25">
      <c r="A22" s="139" t="s">
        <v>61</v>
      </c>
      <c r="B22" s="148" t="s">
        <v>59</v>
      </c>
      <c r="C22" s="141" t="s">
        <v>16</v>
      </c>
      <c r="D22" s="142"/>
      <c r="E22" s="143"/>
    </row>
    <row r="23" spans="1:5" ht="26.4" x14ac:dyDescent="0.25">
      <c r="A23" s="139" t="s">
        <v>71</v>
      </c>
      <c r="B23" s="148" t="s">
        <v>70</v>
      </c>
      <c r="C23" s="141" t="s">
        <v>26</v>
      </c>
      <c r="D23" s="142"/>
      <c r="E23" s="143"/>
    </row>
    <row r="24" spans="1:5" x14ac:dyDescent="0.25">
      <c r="A24" s="137" t="s">
        <v>19</v>
      </c>
      <c r="B24" s="130" t="s">
        <v>68</v>
      </c>
      <c r="C24" s="144"/>
      <c r="D24" s="145"/>
      <c r="E24" s="146"/>
    </row>
    <row r="25" spans="1:5" ht="52.8" x14ac:dyDescent="0.25">
      <c r="A25" s="139" t="s">
        <v>65</v>
      </c>
      <c r="B25" s="148" t="s">
        <v>72</v>
      </c>
      <c r="C25" s="141" t="s">
        <v>21</v>
      </c>
      <c r="D25" s="142"/>
      <c r="E25" s="143"/>
    </row>
    <row r="26" spans="1:5" ht="39.6" x14ac:dyDescent="0.25">
      <c r="A26" s="139" t="s">
        <v>66</v>
      </c>
      <c r="B26" s="148" t="s">
        <v>62</v>
      </c>
      <c r="C26" s="141" t="s">
        <v>21</v>
      </c>
      <c r="D26" s="142"/>
      <c r="E26" s="143"/>
    </row>
    <row r="27" spans="1:5" ht="39.6" x14ac:dyDescent="0.25">
      <c r="A27" s="139" t="s">
        <v>67</v>
      </c>
      <c r="B27" s="148" t="s">
        <v>309</v>
      </c>
      <c r="C27" s="141" t="s">
        <v>21</v>
      </c>
      <c r="D27" s="142"/>
      <c r="E27" s="143"/>
    </row>
    <row r="28" spans="1:5" x14ac:dyDescent="0.25">
      <c r="A28" s="137" t="s">
        <v>22</v>
      </c>
      <c r="B28" s="130" t="s">
        <v>23</v>
      </c>
      <c r="C28" s="144"/>
      <c r="D28" s="145"/>
      <c r="E28" s="146"/>
    </row>
    <row r="29" spans="1:5" x14ac:dyDescent="0.25">
      <c r="A29" s="139" t="s">
        <v>63</v>
      </c>
      <c r="B29" s="147" t="s">
        <v>305</v>
      </c>
      <c r="C29" s="141" t="s">
        <v>16</v>
      </c>
      <c r="D29" s="142"/>
      <c r="E29" s="143"/>
    </row>
    <row r="30" spans="1:5" ht="26.4" x14ac:dyDescent="0.25">
      <c r="A30" s="139" t="s">
        <v>64</v>
      </c>
      <c r="B30" s="148" t="s">
        <v>306</v>
      </c>
      <c r="C30" s="141" t="s">
        <v>77</v>
      </c>
      <c r="D30" s="142"/>
      <c r="E30" s="143"/>
    </row>
    <row r="31" spans="1:5" ht="26.4" x14ac:dyDescent="0.25">
      <c r="A31" s="139" t="s">
        <v>74</v>
      </c>
      <c r="B31" s="148" t="s">
        <v>346</v>
      </c>
      <c r="C31" s="141" t="s">
        <v>10</v>
      </c>
      <c r="D31" s="142"/>
      <c r="E31" s="14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29"/>
  <sheetViews>
    <sheetView workbookViewId="0">
      <selection activeCell="B7" sqref="B7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0.44140625" style="32" customWidth="1"/>
    <col min="5" max="5" width="16.5546875" style="31" bestFit="1" customWidth="1"/>
    <col min="6" max="6" width="14" style="208" customWidth="1"/>
    <col min="7" max="7" width="11.44140625" style="1"/>
    <col min="8" max="13" width="0" style="1" hidden="1" customWidth="1"/>
    <col min="14" max="256" width="11.44140625" style="1"/>
    <col min="257" max="257" width="5.6640625" style="1" customWidth="1"/>
    <col min="258" max="258" width="42.109375" style="1" customWidth="1"/>
    <col min="259" max="259" width="5.109375" style="1" customWidth="1"/>
    <col min="260" max="260" width="10.44140625" style="1" customWidth="1"/>
    <col min="261" max="261" width="10.88671875" style="1" customWidth="1"/>
    <col min="262" max="262" width="12.44140625" style="1" customWidth="1"/>
    <col min="263" max="512" width="11.44140625" style="1"/>
    <col min="513" max="513" width="5.6640625" style="1" customWidth="1"/>
    <col min="514" max="514" width="42.109375" style="1" customWidth="1"/>
    <col min="515" max="515" width="5.109375" style="1" customWidth="1"/>
    <col min="516" max="516" width="10.44140625" style="1" customWidth="1"/>
    <col min="517" max="517" width="10.88671875" style="1" customWidth="1"/>
    <col min="518" max="518" width="12.44140625" style="1" customWidth="1"/>
    <col min="519" max="768" width="11.44140625" style="1"/>
    <col min="769" max="769" width="5.6640625" style="1" customWidth="1"/>
    <col min="770" max="770" width="42.109375" style="1" customWidth="1"/>
    <col min="771" max="771" width="5.109375" style="1" customWidth="1"/>
    <col min="772" max="772" width="10.44140625" style="1" customWidth="1"/>
    <col min="773" max="773" width="10.88671875" style="1" customWidth="1"/>
    <col min="774" max="774" width="12.44140625" style="1" customWidth="1"/>
    <col min="775" max="1024" width="11.44140625" style="1"/>
    <col min="1025" max="1025" width="5.6640625" style="1" customWidth="1"/>
    <col min="1026" max="1026" width="42.109375" style="1" customWidth="1"/>
    <col min="1027" max="1027" width="5.109375" style="1" customWidth="1"/>
    <col min="1028" max="1028" width="10.44140625" style="1" customWidth="1"/>
    <col min="1029" max="1029" width="10.88671875" style="1" customWidth="1"/>
    <col min="1030" max="1030" width="12.44140625" style="1" customWidth="1"/>
    <col min="1031" max="1280" width="11.44140625" style="1"/>
    <col min="1281" max="1281" width="5.6640625" style="1" customWidth="1"/>
    <col min="1282" max="1282" width="42.109375" style="1" customWidth="1"/>
    <col min="1283" max="1283" width="5.109375" style="1" customWidth="1"/>
    <col min="1284" max="1284" width="10.44140625" style="1" customWidth="1"/>
    <col min="1285" max="1285" width="10.88671875" style="1" customWidth="1"/>
    <col min="1286" max="1286" width="12.44140625" style="1" customWidth="1"/>
    <col min="1287" max="1536" width="11.44140625" style="1"/>
    <col min="1537" max="1537" width="5.6640625" style="1" customWidth="1"/>
    <col min="1538" max="1538" width="42.109375" style="1" customWidth="1"/>
    <col min="1539" max="1539" width="5.109375" style="1" customWidth="1"/>
    <col min="1540" max="1540" width="10.44140625" style="1" customWidth="1"/>
    <col min="1541" max="1541" width="10.88671875" style="1" customWidth="1"/>
    <col min="1542" max="1542" width="12.44140625" style="1" customWidth="1"/>
    <col min="1543" max="1792" width="11.44140625" style="1"/>
    <col min="1793" max="1793" width="5.6640625" style="1" customWidth="1"/>
    <col min="1794" max="1794" width="42.109375" style="1" customWidth="1"/>
    <col min="1795" max="1795" width="5.109375" style="1" customWidth="1"/>
    <col min="1796" max="1796" width="10.44140625" style="1" customWidth="1"/>
    <col min="1797" max="1797" width="10.88671875" style="1" customWidth="1"/>
    <col min="1798" max="1798" width="12.44140625" style="1" customWidth="1"/>
    <col min="1799" max="2048" width="11.44140625" style="1"/>
    <col min="2049" max="2049" width="5.6640625" style="1" customWidth="1"/>
    <col min="2050" max="2050" width="42.109375" style="1" customWidth="1"/>
    <col min="2051" max="2051" width="5.109375" style="1" customWidth="1"/>
    <col min="2052" max="2052" width="10.44140625" style="1" customWidth="1"/>
    <col min="2053" max="2053" width="10.88671875" style="1" customWidth="1"/>
    <col min="2054" max="2054" width="12.44140625" style="1" customWidth="1"/>
    <col min="2055" max="2304" width="11.44140625" style="1"/>
    <col min="2305" max="2305" width="5.6640625" style="1" customWidth="1"/>
    <col min="2306" max="2306" width="42.109375" style="1" customWidth="1"/>
    <col min="2307" max="2307" width="5.109375" style="1" customWidth="1"/>
    <col min="2308" max="2308" width="10.44140625" style="1" customWidth="1"/>
    <col min="2309" max="2309" width="10.88671875" style="1" customWidth="1"/>
    <col min="2310" max="2310" width="12.44140625" style="1" customWidth="1"/>
    <col min="2311" max="2560" width="11.44140625" style="1"/>
    <col min="2561" max="2561" width="5.6640625" style="1" customWidth="1"/>
    <col min="2562" max="2562" width="42.109375" style="1" customWidth="1"/>
    <col min="2563" max="2563" width="5.109375" style="1" customWidth="1"/>
    <col min="2564" max="2564" width="10.44140625" style="1" customWidth="1"/>
    <col min="2565" max="2565" width="10.88671875" style="1" customWidth="1"/>
    <col min="2566" max="2566" width="12.44140625" style="1" customWidth="1"/>
    <col min="2567" max="2816" width="11.44140625" style="1"/>
    <col min="2817" max="2817" width="5.6640625" style="1" customWidth="1"/>
    <col min="2818" max="2818" width="42.109375" style="1" customWidth="1"/>
    <col min="2819" max="2819" width="5.109375" style="1" customWidth="1"/>
    <col min="2820" max="2820" width="10.44140625" style="1" customWidth="1"/>
    <col min="2821" max="2821" width="10.88671875" style="1" customWidth="1"/>
    <col min="2822" max="2822" width="12.44140625" style="1" customWidth="1"/>
    <col min="2823" max="3072" width="11.44140625" style="1"/>
    <col min="3073" max="3073" width="5.6640625" style="1" customWidth="1"/>
    <col min="3074" max="3074" width="42.109375" style="1" customWidth="1"/>
    <col min="3075" max="3075" width="5.109375" style="1" customWidth="1"/>
    <col min="3076" max="3076" width="10.44140625" style="1" customWidth="1"/>
    <col min="3077" max="3077" width="10.88671875" style="1" customWidth="1"/>
    <col min="3078" max="3078" width="12.44140625" style="1" customWidth="1"/>
    <col min="3079" max="3328" width="11.44140625" style="1"/>
    <col min="3329" max="3329" width="5.6640625" style="1" customWidth="1"/>
    <col min="3330" max="3330" width="42.109375" style="1" customWidth="1"/>
    <col min="3331" max="3331" width="5.109375" style="1" customWidth="1"/>
    <col min="3332" max="3332" width="10.44140625" style="1" customWidth="1"/>
    <col min="3333" max="3333" width="10.88671875" style="1" customWidth="1"/>
    <col min="3334" max="3334" width="12.44140625" style="1" customWidth="1"/>
    <col min="3335" max="3584" width="11.44140625" style="1"/>
    <col min="3585" max="3585" width="5.6640625" style="1" customWidth="1"/>
    <col min="3586" max="3586" width="42.109375" style="1" customWidth="1"/>
    <col min="3587" max="3587" width="5.109375" style="1" customWidth="1"/>
    <col min="3588" max="3588" width="10.44140625" style="1" customWidth="1"/>
    <col min="3589" max="3589" width="10.88671875" style="1" customWidth="1"/>
    <col min="3590" max="3590" width="12.44140625" style="1" customWidth="1"/>
    <col min="3591" max="3840" width="11.44140625" style="1"/>
    <col min="3841" max="3841" width="5.6640625" style="1" customWidth="1"/>
    <col min="3842" max="3842" width="42.109375" style="1" customWidth="1"/>
    <col min="3843" max="3843" width="5.109375" style="1" customWidth="1"/>
    <col min="3844" max="3844" width="10.44140625" style="1" customWidth="1"/>
    <col min="3845" max="3845" width="10.88671875" style="1" customWidth="1"/>
    <col min="3846" max="3846" width="12.44140625" style="1" customWidth="1"/>
    <col min="3847" max="4096" width="11.44140625" style="1"/>
    <col min="4097" max="4097" width="5.6640625" style="1" customWidth="1"/>
    <col min="4098" max="4098" width="42.109375" style="1" customWidth="1"/>
    <col min="4099" max="4099" width="5.109375" style="1" customWidth="1"/>
    <col min="4100" max="4100" width="10.44140625" style="1" customWidth="1"/>
    <col min="4101" max="4101" width="10.88671875" style="1" customWidth="1"/>
    <col min="4102" max="4102" width="12.44140625" style="1" customWidth="1"/>
    <col min="4103" max="4352" width="11.44140625" style="1"/>
    <col min="4353" max="4353" width="5.6640625" style="1" customWidth="1"/>
    <col min="4354" max="4354" width="42.109375" style="1" customWidth="1"/>
    <col min="4355" max="4355" width="5.109375" style="1" customWidth="1"/>
    <col min="4356" max="4356" width="10.44140625" style="1" customWidth="1"/>
    <col min="4357" max="4357" width="10.88671875" style="1" customWidth="1"/>
    <col min="4358" max="4358" width="12.44140625" style="1" customWidth="1"/>
    <col min="4359" max="4608" width="11.44140625" style="1"/>
    <col min="4609" max="4609" width="5.6640625" style="1" customWidth="1"/>
    <col min="4610" max="4610" width="42.109375" style="1" customWidth="1"/>
    <col min="4611" max="4611" width="5.109375" style="1" customWidth="1"/>
    <col min="4612" max="4612" width="10.44140625" style="1" customWidth="1"/>
    <col min="4613" max="4613" width="10.88671875" style="1" customWidth="1"/>
    <col min="4614" max="4614" width="12.44140625" style="1" customWidth="1"/>
    <col min="4615" max="4864" width="11.44140625" style="1"/>
    <col min="4865" max="4865" width="5.6640625" style="1" customWidth="1"/>
    <col min="4866" max="4866" width="42.109375" style="1" customWidth="1"/>
    <col min="4867" max="4867" width="5.109375" style="1" customWidth="1"/>
    <col min="4868" max="4868" width="10.44140625" style="1" customWidth="1"/>
    <col min="4869" max="4869" width="10.88671875" style="1" customWidth="1"/>
    <col min="4870" max="4870" width="12.44140625" style="1" customWidth="1"/>
    <col min="4871" max="5120" width="11.44140625" style="1"/>
    <col min="5121" max="5121" width="5.6640625" style="1" customWidth="1"/>
    <col min="5122" max="5122" width="42.109375" style="1" customWidth="1"/>
    <col min="5123" max="5123" width="5.109375" style="1" customWidth="1"/>
    <col min="5124" max="5124" width="10.44140625" style="1" customWidth="1"/>
    <col min="5125" max="5125" width="10.88671875" style="1" customWidth="1"/>
    <col min="5126" max="5126" width="12.44140625" style="1" customWidth="1"/>
    <col min="5127" max="5376" width="11.44140625" style="1"/>
    <col min="5377" max="5377" width="5.6640625" style="1" customWidth="1"/>
    <col min="5378" max="5378" width="42.109375" style="1" customWidth="1"/>
    <col min="5379" max="5379" width="5.109375" style="1" customWidth="1"/>
    <col min="5380" max="5380" width="10.44140625" style="1" customWidth="1"/>
    <col min="5381" max="5381" width="10.88671875" style="1" customWidth="1"/>
    <col min="5382" max="5382" width="12.44140625" style="1" customWidth="1"/>
    <col min="5383" max="5632" width="11.44140625" style="1"/>
    <col min="5633" max="5633" width="5.6640625" style="1" customWidth="1"/>
    <col min="5634" max="5634" width="42.109375" style="1" customWidth="1"/>
    <col min="5635" max="5635" width="5.109375" style="1" customWidth="1"/>
    <col min="5636" max="5636" width="10.44140625" style="1" customWidth="1"/>
    <col min="5637" max="5637" width="10.88671875" style="1" customWidth="1"/>
    <col min="5638" max="5638" width="12.44140625" style="1" customWidth="1"/>
    <col min="5639" max="5888" width="11.44140625" style="1"/>
    <col min="5889" max="5889" width="5.6640625" style="1" customWidth="1"/>
    <col min="5890" max="5890" width="42.109375" style="1" customWidth="1"/>
    <col min="5891" max="5891" width="5.109375" style="1" customWidth="1"/>
    <col min="5892" max="5892" width="10.44140625" style="1" customWidth="1"/>
    <col min="5893" max="5893" width="10.88671875" style="1" customWidth="1"/>
    <col min="5894" max="5894" width="12.44140625" style="1" customWidth="1"/>
    <col min="5895" max="6144" width="11.44140625" style="1"/>
    <col min="6145" max="6145" width="5.6640625" style="1" customWidth="1"/>
    <col min="6146" max="6146" width="42.109375" style="1" customWidth="1"/>
    <col min="6147" max="6147" width="5.109375" style="1" customWidth="1"/>
    <col min="6148" max="6148" width="10.44140625" style="1" customWidth="1"/>
    <col min="6149" max="6149" width="10.88671875" style="1" customWidth="1"/>
    <col min="6150" max="6150" width="12.44140625" style="1" customWidth="1"/>
    <col min="6151" max="6400" width="11.44140625" style="1"/>
    <col min="6401" max="6401" width="5.6640625" style="1" customWidth="1"/>
    <col min="6402" max="6402" width="42.109375" style="1" customWidth="1"/>
    <col min="6403" max="6403" width="5.109375" style="1" customWidth="1"/>
    <col min="6404" max="6404" width="10.44140625" style="1" customWidth="1"/>
    <col min="6405" max="6405" width="10.88671875" style="1" customWidth="1"/>
    <col min="6406" max="6406" width="12.44140625" style="1" customWidth="1"/>
    <col min="6407" max="6656" width="11.44140625" style="1"/>
    <col min="6657" max="6657" width="5.6640625" style="1" customWidth="1"/>
    <col min="6658" max="6658" width="42.109375" style="1" customWidth="1"/>
    <col min="6659" max="6659" width="5.109375" style="1" customWidth="1"/>
    <col min="6660" max="6660" width="10.44140625" style="1" customWidth="1"/>
    <col min="6661" max="6661" width="10.88671875" style="1" customWidth="1"/>
    <col min="6662" max="6662" width="12.44140625" style="1" customWidth="1"/>
    <col min="6663" max="6912" width="11.44140625" style="1"/>
    <col min="6913" max="6913" width="5.6640625" style="1" customWidth="1"/>
    <col min="6914" max="6914" width="42.109375" style="1" customWidth="1"/>
    <col min="6915" max="6915" width="5.109375" style="1" customWidth="1"/>
    <col min="6916" max="6916" width="10.44140625" style="1" customWidth="1"/>
    <col min="6917" max="6917" width="10.88671875" style="1" customWidth="1"/>
    <col min="6918" max="6918" width="12.44140625" style="1" customWidth="1"/>
    <col min="6919" max="7168" width="11.44140625" style="1"/>
    <col min="7169" max="7169" width="5.6640625" style="1" customWidth="1"/>
    <col min="7170" max="7170" width="42.109375" style="1" customWidth="1"/>
    <col min="7171" max="7171" width="5.109375" style="1" customWidth="1"/>
    <col min="7172" max="7172" width="10.44140625" style="1" customWidth="1"/>
    <col min="7173" max="7173" width="10.88671875" style="1" customWidth="1"/>
    <col min="7174" max="7174" width="12.44140625" style="1" customWidth="1"/>
    <col min="7175" max="7424" width="11.44140625" style="1"/>
    <col min="7425" max="7425" width="5.6640625" style="1" customWidth="1"/>
    <col min="7426" max="7426" width="42.109375" style="1" customWidth="1"/>
    <col min="7427" max="7427" width="5.109375" style="1" customWidth="1"/>
    <col min="7428" max="7428" width="10.44140625" style="1" customWidth="1"/>
    <col min="7429" max="7429" width="10.88671875" style="1" customWidth="1"/>
    <col min="7430" max="7430" width="12.44140625" style="1" customWidth="1"/>
    <col min="7431" max="7680" width="11.44140625" style="1"/>
    <col min="7681" max="7681" width="5.6640625" style="1" customWidth="1"/>
    <col min="7682" max="7682" width="42.109375" style="1" customWidth="1"/>
    <col min="7683" max="7683" width="5.109375" style="1" customWidth="1"/>
    <col min="7684" max="7684" width="10.44140625" style="1" customWidth="1"/>
    <col min="7685" max="7685" width="10.88671875" style="1" customWidth="1"/>
    <col min="7686" max="7686" width="12.44140625" style="1" customWidth="1"/>
    <col min="7687" max="7936" width="11.44140625" style="1"/>
    <col min="7937" max="7937" width="5.6640625" style="1" customWidth="1"/>
    <col min="7938" max="7938" width="42.109375" style="1" customWidth="1"/>
    <col min="7939" max="7939" width="5.109375" style="1" customWidth="1"/>
    <col min="7940" max="7940" width="10.44140625" style="1" customWidth="1"/>
    <col min="7941" max="7941" width="10.88671875" style="1" customWidth="1"/>
    <col min="7942" max="7942" width="12.44140625" style="1" customWidth="1"/>
    <col min="7943" max="8192" width="11.44140625" style="1"/>
    <col min="8193" max="8193" width="5.6640625" style="1" customWidth="1"/>
    <col min="8194" max="8194" width="42.109375" style="1" customWidth="1"/>
    <col min="8195" max="8195" width="5.109375" style="1" customWidth="1"/>
    <col min="8196" max="8196" width="10.44140625" style="1" customWidth="1"/>
    <col min="8197" max="8197" width="10.88671875" style="1" customWidth="1"/>
    <col min="8198" max="8198" width="12.44140625" style="1" customWidth="1"/>
    <col min="8199" max="8448" width="11.44140625" style="1"/>
    <col min="8449" max="8449" width="5.6640625" style="1" customWidth="1"/>
    <col min="8450" max="8450" width="42.109375" style="1" customWidth="1"/>
    <col min="8451" max="8451" width="5.109375" style="1" customWidth="1"/>
    <col min="8452" max="8452" width="10.44140625" style="1" customWidth="1"/>
    <col min="8453" max="8453" width="10.88671875" style="1" customWidth="1"/>
    <col min="8454" max="8454" width="12.44140625" style="1" customWidth="1"/>
    <col min="8455" max="8704" width="11.44140625" style="1"/>
    <col min="8705" max="8705" width="5.6640625" style="1" customWidth="1"/>
    <col min="8706" max="8706" width="42.109375" style="1" customWidth="1"/>
    <col min="8707" max="8707" width="5.109375" style="1" customWidth="1"/>
    <col min="8708" max="8708" width="10.44140625" style="1" customWidth="1"/>
    <col min="8709" max="8709" width="10.88671875" style="1" customWidth="1"/>
    <col min="8710" max="8710" width="12.44140625" style="1" customWidth="1"/>
    <col min="8711" max="8960" width="11.44140625" style="1"/>
    <col min="8961" max="8961" width="5.6640625" style="1" customWidth="1"/>
    <col min="8962" max="8962" width="42.109375" style="1" customWidth="1"/>
    <col min="8963" max="8963" width="5.109375" style="1" customWidth="1"/>
    <col min="8964" max="8964" width="10.44140625" style="1" customWidth="1"/>
    <col min="8965" max="8965" width="10.88671875" style="1" customWidth="1"/>
    <col min="8966" max="8966" width="12.44140625" style="1" customWidth="1"/>
    <col min="8967" max="9216" width="11.44140625" style="1"/>
    <col min="9217" max="9217" width="5.6640625" style="1" customWidth="1"/>
    <col min="9218" max="9218" width="42.109375" style="1" customWidth="1"/>
    <col min="9219" max="9219" width="5.109375" style="1" customWidth="1"/>
    <col min="9220" max="9220" width="10.44140625" style="1" customWidth="1"/>
    <col min="9221" max="9221" width="10.88671875" style="1" customWidth="1"/>
    <col min="9222" max="9222" width="12.44140625" style="1" customWidth="1"/>
    <col min="9223" max="9472" width="11.44140625" style="1"/>
    <col min="9473" max="9473" width="5.6640625" style="1" customWidth="1"/>
    <col min="9474" max="9474" width="42.109375" style="1" customWidth="1"/>
    <col min="9475" max="9475" width="5.109375" style="1" customWidth="1"/>
    <col min="9476" max="9476" width="10.44140625" style="1" customWidth="1"/>
    <col min="9477" max="9477" width="10.88671875" style="1" customWidth="1"/>
    <col min="9478" max="9478" width="12.44140625" style="1" customWidth="1"/>
    <col min="9479" max="9728" width="11.44140625" style="1"/>
    <col min="9729" max="9729" width="5.6640625" style="1" customWidth="1"/>
    <col min="9730" max="9730" width="42.109375" style="1" customWidth="1"/>
    <col min="9731" max="9731" width="5.109375" style="1" customWidth="1"/>
    <col min="9732" max="9732" width="10.44140625" style="1" customWidth="1"/>
    <col min="9733" max="9733" width="10.88671875" style="1" customWidth="1"/>
    <col min="9734" max="9734" width="12.44140625" style="1" customWidth="1"/>
    <col min="9735" max="9984" width="11.44140625" style="1"/>
    <col min="9985" max="9985" width="5.6640625" style="1" customWidth="1"/>
    <col min="9986" max="9986" width="42.109375" style="1" customWidth="1"/>
    <col min="9987" max="9987" width="5.109375" style="1" customWidth="1"/>
    <col min="9988" max="9988" width="10.44140625" style="1" customWidth="1"/>
    <col min="9989" max="9989" width="10.88671875" style="1" customWidth="1"/>
    <col min="9990" max="9990" width="12.44140625" style="1" customWidth="1"/>
    <col min="9991" max="10240" width="11.44140625" style="1"/>
    <col min="10241" max="10241" width="5.6640625" style="1" customWidth="1"/>
    <col min="10242" max="10242" width="42.109375" style="1" customWidth="1"/>
    <col min="10243" max="10243" width="5.109375" style="1" customWidth="1"/>
    <col min="10244" max="10244" width="10.44140625" style="1" customWidth="1"/>
    <col min="10245" max="10245" width="10.88671875" style="1" customWidth="1"/>
    <col min="10246" max="10246" width="12.44140625" style="1" customWidth="1"/>
    <col min="10247" max="10496" width="11.44140625" style="1"/>
    <col min="10497" max="10497" width="5.6640625" style="1" customWidth="1"/>
    <col min="10498" max="10498" width="42.109375" style="1" customWidth="1"/>
    <col min="10499" max="10499" width="5.109375" style="1" customWidth="1"/>
    <col min="10500" max="10500" width="10.44140625" style="1" customWidth="1"/>
    <col min="10501" max="10501" width="10.88671875" style="1" customWidth="1"/>
    <col min="10502" max="10502" width="12.44140625" style="1" customWidth="1"/>
    <col min="10503" max="10752" width="11.44140625" style="1"/>
    <col min="10753" max="10753" width="5.6640625" style="1" customWidth="1"/>
    <col min="10754" max="10754" width="42.109375" style="1" customWidth="1"/>
    <col min="10755" max="10755" width="5.109375" style="1" customWidth="1"/>
    <col min="10756" max="10756" width="10.44140625" style="1" customWidth="1"/>
    <col min="10757" max="10757" width="10.88671875" style="1" customWidth="1"/>
    <col min="10758" max="10758" width="12.44140625" style="1" customWidth="1"/>
    <col min="10759" max="11008" width="11.44140625" style="1"/>
    <col min="11009" max="11009" width="5.6640625" style="1" customWidth="1"/>
    <col min="11010" max="11010" width="42.109375" style="1" customWidth="1"/>
    <col min="11011" max="11011" width="5.109375" style="1" customWidth="1"/>
    <col min="11012" max="11012" width="10.44140625" style="1" customWidth="1"/>
    <col min="11013" max="11013" width="10.88671875" style="1" customWidth="1"/>
    <col min="11014" max="11014" width="12.44140625" style="1" customWidth="1"/>
    <col min="11015" max="11264" width="11.44140625" style="1"/>
    <col min="11265" max="11265" width="5.6640625" style="1" customWidth="1"/>
    <col min="11266" max="11266" width="42.109375" style="1" customWidth="1"/>
    <col min="11267" max="11267" width="5.109375" style="1" customWidth="1"/>
    <col min="11268" max="11268" width="10.44140625" style="1" customWidth="1"/>
    <col min="11269" max="11269" width="10.88671875" style="1" customWidth="1"/>
    <col min="11270" max="11270" width="12.44140625" style="1" customWidth="1"/>
    <col min="11271" max="11520" width="11.44140625" style="1"/>
    <col min="11521" max="11521" width="5.6640625" style="1" customWidth="1"/>
    <col min="11522" max="11522" width="42.109375" style="1" customWidth="1"/>
    <col min="11523" max="11523" width="5.109375" style="1" customWidth="1"/>
    <col min="11524" max="11524" width="10.44140625" style="1" customWidth="1"/>
    <col min="11525" max="11525" width="10.88671875" style="1" customWidth="1"/>
    <col min="11526" max="11526" width="12.44140625" style="1" customWidth="1"/>
    <col min="11527" max="11776" width="11.44140625" style="1"/>
    <col min="11777" max="11777" width="5.6640625" style="1" customWidth="1"/>
    <col min="11778" max="11778" width="42.109375" style="1" customWidth="1"/>
    <col min="11779" max="11779" width="5.109375" style="1" customWidth="1"/>
    <col min="11780" max="11780" width="10.44140625" style="1" customWidth="1"/>
    <col min="11781" max="11781" width="10.88671875" style="1" customWidth="1"/>
    <col min="11782" max="11782" width="12.44140625" style="1" customWidth="1"/>
    <col min="11783" max="12032" width="11.44140625" style="1"/>
    <col min="12033" max="12033" width="5.6640625" style="1" customWidth="1"/>
    <col min="12034" max="12034" width="42.109375" style="1" customWidth="1"/>
    <col min="12035" max="12035" width="5.109375" style="1" customWidth="1"/>
    <col min="12036" max="12036" width="10.44140625" style="1" customWidth="1"/>
    <col min="12037" max="12037" width="10.88671875" style="1" customWidth="1"/>
    <col min="12038" max="12038" width="12.44140625" style="1" customWidth="1"/>
    <col min="12039" max="12288" width="11.44140625" style="1"/>
    <col min="12289" max="12289" width="5.6640625" style="1" customWidth="1"/>
    <col min="12290" max="12290" width="42.109375" style="1" customWidth="1"/>
    <col min="12291" max="12291" width="5.109375" style="1" customWidth="1"/>
    <col min="12292" max="12292" width="10.44140625" style="1" customWidth="1"/>
    <col min="12293" max="12293" width="10.88671875" style="1" customWidth="1"/>
    <col min="12294" max="12294" width="12.44140625" style="1" customWidth="1"/>
    <col min="12295" max="12544" width="11.44140625" style="1"/>
    <col min="12545" max="12545" width="5.6640625" style="1" customWidth="1"/>
    <col min="12546" max="12546" width="42.109375" style="1" customWidth="1"/>
    <col min="12547" max="12547" width="5.109375" style="1" customWidth="1"/>
    <col min="12548" max="12548" width="10.44140625" style="1" customWidth="1"/>
    <col min="12549" max="12549" width="10.88671875" style="1" customWidth="1"/>
    <col min="12550" max="12550" width="12.44140625" style="1" customWidth="1"/>
    <col min="12551" max="12800" width="11.44140625" style="1"/>
    <col min="12801" max="12801" width="5.6640625" style="1" customWidth="1"/>
    <col min="12802" max="12802" width="42.109375" style="1" customWidth="1"/>
    <col min="12803" max="12803" width="5.109375" style="1" customWidth="1"/>
    <col min="12804" max="12804" width="10.44140625" style="1" customWidth="1"/>
    <col min="12805" max="12805" width="10.88671875" style="1" customWidth="1"/>
    <col min="12806" max="12806" width="12.44140625" style="1" customWidth="1"/>
    <col min="12807" max="13056" width="11.44140625" style="1"/>
    <col min="13057" max="13057" width="5.6640625" style="1" customWidth="1"/>
    <col min="13058" max="13058" width="42.109375" style="1" customWidth="1"/>
    <col min="13059" max="13059" width="5.109375" style="1" customWidth="1"/>
    <col min="13060" max="13060" width="10.44140625" style="1" customWidth="1"/>
    <col min="13061" max="13061" width="10.88671875" style="1" customWidth="1"/>
    <col min="13062" max="13062" width="12.44140625" style="1" customWidth="1"/>
    <col min="13063" max="13312" width="11.44140625" style="1"/>
    <col min="13313" max="13313" width="5.6640625" style="1" customWidth="1"/>
    <col min="13314" max="13314" width="42.109375" style="1" customWidth="1"/>
    <col min="13315" max="13315" width="5.109375" style="1" customWidth="1"/>
    <col min="13316" max="13316" width="10.44140625" style="1" customWidth="1"/>
    <col min="13317" max="13317" width="10.88671875" style="1" customWidth="1"/>
    <col min="13318" max="13318" width="12.44140625" style="1" customWidth="1"/>
    <col min="13319" max="13568" width="11.44140625" style="1"/>
    <col min="13569" max="13569" width="5.6640625" style="1" customWidth="1"/>
    <col min="13570" max="13570" width="42.109375" style="1" customWidth="1"/>
    <col min="13571" max="13571" width="5.109375" style="1" customWidth="1"/>
    <col min="13572" max="13572" width="10.44140625" style="1" customWidth="1"/>
    <col min="13573" max="13573" width="10.88671875" style="1" customWidth="1"/>
    <col min="13574" max="13574" width="12.44140625" style="1" customWidth="1"/>
    <col min="13575" max="13824" width="11.44140625" style="1"/>
    <col min="13825" max="13825" width="5.6640625" style="1" customWidth="1"/>
    <col min="13826" max="13826" width="42.109375" style="1" customWidth="1"/>
    <col min="13827" max="13827" width="5.109375" style="1" customWidth="1"/>
    <col min="13828" max="13828" width="10.44140625" style="1" customWidth="1"/>
    <col min="13829" max="13829" width="10.88671875" style="1" customWidth="1"/>
    <col min="13830" max="13830" width="12.44140625" style="1" customWidth="1"/>
    <col min="13831" max="14080" width="11.44140625" style="1"/>
    <col min="14081" max="14081" width="5.6640625" style="1" customWidth="1"/>
    <col min="14082" max="14082" width="42.109375" style="1" customWidth="1"/>
    <col min="14083" max="14083" width="5.109375" style="1" customWidth="1"/>
    <col min="14084" max="14084" width="10.44140625" style="1" customWidth="1"/>
    <col min="14085" max="14085" width="10.88671875" style="1" customWidth="1"/>
    <col min="14086" max="14086" width="12.44140625" style="1" customWidth="1"/>
    <col min="14087" max="14336" width="11.44140625" style="1"/>
    <col min="14337" max="14337" width="5.6640625" style="1" customWidth="1"/>
    <col min="14338" max="14338" width="42.109375" style="1" customWidth="1"/>
    <col min="14339" max="14339" width="5.109375" style="1" customWidth="1"/>
    <col min="14340" max="14340" width="10.44140625" style="1" customWidth="1"/>
    <col min="14341" max="14341" width="10.88671875" style="1" customWidth="1"/>
    <col min="14342" max="14342" width="12.44140625" style="1" customWidth="1"/>
    <col min="14343" max="14592" width="11.44140625" style="1"/>
    <col min="14593" max="14593" width="5.6640625" style="1" customWidth="1"/>
    <col min="14594" max="14594" width="42.109375" style="1" customWidth="1"/>
    <col min="14595" max="14595" width="5.109375" style="1" customWidth="1"/>
    <col min="14596" max="14596" width="10.44140625" style="1" customWidth="1"/>
    <col min="14597" max="14597" width="10.88671875" style="1" customWidth="1"/>
    <col min="14598" max="14598" width="12.44140625" style="1" customWidth="1"/>
    <col min="14599" max="14848" width="11.44140625" style="1"/>
    <col min="14849" max="14849" width="5.6640625" style="1" customWidth="1"/>
    <col min="14850" max="14850" width="42.109375" style="1" customWidth="1"/>
    <col min="14851" max="14851" width="5.109375" style="1" customWidth="1"/>
    <col min="14852" max="14852" width="10.44140625" style="1" customWidth="1"/>
    <col min="14853" max="14853" width="10.88671875" style="1" customWidth="1"/>
    <col min="14854" max="14854" width="12.44140625" style="1" customWidth="1"/>
    <col min="14855" max="15104" width="11.44140625" style="1"/>
    <col min="15105" max="15105" width="5.6640625" style="1" customWidth="1"/>
    <col min="15106" max="15106" width="42.109375" style="1" customWidth="1"/>
    <col min="15107" max="15107" width="5.109375" style="1" customWidth="1"/>
    <col min="15108" max="15108" width="10.44140625" style="1" customWidth="1"/>
    <col min="15109" max="15109" width="10.88671875" style="1" customWidth="1"/>
    <col min="15110" max="15110" width="12.44140625" style="1" customWidth="1"/>
    <col min="15111" max="15360" width="11.44140625" style="1"/>
    <col min="15361" max="15361" width="5.6640625" style="1" customWidth="1"/>
    <col min="15362" max="15362" width="42.109375" style="1" customWidth="1"/>
    <col min="15363" max="15363" width="5.109375" style="1" customWidth="1"/>
    <col min="15364" max="15364" width="10.44140625" style="1" customWidth="1"/>
    <col min="15365" max="15365" width="10.88671875" style="1" customWidth="1"/>
    <col min="15366" max="15366" width="12.44140625" style="1" customWidth="1"/>
    <col min="15367" max="15616" width="11.44140625" style="1"/>
    <col min="15617" max="15617" width="5.6640625" style="1" customWidth="1"/>
    <col min="15618" max="15618" width="42.109375" style="1" customWidth="1"/>
    <col min="15619" max="15619" width="5.109375" style="1" customWidth="1"/>
    <col min="15620" max="15620" width="10.44140625" style="1" customWidth="1"/>
    <col min="15621" max="15621" width="10.88671875" style="1" customWidth="1"/>
    <col min="15622" max="15622" width="12.44140625" style="1" customWidth="1"/>
    <col min="15623" max="15872" width="11.44140625" style="1"/>
    <col min="15873" max="15873" width="5.6640625" style="1" customWidth="1"/>
    <col min="15874" max="15874" width="42.109375" style="1" customWidth="1"/>
    <col min="15875" max="15875" width="5.109375" style="1" customWidth="1"/>
    <col min="15876" max="15876" width="10.44140625" style="1" customWidth="1"/>
    <col min="15877" max="15877" width="10.88671875" style="1" customWidth="1"/>
    <col min="15878" max="15878" width="12.44140625" style="1" customWidth="1"/>
    <col min="15879" max="16128" width="11.44140625" style="1"/>
    <col min="16129" max="16129" width="5.6640625" style="1" customWidth="1"/>
    <col min="16130" max="16130" width="42.109375" style="1" customWidth="1"/>
    <col min="16131" max="16131" width="5.109375" style="1" customWidth="1"/>
    <col min="16132" max="16132" width="10.44140625" style="1" customWidth="1"/>
    <col min="16133" max="16133" width="10.88671875" style="1" customWidth="1"/>
    <col min="16134" max="16134" width="12.44140625" style="1" customWidth="1"/>
    <col min="16135" max="16384" width="11.44140625" style="1"/>
  </cols>
  <sheetData>
    <row r="2" spans="1:10" ht="13.8" x14ac:dyDescent="0.25">
      <c r="A2" s="397" t="s">
        <v>460</v>
      </c>
      <c r="B2" s="397"/>
      <c r="C2" s="397"/>
      <c r="D2" s="397"/>
      <c r="E2" s="397"/>
      <c r="F2" s="397"/>
    </row>
    <row r="3" spans="1:10" ht="16.2" thickBot="1" x14ac:dyDescent="0.35">
      <c r="A3" s="398" t="s">
        <v>536</v>
      </c>
      <c r="B3" s="399"/>
      <c r="C3" s="399"/>
      <c r="D3" s="399"/>
      <c r="E3" s="399"/>
      <c r="F3" s="400"/>
      <c r="G3" s="10"/>
    </row>
    <row r="4" spans="1:10" ht="15.6" thickTop="1" thickBot="1" x14ac:dyDescent="0.35">
      <c r="A4" s="11" t="s">
        <v>78</v>
      </c>
      <c r="B4" s="106" t="s">
        <v>30</v>
      </c>
      <c r="C4" s="195" t="s">
        <v>2</v>
      </c>
      <c r="D4" s="196" t="s">
        <v>3</v>
      </c>
      <c r="E4" s="197" t="s">
        <v>4</v>
      </c>
      <c r="F4" s="198" t="s">
        <v>5</v>
      </c>
      <c r="G4" s="10"/>
    </row>
    <row r="5" spans="1:10" ht="13.8" thickTop="1" x14ac:dyDescent="0.25">
      <c r="A5" s="12" t="s">
        <v>0</v>
      </c>
      <c r="B5" s="34" t="s">
        <v>1</v>
      </c>
      <c r="C5" s="13"/>
      <c r="D5" s="35"/>
      <c r="E5" s="14"/>
      <c r="F5" s="15"/>
      <c r="G5" s="10"/>
    </row>
    <row r="6" spans="1:10" x14ac:dyDescent="0.25">
      <c r="A6" s="16" t="s">
        <v>25</v>
      </c>
      <c r="B6" s="36" t="s">
        <v>73</v>
      </c>
      <c r="C6" s="5" t="s">
        <v>16</v>
      </c>
      <c r="D6" s="21">
        <f>13*15</f>
        <v>195</v>
      </c>
      <c r="E6" s="7"/>
      <c r="F6" s="8"/>
      <c r="G6" s="10"/>
      <c r="H6" s="1">
        <f>16.05*4-1.9-4.5*2+9.75*3-1.2*2+4.4+8.7*2+4.4</f>
        <v>106.35000000000002</v>
      </c>
    </row>
    <row r="7" spans="1:10" x14ac:dyDescent="0.25">
      <c r="A7" s="17"/>
      <c r="B7" s="37" t="s">
        <v>7</v>
      </c>
      <c r="C7" s="18"/>
      <c r="D7" s="22"/>
      <c r="E7" s="19"/>
      <c r="F7" s="20"/>
      <c r="G7" s="10"/>
      <c r="H7" s="1">
        <f>2+4.65+2.05+4.5+1.2*2</f>
        <v>15.6</v>
      </c>
      <c r="I7" s="1">
        <f>2+4.65+2.05+1.2</f>
        <v>9.8999999999999986</v>
      </c>
    </row>
    <row r="8" spans="1:10" x14ac:dyDescent="0.25">
      <c r="A8" s="17" t="s">
        <v>8</v>
      </c>
      <c r="B8" s="37" t="s">
        <v>9</v>
      </c>
      <c r="C8" s="18"/>
      <c r="D8" s="22"/>
      <c r="E8" s="19"/>
      <c r="F8" s="20"/>
      <c r="G8" s="10"/>
      <c r="H8" s="1">
        <f>H6+H7</f>
        <v>121.95000000000002</v>
      </c>
      <c r="I8" s="1">
        <f>H6+I7</f>
        <v>116.25000000000003</v>
      </c>
      <c r="J8" s="1">
        <f>H8*0.2</f>
        <v>24.390000000000004</v>
      </c>
    </row>
    <row r="9" spans="1:10" x14ac:dyDescent="0.25">
      <c r="A9" s="16" t="s">
        <v>50</v>
      </c>
      <c r="B9" s="36" t="s">
        <v>27</v>
      </c>
      <c r="C9" s="5" t="s">
        <v>10</v>
      </c>
      <c r="D9" s="21">
        <f>81.75*0.5*0.85</f>
        <v>34.743749999999999</v>
      </c>
      <c r="E9" s="7"/>
      <c r="F9" s="8"/>
      <c r="G9" s="10"/>
    </row>
    <row r="10" spans="1:10" x14ac:dyDescent="0.25">
      <c r="A10" s="16" t="s">
        <v>51</v>
      </c>
      <c r="B10" s="36" t="s">
        <v>11</v>
      </c>
      <c r="C10" s="5" t="s">
        <v>10</v>
      </c>
      <c r="D10" s="21">
        <f>81.75*0.3*0.6</f>
        <v>14.714999999999998</v>
      </c>
      <c r="E10" s="7"/>
      <c r="F10" s="8"/>
      <c r="G10" s="10"/>
      <c r="H10" s="1" t="s">
        <v>85</v>
      </c>
      <c r="I10" s="1">
        <v>39</v>
      </c>
    </row>
    <row r="11" spans="1:10" x14ac:dyDescent="0.25">
      <c r="A11" s="16" t="s">
        <v>52</v>
      </c>
      <c r="B11" s="36" t="s">
        <v>84</v>
      </c>
      <c r="C11" s="5" t="s">
        <v>10</v>
      </c>
      <c r="D11" s="21">
        <f>(28.02+14.9+12.84+14.25+9.85+13.2)*0.4</f>
        <v>37.224000000000004</v>
      </c>
      <c r="E11" s="7"/>
      <c r="F11" s="8"/>
      <c r="G11" s="10"/>
    </row>
    <row r="12" spans="1:10" x14ac:dyDescent="0.25">
      <c r="A12" s="17"/>
      <c r="B12" s="37" t="s">
        <v>7</v>
      </c>
      <c r="C12" s="18"/>
      <c r="D12" s="22"/>
      <c r="E12" s="19"/>
      <c r="F12" s="20"/>
      <c r="G12" s="10"/>
    </row>
    <row r="13" spans="1:10" x14ac:dyDescent="0.25">
      <c r="A13" s="17" t="s">
        <v>12</v>
      </c>
      <c r="B13" s="37" t="s">
        <v>13</v>
      </c>
      <c r="C13" s="18"/>
      <c r="D13" s="22"/>
      <c r="E13" s="19"/>
      <c r="F13" s="20"/>
      <c r="G13" s="10"/>
    </row>
    <row r="14" spans="1:10" x14ac:dyDescent="0.25">
      <c r="A14" s="16" t="s">
        <v>41</v>
      </c>
      <c r="B14" s="118" t="s">
        <v>86</v>
      </c>
      <c r="C14" s="119" t="s">
        <v>10</v>
      </c>
      <c r="D14" s="21">
        <f>81.75*0.5*0.05</f>
        <v>2.0437500000000002</v>
      </c>
      <c r="E14" s="7"/>
      <c r="F14" s="8"/>
      <c r="G14" s="10"/>
    </row>
    <row r="15" spans="1:10" ht="26.4" x14ac:dyDescent="0.25">
      <c r="A15" s="16" t="s">
        <v>42</v>
      </c>
      <c r="B15" s="118" t="s">
        <v>87</v>
      </c>
      <c r="C15" s="119" t="s">
        <v>10</v>
      </c>
      <c r="D15" s="21">
        <f>81.75*0.5*0.2</f>
        <v>8.1750000000000007</v>
      </c>
      <c r="E15" s="7"/>
      <c r="F15" s="8"/>
      <c r="G15" s="10"/>
    </row>
    <row r="16" spans="1:10" x14ac:dyDescent="0.25">
      <c r="A16" s="16" t="s">
        <v>43</v>
      </c>
      <c r="B16" s="118" t="s">
        <v>164</v>
      </c>
      <c r="C16" s="119" t="s">
        <v>10</v>
      </c>
      <c r="D16" s="21">
        <f>0.2*0.2*1*31</f>
        <v>1.2400000000000002</v>
      </c>
      <c r="E16" s="7"/>
      <c r="F16" s="8"/>
      <c r="G16" s="10"/>
    </row>
    <row r="17" spans="1:9" x14ac:dyDescent="0.25">
      <c r="A17" s="16" t="s">
        <v>44</v>
      </c>
      <c r="B17" s="118" t="s">
        <v>88</v>
      </c>
      <c r="C17" s="119" t="s">
        <v>10</v>
      </c>
      <c r="D17" s="21">
        <f>81.75*0.2*0.2</f>
        <v>3.2700000000000005</v>
      </c>
      <c r="E17" s="7"/>
      <c r="F17" s="8"/>
      <c r="G17" s="10"/>
    </row>
    <row r="18" spans="1:9" ht="39.6" x14ac:dyDescent="0.25">
      <c r="A18" s="16" t="s">
        <v>45</v>
      </c>
      <c r="B18" s="118" t="s">
        <v>419</v>
      </c>
      <c r="C18" s="119" t="s">
        <v>10</v>
      </c>
      <c r="D18" s="73">
        <f>93.06*0.1</f>
        <v>9.3060000000000009</v>
      </c>
      <c r="E18" s="7"/>
      <c r="F18" s="8"/>
      <c r="G18" s="10"/>
    </row>
    <row r="19" spans="1:9" x14ac:dyDescent="0.25">
      <c r="A19" s="16" t="s">
        <v>46</v>
      </c>
      <c r="B19" s="118" t="s">
        <v>90</v>
      </c>
      <c r="C19" s="119" t="s">
        <v>10</v>
      </c>
      <c r="D19" s="21">
        <f>4.5*1.2*0.1</f>
        <v>0.53999999999999992</v>
      </c>
      <c r="E19" s="7"/>
      <c r="F19" s="8"/>
      <c r="G19" s="10"/>
      <c r="I19" s="1" t="s">
        <v>161</v>
      </c>
    </row>
    <row r="20" spans="1:9" x14ac:dyDescent="0.25">
      <c r="A20" s="16" t="s">
        <v>47</v>
      </c>
      <c r="B20" s="118" t="s">
        <v>91</v>
      </c>
      <c r="C20" s="119" t="s">
        <v>10</v>
      </c>
      <c r="D20" s="21">
        <f>2.5*0.9*0.1+2.5*0.6*0.1</f>
        <v>0.375</v>
      </c>
      <c r="E20" s="7"/>
      <c r="F20" s="8"/>
      <c r="G20" s="10"/>
    </row>
    <row r="21" spans="1:9" x14ac:dyDescent="0.25">
      <c r="A21" s="16" t="s">
        <v>48</v>
      </c>
      <c r="B21" s="199" t="s">
        <v>204</v>
      </c>
      <c r="C21" s="119" t="s">
        <v>10</v>
      </c>
      <c r="D21" s="21">
        <f>79.41*0.15*0.2</f>
        <v>2.3822999999999999</v>
      </c>
      <c r="E21" s="7"/>
      <c r="F21" s="8"/>
      <c r="G21" s="10"/>
    </row>
    <row r="22" spans="1:9" x14ac:dyDescent="0.25">
      <c r="A22" s="16" t="s">
        <v>49</v>
      </c>
      <c r="B22" s="118" t="s">
        <v>93</v>
      </c>
      <c r="C22" s="119" t="s">
        <v>10</v>
      </c>
      <c r="D22" s="21">
        <f>(8.97+7.97+13.25)*0.15*0.45</f>
        <v>2.0378250000000002</v>
      </c>
      <c r="E22" s="7"/>
      <c r="F22" s="8"/>
      <c r="G22" s="10"/>
    </row>
    <row r="23" spans="1:9" x14ac:dyDescent="0.25">
      <c r="A23" s="16" t="s">
        <v>310</v>
      </c>
      <c r="B23" s="118" t="s">
        <v>94</v>
      </c>
      <c r="C23" s="119" t="s">
        <v>10</v>
      </c>
      <c r="D23" s="21">
        <f>0.15*0.1*33.87</f>
        <v>0.50804999999999989</v>
      </c>
      <c r="E23" s="7"/>
      <c r="F23" s="8"/>
      <c r="G23" s="9"/>
      <c r="H23" s="10"/>
    </row>
    <row r="24" spans="1:9" x14ac:dyDescent="0.25">
      <c r="A24" s="16" t="s">
        <v>311</v>
      </c>
      <c r="B24" s="118" t="s">
        <v>95</v>
      </c>
      <c r="C24" s="119" t="s">
        <v>10</v>
      </c>
      <c r="D24" s="21">
        <f>0.15*0.15*4.5*28</f>
        <v>2.835</v>
      </c>
      <c r="E24" s="7"/>
      <c r="F24" s="8"/>
      <c r="G24" s="10"/>
    </row>
    <row r="25" spans="1:9" x14ac:dyDescent="0.25">
      <c r="A25" s="16" t="s">
        <v>312</v>
      </c>
      <c r="B25" s="118" t="s">
        <v>420</v>
      </c>
      <c r="C25" s="119" t="s">
        <v>10</v>
      </c>
      <c r="D25" s="21">
        <f>(12.85+7.97+8.97+2.2)*0.6*0.4</f>
        <v>7.6776</v>
      </c>
      <c r="E25" s="7"/>
      <c r="F25" s="8"/>
      <c r="G25" s="10"/>
    </row>
    <row r="26" spans="1:9" x14ac:dyDescent="0.25">
      <c r="A26" s="16" t="s">
        <v>156</v>
      </c>
      <c r="B26" s="118" t="s">
        <v>205</v>
      </c>
      <c r="C26" s="119" t="s">
        <v>10</v>
      </c>
      <c r="D26" s="21">
        <f>(2+4.5+1.9+1.2+0.45+1.2)*1*0.15</f>
        <v>1.6874999999999998</v>
      </c>
      <c r="E26" s="7"/>
      <c r="F26" s="8"/>
      <c r="G26" s="10"/>
    </row>
    <row r="27" spans="1:9" x14ac:dyDescent="0.25">
      <c r="A27" s="16" t="s">
        <v>157</v>
      </c>
      <c r="B27" s="120" t="s">
        <v>97</v>
      </c>
      <c r="C27" s="119" t="s">
        <v>16</v>
      </c>
      <c r="D27" s="21">
        <f>81.75*1</f>
        <v>81.75</v>
      </c>
      <c r="E27" s="7"/>
      <c r="F27" s="8"/>
      <c r="G27" s="10"/>
    </row>
    <row r="28" spans="1:9" x14ac:dyDescent="0.25">
      <c r="A28" s="16" t="s">
        <v>158</v>
      </c>
      <c r="B28" s="118" t="s">
        <v>98</v>
      </c>
      <c r="C28" s="119" t="s">
        <v>16</v>
      </c>
      <c r="D28" s="21">
        <f>79.41*4.5</f>
        <v>357.34499999999997</v>
      </c>
      <c r="E28" s="7"/>
      <c r="F28" s="8"/>
      <c r="G28" s="10"/>
    </row>
    <row r="29" spans="1:9" x14ac:dyDescent="0.25">
      <c r="A29" s="17"/>
      <c r="B29" s="37" t="s">
        <v>7</v>
      </c>
      <c r="C29" s="18"/>
      <c r="D29" s="22"/>
      <c r="E29" s="19"/>
      <c r="F29" s="20"/>
      <c r="G29" s="10"/>
    </row>
    <row r="30" spans="1:9" x14ac:dyDescent="0.25">
      <c r="A30" s="17" t="s">
        <v>17</v>
      </c>
      <c r="B30" s="37" t="s">
        <v>18</v>
      </c>
      <c r="C30" s="18"/>
      <c r="D30" s="22"/>
      <c r="E30" s="19"/>
      <c r="F30" s="20"/>
      <c r="G30" s="10"/>
    </row>
    <row r="31" spans="1:9" x14ac:dyDescent="0.25">
      <c r="A31" s="16" t="s">
        <v>40</v>
      </c>
      <c r="B31" s="200" t="s">
        <v>183</v>
      </c>
      <c r="C31" s="5" t="s">
        <v>16</v>
      </c>
      <c r="D31" s="21">
        <f>33.87*5</f>
        <v>169.35</v>
      </c>
      <c r="E31" s="7"/>
      <c r="F31" s="8"/>
      <c r="G31" s="10"/>
    </row>
    <row r="32" spans="1:9" x14ac:dyDescent="0.25">
      <c r="A32" s="16" t="s">
        <v>61</v>
      </c>
      <c r="B32" s="36" t="s">
        <v>99</v>
      </c>
      <c r="C32" s="5" t="s">
        <v>16</v>
      </c>
      <c r="D32" s="21">
        <f>(7+4)*2*3.2+(3.21+4.65)*2*3.2+(4+3.21)*2*3.2+(3+3.29)*2*3.2+(3.29+4)*2*3.2+23.64*3.2</f>
        <v>329.40800000000002</v>
      </c>
      <c r="E32" s="7"/>
      <c r="F32" s="8"/>
      <c r="G32" s="10"/>
    </row>
    <row r="33" spans="1:11" x14ac:dyDescent="0.25">
      <c r="A33" s="16" t="s">
        <v>71</v>
      </c>
      <c r="B33" s="36" t="s">
        <v>151</v>
      </c>
      <c r="C33" s="5" t="s">
        <v>16</v>
      </c>
      <c r="D33" s="21">
        <v>0</v>
      </c>
      <c r="E33" s="7"/>
      <c r="F33" s="8"/>
      <c r="G33" s="10"/>
    </row>
    <row r="34" spans="1:11" x14ac:dyDescent="0.25">
      <c r="A34" s="16" t="s">
        <v>132</v>
      </c>
      <c r="B34" s="36" t="s">
        <v>167</v>
      </c>
      <c r="C34" s="5" t="s">
        <v>16</v>
      </c>
      <c r="D34" s="21">
        <f>D31</f>
        <v>169.35</v>
      </c>
      <c r="E34" s="7"/>
      <c r="F34" s="8"/>
      <c r="G34" s="10"/>
    </row>
    <row r="35" spans="1:11" x14ac:dyDescent="0.25">
      <c r="A35" s="16" t="s">
        <v>133</v>
      </c>
      <c r="B35" s="36" t="s">
        <v>100</v>
      </c>
      <c r="C35" s="5" t="s">
        <v>16</v>
      </c>
      <c r="D35" s="21">
        <f>28.02+14.9+12.84+14.25+9.85+13.2</f>
        <v>93.06</v>
      </c>
      <c r="E35" s="7"/>
      <c r="F35" s="8"/>
      <c r="H35" s="38">
        <f>15.45*11-(13.95-6.85)*1.2-D36</f>
        <v>161.42999999999998</v>
      </c>
      <c r="I35" s="38">
        <f>H35-D35</f>
        <v>68.369999999999976</v>
      </c>
      <c r="K35" s="1">
        <f>39.15/3</f>
        <v>13.049999999999999</v>
      </c>
    </row>
    <row r="36" spans="1:11" x14ac:dyDescent="0.25">
      <c r="A36" s="16" t="s">
        <v>351</v>
      </c>
      <c r="B36" s="36" t="s">
        <v>152</v>
      </c>
      <c r="C36" s="5" t="s">
        <v>16</v>
      </c>
      <c r="D36" s="21">
        <v>0</v>
      </c>
      <c r="E36" s="7"/>
      <c r="F36" s="8"/>
      <c r="G36" s="10"/>
    </row>
    <row r="37" spans="1:11" x14ac:dyDescent="0.25">
      <c r="A37" s="16" t="s">
        <v>352</v>
      </c>
      <c r="B37" s="36" t="s">
        <v>153</v>
      </c>
      <c r="C37" s="5" t="s">
        <v>77</v>
      </c>
      <c r="D37" s="21">
        <v>102.94</v>
      </c>
      <c r="E37" s="7"/>
      <c r="F37" s="8"/>
      <c r="G37" s="10"/>
    </row>
    <row r="38" spans="1:11" x14ac:dyDescent="0.25">
      <c r="A38" s="17"/>
      <c r="B38" s="37" t="s">
        <v>7</v>
      </c>
      <c r="C38" s="18"/>
      <c r="D38" s="22"/>
      <c r="E38" s="19"/>
      <c r="F38" s="20"/>
      <c r="G38" s="10"/>
    </row>
    <row r="39" spans="1:11" x14ac:dyDescent="0.25">
      <c r="A39" s="17" t="s">
        <v>19</v>
      </c>
      <c r="B39" s="37" t="s">
        <v>353</v>
      </c>
      <c r="C39" s="18"/>
      <c r="D39" s="22"/>
      <c r="E39" s="19"/>
      <c r="F39" s="20"/>
      <c r="G39" s="10"/>
    </row>
    <row r="40" spans="1:11" x14ac:dyDescent="0.25">
      <c r="A40" s="16" t="s">
        <v>65</v>
      </c>
      <c r="B40" s="120" t="s">
        <v>206</v>
      </c>
      <c r="C40" s="5" t="s">
        <v>77</v>
      </c>
      <c r="D40" s="21">
        <v>2.4500000000000002</v>
      </c>
      <c r="E40" s="7"/>
      <c r="F40" s="8"/>
      <c r="G40" s="10"/>
    </row>
    <row r="41" spans="1:11" x14ac:dyDescent="0.25">
      <c r="A41" s="16" t="s">
        <v>66</v>
      </c>
      <c r="B41" s="120" t="s">
        <v>207</v>
      </c>
      <c r="C41" s="119" t="s">
        <v>77</v>
      </c>
      <c r="D41" s="201">
        <f>9*13.25+2*5.81</f>
        <v>130.87</v>
      </c>
      <c r="E41" s="124"/>
      <c r="F41" s="202"/>
      <c r="G41" s="10"/>
    </row>
    <row r="42" spans="1:11" ht="52.8" x14ac:dyDescent="0.25">
      <c r="A42" s="16" t="s">
        <v>67</v>
      </c>
      <c r="B42" s="122" t="s">
        <v>313</v>
      </c>
      <c r="C42" s="119" t="s">
        <v>16</v>
      </c>
      <c r="D42" s="24">
        <f>10.01*5.81+7.44*9.16</f>
        <v>126.30850000000001</v>
      </c>
      <c r="E42" s="124"/>
      <c r="F42" s="202"/>
      <c r="G42" s="10"/>
    </row>
    <row r="43" spans="1:11" ht="26.4" x14ac:dyDescent="0.25">
      <c r="A43" s="16" t="s">
        <v>134</v>
      </c>
      <c r="B43" s="122" t="s">
        <v>208</v>
      </c>
      <c r="C43" s="119" t="s">
        <v>80</v>
      </c>
      <c r="D43" s="24">
        <v>8</v>
      </c>
      <c r="E43" s="124"/>
      <c r="F43" s="202"/>
    </row>
    <row r="44" spans="1:11" x14ac:dyDescent="0.25">
      <c r="A44" s="16" t="s">
        <v>364</v>
      </c>
      <c r="B44" s="203" t="s">
        <v>354</v>
      </c>
      <c r="C44" s="204" t="s">
        <v>16</v>
      </c>
      <c r="D44" s="205">
        <f>(13.25+11.05+7.97)*0.4</f>
        <v>12.908000000000001</v>
      </c>
      <c r="E44" s="206"/>
      <c r="F44" s="207"/>
      <c r="G44" s="10"/>
    </row>
    <row r="45" spans="1:11" x14ac:dyDescent="0.25">
      <c r="A45" s="17"/>
      <c r="B45" s="37" t="s">
        <v>7</v>
      </c>
      <c r="C45" s="18"/>
      <c r="D45" s="22"/>
      <c r="E45" s="19"/>
      <c r="F45" s="20"/>
      <c r="G45" s="10"/>
    </row>
    <row r="46" spans="1:11" x14ac:dyDescent="0.25">
      <c r="A46" s="17" t="s">
        <v>22</v>
      </c>
      <c r="B46" s="37" t="s">
        <v>20</v>
      </c>
      <c r="C46" s="18"/>
      <c r="D46" s="22"/>
      <c r="E46" s="19"/>
      <c r="F46" s="20"/>
      <c r="G46" s="10"/>
    </row>
    <row r="47" spans="1:11" ht="26.4" x14ac:dyDescent="0.25">
      <c r="A47" s="16" t="s">
        <v>63</v>
      </c>
      <c r="B47" s="122" t="s">
        <v>350</v>
      </c>
      <c r="C47" s="5" t="s">
        <v>21</v>
      </c>
      <c r="D47" s="21">
        <v>2</v>
      </c>
      <c r="E47" s="7"/>
      <c r="F47" s="8"/>
      <c r="G47" s="10"/>
    </row>
    <row r="48" spans="1:11" ht="26.4" x14ac:dyDescent="0.25">
      <c r="A48" s="16" t="s">
        <v>64</v>
      </c>
      <c r="B48" s="122" t="s">
        <v>355</v>
      </c>
      <c r="C48" s="5" t="s">
        <v>21</v>
      </c>
      <c r="D48" s="21">
        <v>10</v>
      </c>
      <c r="E48" s="7"/>
      <c r="F48" s="8"/>
      <c r="G48" s="10"/>
    </row>
    <row r="49" spans="1:7" ht="26.4" x14ac:dyDescent="0.25">
      <c r="A49" s="16" t="s">
        <v>74</v>
      </c>
      <c r="B49" s="122" t="s">
        <v>349</v>
      </c>
      <c r="C49" s="5" t="s">
        <v>21</v>
      </c>
      <c r="D49" s="21">
        <v>2</v>
      </c>
      <c r="E49" s="7"/>
      <c r="F49" s="8"/>
      <c r="G49" s="10"/>
    </row>
    <row r="50" spans="1:7" ht="26.4" x14ac:dyDescent="0.25">
      <c r="A50" s="16" t="s">
        <v>75</v>
      </c>
      <c r="B50" s="122" t="s">
        <v>348</v>
      </c>
      <c r="C50" s="5" t="s">
        <v>21</v>
      </c>
      <c r="D50" s="21">
        <v>10</v>
      </c>
      <c r="E50" s="7"/>
      <c r="F50" s="8"/>
      <c r="G50" s="10"/>
    </row>
    <row r="51" spans="1:7" x14ac:dyDescent="0.25">
      <c r="A51" s="16" t="s">
        <v>76</v>
      </c>
      <c r="B51" s="122" t="s">
        <v>209</v>
      </c>
      <c r="C51" s="5" t="s">
        <v>77</v>
      </c>
      <c r="D51" s="21">
        <v>5.17</v>
      </c>
      <c r="E51" s="7"/>
      <c r="F51" s="8"/>
      <c r="G51" s="10"/>
    </row>
    <row r="52" spans="1:7" x14ac:dyDescent="0.25">
      <c r="A52" s="17"/>
      <c r="B52" s="37" t="s">
        <v>7</v>
      </c>
      <c r="C52" s="18"/>
      <c r="D52" s="22"/>
      <c r="E52" s="19"/>
      <c r="F52" s="20"/>
      <c r="G52" s="10"/>
    </row>
    <row r="53" spans="1:7" x14ac:dyDescent="0.25">
      <c r="A53" s="17" t="s">
        <v>101</v>
      </c>
      <c r="B53" s="37" t="s">
        <v>102</v>
      </c>
      <c r="C53" s="18"/>
      <c r="D53" s="22"/>
      <c r="E53" s="19"/>
      <c r="F53" s="20"/>
      <c r="G53" s="10"/>
    </row>
    <row r="54" spans="1:7" ht="26.4" x14ac:dyDescent="0.25">
      <c r="A54" s="16" t="s">
        <v>136</v>
      </c>
      <c r="B54" s="120" t="s">
        <v>356</v>
      </c>
      <c r="C54" s="5" t="s">
        <v>16</v>
      </c>
      <c r="D54" s="21">
        <f>D35+D36</f>
        <v>93.06</v>
      </c>
      <c r="E54" s="7"/>
      <c r="F54" s="8"/>
      <c r="G54" s="10"/>
    </row>
    <row r="55" spans="1:7" x14ac:dyDescent="0.25">
      <c r="A55" s="17"/>
      <c r="B55" s="37" t="s">
        <v>7</v>
      </c>
      <c r="C55" s="18"/>
      <c r="D55" s="22"/>
      <c r="E55" s="19"/>
      <c r="F55" s="20"/>
      <c r="G55" s="10"/>
    </row>
    <row r="56" spans="1:7" x14ac:dyDescent="0.25">
      <c r="A56" s="17" t="s">
        <v>104</v>
      </c>
      <c r="B56" s="37" t="s">
        <v>105</v>
      </c>
      <c r="C56" s="18"/>
      <c r="D56" s="22"/>
      <c r="E56" s="19"/>
      <c r="F56" s="20"/>
      <c r="G56" s="10"/>
    </row>
    <row r="57" spans="1:7" x14ac:dyDescent="0.25">
      <c r="A57" s="16" t="s">
        <v>365</v>
      </c>
      <c r="B57" s="36" t="s">
        <v>106</v>
      </c>
      <c r="C57" s="5" t="s">
        <v>16</v>
      </c>
      <c r="D57" s="21">
        <f>(1.2*2.2*2+0.9*2.2*10)*2</f>
        <v>50.160000000000004</v>
      </c>
      <c r="E57" s="7"/>
      <c r="F57" s="8"/>
      <c r="G57" s="10"/>
    </row>
    <row r="58" spans="1:7" x14ac:dyDescent="0.25">
      <c r="A58" s="16" t="s">
        <v>366</v>
      </c>
      <c r="B58" s="36" t="s">
        <v>107</v>
      </c>
      <c r="C58" s="5" t="s">
        <v>16</v>
      </c>
      <c r="D58" s="21">
        <f>D32</f>
        <v>329.40800000000002</v>
      </c>
      <c r="E58" s="7"/>
      <c r="F58" s="8"/>
      <c r="G58" s="10"/>
    </row>
    <row r="59" spans="1:7" x14ac:dyDescent="0.25">
      <c r="A59" s="16" t="s">
        <v>367</v>
      </c>
      <c r="B59" s="36" t="s">
        <v>347</v>
      </c>
      <c r="C59" s="5" t="s">
        <v>16</v>
      </c>
      <c r="D59" s="21">
        <f>D54</f>
        <v>93.06</v>
      </c>
      <c r="E59" s="7"/>
      <c r="F59" s="8"/>
      <c r="G59" s="10"/>
    </row>
    <row r="60" spans="1:7" x14ac:dyDescent="0.25">
      <c r="A60" s="17"/>
      <c r="B60" s="37" t="s">
        <v>7</v>
      </c>
      <c r="C60" s="18"/>
      <c r="D60" s="22"/>
      <c r="E60" s="19"/>
      <c r="F60" s="20"/>
      <c r="G60" s="10"/>
    </row>
    <row r="61" spans="1:7" s="126" customFormat="1" x14ac:dyDescent="0.25">
      <c r="A61" s="17" t="s">
        <v>109</v>
      </c>
      <c r="B61" s="37" t="s">
        <v>160</v>
      </c>
      <c r="C61" s="18"/>
      <c r="D61" s="22"/>
      <c r="E61" s="19"/>
      <c r="F61" s="20"/>
      <c r="G61" s="39"/>
    </row>
    <row r="62" spans="1:7" x14ac:dyDescent="0.25">
      <c r="A62" s="16" t="s">
        <v>368</v>
      </c>
      <c r="B62" s="113" t="s">
        <v>408</v>
      </c>
      <c r="C62" s="5" t="s">
        <v>21</v>
      </c>
      <c r="D62" s="21">
        <v>8</v>
      </c>
      <c r="E62" s="7"/>
      <c r="F62" s="8"/>
      <c r="G62" s="10"/>
    </row>
    <row r="63" spans="1:7" x14ac:dyDescent="0.25">
      <c r="A63" s="16" t="s">
        <v>369</v>
      </c>
      <c r="B63" s="113" t="s">
        <v>394</v>
      </c>
      <c r="C63" s="5" t="s">
        <v>21</v>
      </c>
      <c r="D63" s="21">
        <v>1</v>
      </c>
      <c r="E63" s="7"/>
      <c r="F63" s="8"/>
      <c r="G63" s="10"/>
    </row>
    <row r="64" spans="1:7" x14ac:dyDescent="0.25">
      <c r="A64" s="16" t="s">
        <v>370</v>
      </c>
      <c r="B64" s="113" t="s">
        <v>395</v>
      </c>
      <c r="C64" s="5" t="s">
        <v>21</v>
      </c>
      <c r="D64" s="21">
        <v>1</v>
      </c>
      <c r="E64" s="7"/>
      <c r="F64" s="8"/>
      <c r="G64" s="10"/>
    </row>
    <row r="65" spans="1:7" x14ac:dyDescent="0.25">
      <c r="A65" s="16" t="s">
        <v>371</v>
      </c>
      <c r="B65" s="113" t="s">
        <v>396</v>
      </c>
      <c r="C65" s="5" t="s">
        <v>21</v>
      </c>
      <c r="D65" s="21">
        <v>1</v>
      </c>
      <c r="E65" s="7"/>
      <c r="F65" s="8"/>
      <c r="G65" s="10"/>
    </row>
    <row r="66" spans="1:7" x14ac:dyDescent="0.25">
      <c r="A66" s="16" t="s">
        <v>372</v>
      </c>
      <c r="B66" s="113" t="s">
        <v>397</v>
      </c>
      <c r="C66" s="5" t="s">
        <v>21</v>
      </c>
      <c r="D66" s="21">
        <v>1</v>
      </c>
      <c r="E66" s="7"/>
      <c r="F66" s="8"/>
      <c r="G66" s="10"/>
    </row>
    <row r="67" spans="1:7" x14ac:dyDescent="0.25">
      <c r="A67" s="16" t="s">
        <v>373</v>
      </c>
      <c r="B67" s="113" t="s">
        <v>398</v>
      </c>
      <c r="C67" s="5" t="s">
        <v>21</v>
      </c>
      <c r="D67" s="21">
        <v>1</v>
      </c>
      <c r="E67" s="7"/>
      <c r="F67" s="8"/>
      <c r="G67" s="10"/>
    </row>
    <row r="68" spans="1:7" x14ac:dyDescent="0.25">
      <c r="A68" s="16" t="s">
        <v>374</v>
      </c>
      <c r="B68" s="113" t="s">
        <v>406</v>
      </c>
      <c r="C68" s="5" t="s">
        <v>21</v>
      </c>
      <c r="D68" s="21">
        <v>1</v>
      </c>
      <c r="E68" s="7"/>
      <c r="F68" s="8"/>
      <c r="G68" s="10"/>
    </row>
    <row r="69" spans="1:7" x14ac:dyDescent="0.25">
      <c r="A69" s="16" t="s">
        <v>375</v>
      </c>
      <c r="B69" s="113" t="s">
        <v>399</v>
      </c>
      <c r="C69" s="5" t="s">
        <v>21</v>
      </c>
      <c r="D69" s="21">
        <v>1</v>
      </c>
      <c r="E69" s="7"/>
      <c r="F69" s="8"/>
      <c r="G69" s="10"/>
    </row>
    <row r="70" spans="1:7" ht="66" x14ac:dyDescent="0.25">
      <c r="A70" s="16" t="s">
        <v>376</v>
      </c>
      <c r="B70" s="4" t="s">
        <v>112</v>
      </c>
      <c r="C70" s="5" t="s">
        <v>6</v>
      </c>
      <c r="D70" s="21">
        <v>1</v>
      </c>
      <c r="E70" s="7"/>
      <c r="F70" s="8"/>
      <c r="G70" s="10"/>
    </row>
    <row r="71" spans="1:7" x14ac:dyDescent="0.25">
      <c r="A71" s="16" t="s">
        <v>377</v>
      </c>
      <c r="B71" s="36" t="s">
        <v>362</v>
      </c>
      <c r="C71" s="5" t="s">
        <v>21</v>
      </c>
      <c r="D71" s="21">
        <v>4</v>
      </c>
      <c r="E71" s="7"/>
      <c r="F71" s="8"/>
      <c r="G71" s="10"/>
    </row>
    <row r="72" spans="1:7" x14ac:dyDescent="0.25">
      <c r="A72" s="16" t="s">
        <v>378</v>
      </c>
      <c r="B72" s="36" t="s">
        <v>363</v>
      </c>
      <c r="C72" s="5" t="s">
        <v>21</v>
      </c>
      <c r="D72" s="21">
        <v>3</v>
      </c>
      <c r="E72" s="7"/>
      <c r="F72" s="8"/>
      <c r="G72" s="10"/>
    </row>
    <row r="73" spans="1:7" x14ac:dyDescent="0.25">
      <c r="A73" s="16" t="s">
        <v>400</v>
      </c>
      <c r="B73" s="36" t="s">
        <v>361</v>
      </c>
      <c r="C73" s="5" t="s">
        <v>21</v>
      </c>
      <c r="D73" s="21">
        <v>3</v>
      </c>
      <c r="E73" s="7"/>
      <c r="F73" s="8"/>
      <c r="G73" s="10"/>
    </row>
    <row r="74" spans="1:7" x14ac:dyDescent="0.25">
      <c r="A74" s="16" t="s">
        <v>401</v>
      </c>
      <c r="B74" s="36" t="s">
        <v>360</v>
      </c>
      <c r="C74" s="5" t="s">
        <v>21</v>
      </c>
      <c r="D74" s="21">
        <v>6</v>
      </c>
      <c r="E74" s="7"/>
      <c r="F74" s="8"/>
      <c r="G74" s="10"/>
    </row>
    <row r="75" spans="1:7" x14ac:dyDescent="0.25">
      <c r="A75" s="16" t="s">
        <v>402</v>
      </c>
      <c r="B75" s="36" t="s">
        <v>359</v>
      </c>
      <c r="C75" s="5" t="s">
        <v>21</v>
      </c>
      <c r="D75" s="21">
        <v>1</v>
      </c>
      <c r="E75" s="7"/>
      <c r="F75" s="8"/>
      <c r="G75" s="10"/>
    </row>
    <row r="76" spans="1:7" x14ac:dyDescent="0.25">
      <c r="A76" s="16" t="s">
        <v>403</v>
      </c>
      <c r="B76" s="36" t="s">
        <v>358</v>
      </c>
      <c r="C76" s="5" t="s">
        <v>21</v>
      </c>
      <c r="D76" s="21">
        <v>1</v>
      </c>
      <c r="E76" s="7"/>
      <c r="F76" s="8"/>
      <c r="G76" s="10"/>
    </row>
    <row r="77" spans="1:7" x14ac:dyDescent="0.25">
      <c r="A77" s="16" t="s">
        <v>404</v>
      </c>
      <c r="B77" s="36" t="s">
        <v>357</v>
      </c>
      <c r="C77" s="5" t="s">
        <v>21</v>
      </c>
      <c r="D77" s="21">
        <v>16</v>
      </c>
      <c r="E77" s="7"/>
      <c r="F77" s="8"/>
      <c r="G77" s="10"/>
    </row>
    <row r="78" spans="1:7" x14ac:dyDescent="0.25">
      <c r="A78" s="16" t="s">
        <v>405</v>
      </c>
      <c r="B78" s="36" t="s">
        <v>379</v>
      </c>
      <c r="C78" s="5" t="s">
        <v>21</v>
      </c>
      <c r="D78" s="21">
        <v>6</v>
      </c>
      <c r="E78" s="7"/>
      <c r="F78" s="8"/>
      <c r="G78" s="10"/>
    </row>
    <row r="79" spans="1:7" x14ac:dyDescent="0.25">
      <c r="A79" s="16" t="s">
        <v>409</v>
      </c>
      <c r="B79" s="36" t="s">
        <v>380</v>
      </c>
      <c r="C79" s="5" t="s">
        <v>21</v>
      </c>
      <c r="D79" s="21">
        <v>1</v>
      </c>
      <c r="E79" s="7"/>
      <c r="F79" s="8"/>
      <c r="G79" s="10"/>
    </row>
    <row r="80" spans="1:7" x14ac:dyDescent="0.25">
      <c r="A80" s="17"/>
      <c r="B80" s="37" t="s">
        <v>7</v>
      </c>
      <c r="C80" s="18"/>
      <c r="D80" s="22"/>
      <c r="E80" s="19"/>
      <c r="F80" s="20"/>
      <c r="G80" s="10"/>
    </row>
    <row r="81" spans="1:7" ht="13.8" thickBot="1" x14ac:dyDescent="0.3">
      <c r="A81" s="26"/>
      <c r="B81" s="40" t="s">
        <v>411</v>
      </c>
      <c r="C81" s="27"/>
      <c r="D81" s="41"/>
      <c r="E81" s="28"/>
      <c r="F81" s="42"/>
      <c r="G81" s="10"/>
    </row>
    <row r="82" spans="1:7" ht="14.4" thickTop="1" thickBot="1" x14ac:dyDescent="0.3">
      <c r="A82" s="26"/>
      <c r="B82" s="40" t="s">
        <v>410</v>
      </c>
      <c r="C82" s="27"/>
      <c r="D82" s="41"/>
      <c r="E82" s="28"/>
      <c r="F82" s="42"/>
      <c r="G82" s="10"/>
    </row>
    <row r="83" spans="1:7" ht="13.8" thickTop="1" x14ac:dyDescent="0.25">
      <c r="E83" s="33"/>
      <c r="F83" s="9"/>
      <c r="G83" s="10"/>
    </row>
    <row r="84" spans="1:7" x14ac:dyDescent="0.25">
      <c r="B84" s="30"/>
      <c r="C84" s="29"/>
      <c r="D84" s="44"/>
      <c r="E84" s="45"/>
      <c r="F84" s="46"/>
    </row>
    <row r="85" spans="1:7" x14ac:dyDescent="0.25">
      <c r="E85" s="33"/>
      <c r="F85" s="9"/>
    </row>
    <row r="86" spans="1:7" x14ac:dyDescent="0.25">
      <c r="A86" s="396"/>
      <c r="B86" s="396"/>
      <c r="C86" s="396"/>
      <c r="D86" s="396"/>
      <c r="E86" s="396"/>
      <c r="F86" s="396"/>
    </row>
    <row r="87" spans="1:7" x14ac:dyDescent="0.25">
      <c r="E87" s="33"/>
      <c r="F87" s="9"/>
    </row>
    <row r="88" spans="1:7" x14ac:dyDescent="0.25">
      <c r="E88" s="33"/>
      <c r="F88" s="9"/>
    </row>
    <row r="89" spans="1:7" x14ac:dyDescent="0.25">
      <c r="A89" s="47"/>
      <c r="B89" s="30"/>
      <c r="C89" s="29"/>
      <c r="D89" s="44"/>
      <c r="E89" s="45"/>
      <c r="F89" s="46"/>
    </row>
    <row r="90" spans="1:7" x14ac:dyDescent="0.25">
      <c r="A90" s="29"/>
      <c r="B90" s="30"/>
      <c r="E90" s="33"/>
      <c r="F90" s="9"/>
    </row>
    <row r="91" spans="1:7" x14ac:dyDescent="0.25">
      <c r="A91" s="29"/>
      <c r="B91" s="30"/>
      <c r="C91" s="29"/>
      <c r="D91" s="44"/>
      <c r="E91" s="45"/>
      <c r="F91" s="46"/>
    </row>
    <row r="92" spans="1:7" x14ac:dyDescent="0.25">
      <c r="A92" s="29"/>
      <c r="B92" s="30"/>
      <c r="C92" s="29"/>
      <c r="D92" s="44"/>
      <c r="E92" s="45"/>
      <c r="F92" s="46"/>
    </row>
    <row r="93" spans="1:7" x14ac:dyDescent="0.25">
      <c r="E93" s="33"/>
      <c r="F93" s="9"/>
    </row>
    <row r="94" spans="1:7" x14ac:dyDescent="0.25">
      <c r="A94" s="29"/>
      <c r="B94" s="30"/>
      <c r="C94" s="29"/>
      <c r="D94" s="44"/>
      <c r="E94" s="45"/>
      <c r="F94" s="46"/>
    </row>
    <row r="95" spans="1:7" x14ac:dyDescent="0.25">
      <c r="A95" s="29"/>
      <c r="B95" s="30"/>
      <c r="C95" s="29"/>
      <c r="D95" s="44"/>
      <c r="E95" s="45"/>
      <c r="F95" s="46"/>
    </row>
    <row r="96" spans="1:7" x14ac:dyDescent="0.25">
      <c r="E96" s="33"/>
      <c r="F96" s="9"/>
    </row>
    <row r="97" spans="1:6" x14ac:dyDescent="0.25">
      <c r="E97" s="33"/>
      <c r="F97" s="9"/>
    </row>
    <row r="98" spans="1:6" x14ac:dyDescent="0.25">
      <c r="E98" s="33"/>
      <c r="F98" s="9"/>
    </row>
    <row r="99" spans="1:6" x14ac:dyDescent="0.25">
      <c r="A99" s="29"/>
      <c r="B99" s="30"/>
      <c r="C99" s="29"/>
      <c r="D99" s="44"/>
      <c r="E99" s="45"/>
      <c r="F99" s="46"/>
    </row>
    <row r="100" spans="1:6" x14ac:dyDescent="0.25">
      <c r="A100" s="29"/>
      <c r="B100" s="30"/>
      <c r="C100" s="29"/>
      <c r="D100" s="44"/>
      <c r="E100" s="45"/>
      <c r="F100" s="46"/>
    </row>
    <row r="101" spans="1:6" x14ac:dyDescent="0.25">
      <c r="E101" s="33"/>
      <c r="F101" s="9"/>
    </row>
    <row r="102" spans="1:6" x14ac:dyDescent="0.25">
      <c r="E102" s="33"/>
      <c r="F102" s="9"/>
    </row>
    <row r="103" spans="1:6" x14ac:dyDescent="0.25">
      <c r="E103" s="33"/>
      <c r="F103" s="9"/>
    </row>
    <row r="104" spans="1:6" x14ac:dyDescent="0.25">
      <c r="E104" s="33"/>
      <c r="F104" s="9"/>
    </row>
    <row r="105" spans="1:6" x14ac:dyDescent="0.25">
      <c r="E105" s="33"/>
      <c r="F105" s="9"/>
    </row>
    <row r="106" spans="1:6" x14ac:dyDescent="0.25">
      <c r="E106" s="33"/>
      <c r="F106" s="9"/>
    </row>
    <row r="107" spans="1:6" x14ac:dyDescent="0.25">
      <c r="E107" s="33"/>
      <c r="F107" s="9"/>
    </row>
    <row r="108" spans="1:6" x14ac:dyDescent="0.25">
      <c r="E108" s="33"/>
      <c r="F108" s="9"/>
    </row>
    <row r="109" spans="1:6" x14ac:dyDescent="0.25">
      <c r="A109" s="29"/>
      <c r="B109" s="30"/>
      <c r="C109" s="29"/>
      <c r="D109" s="44"/>
      <c r="E109" s="45"/>
      <c r="F109" s="46"/>
    </row>
    <row r="110" spans="1:6" x14ac:dyDescent="0.25">
      <c r="A110" s="29"/>
      <c r="B110" s="30"/>
      <c r="C110" s="29"/>
      <c r="D110" s="44"/>
      <c r="E110" s="45"/>
      <c r="F110" s="46"/>
    </row>
    <row r="111" spans="1:6" x14ac:dyDescent="0.25">
      <c r="E111" s="33"/>
      <c r="F111" s="9"/>
    </row>
    <row r="112" spans="1:6" x14ac:dyDescent="0.25">
      <c r="E112" s="33"/>
      <c r="F112" s="9"/>
    </row>
    <row r="113" spans="1:6" x14ac:dyDescent="0.25">
      <c r="A113" s="29"/>
      <c r="B113" s="30"/>
      <c r="C113" s="29"/>
      <c r="D113" s="44"/>
      <c r="E113" s="45"/>
      <c r="F113" s="46"/>
    </row>
    <row r="114" spans="1:6" x14ac:dyDescent="0.25">
      <c r="A114" s="29"/>
      <c r="B114" s="30"/>
      <c r="C114" s="29"/>
      <c r="D114" s="44"/>
      <c r="E114" s="45"/>
      <c r="F114" s="46"/>
    </row>
    <row r="115" spans="1:6" x14ac:dyDescent="0.25">
      <c r="E115" s="33"/>
      <c r="F115" s="9"/>
    </row>
    <row r="116" spans="1:6" x14ac:dyDescent="0.25">
      <c r="A116" s="29"/>
      <c r="B116" s="30"/>
      <c r="C116" s="29"/>
      <c r="D116" s="44"/>
      <c r="E116" s="45"/>
      <c r="F116" s="46"/>
    </row>
    <row r="117" spans="1:6" x14ac:dyDescent="0.25">
      <c r="A117" s="29"/>
      <c r="B117" s="30"/>
      <c r="C117" s="29"/>
      <c r="D117" s="44"/>
      <c r="E117" s="45"/>
      <c r="F117" s="46"/>
    </row>
    <row r="118" spans="1:6" x14ac:dyDescent="0.25">
      <c r="A118" s="29"/>
      <c r="C118" s="29"/>
      <c r="D118" s="44"/>
      <c r="E118" s="33"/>
      <c r="F118" s="9"/>
    </row>
    <row r="119" spans="1:6" x14ac:dyDescent="0.25">
      <c r="E119" s="33"/>
      <c r="F119" s="9"/>
    </row>
    <row r="120" spans="1:6" x14ac:dyDescent="0.25">
      <c r="E120" s="33"/>
      <c r="F120" s="9"/>
    </row>
    <row r="121" spans="1:6" x14ac:dyDescent="0.25">
      <c r="A121" s="29"/>
      <c r="B121" s="30"/>
      <c r="C121" s="29"/>
      <c r="D121" s="44"/>
      <c r="E121" s="45"/>
      <c r="F121" s="46"/>
    </row>
    <row r="122" spans="1:6" x14ac:dyDescent="0.25">
      <c r="A122" s="29"/>
      <c r="B122" s="30"/>
      <c r="C122" s="29"/>
      <c r="D122" s="44"/>
      <c r="E122" s="45"/>
      <c r="F122" s="46"/>
    </row>
    <row r="123" spans="1:6" x14ac:dyDescent="0.25">
      <c r="E123" s="33"/>
      <c r="F123" s="9"/>
    </row>
    <row r="124" spans="1:6" x14ac:dyDescent="0.25">
      <c r="E124" s="33"/>
      <c r="F124" s="9"/>
    </row>
    <row r="125" spans="1:6" x14ac:dyDescent="0.25">
      <c r="A125" s="29"/>
      <c r="B125" s="30"/>
      <c r="C125" s="29"/>
      <c r="D125" s="44"/>
      <c r="E125" s="45"/>
      <c r="F125" s="46"/>
    </row>
    <row r="126" spans="1:6" x14ac:dyDescent="0.25">
      <c r="A126" s="29"/>
      <c r="B126" s="30"/>
      <c r="C126" s="29"/>
      <c r="D126" s="44"/>
      <c r="E126" s="45"/>
      <c r="F126" s="46"/>
    </row>
    <row r="127" spans="1:6" x14ac:dyDescent="0.25">
      <c r="E127" s="33"/>
      <c r="F127" s="9"/>
    </row>
    <row r="128" spans="1:6" x14ac:dyDescent="0.25">
      <c r="A128" s="29"/>
      <c r="B128" s="30"/>
      <c r="C128" s="29"/>
      <c r="D128" s="44"/>
      <c r="E128" s="45"/>
      <c r="F128" s="46"/>
    </row>
    <row r="129" spans="5:6" x14ac:dyDescent="0.25">
      <c r="E129" s="33"/>
      <c r="F129" s="9"/>
    </row>
  </sheetData>
  <mergeCells count="3">
    <mergeCell ref="A2:F2"/>
    <mergeCell ref="A3:F3"/>
    <mergeCell ref="A86:F8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122"/>
  <sheetViews>
    <sheetView workbookViewId="0">
      <selection activeCell="E10" sqref="E10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6.5546875" style="31" bestFit="1" customWidth="1"/>
    <col min="5" max="5" width="37.33203125" style="208" customWidth="1"/>
    <col min="6" max="6" width="11.44140625" style="1"/>
    <col min="7" max="12" width="0" style="1" hidden="1" customWidth="1"/>
    <col min="13" max="255" width="11.44140625" style="1"/>
    <col min="256" max="256" width="5.6640625" style="1" customWidth="1"/>
    <col min="257" max="257" width="42.109375" style="1" customWidth="1"/>
    <col min="258" max="258" width="5.109375" style="1" customWidth="1"/>
    <col min="259" max="259" width="10.44140625" style="1" customWidth="1"/>
    <col min="260" max="260" width="10.88671875" style="1" customWidth="1"/>
    <col min="261" max="261" width="12.44140625" style="1" customWidth="1"/>
    <col min="262" max="511" width="11.44140625" style="1"/>
    <col min="512" max="512" width="5.6640625" style="1" customWidth="1"/>
    <col min="513" max="513" width="42.109375" style="1" customWidth="1"/>
    <col min="514" max="514" width="5.109375" style="1" customWidth="1"/>
    <col min="515" max="515" width="10.44140625" style="1" customWidth="1"/>
    <col min="516" max="516" width="10.88671875" style="1" customWidth="1"/>
    <col min="517" max="517" width="12.44140625" style="1" customWidth="1"/>
    <col min="518" max="767" width="11.44140625" style="1"/>
    <col min="768" max="768" width="5.6640625" style="1" customWidth="1"/>
    <col min="769" max="769" width="42.109375" style="1" customWidth="1"/>
    <col min="770" max="770" width="5.109375" style="1" customWidth="1"/>
    <col min="771" max="771" width="10.44140625" style="1" customWidth="1"/>
    <col min="772" max="772" width="10.88671875" style="1" customWidth="1"/>
    <col min="773" max="773" width="12.44140625" style="1" customWidth="1"/>
    <col min="774" max="1023" width="11.44140625" style="1"/>
    <col min="1024" max="1024" width="5.6640625" style="1" customWidth="1"/>
    <col min="1025" max="1025" width="42.109375" style="1" customWidth="1"/>
    <col min="1026" max="1026" width="5.109375" style="1" customWidth="1"/>
    <col min="1027" max="1027" width="10.44140625" style="1" customWidth="1"/>
    <col min="1028" max="1028" width="10.88671875" style="1" customWidth="1"/>
    <col min="1029" max="1029" width="12.44140625" style="1" customWidth="1"/>
    <col min="1030" max="1279" width="11.44140625" style="1"/>
    <col min="1280" max="1280" width="5.6640625" style="1" customWidth="1"/>
    <col min="1281" max="1281" width="42.109375" style="1" customWidth="1"/>
    <col min="1282" max="1282" width="5.109375" style="1" customWidth="1"/>
    <col min="1283" max="1283" width="10.44140625" style="1" customWidth="1"/>
    <col min="1284" max="1284" width="10.88671875" style="1" customWidth="1"/>
    <col min="1285" max="1285" width="12.44140625" style="1" customWidth="1"/>
    <col min="1286" max="1535" width="11.44140625" style="1"/>
    <col min="1536" max="1536" width="5.6640625" style="1" customWidth="1"/>
    <col min="1537" max="1537" width="42.109375" style="1" customWidth="1"/>
    <col min="1538" max="1538" width="5.109375" style="1" customWidth="1"/>
    <col min="1539" max="1539" width="10.44140625" style="1" customWidth="1"/>
    <col min="1540" max="1540" width="10.88671875" style="1" customWidth="1"/>
    <col min="1541" max="1541" width="12.44140625" style="1" customWidth="1"/>
    <col min="1542" max="1791" width="11.44140625" style="1"/>
    <col min="1792" max="1792" width="5.6640625" style="1" customWidth="1"/>
    <col min="1793" max="1793" width="42.109375" style="1" customWidth="1"/>
    <col min="1794" max="1794" width="5.109375" style="1" customWidth="1"/>
    <col min="1795" max="1795" width="10.44140625" style="1" customWidth="1"/>
    <col min="1796" max="1796" width="10.88671875" style="1" customWidth="1"/>
    <col min="1797" max="1797" width="12.44140625" style="1" customWidth="1"/>
    <col min="1798" max="2047" width="11.44140625" style="1"/>
    <col min="2048" max="2048" width="5.6640625" style="1" customWidth="1"/>
    <col min="2049" max="2049" width="42.109375" style="1" customWidth="1"/>
    <col min="2050" max="2050" width="5.109375" style="1" customWidth="1"/>
    <col min="2051" max="2051" width="10.44140625" style="1" customWidth="1"/>
    <col min="2052" max="2052" width="10.88671875" style="1" customWidth="1"/>
    <col min="2053" max="2053" width="12.44140625" style="1" customWidth="1"/>
    <col min="2054" max="2303" width="11.44140625" style="1"/>
    <col min="2304" max="2304" width="5.6640625" style="1" customWidth="1"/>
    <col min="2305" max="2305" width="42.109375" style="1" customWidth="1"/>
    <col min="2306" max="2306" width="5.109375" style="1" customWidth="1"/>
    <col min="2307" max="2307" width="10.44140625" style="1" customWidth="1"/>
    <col min="2308" max="2308" width="10.88671875" style="1" customWidth="1"/>
    <col min="2309" max="2309" width="12.44140625" style="1" customWidth="1"/>
    <col min="2310" max="2559" width="11.44140625" style="1"/>
    <col min="2560" max="2560" width="5.6640625" style="1" customWidth="1"/>
    <col min="2561" max="2561" width="42.109375" style="1" customWidth="1"/>
    <col min="2562" max="2562" width="5.109375" style="1" customWidth="1"/>
    <col min="2563" max="2563" width="10.44140625" style="1" customWidth="1"/>
    <col min="2564" max="2564" width="10.88671875" style="1" customWidth="1"/>
    <col min="2565" max="2565" width="12.44140625" style="1" customWidth="1"/>
    <col min="2566" max="2815" width="11.44140625" style="1"/>
    <col min="2816" max="2816" width="5.6640625" style="1" customWidth="1"/>
    <col min="2817" max="2817" width="42.109375" style="1" customWidth="1"/>
    <col min="2818" max="2818" width="5.109375" style="1" customWidth="1"/>
    <col min="2819" max="2819" width="10.44140625" style="1" customWidth="1"/>
    <col min="2820" max="2820" width="10.88671875" style="1" customWidth="1"/>
    <col min="2821" max="2821" width="12.44140625" style="1" customWidth="1"/>
    <col min="2822" max="3071" width="11.44140625" style="1"/>
    <col min="3072" max="3072" width="5.6640625" style="1" customWidth="1"/>
    <col min="3073" max="3073" width="42.109375" style="1" customWidth="1"/>
    <col min="3074" max="3074" width="5.109375" style="1" customWidth="1"/>
    <col min="3075" max="3075" width="10.44140625" style="1" customWidth="1"/>
    <col min="3076" max="3076" width="10.88671875" style="1" customWidth="1"/>
    <col min="3077" max="3077" width="12.44140625" style="1" customWidth="1"/>
    <col min="3078" max="3327" width="11.44140625" style="1"/>
    <col min="3328" max="3328" width="5.6640625" style="1" customWidth="1"/>
    <col min="3329" max="3329" width="42.109375" style="1" customWidth="1"/>
    <col min="3330" max="3330" width="5.109375" style="1" customWidth="1"/>
    <col min="3331" max="3331" width="10.44140625" style="1" customWidth="1"/>
    <col min="3332" max="3332" width="10.88671875" style="1" customWidth="1"/>
    <col min="3333" max="3333" width="12.44140625" style="1" customWidth="1"/>
    <col min="3334" max="3583" width="11.44140625" style="1"/>
    <col min="3584" max="3584" width="5.6640625" style="1" customWidth="1"/>
    <col min="3585" max="3585" width="42.109375" style="1" customWidth="1"/>
    <col min="3586" max="3586" width="5.109375" style="1" customWidth="1"/>
    <col min="3587" max="3587" width="10.44140625" style="1" customWidth="1"/>
    <col min="3588" max="3588" width="10.88671875" style="1" customWidth="1"/>
    <col min="3589" max="3589" width="12.44140625" style="1" customWidth="1"/>
    <col min="3590" max="3839" width="11.44140625" style="1"/>
    <col min="3840" max="3840" width="5.6640625" style="1" customWidth="1"/>
    <col min="3841" max="3841" width="42.109375" style="1" customWidth="1"/>
    <col min="3842" max="3842" width="5.109375" style="1" customWidth="1"/>
    <col min="3843" max="3843" width="10.44140625" style="1" customWidth="1"/>
    <col min="3844" max="3844" width="10.88671875" style="1" customWidth="1"/>
    <col min="3845" max="3845" width="12.44140625" style="1" customWidth="1"/>
    <col min="3846" max="4095" width="11.44140625" style="1"/>
    <col min="4096" max="4096" width="5.6640625" style="1" customWidth="1"/>
    <col min="4097" max="4097" width="42.109375" style="1" customWidth="1"/>
    <col min="4098" max="4098" width="5.109375" style="1" customWidth="1"/>
    <col min="4099" max="4099" width="10.44140625" style="1" customWidth="1"/>
    <col min="4100" max="4100" width="10.88671875" style="1" customWidth="1"/>
    <col min="4101" max="4101" width="12.44140625" style="1" customWidth="1"/>
    <col min="4102" max="4351" width="11.44140625" style="1"/>
    <col min="4352" max="4352" width="5.6640625" style="1" customWidth="1"/>
    <col min="4353" max="4353" width="42.109375" style="1" customWidth="1"/>
    <col min="4354" max="4354" width="5.109375" style="1" customWidth="1"/>
    <col min="4355" max="4355" width="10.44140625" style="1" customWidth="1"/>
    <col min="4356" max="4356" width="10.88671875" style="1" customWidth="1"/>
    <col min="4357" max="4357" width="12.44140625" style="1" customWidth="1"/>
    <col min="4358" max="4607" width="11.44140625" style="1"/>
    <col min="4608" max="4608" width="5.6640625" style="1" customWidth="1"/>
    <col min="4609" max="4609" width="42.109375" style="1" customWidth="1"/>
    <col min="4610" max="4610" width="5.109375" style="1" customWidth="1"/>
    <col min="4611" max="4611" width="10.44140625" style="1" customWidth="1"/>
    <col min="4612" max="4612" width="10.88671875" style="1" customWidth="1"/>
    <col min="4613" max="4613" width="12.44140625" style="1" customWidth="1"/>
    <col min="4614" max="4863" width="11.44140625" style="1"/>
    <col min="4864" max="4864" width="5.6640625" style="1" customWidth="1"/>
    <col min="4865" max="4865" width="42.109375" style="1" customWidth="1"/>
    <col min="4866" max="4866" width="5.109375" style="1" customWidth="1"/>
    <col min="4867" max="4867" width="10.44140625" style="1" customWidth="1"/>
    <col min="4868" max="4868" width="10.88671875" style="1" customWidth="1"/>
    <col min="4869" max="4869" width="12.44140625" style="1" customWidth="1"/>
    <col min="4870" max="5119" width="11.44140625" style="1"/>
    <col min="5120" max="5120" width="5.6640625" style="1" customWidth="1"/>
    <col min="5121" max="5121" width="42.109375" style="1" customWidth="1"/>
    <col min="5122" max="5122" width="5.109375" style="1" customWidth="1"/>
    <col min="5123" max="5123" width="10.44140625" style="1" customWidth="1"/>
    <col min="5124" max="5124" width="10.88671875" style="1" customWidth="1"/>
    <col min="5125" max="5125" width="12.44140625" style="1" customWidth="1"/>
    <col min="5126" max="5375" width="11.44140625" style="1"/>
    <col min="5376" max="5376" width="5.6640625" style="1" customWidth="1"/>
    <col min="5377" max="5377" width="42.109375" style="1" customWidth="1"/>
    <col min="5378" max="5378" width="5.109375" style="1" customWidth="1"/>
    <col min="5379" max="5379" width="10.44140625" style="1" customWidth="1"/>
    <col min="5380" max="5380" width="10.88671875" style="1" customWidth="1"/>
    <col min="5381" max="5381" width="12.44140625" style="1" customWidth="1"/>
    <col min="5382" max="5631" width="11.44140625" style="1"/>
    <col min="5632" max="5632" width="5.6640625" style="1" customWidth="1"/>
    <col min="5633" max="5633" width="42.109375" style="1" customWidth="1"/>
    <col min="5634" max="5634" width="5.109375" style="1" customWidth="1"/>
    <col min="5635" max="5635" width="10.44140625" style="1" customWidth="1"/>
    <col min="5636" max="5636" width="10.88671875" style="1" customWidth="1"/>
    <col min="5637" max="5637" width="12.44140625" style="1" customWidth="1"/>
    <col min="5638" max="5887" width="11.44140625" style="1"/>
    <col min="5888" max="5888" width="5.6640625" style="1" customWidth="1"/>
    <col min="5889" max="5889" width="42.109375" style="1" customWidth="1"/>
    <col min="5890" max="5890" width="5.109375" style="1" customWidth="1"/>
    <col min="5891" max="5891" width="10.44140625" style="1" customWidth="1"/>
    <col min="5892" max="5892" width="10.88671875" style="1" customWidth="1"/>
    <col min="5893" max="5893" width="12.44140625" style="1" customWidth="1"/>
    <col min="5894" max="6143" width="11.44140625" style="1"/>
    <col min="6144" max="6144" width="5.6640625" style="1" customWidth="1"/>
    <col min="6145" max="6145" width="42.109375" style="1" customWidth="1"/>
    <col min="6146" max="6146" width="5.109375" style="1" customWidth="1"/>
    <col min="6147" max="6147" width="10.44140625" style="1" customWidth="1"/>
    <col min="6148" max="6148" width="10.88671875" style="1" customWidth="1"/>
    <col min="6149" max="6149" width="12.44140625" style="1" customWidth="1"/>
    <col min="6150" max="6399" width="11.44140625" style="1"/>
    <col min="6400" max="6400" width="5.6640625" style="1" customWidth="1"/>
    <col min="6401" max="6401" width="42.109375" style="1" customWidth="1"/>
    <col min="6402" max="6402" width="5.109375" style="1" customWidth="1"/>
    <col min="6403" max="6403" width="10.44140625" style="1" customWidth="1"/>
    <col min="6404" max="6404" width="10.88671875" style="1" customWidth="1"/>
    <col min="6405" max="6405" width="12.44140625" style="1" customWidth="1"/>
    <col min="6406" max="6655" width="11.44140625" style="1"/>
    <col min="6656" max="6656" width="5.6640625" style="1" customWidth="1"/>
    <col min="6657" max="6657" width="42.109375" style="1" customWidth="1"/>
    <col min="6658" max="6658" width="5.109375" style="1" customWidth="1"/>
    <col min="6659" max="6659" width="10.44140625" style="1" customWidth="1"/>
    <col min="6660" max="6660" width="10.88671875" style="1" customWidth="1"/>
    <col min="6661" max="6661" width="12.44140625" style="1" customWidth="1"/>
    <col min="6662" max="6911" width="11.44140625" style="1"/>
    <col min="6912" max="6912" width="5.6640625" style="1" customWidth="1"/>
    <col min="6913" max="6913" width="42.109375" style="1" customWidth="1"/>
    <col min="6914" max="6914" width="5.109375" style="1" customWidth="1"/>
    <col min="6915" max="6915" width="10.44140625" style="1" customWidth="1"/>
    <col min="6916" max="6916" width="10.88671875" style="1" customWidth="1"/>
    <col min="6917" max="6917" width="12.44140625" style="1" customWidth="1"/>
    <col min="6918" max="7167" width="11.44140625" style="1"/>
    <col min="7168" max="7168" width="5.6640625" style="1" customWidth="1"/>
    <col min="7169" max="7169" width="42.109375" style="1" customWidth="1"/>
    <col min="7170" max="7170" width="5.109375" style="1" customWidth="1"/>
    <col min="7171" max="7171" width="10.44140625" style="1" customWidth="1"/>
    <col min="7172" max="7172" width="10.88671875" style="1" customWidth="1"/>
    <col min="7173" max="7173" width="12.44140625" style="1" customWidth="1"/>
    <col min="7174" max="7423" width="11.44140625" style="1"/>
    <col min="7424" max="7424" width="5.6640625" style="1" customWidth="1"/>
    <col min="7425" max="7425" width="42.109375" style="1" customWidth="1"/>
    <col min="7426" max="7426" width="5.109375" style="1" customWidth="1"/>
    <col min="7427" max="7427" width="10.44140625" style="1" customWidth="1"/>
    <col min="7428" max="7428" width="10.88671875" style="1" customWidth="1"/>
    <col min="7429" max="7429" width="12.44140625" style="1" customWidth="1"/>
    <col min="7430" max="7679" width="11.44140625" style="1"/>
    <col min="7680" max="7680" width="5.6640625" style="1" customWidth="1"/>
    <col min="7681" max="7681" width="42.109375" style="1" customWidth="1"/>
    <col min="7682" max="7682" width="5.109375" style="1" customWidth="1"/>
    <col min="7683" max="7683" width="10.44140625" style="1" customWidth="1"/>
    <col min="7684" max="7684" width="10.88671875" style="1" customWidth="1"/>
    <col min="7685" max="7685" width="12.44140625" style="1" customWidth="1"/>
    <col min="7686" max="7935" width="11.44140625" style="1"/>
    <col min="7936" max="7936" width="5.6640625" style="1" customWidth="1"/>
    <col min="7937" max="7937" width="42.109375" style="1" customWidth="1"/>
    <col min="7938" max="7938" width="5.109375" style="1" customWidth="1"/>
    <col min="7939" max="7939" width="10.44140625" style="1" customWidth="1"/>
    <col min="7940" max="7940" width="10.88671875" style="1" customWidth="1"/>
    <col min="7941" max="7941" width="12.44140625" style="1" customWidth="1"/>
    <col min="7942" max="8191" width="11.44140625" style="1"/>
    <col min="8192" max="8192" width="5.6640625" style="1" customWidth="1"/>
    <col min="8193" max="8193" width="42.109375" style="1" customWidth="1"/>
    <col min="8194" max="8194" width="5.109375" style="1" customWidth="1"/>
    <col min="8195" max="8195" width="10.44140625" style="1" customWidth="1"/>
    <col min="8196" max="8196" width="10.88671875" style="1" customWidth="1"/>
    <col min="8197" max="8197" width="12.44140625" style="1" customWidth="1"/>
    <col min="8198" max="8447" width="11.44140625" style="1"/>
    <col min="8448" max="8448" width="5.6640625" style="1" customWidth="1"/>
    <col min="8449" max="8449" width="42.109375" style="1" customWidth="1"/>
    <col min="8450" max="8450" width="5.109375" style="1" customWidth="1"/>
    <col min="8451" max="8451" width="10.44140625" style="1" customWidth="1"/>
    <col min="8452" max="8452" width="10.88671875" style="1" customWidth="1"/>
    <col min="8453" max="8453" width="12.44140625" style="1" customWidth="1"/>
    <col min="8454" max="8703" width="11.44140625" style="1"/>
    <col min="8704" max="8704" width="5.6640625" style="1" customWidth="1"/>
    <col min="8705" max="8705" width="42.109375" style="1" customWidth="1"/>
    <col min="8706" max="8706" width="5.109375" style="1" customWidth="1"/>
    <col min="8707" max="8707" width="10.44140625" style="1" customWidth="1"/>
    <col min="8708" max="8708" width="10.88671875" style="1" customWidth="1"/>
    <col min="8709" max="8709" width="12.44140625" style="1" customWidth="1"/>
    <col min="8710" max="8959" width="11.44140625" style="1"/>
    <col min="8960" max="8960" width="5.6640625" style="1" customWidth="1"/>
    <col min="8961" max="8961" width="42.109375" style="1" customWidth="1"/>
    <col min="8962" max="8962" width="5.109375" style="1" customWidth="1"/>
    <col min="8963" max="8963" width="10.44140625" style="1" customWidth="1"/>
    <col min="8964" max="8964" width="10.88671875" style="1" customWidth="1"/>
    <col min="8965" max="8965" width="12.44140625" style="1" customWidth="1"/>
    <col min="8966" max="9215" width="11.44140625" style="1"/>
    <col min="9216" max="9216" width="5.6640625" style="1" customWidth="1"/>
    <col min="9217" max="9217" width="42.109375" style="1" customWidth="1"/>
    <col min="9218" max="9218" width="5.109375" style="1" customWidth="1"/>
    <col min="9219" max="9219" width="10.44140625" style="1" customWidth="1"/>
    <col min="9220" max="9220" width="10.88671875" style="1" customWidth="1"/>
    <col min="9221" max="9221" width="12.44140625" style="1" customWidth="1"/>
    <col min="9222" max="9471" width="11.44140625" style="1"/>
    <col min="9472" max="9472" width="5.6640625" style="1" customWidth="1"/>
    <col min="9473" max="9473" width="42.109375" style="1" customWidth="1"/>
    <col min="9474" max="9474" width="5.109375" style="1" customWidth="1"/>
    <col min="9475" max="9475" width="10.44140625" style="1" customWidth="1"/>
    <col min="9476" max="9476" width="10.88671875" style="1" customWidth="1"/>
    <col min="9477" max="9477" width="12.44140625" style="1" customWidth="1"/>
    <col min="9478" max="9727" width="11.44140625" style="1"/>
    <col min="9728" max="9728" width="5.6640625" style="1" customWidth="1"/>
    <col min="9729" max="9729" width="42.109375" style="1" customWidth="1"/>
    <col min="9730" max="9730" width="5.109375" style="1" customWidth="1"/>
    <col min="9731" max="9731" width="10.44140625" style="1" customWidth="1"/>
    <col min="9732" max="9732" width="10.88671875" style="1" customWidth="1"/>
    <col min="9733" max="9733" width="12.44140625" style="1" customWidth="1"/>
    <col min="9734" max="9983" width="11.44140625" style="1"/>
    <col min="9984" max="9984" width="5.6640625" style="1" customWidth="1"/>
    <col min="9985" max="9985" width="42.109375" style="1" customWidth="1"/>
    <col min="9986" max="9986" width="5.109375" style="1" customWidth="1"/>
    <col min="9987" max="9987" width="10.44140625" style="1" customWidth="1"/>
    <col min="9988" max="9988" width="10.88671875" style="1" customWidth="1"/>
    <col min="9989" max="9989" width="12.44140625" style="1" customWidth="1"/>
    <col min="9990" max="10239" width="11.44140625" style="1"/>
    <col min="10240" max="10240" width="5.6640625" style="1" customWidth="1"/>
    <col min="10241" max="10241" width="42.109375" style="1" customWidth="1"/>
    <col min="10242" max="10242" width="5.109375" style="1" customWidth="1"/>
    <col min="10243" max="10243" width="10.44140625" style="1" customWidth="1"/>
    <col min="10244" max="10244" width="10.88671875" style="1" customWidth="1"/>
    <col min="10245" max="10245" width="12.44140625" style="1" customWidth="1"/>
    <col min="10246" max="10495" width="11.44140625" style="1"/>
    <col min="10496" max="10496" width="5.6640625" style="1" customWidth="1"/>
    <col min="10497" max="10497" width="42.109375" style="1" customWidth="1"/>
    <col min="10498" max="10498" width="5.109375" style="1" customWidth="1"/>
    <col min="10499" max="10499" width="10.44140625" style="1" customWidth="1"/>
    <col min="10500" max="10500" width="10.88671875" style="1" customWidth="1"/>
    <col min="10501" max="10501" width="12.44140625" style="1" customWidth="1"/>
    <col min="10502" max="10751" width="11.44140625" style="1"/>
    <col min="10752" max="10752" width="5.6640625" style="1" customWidth="1"/>
    <col min="10753" max="10753" width="42.109375" style="1" customWidth="1"/>
    <col min="10754" max="10754" width="5.109375" style="1" customWidth="1"/>
    <col min="10755" max="10755" width="10.44140625" style="1" customWidth="1"/>
    <col min="10756" max="10756" width="10.88671875" style="1" customWidth="1"/>
    <col min="10757" max="10757" width="12.44140625" style="1" customWidth="1"/>
    <col min="10758" max="11007" width="11.44140625" style="1"/>
    <col min="11008" max="11008" width="5.6640625" style="1" customWidth="1"/>
    <col min="11009" max="11009" width="42.109375" style="1" customWidth="1"/>
    <col min="11010" max="11010" width="5.109375" style="1" customWidth="1"/>
    <col min="11011" max="11011" width="10.44140625" style="1" customWidth="1"/>
    <col min="11012" max="11012" width="10.88671875" style="1" customWidth="1"/>
    <col min="11013" max="11013" width="12.44140625" style="1" customWidth="1"/>
    <col min="11014" max="11263" width="11.44140625" style="1"/>
    <col min="11264" max="11264" width="5.6640625" style="1" customWidth="1"/>
    <col min="11265" max="11265" width="42.109375" style="1" customWidth="1"/>
    <col min="11266" max="11266" width="5.109375" style="1" customWidth="1"/>
    <col min="11267" max="11267" width="10.44140625" style="1" customWidth="1"/>
    <col min="11268" max="11268" width="10.88671875" style="1" customWidth="1"/>
    <col min="11269" max="11269" width="12.44140625" style="1" customWidth="1"/>
    <col min="11270" max="11519" width="11.44140625" style="1"/>
    <col min="11520" max="11520" width="5.6640625" style="1" customWidth="1"/>
    <col min="11521" max="11521" width="42.109375" style="1" customWidth="1"/>
    <col min="11522" max="11522" width="5.109375" style="1" customWidth="1"/>
    <col min="11523" max="11523" width="10.44140625" style="1" customWidth="1"/>
    <col min="11524" max="11524" width="10.88671875" style="1" customWidth="1"/>
    <col min="11525" max="11525" width="12.44140625" style="1" customWidth="1"/>
    <col min="11526" max="11775" width="11.44140625" style="1"/>
    <col min="11776" max="11776" width="5.6640625" style="1" customWidth="1"/>
    <col min="11777" max="11777" width="42.109375" style="1" customWidth="1"/>
    <col min="11778" max="11778" width="5.109375" style="1" customWidth="1"/>
    <col min="11779" max="11779" width="10.44140625" style="1" customWidth="1"/>
    <col min="11780" max="11780" width="10.88671875" style="1" customWidth="1"/>
    <col min="11781" max="11781" width="12.44140625" style="1" customWidth="1"/>
    <col min="11782" max="12031" width="11.44140625" style="1"/>
    <col min="12032" max="12032" width="5.6640625" style="1" customWidth="1"/>
    <col min="12033" max="12033" width="42.109375" style="1" customWidth="1"/>
    <col min="12034" max="12034" width="5.109375" style="1" customWidth="1"/>
    <col min="12035" max="12035" width="10.44140625" style="1" customWidth="1"/>
    <col min="12036" max="12036" width="10.88671875" style="1" customWidth="1"/>
    <col min="12037" max="12037" width="12.44140625" style="1" customWidth="1"/>
    <col min="12038" max="12287" width="11.44140625" style="1"/>
    <col min="12288" max="12288" width="5.6640625" style="1" customWidth="1"/>
    <col min="12289" max="12289" width="42.109375" style="1" customWidth="1"/>
    <col min="12290" max="12290" width="5.109375" style="1" customWidth="1"/>
    <col min="12291" max="12291" width="10.44140625" style="1" customWidth="1"/>
    <col min="12292" max="12292" width="10.88671875" style="1" customWidth="1"/>
    <col min="12293" max="12293" width="12.44140625" style="1" customWidth="1"/>
    <col min="12294" max="12543" width="11.44140625" style="1"/>
    <col min="12544" max="12544" width="5.6640625" style="1" customWidth="1"/>
    <col min="12545" max="12545" width="42.109375" style="1" customWidth="1"/>
    <col min="12546" max="12546" width="5.109375" style="1" customWidth="1"/>
    <col min="12547" max="12547" width="10.44140625" style="1" customWidth="1"/>
    <col min="12548" max="12548" width="10.88671875" style="1" customWidth="1"/>
    <col min="12549" max="12549" width="12.44140625" style="1" customWidth="1"/>
    <col min="12550" max="12799" width="11.44140625" style="1"/>
    <col min="12800" max="12800" width="5.6640625" style="1" customWidth="1"/>
    <col min="12801" max="12801" width="42.109375" style="1" customWidth="1"/>
    <col min="12802" max="12802" width="5.109375" style="1" customWidth="1"/>
    <col min="12803" max="12803" width="10.44140625" style="1" customWidth="1"/>
    <col min="12804" max="12804" width="10.88671875" style="1" customWidth="1"/>
    <col min="12805" max="12805" width="12.44140625" style="1" customWidth="1"/>
    <col min="12806" max="13055" width="11.44140625" style="1"/>
    <col min="13056" max="13056" width="5.6640625" style="1" customWidth="1"/>
    <col min="13057" max="13057" width="42.109375" style="1" customWidth="1"/>
    <col min="13058" max="13058" width="5.109375" style="1" customWidth="1"/>
    <col min="13059" max="13059" width="10.44140625" style="1" customWidth="1"/>
    <col min="13060" max="13060" width="10.88671875" style="1" customWidth="1"/>
    <col min="13061" max="13061" width="12.44140625" style="1" customWidth="1"/>
    <col min="13062" max="13311" width="11.44140625" style="1"/>
    <col min="13312" max="13312" width="5.6640625" style="1" customWidth="1"/>
    <col min="13313" max="13313" width="42.109375" style="1" customWidth="1"/>
    <col min="13314" max="13314" width="5.109375" style="1" customWidth="1"/>
    <col min="13315" max="13315" width="10.44140625" style="1" customWidth="1"/>
    <col min="13316" max="13316" width="10.88671875" style="1" customWidth="1"/>
    <col min="13317" max="13317" width="12.44140625" style="1" customWidth="1"/>
    <col min="13318" max="13567" width="11.44140625" style="1"/>
    <col min="13568" max="13568" width="5.6640625" style="1" customWidth="1"/>
    <col min="13569" max="13569" width="42.109375" style="1" customWidth="1"/>
    <col min="13570" max="13570" width="5.109375" style="1" customWidth="1"/>
    <col min="13571" max="13571" width="10.44140625" style="1" customWidth="1"/>
    <col min="13572" max="13572" width="10.88671875" style="1" customWidth="1"/>
    <col min="13573" max="13573" width="12.44140625" style="1" customWidth="1"/>
    <col min="13574" max="13823" width="11.44140625" style="1"/>
    <col min="13824" max="13824" width="5.6640625" style="1" customWidth="1"/>
    <col min="13825" max="13825" width="42.109375" style="1" customWidth="1"/>
    <col min="13826" max="13826" width="5.109375" style="1" customWidth="1"/>
    <col min="13827" max="13827" width="10.44140625" style="1" customWidth="1"/>
    <col min="13828" max="13828" width="10.88671875" style="1" customWidth="1"/>
    <col min="13829" max="13829" width="12.44140625" style="1" customWidth="1"/>
    <col min="13830" max="14079" width="11.44140625" style="1"/>
    <col min="14080" max="14080" width="5.6640625" style="1" customWidth="1"/>
    <col min="14081" max="14081" width="42.109375" style="1" customWidth="1"/>
    <col min="14082" max="14082" width="5.109375" style="1" customWidth="1"/>
    <col min="14083" max="14083" width="10.44140625" style="1" customWidth="1"/>
    <col min="14084" max="14084" width="10.88671875" style="1" customWidth="1"/>
    <col min="14085" max="14085" width="12.44140625" style="1" customWidth="1"/>
    <col min="14086" max="14335" width="11.44140625" style="1"/>
    <col min="14336" max="14336" width="5.6640625" style="1" customWidth="1"/>
    <col min="14337" max="14337" width="42.109375" style="1" customWidth="1"/>
    <col min="14338" max="14338" width="5.109375" style="1" customWidth="1"/>
    <col min="14339" max="14339" width="10.44140625" style="1" customWidth="1"/>
    <col min="14340" max="14340" width="10.88671875" style="1" customWidth="1"/>
    <col min="14341" max="14341" width="12.44140625" style="1" customWidth="1"/>
    <col min="14342" max="14591" width="11.44140625" style="1"/>
    <col min="14592" max="14592" width="5.6640625" style="1" customWidth="1"/>
    <col min="14593" max="14593" width="42.109375" style="1" customWidth="1"/>
    <col min="14594" max="14594" width="5.109375" style="1" customWidth="1"/>
    <col min="14595" max="14595" width="10.44140625" style="1" customWidth="1"/>
    <col min="14596" max="14596" width="10.88671875" style="1" customWidth="1"/>
    <col min="14597" max="14597" width="12.44140625" style="1" customWidth="1"/>
    <col min="14598" max="14847" width="11.44140625" style="1"/>
    <col min="14848" max="14848" width="5.6640625" style="1" customWidth="1"/>
    <col min="14849" max="14849" width="42.109375" style="1" customWidth="1"/>
    <col min="14850" max="14850" width="5.109375" style="1" customWidth="1"/>
    <col min="14851" max="14851" width="10.44140625" style="1" customWidth="1"/>
    <col min="14852" max="14852" width="10.88671875" style="1" customWidth="1"/>
    <col min="14853" max="14853" width="12.44140625" style="1" customWidth="1"/>
    <col min="14854" max="15103" width="11.44140625" style="1"/>
    <col min="15104" max="15104" width="5.6640625" style="1" customWidth="1"/>
    <col min="15105" max="15105" width="42.109375" style="1" customWidth="1"/>
    <col min="15106" max="15106" width="5.109375" style="1" customWidth="1"/>
    <col min="15107" max="15107" width="10.44140625" style="1" customWidth="1"/>
    <col min="15108" max="15108" width="10.88671875" style="1" customWidth="1"/>
    <col min="15109" max="15109" width="12.44140625" style="1" customWidth="1"/>
    <col min="15110" max="15359" width="11.44140625" style="1"/>
    <col min="15360" max="15360" width="5.6640625" style="1" customWidth="1"/>
    <col min="15361" max="15361" width="42.109375" style="1" customWidth="1"/>
    <col min="15362" max="15362" width="5.109375" style="1" customWidth="1"/>
    <col min="15363" max="15363" width="10.44140625" style="1" customWidth="1"/>
    <col min="15364" max="15364" width="10.88671875" style="1" customWidth="1"/>
    <col min="15365" max="15365" width="12.44140625" style="1" customWidth="1"/>
    <col min="15366" max="15615" width="11.44140625" style="1"/>
    <col min="15616" max="15616" width="5.6640625" style="1" customWidth="1"/>
    <col min="15617" max="15617" width="42.109375" style="1" customWidth="1"/>
    <col min="15618" max="15618" width="5.109375" style="1" customWidth="1"/>
    <col min="15619" max="15619" width="10.44140625" style="1" customWidth="1"/>
    <col min="15620" max="15620" width="10.88671875" style="1" customWidth="1"/>
    <col min="15621" max="15621" width="12.44140625" style="1" customWidth="1"/>
    <col min="15622" max="15871" width="11.44140625" style="1"/>
    <col min="15872" max="15872" width="5.6640625" style="1" customWidth="1"/>
    <col min="15873" max="15873" width="42.109375" style="1" customWidth="1"/>
    <col min="15874" max="15874" width="5.109375" style="1" customWidth="1"/>
    <col min="15875" max="15875" width="10.44140625" style="1" customWidth="1"/>
    <col min="15876" max="15876" width="10.88671875" style="1" customWidth="1"/>
    <col min="15877" max="15877" width="12.44140625" style="1" customWidth="1"/>
    <col min="15878" max="16127" width="11.44140625" style="1"/>
    <col min="16128" max="16128" width="5.6640625" style="1" customWidth="1"/>
    <col min="16129" max="16129" width="42.109375" style="1" customWidth="1"/>
    <col min="16130" max="16130" width="5.109375" style="1" customWidth="1"/>
    <col min="16131" max="16131" width="10.44140625" style="1" customWidth="1"/>
    <col min="16132" max="16132" width="10.88671875" style="1" customWidth="1"/>
    <col min="16133" max="16133" width="12.44140625" style="1" customWidth="1"/>
    <col min="16134" max="16384" width="11.44140625" style="1"/>
  </cols>
  <sheetData>
    <row r="2" spans="1:9" ht="13.8" x14ac:dyDescent="0.25">
      <c r="A2" s="401" t="s">
        <v>460</v>
      </c>
      <c r="B2" s="402"/>
      <c r="C2" s="402"/>
      <c r="D2" s="402"/>
      <c r="E2" s="403"/>
      <c r="F2" s="310"/>
    </row>
    <row r="3" spans="1:9" ht="16.2" thickBot="1" x14ac:dyDescent="0.35">
      <c r="A3" s="398" t="s">
        <v>535</v>
      </c>
      <c r="B3" s="399"/>
      <c r="C3" s="399"/>
      <c r="D3" s="399"/>
      <c r="E3" s="400"/>
      <c r="F3" s="10"/>
    </row>
    <row r="4" spans="1:9" ht="15.6" thickTop="1" thickBot="1" x14ac:dyDescent="0.35">
      <c r="A4" s="11"/>
      <c r="B4" s="106" t="s">
        <v>30</v>
      </c>
      <c r="C4" s="195" t="s">
        <v>2</v>
      </c>
      <c r="D4" s="197" t="s">
        <v>307</v>
      </c>
      <c r="E4" s="198" t="s">
        <v>308</v>
      </c>
      <c r="F4" s="10"/>
    </row>
    <row r="5" spans="1:9" ht="13.8" thickTop="1" x14ac:dyDescent="0.25">
      <c r="A5" s="12" t="s">
        <v>0</v>
      </c>
      <c r="B5" s="34" t="s">
        <v>1</v>
      </c>
      <c r="C5" s="13"/>
      <c r="D5" s="14"/>
      <c r="E5" s="15"/>
      <c r="F5" s="10"/>
    </row>
    <row r="6" spans="1:9" x14ac:dyDescent="0.25">
      <c r="A6" s="16" t="s">
        <v>25</v>
      </c>
      <c r="B6" s="36" t="s">
        <v>73</v>
      </c>
      <c r="C6" s="5" t="s">
        <v>16</v>
      </c>
      <c r="D6" s="7"/>
      <c r="E6" s="8"/>
      <c r="F6" s="10"/>
      <c r="G6" s="1">
        <f>16.05*4-1.9-4.5*2+9.75*3-1.2*2+4.4+8.7*2+4.4</f>
        <v>106.35000000000002</v>
      </c>
    </row>
    <row r="7" spans="1:9" x14ac:dyDescent="0.25">
      <c r="A7" s="17"/>
      <c r="B7" s="37" t="s">
        <v>7</v>
      </c>
      <c r="C7" s="18"/>
      <c r="D7" s="19"/>
      <c r="E7" s="20"/>
      <c r="F7" s="10"/>
      <c r="G7" s="1">
        <f>2+4.65+2.05+4.5+1.2*2</f>
        <v>15.6</v>
      </c>
      <c r="H7" s="1">
        <f>2+4.65+2.05+1.2</f>
        <v>9.8999999999999986</v>
      </c>
    </row>
    <row r="8" spans="1:9" x14ac:dyDescent="0.25">
      <c r="A8" s="17" t="s">
        <v>8</v>
      </c>
      <c r="B8" s="37" t="s">
        <v>9</v>
      </c>
      <c r="C8" s="18"/>
      <c r="D8" s="19"/>
      <c r="E8" s="20"/>
      <c r="F8" s="10"/>
      <c r="G8" s="1">
        <f>G6+G7</f>
        <v>121.95000000000002</v>
      </c>
      <c r="H8" s="1">
        <f>G6+H7</f>
        <v>116.25000000000003</v>
      </c>
      <c r="I8" s="1">
        <f>G8*0.2</f>
        <v>24.390000000000004</v>
      </c>
    </row>
    <row r="9" spans="1:9" x14ac:dyDescent="0.25">
      <c r="A9" s="16" t="s">
        <v>50</v>
      </c>
      <c r="B9" s="36" t="s">
        <v>27</v>
      </c>
      <c r="C9" s="5" t="s">
        <v>10</v>
      </c>
      <c r="D9" s="7"/>
      <c r="E9" s="8"/>
      <c r="F9" s="10"/>
    </row>
    <row r="10" spans="1:9" x14ac:dyDescent="0.25">
      <c r="A10" s="16" t="s">
        <v>51</v>
      </c>
      <c r="B10" s="36" t="s">
        <v>11</v>
      </c>
      <c r="C10" s="5" t="s">
        <v>10</v>
      </c>
      <c r="D10" s="7"/>
      <c r="E10" s="8"/>
      <c r="F10" s="10"/>
      <c r="G10" s="1" t="s">
        <v>85</v>
      </c>
      <c r="H10" s="1">
        <v>39</v>
      </c>
    </row>
    <row r="11" spans="1:9" x14ac:dyDescent="0.25">
      <c r="A11" s="16" t="s">
        <v>52</v>
      </c>
      <c r="B11" s="36" t="s">
        <v>84</v>
      </c>
      <c r="C11" s="5" t="s">
        <v>10</v>
      </c>
      <c r="D11" s="7"/>
      <c r="E11" s="8"/>
      <c r="F11" s="10"/>
    </row>
    <row r="12" spans="1:9" x14ac:dyDescent="0.25">
      <c r="A12" s="17" t="s">
        <v>12</v>
      </c>
      <c r="B12" s="37" t="s">
        <v>13</v>
      </c>
      <c r="C12" s="18"/>
      <c r="D12" s="19"/>
      <c r="E12" s="20"/>
      <c r="F12" s="10"/>
    </row>
    <row r="13" spans="1:9" x14ac:dyDescent="0.25">
      <c r="A13" s="16" t="s">
        <v>41</v>
      </c>
      <c r="B13" s="118" t="s">
        <v>86</v>
      </c>
      <c r="C13" s="119" t="s">
        <v>10</v>
      </c>
      <c r="D13" s="7"/>
      <c r="E13" s="8"/>
      <c r="F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7"/>
      <c r="E14" s="8"/>
      <c r="F14" s="10"/>
    </row>
    <row r="15" spans="1:9" x14ac:dyDescent="0.25">
      <c r="A15" s="16" t="s">
        <v>43</v>
      </c>
      <c r="B15" s="118" t="s">
        <v>164</v>
      </c>
      <c r="C15" s="119" t="s">
        <v>10</v>
      </c>
      <c r="D15" s="7"/>
      <c r="E15" s="8"/>
      <c r="F15" s="10"/>
    </row>
    <row r="16" spans="1:9" x14ac:dyDescent="0.25">
      <c r="A16" s="16" t="s">
        <v>44</v>
      </c>
      <c r="B16" s="118" t="s">
        <v>88</v>
      </c>
      <c r="C16" s="119" t="s">
        <v>10</v>
      </c>
      <c r="D16" s="7"/>
      <c r="E16" s="8"/>
      <c r="F16" s="10"/>
    </row>
    <row r="17" spans="1:8" ht="39.6" x14ac:dyDescent="0.25">
      <c r="A17" s="16" t="s">
        <v>45</v>
      </c>
      <c r="B17" s="118" t="s">
        <v>419</v>
      </c>
      <c r="C17" s="119" t="s">
        <v>10</v>
      </c>
      <c r="D17" s="7"/>
      <c r="E17" s="8"/>
      <c r="F17" s="10"/>
    </row>
    <row r="18" spans="1:8" x14ac:dyDescent="0.25">
      <c r="A18" s="16" t="s">
        <v>46</v>
      </c>
      <c r="B18" s="118" t="s">
        <v>90</v>
      </c>
      <c r="C18" s="119" t="s">
        <v>10</v>
      </c>
      <c r="D18" s="7"/>
      <c r="E18" s="8"/>
      <c r="F18" s="10"/>
      <c r="H18" s="1" t="s">
        <v>161</v>
      </c>
    </row>
    <row r="19" spans="1:8" x14ac:dyDescent="0.25">
      <c r="A19" s="16" t="s">
        <v>47</v>
      </c>
      <c r="B19" s="118" t="s">
        <v>91</v>
      </c>
      <c r="C19" s="119" t="s">
        <v>10</v>
      </c>
      <c r="D19" s="7"/>
      <c r="E19" s="8"/>
      <c r="F19" s="10"/>
    </row>
    <row r="20" spans="1:8" x14ac:dyDescent="0.25">
      <c r="A20" s="16" t="s">
        <v>48</v>
      </c>
      <c r="B20" s="199" t="s">
        <v>204</v>
      </c>
      <c r="C20" s="119" t="s">
        <v>10</v>
      </c>
      <c r="D20" s="7"/>
      <c r="E20" s="8"/>
      <c r="F20" s="10"/>
    </row>
    <row r="21" spans="1:8" x14ac:dyDescent="0.25">
      <c r="A21" s="16" t="s">
        <v>49</v>
      </c>
      <c r="B21" s="118" t="s">
        <v>93</v>
      </c>
      <c r="C21" s="119" t="s">
        <v>10</v>
      </c>
      <c r="D21" s="7"/>
      <c r="E21" s="8"/>
      <c r="F21" s="10"/>
    </row>
    <row r="22" spans="1:8" x14ac:dyDescent="0.25">
      <c r="A22" s="16" t="s">
        <v>310</v>
      </c>
      <c r="B22" s="118" t="s">
        <v>94</v>
      </c>
      <c r="C22" s="119" t="s">
        <v>10</v>
      </c>
      <c r="D22" s="7"/>
      <c r="E22" s="8"/>
      <c r="F22" s="9"/>
      <c r="G22" s="10"/>
    </row>
    <row r="23" spans="1:8" x14ac:dyDescent="0.25">
      <c r="A23" s="16" t="s">
        <v>311</v>
      </c>
      <c r="B23" s="118" t="s">
        <v>95</v>
      </c>
      <c r="C23" s="119" t="s">
        <v>10</v>
      </c>
      <c r="D23" s="7"/>
      <c r="E23" s="8"/>
      <c r="F23" s="10"/>
    </row>
    <row r="24" spans="1:8" x14ac:dyDescent="0.25">
      <c r="A24" s="16" t="s">
        <v>312</v>
      </c>
      <c r="B24" s="118" t="s">
        <v>420</v>
      </c>
      <c r="C24" s="119" t="s">
        <v>10</v>
      </c>
      <c r="D24" s="7"/>
      <c r="E24" s="8"/>
      <c r="F24" s="10"/>
    </row>
    <row r="25" spans="1:8" x14ac:dyDescent="0.25">
      <c r="A25" s="16" t="s">
        <v>156</v>
      </c>
      <c r="B25" s="118" t="s">
        <v>205</v>
      </c>
      <c r="C25" s="119" t="s">
        <v>10</v>
      </c>
      <c r="D25" s="7"/>
      <c r="E25" s="8"/>
      <c r="F25" s="10"/>
    </row>
    <row r="26" spans="1:8" x14ac:dyDescent="0.25">
      <c r="A26" s="16" t="s">
        <v>157</v>
      </c>
      <c r="B26" s="120" t="s">
        <v>97</v>
      </c>
      <c r="C26" s="119" t="s">
        <v>16</v>
      </c>
      <c r="D26" s="7"/>
      <c r="E26" s="8"/>
      <c r="F26" s="10"/>
    </row>
    <row r="27" spans="1:8" x14ac:dyDescent="0.25">
      <c r="A27" s="16" t="s">
        <v>158</v>
      </c>
      <c r="B27" s="118" t="s">
        <v>98</v>
      </c>
      <c r="C27" s="119" t="s">
        <v>16</v>
      </c>
      <c r="D27" s="7"/>
      <c r="E27" s="8"/>
      <c r="F27" s="10"/>
    </row>
    <row r="28" spans="1:8" x14ac:dyDescent="0.25">
      <c r="A28" s="17" t="s">
        <v>17</v>
      </c>
      <c r="B28" s="37" t="s">
        <v>18</v>
      </c>
      <c r="C28" s="18"/>
      <c r="D28" s="19"/>
      <c r="E28" s="20"/>
      <c r="F28" s="10"/>
    </row>
    <row r="29" spans="1:8" x14ac:dyDescent="0.25">
      <c r="A29" s="16" t="s">
        <v>40</v>
      </c>
      <c r="B29" s="200" t="s">
        <v>183</v>
      </c>
      <c r="C29" s="5" t="s">
        <v>16</v>
      </c>
      <c r="D29" s="7"/>
      <c r="E29" s="8"/>
      <c r="F29" s="10"/>
    </row>
    <row r="30" spans="1:8" x14ac:dyDescent="0.25">
      <c r="A30" s="16" t="s">
        <v>61</v>
      </c>
      <c r="B30" s="36" t="s">
        <v>99</v>
      </c>
      <c r="C30" s="5" t="s">
        <v>16</v>
      </c>
      <c r="D30" s="7"/>
      <c r="E30" s="8"/>
      <c r="F30" s="10"/>
    </row>
    <row r="31" spans="1:8" x14ac:dyDescent="0.25">
      <c r="A31" s="16" t="s">
        <v>71</v>
      </c>
      <c r="B31" s="36" t="s">
        <v>151</v>
      </c>
      <c r="C31" s="5" t="s">
        <v>16</v>
      </c>
      <c r="D31" s="7"/>
      <c r="E31" s="8"/>
      <c r="F31" s="10"/>
    </row>
    <row r="32" spans="1:8" x14ac:dyDescent="0.25">
      <c r="A32" s="16" t="s">
        <v>132</v>
      </c>
      <c r="B32" s="36" t="s">
        <v>167</v>
      </c>
      <c r="C32" s="5" t="s">
        <v>16</v>
      </c>
      <c r="D32" s="7"/>
      <c r="E32" s="8"/>
      <c r="F32" s="10"/>
    </row>
    <row r="33" spans="1:10" x14ac:dyDescent="0.25">
      <c r="A33" s="16" t="s">
        <v>133</v>
      </c>
      <c r="B33" s="36" t="s">
        <v>100</v>
      </c>
      <c r="C33" s="5" t="s">
        <v>16</v>
      </c>
      <c r="D33" s="7"/>
      <c r="E33" s="8"/>
      <c r="G33" s="38" t="e">
        <f>15.45*11-(13.95-6.85)*1.2-#REF!</f>
        <v>#REF!</v>
      </c>
      <c r="H33" s="38" t="e">
        <f>G33-#REF!</f>
        <v>#REF!</v>
      </c>
      <c r="J33" s="1">
        <f>39.15/3</f>
        <v>13.049999999999999</v>
      </c>
    </row>
    <row r="34" spans="1:10" x14ac:dyDescent="0.25">
      <c r="A34" s="16" t="s">
        <v>351</v>
      </c>
      <c r="B34" s="36" t="s">
        <v>152</v>
      </c>
      <c r="C34" s="5" t="s">
        <v>16</v>
      </c>
      <c r="D34" s="7"/>
      <c r="E34" s="8"/>
      <c r="F34" s="10"/>
    </row>
    <row r="35" spans="1:10" x14ac:dyDescent="0.25">
      <c r="A35" s="16" t="s">
        <v>352</v>
      </c>
      <c r="B35" s="36" t="s">
        <v>153</v>
      </c>
      <c r="C35" s="5" t="s">
        <v>77</v>
      </c>
      <c r="D35" s="7"/>
      <c r="E35" s="8"/>
      <c r="F35" s="10"/>
    </row>
    <row r="36" spans="1:10" x14ac:dyDescent="0.25">
      <c r="A36" s="17" t="s">
        <v>19</v>
      </c>
      <c r="B36" s="37" t="s">
        <v>353</v>
      </c>
      <c r="C36" s="18"/>
      <c r="D36" s="19"/>
      <c r="E36" s="20"/>
      <c r="F36" s="10"/>
    </row>
    <row r="37" spans="1:10" x14ac:dyDescent="0.25">
      <c r="A37" s="16" t="s">
        <v>65</v>
      </c>
      <c r="B37" s="120" t="s">
        <v>206</v>
      </c>
      <c r="C37" s="5" t="s">
        <v>77</v>
      </c>
      <c r="D37" s="7"/>
      <c r="E37" s="8"/>
      <c r="F37" s="10"/>
    </row>
    <row r="38" spans="1:10" x14ac:dyDescent="0.25">
      <c r="A38" s="16" t="s">
        <v>66</v>
      </c>
      <c r="B38" s="120" t="s">
        <v>207</v>
      </c>
      <c r="C38" s="119" t="s">
        <v>77</v>
      </c>
      <c r="D38" s="124"/>
      <c r="E38" s="202"/>
      <c r="F38" s="10"/>
    </row>
    <row r="39" spans="1:10" ht="52.8" x14ac:dyDescent="0.25">
      <c r="A39" s="16" t="s">
        <v>67</v>
      </c>
      <c r="B39" s="122" t="s">
        <v>313</v>
      </c>
      <c r="C39" s="119" t="s">
        <v>16</v>
      </c>
      <c r="D39" s="124"/>
      <c r="E39" s="202"/>
      <c r="F39" s="10"/>
    </row>
    <row r="40" spans="1:10" ht="26.4" x14ac:dyDescent="0.25">
      <c r="A40" s="16" t="s">
        <v>134</v>
      </c>
      <c r="B40" s="122" t="s">
        <v>208</v>
      </c>
      <c r="C40" s="119" t="s">
        <v>80</v>
      </c>
      <c r="D40" s="124"/>
      <c r="E40" s="202"/>
    </row>
    <row r="41" spans="1:10" x14ac:dyDescent="0.25">
      <c r="A41" s="16" t="s">
        <v>364</v>
      </c>
      <c r="B41" s="203" t="s">
        <v>354</v>
      </c>
      <c r="C41" s="204" t="s">
        <v>16</v>
      </c>
      <c r="D41" s="206"/>
      <c r="E41" s="207"/>
      <c r="F41" s="10"/>
    </row>
    <row r="42" spans="1:10" x14ac:dyDescent="0.25">
      <c r="A42" s="17" t="s">
        <v>22</v>
      </c>
      <c r="B42" s="37" t="s">
        <v>20</v>
      </c>
      <c r="C42" s="18"/>
      <c r="D42" s="19"/>
      <c r="E42" s="20"/>
      <c r="F42" s="10"/>
    </row>
    <row r="43" spans="1:10" ht="26.4" x14ac:dyDescent="0.25">
      <c r="A43" s="16" t="s">
        <v>63</v>
      </c>
      <c r="B43" s="122" t="s">
        <v>350</v>
      </c>
      <c r="C43" s="5" t="s">
        <v>21</v>
      </c>
      <c r="D43" s="7"/>
      <c r="E43" s="8"/>
      <c r="F43" s="10"/>
    </row>
    <row r="44" spans="1:10" ht="26.4" x14ac:dyDescent="0.25">
      <c r="A44" s="16" t="s">
        <v>64</v>
      </c>
      <c r="B44" s="122" t="s">
        <v>355</v>
      </c>
      <c r="C44" s="5" t="s">
        <v>21</v>
      </c>
      <c r="D44" s="7"/>
      <c r="E44" s="8"/>
      <c r="F44" s="10"/>
    </row>
    <row r="45" spans="1:10" ht="26.4" x14ac:dyDescent="0.25">
      <c r="A45" s="16" t="s">
        <v>74</v>
      </c>
      <c r="B45" s="122" t="s">
        <v>349</v>
      </c>
      <c r="C45" s="5" t="s">
        <v>21</v>
      </c>
      <c r="D45" s="7"/>
      <c r="E45" s="8"/>
      <c r="F45" s="10"/>
    </row>
    <row r="46" spans="1:10" ht="26.4" x14ac:dyDescent="0.25">
      <c r="A46" s="16" t="s">
        <v>75</v>
      </c>
      <c r="B46" s="122" t="s">
        <v>348</v>
      </c>
      <c r="C46" s="5" t="s">
        <v>21</v>
      </c>
      <c r="D46" s="7"/>
      <c r="E46" s="8"/>
      <c r="F46" s="10"/>
    </row>
    <row r="47" spans="1:10" x14ac:dyDescent="0.25">
      <c r="A47" s="16" t="s">
        <v>76</v>
      </c>
      <c r="B47" s="122" t="s">
        <v>209</v>
      </c>
      <c r="C47" s="5" t="s">
        <v>77</v>
      </c>
      <c r="D47" s="7"/>
      <c r="E47" s="8"/>
      <c r="F47" s="10"/>
    </row>
    <row r="48" spans="1:10" x14ac:dyDescent="0.25">
      <c r="A48" s="17"/>
      <c r="B48" s="37" t="s">
        <v>7</v>
      </c>
      <c r="C48" s="18"/>
      <c r="D48" s="19"/>
      <c r="E48" s="20"/>
      <c r="F48" s="10"/>
    </row>
    <row r="49" spans="1:6" x14ac:dyDescent="0.25">
      <c r="A49" s="17" t="s">
        <v>101</v>
      </c>
      <c r="B49" s="37" t="s">
        <v>102</v>
      </c>
      <c r="C49" s="18"/>
      <c r="D49" s="19"/>
      <c r="E49" s="20"/>
      <c r="F49" s="10"/>
    </row>
    <row r="50" spans="1:6" ht="26.4" x14ac:dyDescent="0.25">
      <c r="A50" s="16" t="s">
        <v>136</v>
      </c>
      <c r="B50" s="120" t="s">
        <v>356</v>
      </c>
      <c r="C50" s="5" t="s">
        <v>16</v>
      </c>
      <c r="D50" s="7"/>
      <c r="E50" s="8"/>
      <c r="F50" s="10"/>
    </row>
    <row r="51" spans="1:6" x14ac:dyDescent="0.25">
      <c r="A51" s="17"/>
      <c r="B51" s="37" t="s">
        <v>7</v>
      </c>
      <c r="C51" s="18"/>
      <c r="D51" s="19"/>
      <c r="E51" s="20"/>
      <c r="F51" s="10"/>
    </row>
    <row r="52" spans="1:6" x14ac:dyDescent="0.25">
      <c r="A52" s="17" t="s">
        <v>104</v>
      </c>
      <c r="B52" s="37" t="s">
        <v>105</v>
      </c>
      <c r="C52" s="18"/>
      <c r="D52" s="19"/>
      <c r="E52" s="20"/>
      <c r="F52" s="10"/>
    </row>
    <row r="53" spans="1:6" x14ac:dyDescent="0.25">
      <c r="A53" s="16" t="s">
        <v>365</v>
      </c>
      <c r="B53" s="36" t="s">
        <v>106</v>
      </c>
      <c r="C53" s="5" t="s">
        <v>16</v>
      </c>
      <c r="D53" s="7"/>
      <c r="E53" s="8"/>
      <c r="F53" s="10"/>
    </row>
    <row r="54" spans="1:6" x14ac:dyDescent="0.25">
      <c r="A54" s="16" t="s">
        <v>366</v>
      </c>
      <c r="B54" s="36" t="s">
        <v>107</v>
      </c>
      <c r="C54" s="5" t="s">
        <v>16</v>
      </c>
      <c r="D54" s="7"/>
      <c r="E54" s="8"/>
      <c r="F54" s="10"/>
    </row>
    <row r="55" spans="1:6" x14ac:dyDescent="0.25">
      <c r="A55" s="16" t="s">
        <v>367</v>
      </c>
      <c r="B55" s="36" t="s">
        <v>347</v>
      </c>
      <c r="C55" s="5" t="s">
        <v>16</v>
      </c>
      <c r="D55" s="7"/>
      <c r="E55" s="8"/>
      <c r="F55" s="10"/>
    </row>
    <row r="56" spans="1:6" x14ac:dyDescent="0.25">
      <c r="A56" s="17"/>
      <c r="B56" s="37" t="s">
        <v>7</v>
      </c>
      <c r="C56" s="18"/>
      <c r="D56" s="19"/>
      <c r="E56" s="20"/>
      <c r="F56" s="10"/>
    </row>
    <row r="57" spans="1:6" s="126" customFormat="1" x14ac:dyDescent="0.25">
      <c r="A57" s="17" t="s">
        <v>109</v>
      </c>
      <c r="B57" s="37" t="s">
        <v>160</v>
      </c>
      <c r="C57" s="18"/>
      <c r="D57" s="19"/>
      <c r="E57" s="20"/>
      <c r="F57" s="39"/>
    </row>
    <row r="58" spans="1:6" x14ac:dyDescent="0.25">
      <c r="A58" s="16" t="s">
        <v>368</v>
      </c>
      <c r="B58" s="113" t="s">
        <v>408</v>
      </c>
      <c r="C58" s="5" t="s">
        <v>21</v>
      </c>
      <c r="D58" s="7"/>
      <c r="E58" s="8"/>
      <c r="F58" s="10"/>
    </row>
    <row r="59" spans="1:6" x14ac:dyDescent="0.25">
      <c r="A59" s="16" t="s">
        <v>369</v>
      </c>
      <c r="B59" s="113" t="s">
        <v>394</v>
      </c>
      <c r="C59" s="5" t="s">
        <v>21</v>
      </c>
      <c r="D59" s="7"/>
      <c r="E59" s="8"/>
      <c r="F59" s="10"/>
    </row>
    <row r="60" spans="1:6" x14ac:dyDescent="0.25">
      <c r="A60" s="16" t="s">
        <v>370</v>
      </c>
      <c r="B60" s="113" t="s">
        <v>395</v>
      </c>
      <c r="C60" s="5" t="s">
        <v>21</v>
      </c>
      <c r="D60" s="7"/>
      <c r="E60" s="8"/>
      <c r="F60" s="10"/>
    </row>
    <row r="61" spans="1:6" x14ac:dyDescent="0.25">
      <c r="A61" s="16" t="s">
        <v>371</v>
      </c>
      <c r="B61" s="113" t="s">
        <v>396</v>
      </c>
      <c r="C61" s="5" t="s">
        <v>21</v>
      </c>
      <c r="D61" s="7"/>
      <c r="E61" s="8"/>
      <c r="F61" s="10"/>
    </row>
    <row r="62" spans="1:6" x14ac:dyDescent="0.25">
      <c r="A62" s="16" t="s">
        <v>372</v>
      </c>
      <c r="B62" s="113" t="s">
        <v>397</v>
      </c>
      <c r="C62" s="5" t="s">
        <v>21</v>
      </c>
      <c r="D62" s="7"/>
      <c r="E62" s="8"/>
      <c r="F62" s="10"/>
    </row>
    <row r="63" spans="1:6" x14ac:dyDescent="0.25">
      <c r="A63" s="16" t="s">
        <v>373</v>
      </c>
      <c r="B63" s="113" t="s">
        <v>398</v>
      </c>
      <c r="C63" s="5" t="s">
        <v>21</v>
      </c>
      <c r="D63" s="7"/>
      <c r="E63" s="8"/>
      <c r="F63" s="10"/>
    </row>
    <row r="64" spans="1:6" x14ac:dyDescent="0.25">
      <c r="A64" s="16" t="s">
        <v>374</v>
      </c>
      <c r="B64" s="113" t="s">
        <v>406</v>
      </c>
      <c r="C64" s="5" t="s">
        <v>21</v>
      </c>
      <c r="D64" s="7"/>
      <c r="E64" s="8"/>
      <c r="F64" s="10"/>
    </row>
    <row r="65" spans="1:6" x14ac:dyDescent="0.25">
      <c r="A65" s="16" t="s">
        <v>375</v>
      </c>
      <c r="B65" s="113" t="s">
        <v>399</v>
      </c>
      <c r="C65" s="5" t="s">
        <v>21</v>
      </c>
      <c r="D65" s="7"/>
      <c r="E65" s="8"/>
      <c r="F65" s="10"/>
    </row>
    <row r="66" spans="1:6" ht="66" x14ac:dyDescent="0.25">
      <c r="A66" s="16" t="s">
        <v>376</v>
      </c>
      <c r="B66" s="4" t="s">
        <v>112</v>
      </c>
      <c r="C66" s="5" t="s">
        <v>6</v>
      </c>
      <c r="D66" s="7"/>
      <c r="E66" s="8"/>
      <c r="F66" s="10"/>
    </row>
    <row r="67" spans="1:6" x14ac:dyDescent="0.25">
      <c r="A67" s="16" t="s">
        <v>377</v>
      </c>
      <c r="B67" s="36" t="s">
        <v>362</v>
      </c>
      <c r="C67" s="5" t="s">
        <v>21</v>
      </c>
      <c r="D67" s="7"/>
      <c r="E67" s="8"/>
      <c r="F67" s="10"/>
    </row>
    <row r="68" spans="1:6" x14ac:dyDescent="0.25">
      <c r="A68" s="16" t="s">
        <v>378</v>
      </c>
      <c r="B68" s="36" t="s">
        <v>363</v>
      </c>
      <c r="C68" s="5" t="s">
        <v>21</v>
      </c>
      <c r="D68" s="7"/>
      <c r="E68" s="8"/>
      <c r="F68" s="10"/>
    </row>
    <row r="69" spans="1:6" x14ac:dyDescent="0.25">
      <c r="A69" s="16" t="s">
        <v>400</v>
      </c>
      <c r="B69" s="36" t="s">
        <v>361</v>
      </c>
      <c r="C69" s="5" t="s">
        <v>21</v>
      </c>
      <c r="D69" s="7"/>
      <c r="E69" s="8"/>
      <c r="F69" s="10"/>
    </row>
    <row r="70" spans="1:6" x14ac:dyDescent="0.25">
      <c r="A70" s="16" t="s">
        <v>401</v>
      </c>
      <c r="B70" s="36" t="s">
        <v>360</v>
      </c>
      <c r="C70" s="5" t="s">
        <v>21</v>
      </c>
      <c r="D70" s="7"/>
      <c r="E70" s="8"/>
      <c r="F70" s="10"/>
    </row>
    <row r="71" spans="1:6" x14ac:dyDescent="0.25">
      <c r="A71" s="16" t="s">
        <v>402</v>
      </c>
      <c r="B71" s="36" t="s">
        <v>359</v>
      </c>
      <c r="C71" s="5" t="s">
        <v>21</v>
      </c>
      <c r="D71" s="7"/>
      <c r="E71" s="8"/>
      <c r="F71" s="10"/>
    </row>
    <row r="72" spans="1:6" x14ac:dyDescent="0.25">
      <c r="A72" s="16" t="s">
        <v>403</v>
      </c>
      <c r="B72" s="36" t="s">
        <v>358</v>
      </c>
      <c r="C72" s="5" t="s">
        <v>21</v>
      </c>
      <c r="D72" s="7"/>
      <c r="E72" s="8"/>
      <c r="F72" s="10"/>
    </row>
    <row r="73" spans="1:6" x14ac:dyDescent="0.25">
      <c r="A73" s="16" t="s">
        <v>404</v>
      </c>
      <c r="B73" s="36" t="s">
        <v>357</v>
      </c>
      <c r="C73" s="5" t="s">
        <v>21</v>
      </c>
      <c r="D73" s="7"/>
      <c r="E73" s="8"/>
      <c r="F73" s="10"/>
    </row>
    <row r="74" spans="1:6" x14ac:dyDescent="0.25">
      <c r="A74" s="16" t="s">
        <v>405</v>
      </c>
      <c r="B74" s="36" t="s">
        <v>379</v>
      </c>
      <c r="C74" s="5" t="s">
        <v>21</v>
      </c>
      <c r="D74" s="7"/>
      <c r="E74" s="8"/>
      <c r="F74" s="10"/>
    </row>
    <row r="75" spans="1:6" x14ac:dyDescent="0.25">
      <c r="A75" s="16" t="s">
        <v>409</v>
      </c>
      <c r="B75" s="36" t="s">
        <v>380</v>
      </c>
      <c r="C75" s="5" t="s">
        <v>21</v>
      </c>
      <c r="D75" s="7"/>
      <c r="E75" s="8"/>
      <c r="F75" s="10"/>
    </row>
    <row r="76" spans="1:6" x14ac:dyDescent="0.25">
      <c r="D76" s="33"/>
      <c r="E76" s="9"/>
      <c r="F76" s="10"/>
    </row>
    <row r="77" spans="1:6" x14ac:dyDescent="0.25">
      <c r="B77" s="30"/>
      <c r="C77" s="29"/>
      <c r="D77" s="45"/>
      <c r="E77" s="46"/>
    </row>
    <row r="78" spans="1:6" x14ac:dyDescent="0.25">
      <c r="D78" s="33"/>
      <c r="E78" s="9"/>
    </row>
    <row r="79" spans="1:6" x14ac:dyDescent="0.25">
      <c r="A79" s="396"/>
      <c r="B79" s="396"/>
      <c r="C79" s="396"/>
      <c r="D79" s="396"/>
      <c r="E79" s="396"/>
    </row>
    <row r="80" spans="1:6" x14ac:dyDescent="0.25">
      <c r="D80" s="33"/>
      <c r="E80" s="9"/>
    </row>
    <row r="81" spans="1:5" x14ac:dyDescent="0.25">
      <c r="D81" s="33"/>
      <c r="E81" s="9"/>
    </row>
    <row r="82" spans="1:5" x14ac:dyDescent="0.25">
      <c r="A82" s="47"/>
      <c r="B82" s="30"/>
      <c r="C82" s="29"/>
      <c r="D82" s="45"/>
      <c r="E82" s="46"/>
    </row>
    <row r="83" spans="1:5" x14ac:dyDescent="0.25">
      <c r="A83" s="29"/>
      <c r="B83" s="30"/>
      <c r="D83" s="33"/>
      <c r="E83" s="9"/>
    </row>
    <row r="84" spans="1:5" x14ac:dyDescent="0.25">
      <c r="A84" s="29"/>
      <c r="B84" s="30"/>
      <c r="C84" s="29"/>
      <c r="D84" s="45"/>
      <c r="E84" s="46"/>
    </row>
    <row r="85" spans="1:5" x14ac:dyDescent="0.25">
      <c r="A85" s="29"/>
      <c r="B85" s="30"/>
      <c r="C85" s="29"/>
      <c r="D85" s="45"/>
      <c r="E85" s="46"/>
    </row>
    <row r="86" spans="1:5" x14ac:dyDescent="0.25">
      <c r="D86" s="33"/>
      <c r="E86" s="9"/>
    </row>
    <row r="87" spans="1:5" x14ac:dyDescent="0.25">
      <c r="A87" s="29"/>
      <c r="B87" s="30"/>
      <c r="C87" s="29"/>
      <c r="D87" s="45"/>
      <c r="E87" s="46"/>
    </row>
    <row r="88" spans="1:5" x14ac:dyDescent="0.25">
      <c r="A88" s="29"/>
      <c r="B88" s="30"/>
      <c r="C88" s="29"/>
      <c r="D88" s="45"/>
      <c r="E88" s="46"/>
    </row>
    <row r="89" spans="1:5" x14ac:dyDescent="0.25">
      <c r="D89" s="33"/>
      <c r="E89" s="9"/>
    </row>
    <row r="90" spans="1:5" x14ac:dyDescent="0.25">
      <c r="D90" s="33"/>
      <c r="E90" s="9"/>
    </row>
    <row r="91" spans="1:5" x14ac:dyDescent="0.25">
      <c r="D91" s="33"/>
      <c r="E91" s="9"/>
    </row>
    <row r="92" spans="1:5" x14ac:dyDescent="0.25">
      <c r="A92" s="29"/>
      <c r="B92" s="30"/>
      <c r="C92" s="29"/>
      <c r="D92" s="45"/>
      <c r="E92" s="46"/>
    </row>
    <row r="93" spans="1:5" x14ac:dyDescent="0.25">
      <c r="A93" s="29"/>
      <c r="B93" s="30"/>
      <c r="C93" s="29"/>
      <c r="D93" s="45"/>
      <c r="E93" s="46"/>
    </row>
    <row r="94" spans="1:5" x14ac:dyDescent="0.25">
      <c r="D94" s="33"/>
      <c r="E94" s="9"/>
    </row>
    <row r="95" spans="1:5" x14ac:dyDescent="0.25">
      <c r="D95" s="33"/>
      <c r="E95" s="9"/>
    </row>
    <row r="96" spans="1:5" x14ac:dyDescent="0.25">
      <c r="D96" s="33"/>
      <c r="E96" s="9"/>
    </row>
    <row r="97" spans="1:5" x14ac:dyDescent="0.25">
      <c r="D97" s="33"/>
      <c r="E97" s="9"/>
    </row>
    <row r="98" spans="1:5" x14ac:dyDescent="0.25">
      <c r="D98" s="33"/>
      <c r="E98" s="9"/>
    </row>
    <row r="99" spans="1:5" x14ac:dyDescent="0.25">
      <c r="D99" s="33"/>
      <c r="E99" s="9"/>
    </row>
    <row r="100" spans="1:5" x14ac:dyDescent="0.25">
      <c r="D100" s="33"/>
      <c r="E100" s="9"/>
    </row>
    <row r="101" spans="1:5" x14ac:dyDescent="0.25">
      <c r="D101" s="33"/>
      <c r="E101" s="9"/>
    </row>
    <row r="102" spans="1:5" x14ac:dyDescent="0.25">
      <c r="A102" s="29"/>
      <c r="B102" s="30"/>
      <c r="C102" s="29"/>
      <c r="D102" s="45"/>
      <c r="E102" s="46"/>
    </row>
    <row r="103" spans="1:5" x14ac:dyDescent="0.25">
      <c r="A103" s="29"/>
      <c r="B103" s="30"/>
      <c r="C103" s="29"/>
      <c r="D103" s="45"/>
      <c r="E103" s="46"/>
    </row>
    <row r="104" spans="1:5" x14ac:dyDescent="0.25">
      <c r="D104" s="33"/>
      <c r="E104" s="9"/>
    </row>
    <row r="105" spans="1:5" x14ac:dyDescent="0.25">
      <c r="D105" s="33"/>
      <c r="E105" s="9"/>
    </row>
    <row r="106" spans="1:5" x14ac:dyDescent="0.25">
      <c r="A106" s="29"/>
      <c r="B106" s="30"/>
      <c r="C106" s="29"/>
      <c r="D106" s="45"/>
      <c r="E106" s="46"/>
    </row>
    <row r="107" spans="1:5" x14ac:dyDescent="0.25">
      <c r="A107" s="29"/>
      <c r="B107" s="30"/>
      <c r="C107" s="29"/>
      <c r="D107" s="45"/>
      <c r="E107" s="46"/>
    </row>
    <row r="108" spans="1:5" x14ac:dyDescent="0.25">
      <c r="D108" s="33"/>
      <c r="E108" s="9"/>
    </row>
    <row r="109" spans="1:5" x14ac:dyDescent="0.25">
      <c r="A109" s="29"/>
      <c r="B109" s="30"/>
      <c r="C109" s="29"/>
      <c r="D109" s="45"/>
      <c r="E109" s="46"/>
    </row>
    <row r="110" spans="1:5" x14ac:dyDescent="0.25">
      <c r="A110" s="29"/>
      <c r="B110" s="30"/>
      <c r="C110" s="29"/>
      <c r="D110" s="45"/>
      <c r="E110" s="46"/>
    </row>
    <row r="111" spans="1:5" x14ac:dyDescent="0.25">
      <c r="A111" s="29"/>
      <c r="C111" s="29"/>
      <c r="D111" s="33"/>
      <c r="E111" s="9"/>
    </row>
    <row r="112" spans="1:5" x14ac:dyDescent="0.25">
      <c r="D112" s="33"/>
      <c r="E112" s="9"/>
    </row>
    <row r="113" spans="1:5" x14ac:dyDescent="0.25">
      <c r="D113" s="33"/>
      <c r="E113" s="9"/>
    </row>
    <row r="114" spans="1:5" x14ac:dyDescent="0.25">
      <c r="A114" s="29"/>
      <c r="B114" s="30"/>
      <c r="C114" s="29"/>
      <c r="D114" s="45"/>
      <c r="E114" s="46"/>
    </row>
    <row r="115" spans="1:5" x14ac:dyDescent="0.25">
      <c r="A115" s="29"/>
      <c r="B115" s="30"/>
      <c r="C115" s="29"/>
      <c r="D115" s="45"/>
      <c r="E115" s="46"/>
    </row>
    <row r="116" spans="1:5" x14ac:dyDescent="0.25">
      <c r="D116" s="33"/>
      <c r="E116" s="9"/>
    </row>
    <row r="117" spans="1:5" x14ac:dyDescent="0.25">
      <c r="D117" s="33"/>
      <c r="E117" s="9"/>
    </row>
    <row r="118" spans="1:5" x14ac:dyDescent="0.25">
      <c r="A118" s="29"/>
      <c r="B118" s="30"/>
      <c r="C118" s="29"/>
      <c r="D118" s="45"/>
      <c r="E118" s="46"/>
    </row>
    <row r="119" spans="1:5" x14ac:dyDescent="0.25">
      <c r="A119" s="29"/>
      <c r="B119" s="30"/>
      <c r="C119" s="29"/>
      <c r="D119" s="45"/>
      <c r="E119" s="46"/>
    </row>
    <row r="120" spans="1:5" x14ac:dyDescent="0.25">
      <c r="D120" s="33"/>
      <c r="E120" s="9"/>
    </row>
    <row r="121" spans="1:5" x14ac:dyDescent="0.25">
      <c r="A121" s="29"/>
      <c r="B121" s="30"/>
      <c r="C121" s="29"/>
      <c r="D121" s="45"/>
      <c r="E121" s="46"/>
    </row>
    <row r="122" spans="1:5" x14ac:dyDescent="0.25">
      <c r="D122" s="33"/>
      <c r="E122" s="9"/>
    </row>
  </sheetData>
  <mergeCells count="3">
    <mergeCell ref="A2:E2"/>
    <mergeCell ref="A3:E3"/>
    <mergeCell ref="A79:E79"/>
  </mergeCells>
  <phoneticPr fontId="2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1"/>
  <sheetViews>
    <sheetView zoomScale="120" zoomScaleNormal="120" workbookViewId="0">
      <selection activeCell="B10" sqref="B10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2.44140625" style="129" customWidth="1"/>
    <col min="7" max="11" width="11.5546875" style="1" customWidth="1"/>
    <col min="12" max="16384" width="11.44140625" style="1"/>
  </cols>
  <sheetData>
    <row r="1" spans="1:9" ht="13.8" x14ac:dyDescent="0.25">
      <c r="A1" s="397" t="s">
        <v>460</v>
      </c>
      <c r="B1" s="397"/>
      <c r="C1" s="397"/>
      <c r="D1" s="397"/>
      <c r="E1" s="397"/>
      <c r="F1" s="397"/>
    </row>
    <row r="2" spans="1:9" ht="13.95" customHeight="1" thickBot="1" x14ac:dyDescent="0.3">
      <c r="A2" s="404" t="s">
        <v>534</v>
      </c>
      <c r="B2" s="405"/>
      <c r="C2" s="405"/>
      <c r="D2" s="405"/>
      <c r="E2" s="405"/>
      <c r="F2" s="405"/>
      <c r="G2" s="10"/>
    </row>
    <row r="3" spans="1:9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26</v>
      </c>
      <c r="D5" s="6">
        <f>11*7.5</f>
        <v>82.5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27</v>
      </c>
      <c r="C8" s="5" t="s">
        <v>10</v>
      </c>
      <c r="D8" s="21">
        <f>44*0.5*0.85</f>
        <v>18.7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(0.3*0.6*44)</f>
        <v>7.92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10*6*0.3</f>
        <v>18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86</v>
      </c>
      <c r="C13" s="119" t="s">
        <v>10</v>
      </c>
      <c r="D13" s="21">
        <f>44*0.05*0.5</f>
        <v>1.1000000000000001</v>
      </c>
      <c r="E13" s="51"/>
      <c r="F13" s="52"/>
      <c r="G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21">
        <f>44*0.2*0.5</f>
        <v>4.4000000000000004</v>
      </c>
      <c r="E14" s="51"/>
      <c r="F14" s="52"/>
      <c r="G14" s="10"/>
    </row>
    <row r="15" spans="1:9" x14ac:dyDescent="0.25">
      <c r="A15" s="16" t="s">
        <v>43</v>
      </c>
      <c r="B15" s="118" t="s">
        <v>231</v>
      </c>
      <c r="C15" s="119" t="s">
        <v>10</v>
      </c>
      <c r="D15" s="21">
        <f>17*0.2*0.2*1</f>
        <v>0.68000000000000016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44*0.2*0.2</f>
        <v>1.7600000000000002</v>
      </c>
      <c r="E16" s="51"/>
      <c r="F16" s="52"/>
      <c r="G16" s="10"/>
    </row>
    <row r="17" spans="1:8" ht="39.6" x14ac:dyDescent="0.25">
      <c r="A17" s="16" t="s">
        <v>45</v>
      </c>
      <c r="B17" s="118" t="s">
        <v>419</v>
      </c>
      <c r="C17" s="119" t="s">
        <v>10</v>
      </c>
      <c r="D17" s="21">
        <f>((7.31*2)+45+(1.3*0.85)*3)*0.1</f>
        <v>6.2934999999999999</v>
      </c>
      <c r="E17" s="51"/>
      <c r="F17" s="52"/>
      <c r="G17" s="10"/>
    </row>
    <row r="18" spans="1:8" ht="26.4" x14ac:dyDescent="0.25">
      <c r="A18" s="16" t="s">
        <v>46</v>
      </c>
      <c r="B18" s="120" t="s">
        <v>92</v>
      </c>
      <c r="C18" s="119" t="s">
        <v>10</v>
      </c>
      <c r="D18" s="21">
        <f>44*0.15*0.2</f>
        <v>1.32</v>
      </c>
      <c r="E18" s="51"/>
      <c r="F18" s="52"/>
      <c r="G18" s="10"/>
    </row>
    <row r="19" spans="1:8" x14ac:dyDescent="0.25">
      <c r="A19" s="16" t="s">
        <v>47</v>
      </c>
      <c r="B19" s="118" t="s">
        <v>93</v>
      </c>
      <c r="C19" s="119" t="s">
        <v>10</v>
      </c>
      <c r="D19" s="21">
        <f>((7.15*2)+10)*0.15*0.45</f>
        <v>1.64025</v>
      </c>
      <c r="E19" s="51"/>
      <c r="F19" s="52"/>
      <c r="G19" s="10"/>
    </row>
    <row r="20" spans="1:8" ht="26.4" x14ac:dyDescent="0.25">
      <c r="A20" s="16" t="s">
        <v>48</v>
      </c>
      <c r="B20" s="118" t="s">
        <v>94</v>
      </c>
      <c r="C20" s="119" t="s">
        <v>10</v>
      </c>
      <c r="D20" s="21">
        <f>(10*2+7.15*2)*0.15*0.1</f>
        <v>0.51449999999999996</v>
      </c>
      <c r="E20" s="51"/>
      <c r="F20" s="52"/>
      <c r="G20" s="9"/>
      <c r="H20" s="10"/>
    </row>
    <row r="21" spans="1:8" x14ac:dyDescent="0.25">
      <c r="A21" s="16" t="s">
        <v>49</v>
      </c>
      <c r="B21" s="118" t="s">
        <v>95</v>
      </c>
      <c r="C21" s="119" t="s">
        <v>10</v>
      </c>
      <c r="D21" s="21">
        <f>17*0.15*0.15*4.5</f>
        <v>1.7212499999999997</v>
      </c>
      <c r="E21" s="51"/>
      <c r="F21" s="52"/>
      <c r="G21" s="10"/>
    </row>
    <row r="22" spans="1:8" x14ac:dyDescent="0.25">
      <c r="A22" s="16" t="s">
        <v>310</v>
      </c>
      <c r="B22" s="120" t="s">
        <v>97</v>
      </c>
      <c r="C22" s="119" t="s">
        <v>16</v>
      </c>
      <c r="D22" s="6">
        <f>44*1</f>
        <v>44</v>
      </c>
      <c r="E22" s="51"/>
      <c r="F22" s="52"/>
      <c r="G22" s="10"/>
    </row>
    <row r="23" spans="1:8" x14ac:dyDescent="0.25">
      <c r="A23" s="16" t="s">
        <v>311</v>
      </c>
      <c r="B23" s="118" t="s">
        <v>98</v>
      </c>
      <c r="C23" s="119" t="s">
        <v>16</v>
      </c>
      <c r="D23" s="6">
        <f>44*4.5</f>
        <v>198</v>
      </c>
      <c r="E23" s="51"/>
      <c r="F23" s="52"/>
      <c r="G23" s="10"/>
    </row>
    <row r="24" spans="1:8" x14ac:dyDescent="0.25">
      <c r="A24" s="16" t="s">
        <v>312</v>
      </c>
      <c r="B24" s="118" t="s">
        <v>232</v>
      </c>
      <c r="C24" s="119" t="s">
        <v>10</v>
      </c>
      <c r="D24" s="6">
        <f>1.3*0.85*0.1*3</f>
        <v>0.33150000000000002</v>
      </c>
      <c r="E24" s="51"/>
      <c r="F24" s="52"/>
      <c r="G24" s="10"/>
    </row>
    <row r="25" spans="1:8" ht="26.4" x14ac:dyDescent="0.25">
      <c r="A25" s="16" t="s">
        <v>156</v>
      </c>
      <c r="B25" s="118" t="s">
        <v>233</v>
      </c>
      <c r="C25" s="119" t="s">
        <v>10</v>
      </c>
      <c r="D25" s="21">
        <f>1.3*0.85*0.14*3</f>
        <v>0.46410000000000001</v>
      </c>
      <c r="E25" s="51"/>
      <c r="F25" s="52"/>
      <c r="G25" s="10"/>
    </row>
    <row r="26" spans="1:8" ht="26.4" x14ac:dyDescent="0.25">
      <c r="A26" s="16" t="s">
        <v>157</v>
      </c>
      <c r="B26" s="118" t="s">
        <v>421</v>
      </c>
      <c r="C26" s="119" t="s">
        <v>10</v>
      </c>
      <c r="D26" s="21">
        <f>((0.85*7.15)+(0.85*4)+(1.2*0.85)*2)</f>
        <v>11.517500000000002</v>
      </c>
      <c r="E26" s="51"/>
      <c r="F26" s="52"/>
      <c r="G26" s="10"/>
    </row>
    <row r="27" spans="1:8" x14ac:dyDescent="0.25">
      <c r="A27" s="17"/>
      <c r="B27" s="37" t="s">
        <v>7</v>
      </c>
      <c r="C27" s="18"/>
      <c r="D27" s="18"/>
      <c r="E27" s="53"/>
      <c r="F27" s="54"/>
      <c r="G27" s="10"/>
    </row>
    <row r="28" spans="1:8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8" x14ac:dyDescent="0.25">
      <c r="A29" s="16" t="s">
        <v>40</v>
      </c>
      <c r="B29" s="212" t="s">
        <v>183</v>
      </c>
      <c r="C29" s="5" t="s">
        <v>16</v>
      </c>
      <c r="D29" s="6">
        <f>((7.15*2)+(10*2))*5</f>
        <v>171.5</v>
      </c>
      <c r="E29" s="51"/>
      <c r="F29" s="52"/>
      <c r="G29" s="10"/>
    </row>
    <row r="30" spans="1:8" x14ac:dyDescent="0.25">
      <c r="A30" s="16" t="s">
        <v>61</v>
      </c>
      <c r="B30" s="36" t="s">
        <v>99</v>
      </c>
      <c r="C30" s="5" t="s">
        <v>16</v>
      </c>
      <c r="D30" s="6">
        <f>(6*4+10*2+2.5*4)*3.2</f>
        <v>172.8</v>
      </c>
      <c r="E30" s="51"/>
      <c r="F30" s="52"/>
      <c r="G30" s="10"/>
    </row>
    <row r="31" spans="1:8" x14ac:dyDescent="0.25">
      <c r="A31" s="16" t="s">
        <v>71</v>
      </c>
      <c r="B31" s="36" t="s">
        <v>167</v>
      </c>
      <c r="C31" s="5"/>
      <c r="D31" s="6">
        <f>D29</f>
        <v>171.5</v>
      </c>
      <c r="E31" s="51"/>
      <c r="F31" s="52"/>
      <c r="G31" s="10"/>
    </row>
    <row r="32" spans="1:8" x14ac:dyDescent="0.25">
      <c r="A32" s="16" t="s">
        <v>132</v>
      </c>
      <c r="B32" s="36" t="s">
        <v>100</v>
      </c>
      <c r="C32" s="5" t="s">
        <v>16</v>
      </c>
      <c r="D32" s="6">
        <f>45+(7.31*2)</f>
        <v>59.62</v>
      </c>
      <c r="E32" s="51"/>
      <c r="F32" s="52"/>
      <c r="G32" s="10"/>
    </row>
    <row r="33" spans="1:7" x14ac:dyDescent="0.25">
      <c r="A33" s="16" t="s">
        <v>133</v>
      </c>
      <c r="B33" s="36" t="s">
        <v>234</v>
      </c>
      <c r="C33" s="5" t="s">
        <v>77</v>
      </c>
      <c r="D33" s="6">
        <v>44</v>
      </c>
      <c r="E33" s="51"/>
      <c r="F33" s="52"/>
      <c r="G33" s="10"/>
    </row>
    <row r="34" spans="1:7" x14ac:dyDescent="0.25">
      <c r="A34" s="17"/>
      <c r="B34" s="37" t="s">
        <v>7</v>
      </c>
      <c r="C34" s="18"/>
      <c r="D34" s="18"/>
      <c r="E34" s="53"/>
      <c r="F34" s="54"/>
      <c r="G34" s="10"/>
    </row>
    <row r="35" spans="1:7" x14ac:dyDescent="0.25">
      <c r="A35" s="17" t="s">
        <v>19</v>
      </c>
      <c r="B35" s="37" t="s">
        <v>235</v>
      </c>
      <c r="C35" s="18"/>
      <c r="D35" s="18"/>
      <c r="E35" s="53"/>
      <c r="F35" s="54"/>
      <c r="G35" s="10"/>
    </row>
    <row r="36" spans="1:7" x14ac:dyDescent="0.25">
      <c r="A36" s="135" t="s">
        <v>65</v>
      </c>
      <c r="B36" s="212" t="s">
        <v>236</v>
      </c>
      <c r="C36" s="119" t="s">
        <v>77</v>
      </c>
      <c r="D36" s="121">
        <v>6.2</v>
      </c>
      <c r="E36" s="55"/>
      <c r="F36" s="56"/>
      <c r="G36" s="10"/>
    </row>
    <row r="37" spans="1:7" ht="26.4" x14ac:dyDescent="0.25">
      <c r="A37" s="135" t="s">
        <v>66</v>
      </c>
      <c r="B37" s="212" t="s">
        <v>237</v>
      </c>
      <c r="C37" s="119" t="s">
        <v>77</v>
      </c>
      <c r="D37" s="121">
        <f>10.4*8</f>
        <v>83.2</v>
      </c>
      <c r="E37" s="51"/>
      <c r="F37" s="52"/>
      <c r="G37" s="10"/>
    </row>
    <row r="38" spans="1:7" ht="26.4" x14ac:dyDescent="0.25">
      <c r="A38" s="135" t="s">
        <v>67</v>
      </c>
      <c r="B38" s="212" t="s">
        <v>187</v>
      </c>
      <c r="C38" s="119" t="s">
        <v>77</v>
      </c>
      <c r="D38" s="121">
        <f>10.4</f>
        <v>10.4</v>
      </c>
      <c r="E38" s="51"/>
      <c r="F38" s="52"/>
    </row>
    <row r="39" spans="1:7" ht="66" x14ac:dyDescent="0.25">
      <c r="A39" s="135" t="s">
        <v>134</v>
      </c>
      <c r="B39" s="122" t="s">
        <v>391</v>
      </c>
      <c r="C39" s="119" t="s">
        <v>16</v>
      </c>
      <c r="D39" s="3">
        <f>7.35*10.3</f>
        <v>75.704999999999998</v>
      </c>
      <c r="E39" s="51"/>
      <c r="F39" s="52"/>
      <c r="G39" s="10"/>
    </row>
    <row r="40" spans="1:7" ht="26.4" x14ac:dyDescent="0.25">
      <c r="A40" s="135" t="s">
        <v>364</v>
      </c>
      <c r="B40" s="213" t="s">
        <v>238</v>
      </c>
      <c r="C40" s="214" t="s">
        <v>21</v>
      </c>
      <c r="D40" s="215">
        <v>6</v>
      </c>
      <c r="E40" s="216"/>
      <c r="F40" s="217"/>
      <c r="G40" s="10"/>
    </row>
    <row r="41" spans="1:7" x14ac:dyDescent="0.25">
      <c r="A41" s="135" t="s">
        <v>381</v>
      </c>
      <c r="B41" s="203" t="s">
        <v>354</v>
      </c>
      <c r="C41" s="204" t="s">
        <v>16</v>
      </c>
      <c r="D41" s="215">
        <f>7+10+7</f>
        <v>24</v>
      </c>
      <c r="E41" s="216"/>
      <c r="F41" s="217"/>
      <c r="G41" s="10"/>
    </row>
    <row r="42" spans="1:7" x14ac:dyDescent="0.25">
      <c r="A42" s="17"/>
      <c r="B42" s="37" t="s">
        <v>7</v>
      </c>
      <c r="C42" s="18"/>
      <c r="D42" s="23"/>
      <c r="E42" s="53"/>
      <c r="F42" s="54"/>
      <c r="G42" s="10"/>
    </row>
    <row r="43" spans="1:7" x14ac:dyDescent="0.25">
      <c r="A43" s="17" t="s">
        <v>22</v>
      </c>
      <c r="B43" s="37" t="s">
        <v>20</v>
      </c>
      <c r="C43" s="18"/>
      <c r="D43" s="23"/>
      <c r="E43" s="53"/>
      <c r="F43" s="54"/>
      <c r="G43" s="10"/>
    </row>
    <row r="44" spans="1:7" ht="26.4" x14ac:dyDescent="0.25">
      <c r="A44" s="16" t="s">
        <v>63</v>
      </c>
      <c r="B44" s="213" t="s">
        <v>239</v>
      </c>
      <c r="C44" s="5" t="s">
        <v>21</v>
      </c>
      <c r="D44" s="6">
        <v>1</v>
      </c>
      <c r="E44" s="51"/>
      <c r="F44" s="52"/>
      <c r="G44" s="10"/>
    </row>
    <row r="45" spans="1:7" ht="26.4" x14ac:dyDescent="0.25">
      <c r="A45" s="16" t="s">
        <v>64</v>
      </c>
      <c r="B45" s="213" t="s">
        <v>240</v>
      </c>
      <c r="C45" s="5" t="s">
        <v>21</v>
      </c>
      <c r="D45" s="6">
        <v>2</v>
      </c>
      <c r="E45" s="51"/>
      <c r="F45" s="52"/>
      <c r="G45" s="10"/>
    </row>
    <row r="46" spans="1:7" x14ac:dyDescent="0.25">
      <c r="A46" s="16" t="s">
        <v>74</v>
      </c>
      <c r="B46" s="36" t="s">
        <v>191</v>
      </c>
      <c r="C46" s="5" t="s">
        <v>21</v>
      </c>
      <c r="D46" s="6">
        <v>6</v>
      </c>
      <c r="E46" s="51"/>
      <c r="F46" s="52"/>
      <c r="G46" s="10"/>
    </row>
    <row r="47" spans="1:7" ht="26.4" x14ac:dyDescent="0.25">
      <c r="A47" s="16" t="s">
        <v>75</v>
      </c>
      <c r="B47" s="213" t="s">
        <v>241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76</v>
      </c>
      <c r="B48" s="213" t="s">
        <v>242</v>
      </c>
      <c r="C48" s="5" t="s">
        <v>21</v>
      </c>
      <c r="D48" s="6">
        <v>1</v>
      </c>
      <c r="E48" s="51"/>
      <c r="F48" s="52"/>
      <c r="G48" s="10"/>
    </row>
    <row r="49" spans="1:7" ht="26.4" x14ac:dyDescent="0.25">
      <c r="A49" s="16" t="s">
        <v>383</v>
      </c>
      <c r="B49" s="213" t="s">
        <v>243</v>
      </c>
      <c r="C49" s="5" t="s">
        <v>21</v>
      </c>
      <c r="D49" s="6">
        <v>6</v>
      </c>
      <c r="E49" s="51"/>
      <c r="F49" s="52"/>
      <c r="G49" s="10"/>
    </row>
    <row r="50" spans="1:7" x14ac:dyDescent="0.25">
      <c r="A50" s="17"/>
      <c r="B50" s="37" t="s">
        <v>7</v>
      </c>
      <c r="C50" s="18"/>
      <c r="D50" s="23"/>
      <c r="E50" s="53"/>
      <c r="F50" s="54"/>
      <c r="G50" s="10"/>
    </row>
    <row r="51" spans="1:7" x14ac:dyDescent="0.25">
      <c r="A51" s="17" t="s">
        <v>101</v>
      </c>
      <c r="B51" s="37" t="s">
        <v>102</v>
      </c>
      <c r="C51" s="18"/>
      <c r="D51" s="23"/>
      <c r="E51" s="53"/>
      <c r="F51" s="54"/>
      <c r="G51" s="10"/>
    </row>
    <row r="52" spans="1:7" ht="39.6" x14ac:dyDescent="0.25">
      <c r="A52" s="16" t="s">
        <v>136</v>
      </c>
      <c r="B52" s="4" t="s">
        <v>382</v>
      </c>
      <c r="C52" s="5" t="s">
        <v>21</v>
      </c>
      <c r="D52" s="6">
        <v>3</v>
      </c>
      <c r="E52" s="51"/>
      <c r="F52" s="52"/>
      <c r="G52" s="10"/>
    </row>
    <row r="53" spans="1:7" ht="26.4" x14ac:dyDescent="0.25">
      <c r="A53" s="16" t="s">
        <v>137</v>
      </c>
      <c r="B53" s="120" t="s">
        <v>103</v>
      </c>
      <c r="C53" s="5" t="s">
        <v>16</v>
      </c>
      <c r="D53" s="6">
        <f>45+7.31*2</f>
        <v>59.62</v>
      </c>
      <c r="E53" s="51"/>
      <c r="F53" s="52"/>
      <c r="G53" s="10"/>
    </row>
    <row r="54" spans="1:7" x14ac:dyDescent="0.25">
      <c r="A54" s="17"/>
      <c r="B54" s="37" t="s">
        <v>7</v>
      </c>
      <c r="C54" s="18"/>
      <c r="D54" s="23"/>
      <c r="E54" s="53"/>
      <c r="F54" s="54"/>
      <c r="G54" s="10"/>
    </row>
    <row r="55" spans="1:7" x14ac:dyDescent="0.25">
      <c r="A55" s="17" t="s">
        <v>104</v>
      </c>
      <c r="B55" s="37" t="s">
        <v>138</v>
      </c>
      <c r="C55" s="18"/>
      <c r="D55" s="23"/>
      <c r="E55" s="53"/>
      <c r="F55" s="54"/>
      <c r="G55" s="10"/>
    </row>
    <row r="56" spans="1:7" x14ac:dyDescent="0.25">
      <c r="A56" s="16" t="s">
        <v>365</v>
      </c>
      <c r="B56" s="36" t="s">
        <v>106</v>
      </c>
      <c r="C56" s="5" t="s">
        <v>16</v>
      </c>
      <c r="D56" s="6">
        <f>(1.2*2.2+0.9*2.2*2+1.2*1.2*6+3+0.3*0.15*6+1*2.1*3)*2</f>
        <v>49.620000000000005</v>
      </c>
      <c r="E56" s="51"/>
      <c r="F56" s="52"/>
      <c r="G56" s="10"/>
    </row>
    <row r="57" spans="1:7" x14ac:dyDescent="0.25">
      <c r="A57" s="16" t="s">
        <v>366</v>
      </c>
      <c r="B57" s="36" t="s">
        <v>244</v>
      </c>
      <c r="C57" s="5" t="s">
        <v>16</v>
      </c>
      <c r="D57" s="6">
        <f>D30</f>
        <v>172.8</v>
      </c>
      <c r="E57" s="51"/>
      <c r="F57" s="52"/>
      <c r="G57" s="10"/>
    </row>
    <row r="58" spans="1:7" x14ac:dyDescent="0.25">
      <c r="A58" s="16" t="s">
        <v>367</v>
      </c>
      <c r="B58" s="36" t="s">
        <v>108</v>
      </c>
      <c r="C58" s="5" t="s">
        <v>16</v>
      </c>
      <c r="D58" s="6">
        <f>D53</f>
        <v>59.62</v>
      </c>
      <c r="E58" s="51"/>
      <c r="F58" s="52"/>
      <c r="G58" s="10"/>
    </row>
    <row r="59" spans="1:7" x14ac:dyDescent="0.25">
      <c r="A59" s="17"/>
      <c r="B59" s="37" t="s">
        <v>7</v>
      </c>
      <c r="C59" s="18"/>
      <c r="D59" s="23"/>
      <c r="E59" s="53"/>
      <c r="F59" s="54"/>
      <c r="G59" s="10"/>
    </row>
    <row r="60" spans="1:7" x14ac:dyDescent="0.25">
      <c r="A60" s="17" t="s">
        <v>109</v>
      </c>
      <c r="B60" s="37" t="s">
        <v>160</v>
      </c>
      <c r="C60" s="18"/>
      <c r="D60" s="23"/>
      <c r="E60" s="53"/>
      <c r="F60" s="54"/>
      <c r="G60" s="10"/>
    </row>
    <row r="61" spans="1:7" x14ac:dyDescent="0.25">
      <c r="A61" s="16" t="s">
        <v>368</v>
      </c>
      <c r="B61" s="113" t="s">
        <v>408</v>
      </c>
      <c r="C61" s="5" t="s">
        <v>21</v>
      </c>
      <c r="D61" s="21">
        <v>12</v>
      </c>
      <c r="E61" s="7"/>
      <c r="F61" s="52"/>
      <c r="G61" s="10"/>
    </row>
    <row r="62" spans="1:7" x14ac:dyDescent="0.25">
      <c r="A62" s="16" t="s">
        <v>369</v>
      </c>
      <c r="B62" s="113" t="s">
        <v>394</v>
      </c>
      <c r="C62" s="5" t="s">
        <v>21</v>
      </c>
      <c r="D62" s="21">
        <v>1</v>
      </c>
      <c r="E62" s="7"/>
      <c r="F62" s="52"/>
      <c r="G62" s="10"/>
    </row>
    <row r="63" spans="1:7" x14ac:dyDescent="0.25">
      <c r="A63" s="16" t="s">
        <v>370</v>
      </c>
      <c r="B63" s="113" t="s">
        <v>395</v>
      </c>
      <c r="C63" s="5" t="s">
        <v>21</v>
      </c>
      <c r="D63" s="21">
        <v>1</v>
      </c>
      <c r="E63" s="7"/>
      <c r="F63" s="52"/>
      <c r="G63" s="10"/>
    </row>
    <row r="64" spans="1:7" x14ac:dyDescent="0.25">
      <c r="A64" s="16" t="s">
        <v>371</v>
      </c>
      <c r="B64" s="113" t="s">
        <v>396</v>
      </c>
      <c r="C64" s="5" t="s">
        <v>21</v>
      </c>
      <c r="D64" s="21">
        <v>1</v>
      </c>
      <c r="E64" s="7"/>
      <c r="F64" s="52"/>
      <c r="G64" s="10"/>
    </row>
    <row r="65" spans="1:7" x14ac:dyDescent="0.25">
      <c r="A65" s="16" t="s">
        <v>372</v>
      </c>
      <c r="B65" s="113" t="s">
        <v>397</v>
      </c>
      <c r="C65" s="5" t="s">
        <v>21</v>
      </c>
      <c r="D65" s="21">
        <v>1</v>
      </c>
      <c r="E65" s="7"/>
      <c r="F65" s="52"/>
      <c r="G65" s="10"/>
    </row>
    <row r="66" spans="1:7" x14ac:dyDescent="0.25">
      <c r="A66" s="16" t="s">
        <v>373</v>
      </c>
      <c r="B66" s="113" t="s">
        <v>398</v>
      </c>
      <c r="C66" s="5" t="s">
        <v>21</v>
      </c>
      <c r="D66" s="21">
        <v>1</v>
      </c>
      <c r="E66" s="7"/>
      <c r="F66" s="52"/>
      <c r="G66" s="10"/>
    </row>
    <row r="67" spans="1:7" x14ac:dyDescent="0.25">
      <c r="A67" s="16" t="s">
        <v>374</v>
      </c>
      <c r="B67" s="113" t="s">
        <v>412</v>
      </c>
      <c r="C67" s="5" t="s">
        <v>21</v>
      </c>
      <c r="D67" s="21">
        <v>3</v>
      </c>
      <c r="E67" s="7"/>
      <c r="F67" s="52"/>
      <c r="G67" s="10"/>
    </row>
    <row r="68" spans="1:7" x14ac:dyDescent="0.25">
      <c r="A68" s="16" t="s">
        <v>375</v>
      </c>
      <c r="B68" s="113" t="s">
        <v>399</v>
      </c>
      <c r="C68" s="5" t="s">
        <v>21</v>
      </c>
      <c r="D68" s="21">
        <v>1</v>
      </c>
      <c r="E68" s="7"/>
      <c r="F68" s="52"/>
      <c r="G68" s="10"/>
    </row>
    <row r="69" spans="1:7" ht="79.2" x14ac:dyDescent="0.25">
      <c r="A69" s="16" t="s">
        <v>376</v>
      </c>
      <c r="B69" s="4" t="s">
        <v>112</v>
      </c>
      <c r="C69" s="5" t="s">
        <v>6</v>
      </c>
      <c r="D69" s="6">
        <v>1</v>
      </c>
      <c r="E69" s="51"/>
      <c r="F69" s="52"/>
      <c r="G69" s="10"/>
    </row>
    <row r="70" spans="1:7" x14ac:dyDescent="0.25">
      <c r="A70" s="16" t="s">
        <v>377</v>
      </c>
      <c r="B70" s="36" t="s">
        <v>362</v>
      </c>
      <c r="C70" s="5" t="s">
        <v>21</v>
      </c>
      <c r="D70" s="6">
        <v>3</v>
      </c>
      <c r="E70" s="51"/>
      <c r="F70" s="52"/>
      <c r="G70" s="10"/>
    </row>
    <row r="71" spans="1:7" x14ac:dyDescent="0.25">
      <c r="A71" s="16" t="s">
        <v>378</v>
      </c>
      <c r="B71" s="36" t="s">
        <v>363</v>
      </c>
      <c r="C71" s="5" t="s">
        <v>21</v>
      </c>
      <c r="D71" s="6">
        <v>2</v>
      </c>
      <c r="E71" s="51"/>
      <c r="F71" s="52"/>
      <c r="G71" s="10"/>
    </row>
    <row r="72" spans="1:7" x14ac:dyDescent="0.25">
      <c r="A72" s="16" t="s">
        <v>400</v>
      </c>
      <c r="B72" s="36" t="s">
        <v>361</v>
      </c>
      <c r="C72" s="5" t="s">
        <v>21</v>
      </c>
      <c r="D72" s="6">
        <v>2</v>
      </c>
      <c r="E72" s="51"/>
      <c r="F72" s="52"/>
      <c r="G72" s="10"/>
    </row>
    <row r="73" spans="1:7" x14ac:dyDescent="0.25">
      <c r="A73" s="16" t="s">
        <v>401</v>
      </c>
      <c r="B73" s="36" t="s">
        <v>360</v>
      </c>
      <c r="C73" s="5" t="s">
        <v>21</v>
      </c>
      <c r="D73" s="6">
        <v>4</v>
      </c>
      <c r="E73" s="51"/>
      <c r="F73" s="52"/>
      <c r="G73" s="10"/>
    </row>
    <row r="74" spans="1:7" s="126" customFormat="1" x14ac:dyDescent="0.25">
      <c r="A74" s="16" t="s">
        <v>402</v>
      </c>
      <c r="B74" s="36" t="s">
        <v>359</v>
      </c>
      <c r="C74" s="5" t="s">
        <v>21</v>
      </c>
      <c r="D74" s="6">
        <v>1</v>
      </c>
      <c r="E74" s="51"/>
      <c r="F74" s="52"/>
      <c r="G74" s="39"/>
    </row>
    <row r="75" spans="1:7" s="126" customFormat="1" x14ac:dyDescent="0.25">
      <c r="A75" s="16" t="s">
        <v>403</v>
      </c>
      <c r="B75" s="36" t="s">
        <v>358</v>
      </c>
      <c r="C75" s="5" t="s">
        <v>21</v>
      </c>
      <c r="D75" s="6">
        <v>10</v>
      </c>
      <c r="E75" s="51"/>
      <c r="F75" s="52"/>
      <c r="G75" s="39"/>
    </row>
    <row r="76" spans="1:7" x14ac:dyDescent="0.25">
      <c r="A76" s="16" t="s">
        <v>404</v>
      </c>
      <c r="B76" s="36" t="s">
        <v>357</v>
      </c>
      <c r="C76" s="5" t="s">
        <v>21</v>
      </c>
      <c r="D76" s="6">
        <v>1</v>
      </c>
      <c r="E76" s="51"/>
      <c r="F76" s="52"/>
      <c r="G76" s="10"/>
    </row>
    <row r="77" spans="1:7" x14ac:dyDescent="0.25">
      <c r="A77" s="16" t="s">
        <v>405</v>
      </c>
      <c r="B77" s="36" t="s">
        <v>379</v>
      </c>
      <c r="C77" s="5" t="s">
        <v>80</v>
      </c>
      <c r="D77" s="6">
        <v>1</v>
      </c>
      <c r="E77" s="51"/>
      <c r="F77" s="52"/>
      <c r="G77" s="10"/>
    </row>
    <row r="78" spans="1:7" x14ac:dyDescent="0.25">
      <c r="A78" s="16"/>
      <c r="B78" s="37" t="s">
        <v>7</v>
      </c>
      <c r="C78" s="18"/>
      <c r="D78" s="23"/>
      <c r="E78" s="53"/>
      <c r="F78" s="54"/>
      <c r="G78" s="10"/>
    </row>
    <row r="79" spans="1:7" ht="13.8" thickBot="1" x14ac:dyDescent="0.3">
      <c r="A79" s="26"/>
      <c r="B79" s="40" t="s">
        <v>430</v>
      </c>
      <c r="C79" s="27"/>
      <c r="D79" s="27"/>
      <c r="E79" s="57"/>
      <c r="F79" s="58"/>
      <c r="G79" s="10"/>
    </row>
    <row r="80" spans="1:7" ht="14.4" thickTop="1" thickBot="1" x14ac:dyDescent="0.3">
      <c r="A80" s="26"/>
      <c r="B80" s="40" t="s">
        <v>431</v>
      </c>
      <c r="C80" s="27"/>
      <c r="D80" s="27"/>
      <c r="E80" s="57"/>
      <c r="F80" s="285"/>
    </row>
    <row r="81" spans="1:6" ht="13.8" thickTop="1" x14ac:dyDescent="0.25">
      <c r="B81" s="30"/>
      <c r="C81" s="29"/>
      <c r="D81" s="29"/>
      <c r="E81" s="62"/>
      <c r="F81" s="63"/>
    </row>
    <row r="82" spans="1:6" x14ac:dyDescent="0.25">
      <c r="F82" s="60"/>
    </row>
    <row r="83" spans="1:6" x14ac:dyDescent="0.25">
      <c r="A83" s="396"/>
      <c r="B83" s="396"/>
      <c r="C83" s="396"/>
      <c r="D83" s="396"/>
      <c r="E83" s="396"/>
      <c r="F83" s="396"/>
    </row>
    <row r="84" spans="1:6" x14ac:dyDescent="0.25">
      <c r="F84" s="60"/>
    </row>
    <row r="85" spans="1:6" x14ac:dyDescent="0.25">
      <c r="F85" s="60"/>
    </row>
    <row r="86" spans="1:6" x14ac:dyDescent="0.25">
      <c r="A86" s="47"/>
      <c r="B86" s="30"/>
      <c r="C86" s="29"/>
      <c r="D86" s="29"/>
      <c r="E86" s="64"/>
      <c r="F86" s="65"/>
    </row>
    <row r="87" spans="1:6" x14ac:dyDescent="0.25">
      <c r="A87" s="29"/>
      <c r="B87" s="30"/>
      <c r="E87" s="66"/>
      <c r="F87" s="67"/>
    </row>
    <row r="88" spans="1:6" x14ac:dyDescent="0.25">
      <c r="A88" s="29"/>
      <c r="B88" s="30"/>
      <c r="C88" s="29"/>
      <c r="D88" s="29"/>
      <c r="E88" s="64"/>
      <c r="F88" s="65"/>
    </row>
    <row r="89" spans="1:6" x14ac:dyDescent="0.25">
      <c r="A89" s="29"/>
      <c r="B89" s="30"/>
      <c r="C89" s="29"/>
      <c r="D89" s="29"/>
      <c r="E89" s="64"/>
      <c r="F89" s="65"/>
    </row>
    <row r="90" spans="1:6" x14ac:dyDescent="0.25">
      <c r="E90" s="66"/>
      <c r="F90" s="67"/>
    </row>
    <row r="91" spans="1:6" x14ac:dyDescent="0.25">
      <c r="A91" s="29"/>
      <c r="B91" s="30"/>
      <c r="C91" s="29"/>
      <c r="D91" s="29"/>
      <c r="E91" s="64"/>
      <c r="F91" s="65"/>
    </row>
    <row r="92" spans="1:6" x14ac:dyDescent="0.25">
      <c r="A92" s="29"/>
      <c r="B92" s="30"/>
      <c r="C92" s="29"/>
      <c r="D92" s="29"/>
      <c r="E92" s="64"/>
      <c r="F92" s="65"/>
    </row>
    <row r="93" spans="1:6" x14ac:dyDescent="0.25">
      <c r="E93" s="66"/>
      <c r="F93" s="67"/>
    </row>
    <row r="94" spans="1:6" x14ac:dyDescent="0.25">
      <c r="E94" s="66"/>
      <c r="F94" s="67"/>
    </row>
    <row r="95" spans="1:6" x14ac:dyDescent="0.25">
      <c r="E95" s="66"/>
      <c r="F95" s="67"/>
    </row>
    <row r="96" spans="1:6" x14ac:dyDescent="0.25">
      <c r="A96" s="29"/>
      <c r="B96" s="30"/>
      <c r="C96" s="29"/>
      <c r="D96" s="29"/>
      <c r="E96" s="64"/>
      <c r="F96" s="65"/>
    </row>
    <row r="97" spans="1:6" x14ac:dyDescent="0.25">
      <c r="A97" s="29"/>
      <c r="B97" s="30"/>
      <c r="C97" s="29"/>
      <c r="D97" s="29"/>
      <c r="E97" s="64"/>
      <c r="F97" s="65"/>
    </row>
    <row r="98" spans="1:6" x14ac:dyDescent="0.25">
      <c r="D98" s="32"/>
      <c r="E98" s="66"/>
      <c r="F98" s="67"/>
    </row>
    <row r="99" spans="1:6" x14ac:dyDescent="0.25">
      <c r="D99" s="32"/>
      <c r="E99" s="66"/>
      <c r="F99" s="67"/>
    </row>
    <row r="100" spans="1:6" x14ac:dyDescent="0.25">
      <c r="D100" s="32"/>
      <c r="E100" s="66"/>
      <c r="F100" s="67"/>
    </row>
    <row r="101" spans="1:6" x14ac:dyDescent="0.25">
      <c r="D101" s="32"/>
      <c r="E101" s="66"/>
      <c r="F101" s="67"/>
    </row>
    <row r="102" spans="1:6" x14ac:dyDescent="0.25">
      <c r="D102" s="32"/>
      <c r="E102" s="66"/>
      <c r="F102" s="67"/>
    </row>
    <row r="103" spans="1:6" x14ac:dyDescent="0.25"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D112" s="68"/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5"/>
    </row>
    <row r="115" spans="1:6" x14ac:dyDescent="0.25">
      <c r="A115" s="29"/>
      <c r="C115" s="29"/>
      <c r="D115" s="29"/>
      <c r="E115" s="66"/>
      <c r="F115" s="67"/>
    </row>
    <row r="116" spans="1:6" x14ac:dyDescent="0.25">
      <c r="E116" s="66"/>
      <c r="F116" s="67"/>
    </row>
    <row r="117" spans="1:6" x14ac:dyDescent="0.25">
      <c r="E117" s="66"/>
      <c r="F117" s="67"/>
    </row>
    <row r="118" spans="1:6" x14ac:dyDescent="0.25">
      <c r="A118" s="29"/>
      <c r="B118" s="30"/>
      <c r="C118" s="29"/>
      <c r="D118" s="29"/>
      <c r="E118" s="64"/>
      <c r="F118" s="65"/>
    </row>
    <row r="119" spans="1:6" x14ac:dyDescent="0.25">
      <c r="A119" s="29"/>
      <c r="B119" s="30"/>
      <c r="C119" s="29"/>
      <c r="D119" s="29"/>
      <c r="E119" s="64"/>
      <c r="F119" s="65"/>
    </row>
    <row r="120" spans="1:6" x14ac:dyDescent="0.25">
      <c r="D120" s="68"/>
      <c r="E120" s="66"/>
      <c r="F120" s="67"/>
    </row>
    <row r="121" spans="1:6" x14ac:dyDescent="0.25">
      <c r="E121" s="66"/>
      <c r="F121" s="67"/>
    </row>
    <row r="122" spans="1:6" x14ac:dyDescent="0.25">
      <c r="A122" s="29"/>
      <c r="B122" s="30"/>
      <c r="C122" s="29"/>
      <c r="D122" s="29"/>
      <c r="E122" s="64"/>
      <c r="F122" s="65"/>
    </row>
    <row r="123" spans="1:6" x14ac:dyDescent="0.25">
      <c r="A123" s="29"/>
      <c r="B123" s="30"/>
      <c r="C123" s="29"/>
      <c r="D123" s="29"/>
      <c r="E123" s="64"/>
      <c r="F123" s="65"/>
    </row>
    <row r="124" spans="1:6" x14ac:dyDescent="0.25">
      <c r="E124" s="66"/>
      <c r="F124" s="67"/>
    </row>
    <row r="125" spans="1:6" x14ac:dyDescent="0.25">
      <c r="A125" s="29"/>
      <c r="B125" s="30"/>
      <c r="C125" s="29"/>
      <c r="D125" s="29"/>
      <c r="E125" s="64"/>
      <c r="F125" s="65"/>
    </row>
    <row r="126" spans="1:6" x14ac:dyDescent="0.25">
      <c r="A126" s="29"/>
      <c r="B126" s="30"/>
      <c r="C126" s="29"/>
      <c r="D126" s="29"/>
      <c r="E126" s="64"/>
      <c r="F126" s="69"/>
    </row>
    <row r="127" spans="1:6" x14ac:dyDescent="0.25">
      <c r="E127" s="66"/>
      <c r="F127" s="67"/>
    </row>
    <row r="128" spans="1:6" x14ac:dyDescent="0.25">
      <c r="E128" s="127"/>
      <c r="F128" s="128"/>
    </row>
    <row r="129" spans="5:6" x14ac:dyDescent="0.25">
      <c r="E129" s="127"/>
      <c r="F129" s="128"/>
    </row>
    <row r="130" spans="5:6" x14ac:dyDescent="0.25">
      <c r="E130" s="127"/>
      <c r="F130" s="128"/>
    </row>
    <row r="131" spans="5:6" x14ac:dyDescent="0.25">
      <c r="E131" s="127"/>
      <c r="F131" s="128"/>
    </row>
  </sheetData>
  <mergeCells count="3">
    <mergeCell ref="A1:F1"/>
    <mergeCell ref="A83:F83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3"/>
  <sheetViews>
    <sheetView workbookViewId="0">
      <selection activeCell="D3" sqref="D3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5.88671875" style="61" bestFit="1" customWidth="1"/>
    <col min="5" max="5" width="37.5546875" style="129" customWidth="1"/>
    <col min="6" max="10" width="11.5546875" style="1" customWidth="1"/>
    <col min="11" max="16384" width="11.44140625" style="1"/>
  </cols>
  <sheetData>
    <row r="1" spans="1:8" ht="13.8" x14ac:dyDescent="0.25">
      <c r="A1" s="401" t="s">
        <v>460</v>
      </c>
      <c r="B1" s="402"/>
      <c r="C1" s="402"/>
      <c r="D1" s="402"/>
      <c r="E1" s="403"/>
      <c r="F1" s="309"/>
    </row>
    <row r="2" spans="1:8" ht="13.95" customHeight="1" thickBot="1" x14ac:dyDescent="0.3">
      <c r="A2" s="404" t="s">
        <v>533</v>
      </c>
      <c r="B2" s="405"/>
      <c r="C2" s="405"/>
      <c r="D2" s="405"/>
      <c r="E2" s="405"/>
      <c r="F2" s="10"/>
    </row>
    <row r="3" spans="1:8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26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27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86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87</v>
      </c>
      <c r="C12" s="119" t="s">
        <v>10</v>
      </c>
      <c r="D12" s="51"/>
      <c r="E12" s="52"/>
      <c r="F12" s="10"/>
    </row>
    <row r="13" spans="1:8" x14ac:dyDescent="0.25">
      <c r="A13" s="16" t="s">
        <v>43</v>
      </c>
      <c r="B13" s="118" t="s">
        <v>231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419</v>
      </c>
      <c r="C15" s="119" t="s">
        <v>10</v>
      </c>
      <c r="D15" s="51"/>
      <c r="E15" s="52"/>
      <c r="F15" s="10"/>
    </row>
    <row r="16" spans="1:8" ht="26.4" x14ac:dyDescent="0.25">
      <c r="A16" s="16" t="s">
        <v>46</v>
      </c>
      <c r="B16" s="120" t="s">
        <v>92</v>
      </c>
      <c r="C16" s="119" t="s">
        <v>10</v>
      </c>
      <c r="D16" s="51"/>
      <c r="E16" s="52"/>
      <c r="F16" s="10"/>
    </row>
    <row r="17" spans="1:7" x14ac:dyDescent="0.25">
      <c r="A17" s="16" t="s">
        <v>47</v>
      </c>
      <c r="B17" s="118" t="s">
        <v>93</v>
      </c>
      <c r="C17" s="119" t="s">
        <v>10</v>
      </c>
      <c r="D17" s="51"/>
      <c r="E17" s="52"/>
      <c r="F17" s="10"/>
    </row>
    <row r="18" spans="1:7" ht="26.4" x14ac:dyDescent="0.25">
      <c r="A18" s="16" t="s">
        <v>48</v>
      </c>
      <c r="B18" s="118" t="s">
        <v>94</v>
      </c>
      <c r="C18" s="119" t="s">
        <v>10</v>
      </c>
      <c r="D18" s="51"/>
      <c r="E18" s="52"/>
      <c r="F18" s="9"/>
      <c r="G18" s="10"/>
    </row>
    <row r="19" spans="1:7" x14ac:dyDescent="0.25">
      <c r="A19" s="16" t="s">
        <v>49</v>
      </c>
      <c r="B19" s="118" t="s">
        <v>95</v>
      </c>
      <c r="C19" s="119" t="s">
        <v>10</v>
      </c>
      <c r="D19" s="51"/>
      <c r="E19" s="52"/>
      <c r="F19" s="10"/>
    </row>
    <row r="20" spans="1:7" x14ac:dyDescent="0.25">
      <c r="A20" s="16" t="s">
        <v>310</v>
      </c>
      <c r="B20" s="120" t="s">
        <v>97</v>
      </c>
      <c r="C20" s="119" t="s">
        <v>16</v>
      </c>
      <c r="D20" s="51"/>
      <c r="E20" s="52"/>
      <c r="F20" s="10"/>
    </row>
    <row r="21" spans="1:7" x14ac:dyDescent="0.25">
      <c r="A21" s="16" t="s">
        <v>311</v>
      </c>
      <c r="B21" s="118" t="s">
        <v>98</v>
      </c>
      <c r="C21" s="119" t="s">
        <v>16</v>
      </c>
      <c r="D21" s="51"/>
      <c r="E21" s="52"/>
      <c r="F21" s="10"/>
    </row>
    <row r="22" spans="1:7" x14ac:dyDescent="0.25">
      <c r="A22" s="16" t="s">
        <v>312</v>
      </c>
      <c r="B22" s="118" t="s">
        <v>232</v>
      </c>
      <c r="C22" s="119" t="s">
        <v>10</v>
      </c>
      <c r="D22" s="51"/>
      <c r="E22" s="52"/>
      <c r="F22" s="10"/>
    </row>
    <row r="23" spans="1:7" ht="26.4" x14ac:dyDescent="0.25">
      <c r="A23" s="16" t="s">
        <v>156</v>
      </c>
      <c r="B23" s="118" t="s">
        <v>233</v>
      </c>
      <c r="C23" s="119" t="s">
        <v>10</v>
      </c>
      <c r="D23" s="51"/>
      <c r="E23" s="52"/>
      <c r="F23" s="10"/>
    </row>
    <row r="24" spans="1:7" ht="26.4" x14ac:dyDescent="0.25">
      <c r="A24" s="16" t="s">
        <v>157</v>
      </c>
      <c r="B24" s="118" t="s">
        <v>421</v>
      </c>
      <c r="C24" s="119" t="s">
        <v>10</v>
      </c>
      <c r="D24" s="51"/>
      <c r="E24" s="52"/>
      <c r="F24" s="10"/>
    </row>
    <row r="25" spans="1:7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7" x14ac:dyDescent="0.25">
      <c r="A26" s="16" t="s">
        <v>40</v>
      </c>
      <c r="B26" s="212" t="s">
        <v>183</v>
      </c>
      <c r="C26" s="5" t="s">
        <v>16</v>
      </c>
      <c r="D26" s="51"/>
      <c r="E26" s="52"/>
      <c r="F26" s="10"/>
    </row>
    <row r="27" spans="1:7" x14ac:dyDescent="0.25">
      <c r="A27" s="16" t="s">
        <v>61</v>
      </c>
      <c r="B27" s="36" t="s">
        <v>99</v>
      </c>
      <c r="C27" s="5" t="s">
        <v>16</v>
      </c>
      <c r="D27" s="51"/>
      <c r="E27" s="52"/>
      <c r="F27" s="10"/>
    </row>
    <row r="28" spans="1:7" x14ac:dyDescent="0.25">
      <c r="A28" s="16" t="s">
        <v>71</v>
      </c>
      <c r="B28" s="36" t="s">
        <v>167</v>
      </c>
      <c r="C28" s="5"/>
      <c r="D28" s="51"/>
      <c r="E28" s="52"/>
      <c r="F28" s="10"/>
    </row>
    <row r="29" spans="1:7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7" x14ac:dyDescent="0.25">
      <c r="A30" s="16" t="s">
        <v>133</v>
      </c>
      <c r="B30" s="36" t="s">
        <v>234</v>
      </c>
      <c r="C30" s="5" t="s">
        <v>77</v>
      </c>
      <c r="D30" s="51"/>
      <c r="E30" s="52"/>
      <c r="F30" s="10"/>
    </row>
    <row r="31" spans="1:7" x14ac:dyDescent="0.25">
      <c r="A31" s="17" t="s">
        <v>19</v>
      </c>
      <c r="B31" s="37" t="s">
        <v>235</v>
      </c>
      <c r="C31" s="18"/>
      <c r="D31" s="53"/>
      <c r="E31" s="54"/>
      <c r="F31" s="10"/>
    </row>
    <row r="32" spans="1:7" x14ac:dyDescent="0.25">
      <c r="A32" s="135" t="s">
        <v>65</v>
      </c>
      <c r="B32" s="212" t="s">
        <v>236</v>
      </c>
      <c r="C32" s="119" t="s">
        <v>77</v>
      </c>
      <c r="D32" s="55"/>
      <c r="E32" s="56"/>
      <c r="F32" s="10"/>
    </row>
    <row r="33" spans="1:6" ht="26.4" x14ac:dyDescent="0.25">
      <c r="A33" s="135" t="s">
        <v>66</v>
      </c>
      <c r="B33" s="212" t="s">
        <v>237</v>
      </c>
      <c r="C33" s="119" t="s">
        <v>77</v>
      </c>
      <c r="D33" s="51"/>
      <c r="E33" s="52"/>
      <c r="F33" s="10"/>
    </row>
    <row r="34" spans="1:6" ht="26.4" x14ac:dyDescent="0.25">
      <c r="A34" s="135" t="s">
        <v>67</v>
      </c>
      <c r="B34" s="212" t="s">
        <v>187</v>
      </c>
      <c r="C34" s="119" t="s">
        <v>77</v>
      </c>
      <c r="D34" s="51"/>
      <c r="E34" s="52"/>
    </row>
    <row r="35" spans="1:6" ht="66" x14ac:dyDescent="0.25">
      <c r="A35" s="135" t="s">
        <v>134</v>
      </c>
      <c r="B35" s="122" t="s">
        <v>391</v>
      </c>
      <c r="C35" s="119" t="s">
        <v>16</v>
      </c>
      <c r="D35" s="51"/>
      <c r="E35" s="52"/>
      <c r="F35" s="10"/>
    </row>
    <row r="36" spans="1:6" ht="26.4" x14ac:dyDescent="0.25">
      <c r="A36" s="135" t="s">
        <v>364</v>
      </c>
      <c r="B36" s="213" t="s">
        <v>238</v>
      </c>
      <c r="C36" s="214" t="s">
        <v>21</v>
      </c>
      <c r="D36" s="216"/>
      <c r="E36" s="217"/>
      <c r="F36" s="10"/>
    </row>
    <row r="37" spans="1:6" x14ac:dyDescent="0.25">
      <c r="A37" s="135" t="s">
        <v>381</v>
      </c>
      <c r="B37" s="203" t="s">
        <v>354</v>
      </c>
      <c r="C37" s="204" t="s">
        <v>16</v>
      </c>
      <c r="D37" s="216"/>
      <c r="E37" s="217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ht="26.4" x14ac:dyDescent="0.25">
      <c r="A39" s="16" t="s">
        <v>63</v>
      </c>
      <c r="B39" s="213" t="s">
        <v>239</v>
      </c>
      <c r="C39" s="5" t="s">
        <v>21</v>
      </c>
      <c r="D39" s="51"/>
      <c r="E39" s="52"/>
      <c r="F39" s="10"/>
    </row>
    <row r="40" spans="1:6" ht="26.4" x14ac:dyDescent="0.25">
      <c r="A40" s="16" t="s">
        <v>64</v>
      </c>
      <c r="B40" s="213" t="s">
        <v>240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213" t="s">
        <v>241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213" t="s">
        <v>242</v>
      </c>
      <c r="C43" s="5" t="s">
        <v>21</v>
      </c>
      <c r="D43" s="51"/>
      <c r="E43" s="52"/>
      <c r="F43" s="10"/>
    </row>
    <row r="44" spans="1:6" ht="26.4" x14ac:dyDescent="0.25">
      <c r="A44" s="16" t="s">
        <v>383</v>
      </c>
      <c r="B44" s="213" t="s">
        <v>243</v>
      </c>
      <c r="C44" s="5" t="s">
        <v>21</v>
      </c>
      <c r="D44" s="51"/>
      <c r="E44" s="52"/>
      <c r="F44" s="10"/>
    </row>
    <row r="45" spans="1:6" x14ac:dyDescent="0.25">
      <c r="A45" s="17"/>
      <c r="B45" s="37" t="s">
        <v>7</v>
      </c>
      <c r="C45" s="18"/>
      <c r="D45" s="53"/>
      <c r="E45" s="54"/>
      <c r="F45" s="10"/>
    </row>
    <row r="46" spans="1:6" x14ac:dyDescent="0.25">
      <c r="A46" s="17" t="s">
        <v>101</v>
      </c>
      <c r="B46" s="37" t="s">
        <v>102</v>
      </c>
      <c r="C46" s="18"/>
      <c r="D46" s="53"/>
      <c r="E46" s="54"/>
      <c r="F46" s="10"/>
    </row>
    <row r="47" spans="1:6" ht="39.6" x14ac:dyDescent="0.25">
      <c r="A47" s="16" t="s">
        <v>136</v>
      </c>
      <c r="B47" s="4" t="s">
        <v>382</v>
      </c>
      <c r="C47" s="5" t="s">
        <v>21</v>
      </c>
      <c r="D47" s="51"/>
      <c r="E47" s="52"/>
      <c r="F47" s="10"/>
    </row>
    <row r="48" spans="1:6" ht="26.4" x14ac:dyDescent="0.25">
      <c r="A48" s="16" t="s">
        <v>137</v>
      </c>
      <c r="B48" s="120" t="s">
        <v>103</v>
      </c>
      <c r="C48" s="5" t="s">
        <v>16</v>
      </c>
      <c r="D48" s="51"/>
      <c r="E48" s="52"/>
      <c r="F48" s="10"/>
    </row>
    <row r="49" spans="1:6" x14ac:dyDescent="0.25">
      <c r="A49" s="17" t="s">
        <v>104</v>
      </c>
      <c r="B49" s="37" t="s">
        <v>138</v>
      </c>
      <c r="C49" s="18"/>
      <c r="D49" s="53"/>
      <c r="E49" s="54"/>
      <c r="F49" s="10"/>
    </row>
    <row r="50" spans="1:6" x14ac:dyDescent="0.25">
      <c r="A50" s="16" t="s">
        <v>365</v>
      </c>
      <c r="B50" s="36" t="s">
        <v>106</v>
      </c>
      <c r="C50" s="5" t="s">
        <v>16</v>
      </c>
      <c r="D50" s="51"/>
      <c r="E50" s="52"/>
      <c r="F50" s="10"/>
    </row>
    <row r="51" spans="1:6" x14ac:dyDescent="0.25">
      <c r="A51" s="16" t="s">
        <v>366</v>
      </c>
      <c r="B51" s="36" t="s">
        <v>244</v>
      </c>
      <c r="C51" s="5" t="s">
        <v>16</v>
      </c>
      <c r="D51" s="51"/>
      <c r="E51" s="52"/>
      <c r="F51" s="10"/>
    </row>
    <row r="52" spans="1:6" x14ac:dyDescent="0.25">
      <c r="A52" s="16" t="s">
        <v>367</v>
      </c>
      <c r="B52" s="36" t="s">
        <v>108</v>
      </c>
      <c r="C52" s="5" t="s">
        <v>16</v>
      </c>
      <c r="D52" s="51"/>
      <c r="E52" s="52"/>
      <c r="F52" s="10"/>
    </row>
    <row r="53" spans="1:6" x14ac:dyDescent="0.25">
      <c r="A53" s="17" t="s">
        <v>109</v>
      </c>
      <c r="B53" s="37" t="s">
        <v>160</v>
      </c>
      <c r="C53" s="18"/>
      <c r="D53" s="53"/>
      <c r="E53" s="54"/>
      <c r="F53" s="10"/>
    </row>
    <row r="54" spans="1:6" x14ac:dyDescent="0.25">
      <c r="A54" s="16" t="s">
        <v>368</v>
      </c>
      <c r="B54" s="113" t="s">
        <v>408</v>
      </c>
      <c r="C54" s="5" t="s">
        <v>21</v>
      </c>
      <c r="D54" s="7"/>
      <c r="E54" s="52"/>
      <c r="F54" s="10"/>
    </row>
    <row r="55" spans="1:6" x14ac:dyDescent="0.25">
      <c r="A55" s="16" t="s">
        <v>369</v>
      </c>
      <c r="B55" s="113" t="s">
        <v>394</v>
      </c>
      <c r="C55" s="5" t="s">
        <v>21</v>
      </c>
      <c r="D55" s="7"/>
      <c r="E55" s="52"/>
      <c r="F55" s="10"/>
    </row>
    <row r="56" spans="1:6" x14ac:dyDescent="0.25">
      <c r="A56" s="16" t="s">
        <v>370</v>
      </c>
      <c r="B56" s="113" t="s">
        <v>395</v>
      </c>
      <c r="C56" s="5" t="s">
        <v>21</v>
      </c>
      <c r="D56" s="7"/>
      <c r="E56" s="52"/>
      <c r="F56" s="10"/>
    </row>
    <row r="57" spans="1:6" x14ac:dyDescent="0.25">
      <c r="A57" s="16" t="s">
        <v>371</v>
      </c>
      <c r="B57" s="113" t="s">
        <v>396</v>
      </c>
      <c r="C57" s="5" t="s">
        <v>21</v>
      </c>
      <c r="D57" s="7"/>
      <c r="E57" s="52"/>
      <c r="F57" s="10"/>
    </row>
    <row r="58" spans="1:6" x14ac:dyDescent="0.25">
      <c r="A58" s="16" t="s">
        <v>372</v>
      </c>
      <c r="B58" s="113" t="s">
        <v>397</v>
      </c>
      <c r="C58" s="5" t="s">
        <v>21</v>
      </c>
      <c r="D58" s="7"/>
      <c r="E58" s="52"/>
      <c r="F58" s="10"/>
    </row>
    <row r="59" spans="1:6" x14ac:dyDescent="0.25">
      <c r="A59" s="16" t="s">
        <v>373</v>
      </c>
      <c r="B59" s="113" t="s">
        <v>398</v>
      </c>
      <c r="C59" s="5" t="s">
        <v>21</v>
      </c>
      <c r="D59" s="7"/>
      <c r="E59" s="52"/>
      <c r="F59" s="10"/>
    </row>
    <row r="60" spans="1:6" x14ac:dyDescent="0.25">
      <c r="A60" s="16" t="s">
        <v>374</v>
      </c>
      <c r="B60" s="113" t="s">
        <v>412</v>
      </c>
      <c r="C60" s="5" t="s">
        <v>21</v>
      </c>
      <c r="D60" s="7"/>
      <c r="E60" s="52"/>
      <c r="F60" s="10"/>
    </row>
    <row r="61" spans="1:6" x14ac:dyDescent="0.25">
      <c r="A61" s="16" t="s">
        <v>375</v>
      </c>
      <c r="B61" s="113" t="s">
        <v>399</v>
      </c>
      <c r="C61" s="5" t="s">
        <v>21</v>
      </c>
      <c r="D61" s="7"/>
      <c r="E61" s="52"/>
      <c r="F61" s="10"/>
    </row>
    <row r="62" spans="1:6" ht="79.2" x14ac:dyDescent="0.25">
      <c r="A62" s="16" t="s">
        <v>376</v>
      </c>
      <c r="B62" s="4" t="s">
        <v>112</v>
      </c>
      <c r="C62" s="5" t="s">
        <v>6</v>
      </c>
      <c r="D62" s="51"/>
      <c r="E62" s="52"/>
      <c r="F62" s="10"/>
    </row>
    <row r="63" spans="1:6" x14ac:dyDescent="0.25">
      <c r="A63" s="16" t="s">
        <v>377</v>
      </c>
      <c r="B63" s="36" t="s">
        <v>362</v>
      </c>
      <c r="C63" s="5" t="s">
        <v>21</v>
      </c>
      <c r="D63" s="51"/>
      <c r="E63" s="52"/>
      <c r="F63" s="10"/>
    </row>
    <row r="64" spans="1:6" x14ac:dyDescent="0.25">
      <c r="A64" s="16" t="s">
        <v>378</v>
      </c>
      <c r="B64" s="36" t="s">
        <v>363</v>
      </c>
      <c r="C64" s="5" t="s">
        <v>21</v>
      </c>
      <c r="D64" s="51"/>
      <c r="E64" s="52"/>
      <c r="F64" s="10"/>
    </row>
    <row r="65" spans="1:6" x14ac:dyDescent="0.25">
      <c r="A65" s="16" t="s">
        <v>400</v>
      </c>
      <c r="B65" s="36" t="s">
        <v>361</v>
      </c>
      <c r="C65" s="5" t="s">
        <v>21</v>
      </c>
      <c r="D65" s="51"/>
      <c r="E65" s="52"/>
      <c r="F65" s="10"/>
    </row>
    <row r="66" spans="1:6" x14ac:dyDescent="0.25">
      <c r="A66" s="16" t="s">
        <v>401</v>
      </c>
      <c r="B66" s="36" t="s">
        <v>360</v>
      </c>
      <c r="C66" s="5" t="s">
        <v>21</v>
      </c>
      <c r="D66" s="51"/>
      <c r="E66" s="52"/>
      <c r="F66" s="10"/>
    </row>
    <row r="67" spans="1:6" s="126" customFormat="1" x14ac:dyDescent="0.25">
      <c r="A67" s="16" t="s">
        <v>402</v>
      </c>
      <c r="B67" s="36" t="s">
        <v>359</v>
      </c>
      <c r="C67" s="5" t="s">
        <v>21</v>
      </c>
      <c r="D67" s="51"/>
      <c r="E67" s="52"/>
      <c r="F67" s="39"/>
    </row>
    <row r="68" spans="1:6" s="126" customFormat="1" x14ac:dyDescent="0.25">
      <c r="A68" s="16" t="s">
        <v>403</v>
      </c>
      <c r="B68" s="36" t="s">
        <v>358</v>
      </c>
      <c r="C68" s="5" t="s">
        <v>21</v>
      </c>
      <c r="D68" s="51"/>
      <c r="E68" s="52"/>
      <c r="F68" s="39"/>
    </row>
    <row r="69" spans="1:6" x14ac:dyDescent="0.25">
      <c r="A69" s="16" t="s">
        <v>404</v>
      </c>
      <c r="B69" s="36" t="s">
        <v>357</v>
      </c>
      <c r="C69" s="5" t="s">
        <v>21</v>
      </c>
      <c r="D69" s="51"/>
      <c r="E69" s="52"/>
      <c r="F69" s="10"/>
    </row>
    <row r="70" spans="1:6" x14ac:dyDescent="0.25">
      <c r="A70" s="16" t="s">
        <v>405</v>
      </c>
      <c r="B70" s="36" t="s">
        <v>379</v>
      </c>
      <c r="C70" s="5" t="s">
        <v>80</v>
      </c>
      <c r="D70" s="51"/>
      <c r="E70" s="52"/>
      <c r="F70" s="10"/>
    </row>
    <row r="71" spans="1:6" ht="13.8" thickBot="1" x14ac:dyDescent="0.3">
      <c r="A71" s="26"/>
      <c r="B71" s="40"/>
      <c r="C71" s="27"/>
      <c r="D71" s="57"/>
      <c r="E71" s="58"/>
      <c r="F71" s="10"/>
    </row>
    <row r="72" spans="1:6" ht="13.8" thickTop="1" x14ac:dyDescent="0.25">
      <c r="E72" s="63"/>
    </row>
    <row r="73" spans="1:6" x14ac:dyDescent="0.25">
      <c r="B73" s="30"/>
      <c r="C73" s="29"/>
      <c r="D73" s="62"/>
      <c r="E73" s="63"/>
    </row>
    <row r="74" spans="1:6" x14ac:dyDescent="0.25">
      <c r="E74" s="60"/>
    </row>
    <row r="75" spans="1:6" x14ac:dyDescent="0.25">
      <c r="A75" s="396"/>
      <c r="B75" s="396"/>
      <c r="C75" s="396"/>
      <c r="D75" s="396"/>
      <c r="E75" s="396"/>
    </row>
    <row r="76" spans="1:6" x14ac:dyDescent="0.25">
      <c r="E76" s="60"/>
    </row>
    <row r="77" spans="1:6" x14ac:dyDescent="0.25">
      <c r="E77" s="60"/>
    </row>
    <row r="78" spans="1:6" x14ac:dyDescent="0.25">
      <c r="A78" s="47"/>
      <c r="B78" s="30"/>
      <c r="C78" s="29"/>
      <c r="D78" s="64"/>
      <c r="E78" s="65"/>
    </row>
    <row r="79" spans="1:6" x14ac:dyDescent="0.25">
      <c r="A79" s="29"/>
      <c r="B79" s="30"/>
      <c r="D79" s="66"/>
      <c r="E79" s="67"/>
    </row>
    <row r="80" spans="1:6" x14ac:dyDescent="0.25">
      <c r="A80" s="29"/>
      <c r="B80" s="30"/>
      <c r="C80" s="29"/>
      <c r="D80" s="64"/>
      <c r="E80" s="65"/>
    </row>
    <row r="81" spans="1:5" x14ac:dyDescent="0.25">
      <c r="A81" s="29"/>
      <c r="B81" s="30"/>
      <c r="C81" s="29"/>
      <c r="D81" s="64"/>
      <c r="E81" s="65"/>
    </row>
    <row r="82" spans="1:5" x14ac:dyDescent="0.25">
      <c r="D82" s="66"/>
      <c r="E82" s="67"/>
    </row>
    <row r="83" spans="1:5" x14ac:dyDescent="0.25">
      <c r="A83" s="29"/>
      <c r="B83" s="30"/>
      <c r="C83" s="29"/>
      <c r="D83" s="64"/>
      <c r="E83" s="65"/>
    </row>
    <row r="84" spans="1:5" x14ac:dyDescent="0.25">
      <c r="A84" s="29"/>
      <c r="B84" s="30"/>
      <c r="C84" s="29"/>
      <c r="D84" s="64"/>
      <c r="E84" s="65"/>
    </row>
    <row r="85" spans="1:5" x14ac:dyDescent="0.25">
      <c r="D85" s="66"/>
      <c r="E85" s="67"/>
    </row>
    <row r="86" spans="1:5" x14ac:dyDescent="0.25">
      <c r="D86" s="66"/>
      <c r="E86" s="67"/>
    </row>
    <row r="87" spans="1:5" x14ac:dyDescent="0.25">
      <c r="D87" s="66"/>
      <c r="E87" s="67"/>
    </row>
    <row r="88" spans="1:5" x14ac:dyDescent="0.25">
      <c r="A88" s="29"/>
      <c r="B88" s="30"/>
      <c r="C88" s="29"/>
      <c r="D88" s="64"/>
      <c r="E88" s="65"/>
    </row>
    <row r="89" spans="1:5" x14ac:dyDescent="0.25">
      <c r="A89" s="29"/>
      <c r="B89" s="30"/>
      <c r="C89" s="29"/>
      <c r="D89" s="64"/>
      <c r="E89" s="65"/>
    </row>
    <row r="90" spans="1:5" x14ac:dyDescent="0.25">
      <c r="D90" s="66"/>
      <c r="E90" s="67"/>
    </row>
    <row r="91" spans="1:5" x14ac:dyDescent="0.25">
      <c r="D91" s="66"/>
      <c r="E91" s="67"/>
    </row>
    <row r="92" spans="1:5" x14ac:dyDescent="0.25">
      <c r="D92" s="66"/>
      <c r="E92" s="67"/>
    </row>
    <row r="93" spans="1:5" x14ac:dyDescent="0.25">
      <c r="D93" s="66"/>
      <c r="E93" s="67"/>
    </row>
    <row r="94" spans="1:5" x14ac:dyDescent="0.25"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D97" s="66"/>
      <c r="E97" s="67"/>
    </row>
    <row r="98" spans="1:5" x14ac:dyDescent="0.25">
      <c r="A98" s="29"/>
      <c r="B98" s="30"/>
      <c r="C98" s="29"/>
      <c r="D98" s="64"/>
      <c r="E98" s="65"/>
    </row>
    <row r="99" spans="1:5" x14ac:dyDescent="0.25">
      <c r="A99" s="29"/>
      <c r="B99" s="30"/>
      <c r="C99" s="29"/>
      <c r="D99" s="64"/>
      <c r="E99" s="65"/>
    </row>
    <row r="100" spans="1:5" x14ac:dyDescent="0.25">
      <c r="D100" s="66"/>
      <c r="E100" s="67"/>
    </row>
    <row r="101" spans="1:5" x14ac:dyDescent="0.25">
      <c r="D101" s="66"/>
      <c r="E101" s="67"/>
    </row>
    <row r="102" spans="1:5" x14ac:dyDescent="0.25">
      <c r="A102" s="29"/>
      <c r="B102" s="30"/>
      <c r="C102" s="29"/>
      <c r="D102" s="64"/>
      <c r="E102" s="65"/>
    </row>
    <row r="103" spans="1:5" x14ac:dyDescent="0.25">
      <c r="A103" s="29"/>
      <c r="B103" s="30"/>
      <c r="C103" s="29"/>
      <c r="D103" s="64"/>
      <c r="E103" s="65"/>
    </row>
    <row r="104" spans="1:5" x14ac:dyDescent="0.25">
      <c r="D104" s="66"/>
      <c r="E104" s="67"/>
    </row>
    <row r="105" spans="1:5" x14ac:dyDescent="0.25">
      <c r="A105" s="29"/>
      <c r="B105" s="30"/>
      <c r="C105" s="29"/>
      <c r="D105" s="64"/>
      <c r="E105" s="65"/>
    </row>
    <row r="106" spans="1:5" x14ac:dyDescent="0.25">
      <c r="A106" s="29"/>
      <c r="B106" s="30"/>
      <c r="C106" s="29"/>
      <c r="D106" s="64"/>
      <c r="E106" s="65"/>
    </row>
    <row r="107" spans="1:5" x14ac:dyDescent="0.25">
      <c r="A107" s="29"/>
      <c r="C107" s="29"/>
      <c r="D107" s="66"/>
      <c r="E107" s="67"/>
    </row>
    <row r="108" spans="1:5" x14ac:dyDescent="0.25">
      <c r="D108" s="66"/>
      <c r="E108" s="67"/>
    </row>
    <row r="109" spans="1:5" x14ac:dyDescent="0.25">
      <c r="D109" s="66"/>
      <c r="E109" s="67"/>
    </row>
    <row r="110" spans="1:5" x14ac:dyDescent="0.25">
      <c r="A110" s="29"/>
      <c r="B110" s="30"/>
      <c r="C110" s="29"/>
      <c r="D110" s="64"/>
      <c r="E110" s="65"/>
    </row>
    <row r="111" spans="1:5" x14ac:dyDescent="0.25">
      <c r="A111" s="29"/>
      <c r="B111" s="30"/>
      <c r="C111" s="29"/>
      <c r="D111" s="64"/>
      <c r="E111" s="65"/>
    </row>
    <row r="112" spans="1:5" x14ac:dyDescent="0.25">
      <c r="D112" s="66"/>
      <c r="E112" s="67"/>
    </row>
    <row r="113" spans="1:5" x14ac:dyDescent="0.25">
      <c r="D113" s="66"/>
      <c r="E113" s="67"/>
    </row>
    <row r="114" spans="1:5" x14ac:dyDescent="0.25">
      <c r="A114" s="29"/>
      <c r="B114" s="30"/>
      <c r="C114" s="29"/>
      <c r="D114" s="64"/>
      <c r="E114" s="65"/>
    </row>
    <row r="115" spans="1:5" x14ac:dyDescent="0.25">
      <c r="A115" s="29"/>
      <c r="B115" s="30"/>
      <c r="C115" s="29"/>
      <c r="D115" s="64"/>
      <c r="E115" s="65"/>
    </row>
    <row r="116" spans="1:5" x14ac:dyDescent="0.25">
      <c r="D116" s="66"/>
      <c r="E116" s="67"/>
    </row>
    <row r="117" spans="1:5" x14ac:dyDescent="0.25">
      <c r="A117" s="29"/>
      <c r="B117" s="30"/>
      <c r="C117" s="29"/>
      <c r="D117" s="64"/>
      <c r="E117" s="65"/>
    </row>
    <row r="118" spans="1:5" x14ac:dyDescent="0.25">
      <c r="A118" s="29"/>
      <c r="B118" s="30"/>
      <c r="C118" s="29"/>
      <c r="D118" s="64"/>
      <c r="E118" s="69"/>
    </row>
    <row r="119" spans="1:5" x14ac:dyDescent="0.25">
      <c r="D119" s="66"/>
      <c r="E119" s="67"/>
    </row>
    <row r="120" spans="1:5" x14ac:dyDescent="0.25">
      <c r="D120" s="127"/>
      <c r="E120" s="128"/>
    </row>
    <row r="121" spans="1:5" x14ac:dyDescent="0.25">
      <c r="D121" s="127"/>
      <c r="E121" s="128"/>
    </row>
    <row r="122" spans="1:5" x14ac:dyDescent="0.25">
      <c r="D122" s="127"/>
      <c r="E122" s="128"/>
    </row>
    <row r="123" spans="1:5" x14ac:dyDescent="0.25">
      <c r="D123" s="127"/>
      <c r="E123" s="128"/>
    </row>
  </sheetData>
  <mergeCells count="3">
    <mergeCell ref="A1:E1"/>
    <mergeCell ref="A75:E75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cadre RECAPITULATIF</vt:lpstr>
      <vt:lpstr>Cadre DQE Généralites</vt:lpstr>
      <vt:lpstr>Cadre BPU Généralites</vt:lpstr>
      <vt:lpstr>cadre DQE EntréeAménag</vt:lpstr>
      <vt:lpstr>cadre BPU EntréeAménag</vt:lpstr>
      <vt:lpstr>CADRE DQE ADMINISTRATION</vt:lpstr>
      <vt:lpstr>CADRE BPU ADMINISTRATION</vt:lpstr>
      <vt:lpstr>CADRE DQE BIBLIOTHEQUE </vt:lpstr>
      <vt:lpstr>CADRE BPU BIBLIOTHEQUE </vt:lpstr>
      <vt:lpstr>CADRE DQE SALLE INFORM-LABO</vt:lpstr>
      <vt:lpstr>CADRE BPU SALLE INFORM-LABO</vt:lpstr>
      <vt:lpstr>CADRE DQE SALLE POLYVALENTE</vt:lpstr>
      <vt:lpstr>CADRE BPU SALLE POLYVALENTE</vt:lpstr>
      <vt:lpstr>CADRE DQE PATIO</vt:lpstr>
      <vt:lpstr>CADRE BPU PATIO</vt:lpstr>
      <vt:lpstr>CADRE DQE REHAB 4 SC </vt:lpstr>
      <vt:lpstr>CADRE BPU REHAB 4 SC  </vt:lpstr>
      <vt:lpstr>REHAB BUR+MAGA </vt:lpstr>
      <vt:lpstr>CADRE BPU REHAB BUR+MAGA </vt:lpstr>
      <vt:lpstr>CADRE DQE REHAB LATRINES </vt:lpstr>
      <vt:lpstr>CADRE BPU REHAB LATRINES </vt:lpstr>
      <vt:lpstr>CADRE DQE BLOC 3 SC</vt:lpstr>
      <vt:lpstr>CADRE BPU BLOC 3 SC</vt:lpstr>
      <vt:lpstr>CADRE DQE LATRINE 2 CABINES</vt:lpstr>
      <vt:lpstr>CADRE BPU LATRINE 2 CABINES</vt:lpstr>
      <vt:lpstr>CADRE DQE LOGEMENT DIRECTEUR</vt:lpstr>
      <vt:lpstr>CADRE BPU LOGEMENT DIRECTEUR</vt:lpstr>
      <vt:lpstr>CADRE DQE CASE GARDIEN</vt:lpstr>
      <vt:lpstr>CADRE BPU CASE GARDIEN</vt:lpstr>
      <vt:lpstr>CADRE TERRAIN DE SPORT</vt:lpstr>
      <vt:lpstr>cadre BPU terrain de 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</dc:creator>
  <cp:lastModifiedBy>DICKO HOUSSEINI, Dicko Hamadoum</cp:lastModifiedBy>
  <cp:lastPrinted>2023-05-18T09:23:09Z</cp:lastPrinted>
  <dcterms:created xsi:type="dcterms:W3CDTF">2023-05-04T11:20:12Z</dcterms:created>
  <dcterms:modified xsi:type="dcterms:W3CDTF">2023-10-10T12:11:04Z</dcterms:modified>
</cp:coreProperties>
</file>