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STICE\BDI22001-10011_Travaux amélioration bâti carcéral\"/>
    </mc:Choice>
  </mc:AlternateContent>
  <xr:revisionPtr revIDLastSave="0" documentId="13_ncr:1_{533323B7-587A-4FDD-8554-C4C61FCA8111}" xr6:coauthVersionLast="47" xr6:coauthVersionMax="47" xr10:uidLastSave="{00000000-0000-0000-0000-000000000000}"/>
  <bookViews>
    <workbookView xWindow="-108" yWindow="-108" windowWidth="23256" windowHeight="12456" firstSheet="1" activeTab="2" xr2:uid="{701FE579-B935-4DB0-9510-89E14557303A}"/>
  </bookViews>
  <sheets>
    <sheet name="Muyinga" sheetId="4" state="hidden" r:id="rId1"/>
    <sheet name="BPU" sheetId="8" r:id="rId2"/>
    <sheet name="Lot 1-Ngozi-femmes" sheetId="1" r:id="rId3"/>
    <sheet name="Lot 2 Ngozi-Hommes" sheetId="3" r:id="rId4"/>
    <sheet name="Lot 3 Muyinga" sheetId="6" r:id="rId5"/>
    <sheet name="Recap" sheetId="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3" i="1" l="1"/>
  <c r="F384" i="1"/>
  <c r="F383" i="3"/>
  <c r="F384" i="3"/>
  <c r="F383" i="6"/>
  <c r="F384" i="6"/>
  <c r="F375" i="1"/>
  <c r="F376" i="1"/>
  <c r="F377" i="1"/>
  <c r="F375" i="3"/>
  <c r="F376" i="3"/>
  <c r="F377" i="3"/>
  <c r="F375" i="6"/>
  <c r="F376" i="6"/>
  <c r="F377" i="6"/>
  <c r="F384" i="8"/>
  <c r="F377" i="8"/>
  <c r="F383" i="8"/>
  <c r="F375" i="8"/>
  <c r="F376" i="8"/>
  <c r="E774" i="6" l="1"/>
  <c r="E773" i="6"/>
  <c r="E771" i="6"/>
  <c r="E767" i="6"/>
  <c r="E765" i="6"/>
  <c r="E763" i="6"/>
  <c r="E762" i="6"/>
  <c r="E761" i="6"/>
  <c r="E760" i="6"/>
  <c r="E759" i="6"/>
  <c r="E753" i="6"/>
  <c r="E750" i="6"/>
  <c r="E749" i="6"/>
  <c r="E748" i="6"/>
  <c r="E745" i="6"/>
  <c r="E743" i="6"/>
  <c r="E740" i="6"/>
  <c r="E735" i="6"/>
  <c r="E732" i="6"/>
  <c r="E731" i="6"/>
  <c r="E729" i="6"/>
  <c r="E728" i="6"/>
  <c r="E725" i="6"/>
  <c r="E724" i="6"/>
  <c r="E723" i="6"/>
  <c r="E719" i="6"/>
  <c r="E718" i="6"/>
  <c r="E717" i="6"/>
  <c r="E716" i="6"/>
  <c r="E713" i="6"/>
  <c r="E712" i="6"/>
  <c r="E709" i="6"/>
  <c r="E708" i="6"/>
  <c r="E707" i="6"/>
  <c r="E706" i="6"/>
  <c r="E705" i="6"/>
  <c r="E704" i="6"/>
  <c r="E702" i="6"/>
  <c r="E701" i="6"/>
  <c r="E700" i="6"/>
  <c r="E699" i="6"/>
  <c r="E697" i="6"/>
  <c r="E696" i="6"/>
  <c r="E687" i="6"/>
  <c r="E774" i="3" l="1"/>
  <c r="E773" i="3"/>
  <c r="E771" i="3"/>
  <c r="E767" i="3"/>
  <c r="E765" i="3"/>
  <c r="E763" i="3"/>
  <c r="E762" i="3"/>
  <c r="E761" i="3"/>
  <c r="E760" i="3"/>
  <c r="E759" i="3"/>
  <c r="E753" i="3"/>
  <c r="E750" i="3"/>
  <c r="E749" i="3"/>
  <c r="E748" i="3"/>
  <c r="E745" i="3"/>
  <c r="E743" i="3"/>
  <c r="E740" i="3"/>
  <c r="E735" i="3"/>
  <c r="E732" i="3"/>
  <c r="E731" i="3"/>
  <c r="E729" i="3"/>
  <c r="E728" i="3"/>
  <c r="E725" i="3"/>
  <c r="E724" i="3"/>
  <c r="E723" i="3"/>
  <c r="E719" i="3"/>
  <c r="E718" i="3"/>
  <c r="E717" i="3"/>
  <c r="E716" i="3"/>
  <c r="E713" i="3"/>
  <c r="E712" i="3"/>
  <c r="E709" i="3"/>
  <c r="E708" i="3"/>
  <c r="E707" i="3"/>
  <c r="E706" i="3"/>
  <c r="E705" i="3"/>
  <c r="E704" i="3"/>
  <c r="E702" i="3"/>
  <c r="E701" i="3"/>
  <c r="E700" i="3"/>
  <c r="E699" i="3"/>
  <c r="E697" i="3"/>
  <c r="E696" i="3"/>
  <c r="E687" i="3"/>
  <c r="E678" i="3" l="1"/>
  <c r="E675" i="3"/>
  <c r="E673" i="3"/>
  <c r="E66" i="3"/>
  <c r="E43" i="3"/>
  <c r="E29" i="3"/>
  <c r="E774" i="1"/>
  <c r="E773" i="1"/>
  <c r="E771" i="1"/>
  <c r="E767" i="1"/>
  <c r="E765" i="1"/>
  <c r="E763" i="1"/>
  <c r="E762" i="1"/>
  <c r="E761" i="1"/>
  <c r="E760" i="1"/>
  <c r="E759" i="1"/>
  <c r="E753" i="1"/>
  <c r="E750" i="1"/>
  <c r="E749" i="1"/>
  <c r="E748" i="1"/>
  <c r="E745" i="1"/>
  <c r="E740" i="1"/>
  <c r="E735" i="1"/>
  <c r="E732" i="1"/>
  <c r="E731" i="1"/>
  <c r="E729" i="1"/>
  <c r="E728" i="1"/>
  <c r="E725" i="1"/>
  <c r="E724" i="1"/>
  <c r="E723" i="1"/>
  <c r="E719" i="1"/>
  <c r="E718" i="1"/>
  <c r="E717" i="1"/>
  <c r="E716" i="1"/>
  <c r="E713" i="1"/>
  <c r="E712" i="1"/>
  <c r="E709" i="1"/>
  <c r="E708" i="1"/>
  <c r="E706" i="1"/>
  <c r="E705" i="1"/>
  <c r="E704" i="1"/>
  <c r="E702" i="1"/>
  <c r="E701" i="1"/>
  <c r="E700" i="1"/>
  <c r="E699" i="1"/>
  <c r="E697" i="1"/>
  <c r="E696" i="1"/>
  <c r="E687" i="1"/>
  <c r="E66" i="1"/>
  <c r="E55" i="1"/>
  <c r="E45" i="1"/>
  <c r="E29" i="1"/>
  <c r="F677" i="1" l="1"/>
  <c r="G677" i="1" s="1"/>
  <c r="F677" i="3"/>
  <c r="G677" i="3" s="1"/>
  <c r="F677" i="6"/>
  <c r="G677" i="6" s="1"/>
  <c r="E858" i="6" l="1"/>
  <c r="E341" i="6"/>
  <c r="E840" i="3"/>
  <c r="E822" i="3"/>
  <c r="E343" i="3"/>
  <c r="E834" i="1"/>
  <c r="F677" i="8"/>
  <c r="F678" i="8"/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8" i="3"/>
  <c r="F379" i="3"/>
  <c r="F380" i="3"/>
  <c r="F381" i="3"/>
  <c r="F382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8" i="3"/>
  <c r="G678" i="3" s="1"/>
  <c r="F679" i="3"/>
  <c r="G679" i="3" s="1"/>
  <c r="F680" i="3"/>
  <c r="F681" i="3"/>
  <c r="F682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8" i="3"/>
  <c r="F777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8" i="6"/>
  <c r="F379" i="6"/>
  <c r="F380" i="6"/>
  <c r="F381" i="6"/>
  <c r="F382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8" i="6"/>
  <c r="F679" i="6"/>
  <c r="F680" i="6"/>
  <c r="F681" i="6"/>
  <c r="F682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8" i="6"/>
  <c r="F699" i="6"/>
  <c r="F700" i="6"/>
  <c r="F701" i="6"/>
  <c r="F702" i="6"/>
  <c r="F704" i="6"/>
  <c r="F705" i="6"/>
  <c r="F706" i="6"/>
  <c r="F707" i="6"/>
  <c r="F708" i="6"/>
  <c r="F709" i="6"/>
  <c r="F710" i="6"/>
  <c r="F712" i="6"/>
  <c r="F713" i="6"/>
  <c r="F714" i="6"/>
  <c r="F716" i="6"/>
  <c r="F717" i="6"/>
  <c r="F718" i="6"/>
  <c r="F719" i="6"/>
  <c r="F720" i="6"/>
  <c r="F722" i="6"/>
  <c r="F723" i="6"/>
  <c r="F724" i="6"/>
  <c r="F725" i="6"/>
  <c r="F727" i="6"/>
  <c r="F728" i="6"/>
  <c r="F729" i="6"/>
  <c r="F730" i="6"/>
  <c r="F731" i="6"/>
  <c r="F732" i="6"/>
  <c r="F733" i="6"/>
  <c r="F735" i="6"/>
  <c r="F736" i="6"/>
  <c r="F737" i="6"/>
  <c r="F738" i="6"/>
  <c r="F739" i="6"/>
  <c r="F740" i="6"/>
  <c r="F741" i="6"/>
  <c r="F742" i="6"/>
  <c r="F743" i="6"/>
  <c r="F745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8" i="6"/>
  <c r="F777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8" i="1"/>
  <c r="F379" i="1"/>
  <c r="F380" i="1"/>
  <c r="F381" i="1"/>
  <c r="F382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8" i="1"/>
  <c r="F679" i="1"/>
  <c r="F680" i="1"/>
  <c r="F681" i="1"/>
  <c r="F682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8" i="1"/>
  <c r="F777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11" i="3"/>
  <c r="F11" i="6"/>
  <c r="F11" i="1"/>
  <c r="E911" i="6" l="1"/>
  <c r="E908" i="6"/>
  <c r="E894" i="6"/>
  <c r="E920" i="6" s="1"/>
  <c r="E887" i="6"/>
  <c r="E883" i="6"/>
  <c r="E884" i="6" s="1"/>
  <c r="E879" i="6"/>
  <c r="E878" i="6"/>
  <c r="E871" i="6"/>
  <c r="G871" i="6" s="1"/>
  <c r="E874" i="6"/>
  <c r="G871" i="1"/>
  <c r="G871" i="3"/>
  <c r="G872" i="3"/>
  <c r="G873" i="3"/>
  <c r="G872" i="6"/>
  <c r="G873" i="6"/>
  <c r="E870" i="6"/>
  <c r="E867" i="6"/>
  <c r="E866" i="6"/>
  <c r="E863" i="6"/>
  <c r="E861" i="6"/>
  <c r="E860" i="6"/>
  <c r="E859" i="6"/>
  <c r="E854" i="6"/>
  <c r="E853" i="6"/>
  <c r="E851" i="6"/>
  <c r="E850" i="6"/>
  <c r="E823" i="6"/>
  <c r="E822" i="6"/>
  <c r="E790" i="6"/>
  <c r="E785" i="6"/>
  <c r="E780" i="6"/>
  <c r="G780" i="6" s="1"/>
  <c r="G777" i="3"/>
  <c r="G780" i="3"/>
  <c r="G777" i="6"/>
  <c r="G779" i="6"/>
  <c r="G777" i="1"/>
  <c r="G779" i="1"/>
  <c r="G780" i="1"/>
  <c r="E693" i="6"/>
  <c r="E692" i="6"/>
  <c r="E691" i="6"/>
  <c r="E690" i="6"/>
  <c r="E689" i="6"/>
  <c r="E678" i="6"/>
  <c r="G678" i="6" s="1"/>
  <c r="E675" i="6"/>
  <c r="E673" i="6"/>
  <c r="E669" i="6"/>
  <c r="E668" i="6"/>
  <c r="E661" i="6"/>
  <c r="E659" i="6"/>
  <c r="E656" i="6"/>
  <c r="E655" i="6"/>
  <c r="E654" i="6"/>
  <c r="E651" i="6"/>
  <c r="E646" i="6"/>
  <c r="E643" i="6"/>
  <c r="E642" i="6"/>
  <c r="E639" i="6"/>
  <c r="E636" i="6"/>
  <c r="E635" i="6"/>
  <c r="E630" i="6"/>
  <c r="E626" i="6"/>
  <c r="G626" i="6" s="1"/>
  <c r="E623" i="6"/>
  <c r="G623" i="6" s="1"/>
  <c r="G623" i="3"/>
  <c r="G624" i="3"/>
  <c r="G625" i="3"/>
  <c r="G626" i="3"/>
  <c r="G624" i="6"/>
  <c r="G625" i="6"/>
  <c r="G623" i="1"/>
  <c r="G624" i="1"/>
  <c r="G625" i="1"/>
  <c r="G626" i="1"/>
  <c r="E622" i="6"/>
  <c r="E619" i="6"/>
  <c r="E618" i="6"/>
  <c r="E615" i="6"/>
  <c r="E612" i="6"/>
  <c r="E613" i="6" s="1"/>
  <c r="E611" i="6"/>
  <c r="E610" i="6"/>
  <c r="E607" i="6"/>
  <c r="E606" i="6"/>
  <c r="E605" i="6"/>
  <c r="E603" i="6"/>
  <c r="E602" i="6"/>
  <c r="E580" i="6"/>
  <c r="E577" i="6"/>
  <c r="E575" i="6"/>
  <c r="E542" i="6"/>
  <c r="E532" i="6"/>
  <c r="E520" i="6"/>
  <c r="F872" i="8"/>
  <c r="F779" i="8"/>
  <c r="F871" i="8"/>
  <c r="F777" i="8"/>
  <c r="F780" i="8"/>
  <c r="F873" i="8"/>
  <c r="F623" i="8"/>
  <c r="F624" i="8"/>
  <c r="F625" i="8"/>
  <c r="E504" i="6" l="1"/>
  <c r="E503" i="6"/>
  <c r="E494" i="6"/>
  <c r="E493" i="6"/>
  <c r="E491" i="6"/>
  <c r="E487" i="6"/>
  <c r="E484" i="6"/>
  <c r="E483" i="6"/>
  <c r="E482" i="6"/>
  <c r="E481" i="6"/>
  <c r="E480" i="6"/>
  <c r="E476" i="6" l="1"/>
  <c r="E472" i="6"/>
  <c r="G472" i="6" s="1"/>
  <c r="E464" i="6"/>
  <c r="G464" i="6"/>
  <c r="G465" i="6"/>
  <c r="G466" i="6"/>
  <c r="G467" i="6"/>
  <c r="G468" i="6"/>
  <c r="G469" i="6"/>
  <c r="G471" i="6"/>
  <c r="G472" i="1"/>
  <c r="G472" i="3"/>
  <c r="E473" i="6"/>
  <c r="E470" i="6"/>
  <c r="G470" i="6" s="1"/>
  <c r="E460" i="6"/>
  <c r="E458" i="6"/>
  <c r="E457" i="6"/>
  <c r="E454" i="6"/>
  <c r="E448" i="6"/>
  <c r="E447" i="6"/>
  <c r="E446" i="6"/>
  <c r="G445" i="1"/>
  <c r="G445" i="3"/>
  <c r="G445" i="6"/>
  <c r="E444" i="6"/>
  <c r="E441" i="6"/>
  <c r="E440" i="6"/>
  <c r="E438" i="6"/>
  <c r="E437" i="6"/>
  <c r="E436" i="6"/>
  <c r="E434" i="6"/>
  <c r="E435" i="6" s="1"/>
  <c r="E433" i="6"/>
  <c r="E432" i="6"/>
  <c r="E429" i="6"/>
  <c r="E428" i="6"/>
  <c r="E427" i="6"/>
  <c r="E425" i="6"/>
  <c r="E424" i="6"/>
  <c r="E418" i="6"/>
  <c r="E416" i="6"/>
  <c r="E410" i="6"/>
  <c r="E409" i="6"/>
  <c r="E408" i="6"/>
  <c r="E407" i="6"/>
  <c r="E394" i="6"/>
  <c r="E392" i="6"/>
  <c r="E390" i="6"/>
  <c r="E368" i="6"/>
  <c r="E364" i="6"/>
  <c r="E356" i="6"/>
  <c r="G356" i="6" s="1"/>
  <c r="G356" i="1"/>
  <c r="G356" i="3"/>
  <c r="E355" i="6"/>
  <c r="E352" i="6"/>
  <c r="E351" i="6"/>
  <c r="E348" i="6"/>
  <c r="E345" i="6"/>
  <c r="E344" i="6"/>
  <c r="E339" i="6"/>
  <c r="E338" i="6"/>
  <c r="E336" i="6"/>
  <c r="E335" i="6"/>
  <c r="E322" i="6"/>
  <c r="E321" i="6"/>
  <c r="E313" i="6"/>
  <c r="E310" i="6"/>
  <c r="E305" i="6"/>
  <c r="E300" i="6"/>
  <c r="E295" i="6"/>
  <c r="E289" i="6"/>
  <c r="E288" i="6"/>
  <c r="E283" i="6"/>
  <c r="E279" i="6"/>
  <c r="E277" i="6"/>
  <c r="E276" i="6"/>
  <c r="E273" i="6"/>
  <c r="E272" i="6"/>
  <c r="E269" i="6"/>
  <c r="E266" i="6"/>
  <c r="E267" i="6" s="1"/>
  <c r="E265" i="6"/>
  <c r="E264" i="6"/>
  <c r="E262" i="6"/>
  <c r="E260" i="6"/>
  <c r="E259" i="6"/>
  <c r="E257" i="6"/>
  <c r="E256" i="6"/>
  <c r="G229" i="3"/>
  <c r="G230" i="3"/>
  <c r="G231" i="3"/>
  <c r="G232" i="3"/>
  <c r="G233" i="3"/>
  <c r="G234" i="3"/>
  <c r="G229" i="6"/>
  <c r="G230" i="6"/>
  <c r="G231" i="6"/>
  <c r="G232" i="6"/>
  <c r="G233" i="6"/>
  <c r="G234" i="6"/>
  <c r="G229" i="1"/>
  <c r="G230" i="1"/>
  <c r="G231" i="1"/>
  <c r="G232" i="1"/>
  <c r="G233" i="1"/>
  <c r="G234" i="1"/>
  <c r="E239" i="6"/>
  <c r="E226" i="6"/>
  <c r="E217" i="6"/>
  <c r="E213" i="6"/>
  <c r="E204" i="6"/>
  <c r="E189" i="6"/>
  <c r="E193" i="6"/>
  <c r="E195" i="6" s="1"/>
  <c r="E192" i="6"/>
  <c r="E187" i="6"/>
  <c r="E182" i="6"/>
  <c r="E181" i="6"/>
  <c r="E180" i="6"/>
  <c r="E177" i="6"/>
  <c r="E176" i="6"/>
  <c r="E172" i="6"/>
  <c r="E166" i="6"/>
  <c r="E164" i="6"/>
  <c r="E163" i="6"/>
  <c r="E161" i="6"/>
  <c r="E160" i="6"/>
  <c r="E147" i="6"/>
  <c r="E136" i="6"/>
  <c r="E135" i="6"/>
  <c r="E125" i="6"/>
  <c r="E107" i="6"/>
  <c r="E106" i="6"/>
  <c r="E103" i="6"/>
  <c r="E99" i="6"/>
  <c r="E97" i="6"/>
  <c r="E94" i="6"/>
  <c r="E93" i="6"/>
  <c r="E92" i="6"/>
  <c r="F231" i="8"/>
  <c r="F465" i="8"/>
  <c r="F464" i="8"/>
  <c r="F230" i="8"/>
  <c r="F445" i="8"/>
  <c r="F232" i="8"/>
  <c r="F472" i="8"/>
  <c r="F234" i="8"/>
  <c r="F229" i="8"/>
  <c r="F233" i="8"/>
  <c r="F356" i="8"/>
  <c r="G58" i="3" l="1"/>
  <c r="G59" i="3"/>
  <c r="G58" i="6"/>
  <c r="G58" i="1"/>
  <c r="G59" i="1"/>
  <c r="E84" i="6"/>
  <c r="E78" i="6"/>
  <c r="G78" i="6" s="1"/>
  <c r="G78" i="1"/>
  <c r="G78" i="3"/>
  <c r="E75" i="6"/>
  <c r="E72" i="6"/>
  <c r="E71" i="6"/>
  <c r="E67" i="6"/>
  <c r="E66" i="6"/>
  <c r="E59" i="6"/>
  <c r="G59" i="6" s="1"/>
  <c r="E57" i="6"/>
  <c r="E55" i="6"/>
  <c r="E54" i="6"/>
  <c r="E53" i="6"/>
  <c r="E50" i="6"/>
  <c r="E47" i="6"/>
  <c r="E48" i="6" s="1"/>
  <c r="E46" i="6"/>
  <c r="E45" i="6"/>
  <c r="E41" i="6"/>
  <c r="E40" i="6"/>
  <c r="E37" i="6"/>
  <c r="E38" i="6"/>
  <c r="E33" i="6"/>
  <c r="E29" i="6"/>
  <c r="E17" i="6"/>
  <c r="E16" i="6"/>
  <c r="E15" i="6"/>
  <c r="E937" i="3"/>
  <c r="E834" i="3"/>
  <c r="E779" i="3"/>
  <c r="G779" i="3" s="1"/>
  <c r="E807" i="3"/>
  <c r="E693" i="3"/>
  <c r="F58" i="8"/>
  <c r="F78" i="8"/>
  <c r="F59" i="8"/>
  <c r="E692" i="3" l="1"/>
  <c r="E691" i="3"/>
  <c r="E690" i="3"/>
  <c r="E689" i="3"/>
  <c r="E582" i="3"/>
  <c r="E580" i="3"/>
  <c r="E579" i="3"/>
  <c r="E578" i="3"/>
  <c r="E575" i="3"/>
  <c r="E541" i="3"/>
  <c r="E540" i="3"/>
  <c r="E530" i="3"/>
  <c r="E392" i="3"/>
  <c r="E390" i="3"/>
  <c r="E353" i="3"/>
  <c r="E327" i="3"/>
  <c r="E323" i="3"/>
  <c r="E322" i="3"/>
  <c r="E313" i="3"/>
  <c r="E311" i="3"/>
  <c r="E309" i="3"/>
  <c r="E300" i="3"/>
  <c r="E295" i="3"/>
  <c r="E292" i="3"/>
  <c r="E288" i="3"/>
  <c r="E284" i="3"/>
  <c r="E283" i="3"/>
  <c r="E279" i="3"/>
  <c r="E277" i="3"/>
  <c r="E273" i="3"/>
  <c r="E272" i="3"/>
  <c r="E269" i="3"/>
  <c r="E266" i="3"/>
  <c r="E267" i="3" s="1"/>
  <c r="E265" i="3"/>
  <c r="E262" i="3"/>
  <c r="E260" i="3"/>
  <c r="E259" i="3"/>
  <c r="E257" i="3"/>
  <c r="E256" i="3"/>
  <c r="E239" i="3"/>
  <c r="E226" i="3"/>
  <c r="E166" i="3"/>
  <c r="E152" i="3"/>
  <c r="E147" i="3"/>
  <c r="E125" i="3"/>
  <c r="E106" i="3"/>
  <c r="E21" i="3"/>
  <c r="E949" i="1"/>
  <c r="E938" i="1"/>
  <c r="E937" i="1"/>
  <c r="E911" i="1"/>
  <c r="E908" i="1"/>
  <c r="E907" i="1"/>
  <c r="E906" i="1"/>
  <c r="E903" i="1"/>
  <c r="E895" i="1"/>
  <c r="E890" i="1"/>
  <c r="E887" i="1"/>
  <c r="E886" i="1"/>
  <c r="E884" i="1"/>
  <c r="E883" i="1"/>
  <c r="E880" i="1"/>
  <c r="E879" i="1"/>
  <c r="E878" i="1"/>
  <c r="E874" i="1"/>
  <c r="E873" i="1"/>
  <c r="G873" i="1" s="1"/>
  <c r="E872" i="1"/>
  <c r="G872" i="1" s="1"/>
  <c r="E870" i="1"/>
  <c r="E867" i="1"/>
  <c r="E866" i="1"/>
  <c r="E863" i="1"/>
  <c r="E860" i="1"/>
  <c r="E861" i="1" s="1"/>
  <c r="E859" i="1"/>
  <c r="E858" i="1"/>
  <c r="E856" i="1"/>
  <c r="E854" i="1"/>
  <c r="E853" i="1"/>
  <c r="E851" i="1"/>
  <c r="E850" i="1"/>
  <c r="E808" i="1"/>
  <c r="E807" i="1"/>
  <c r="E805" i="1"/>
  <c r="E790" i="1"/>
  <c r="E787" i="1"/>
  <c r="E743" i="1"/>
  <c r="E707" i="1"/>
  <c r="E678" i="1"/>
  <c r="G678" i="1" s="1"/>
  <c r="E676" i="1"/>
  <c r="E675" i="1"/>
  <c r="E674" i="1"/>
  <c r="F961" i="8"/>
  <c r="F961" i="1" l="1"/>
  <c r="G961" i="1" s="1"/>
  <c r="F961" i="6"/>
  <c r="G961" i="6" s="1"/>
  <c r="F961" i="3"/>
  <c r="G961" i="3" s="1"/>
  <c r="E662" i="1"/>
  <c r="E619" i="1"/>
  <c r="E618" i="1"/>
  <c r="E590" i="1"/>
  <c r="E589" i="1"/>
  <c r="E555" i="1"/>
  <c r="E541" i="1"/>
  <c r="E530" i="1"/>
  <c r="E410" i="1"/>
  <c r="E409" i="1"/>
  <c r="E408" i="1"/>
  <c r="E407" i="1"/>
  <c r="E394" i="1"/>
  <c r="E392" i="1"/>
  <c r="E390" i="1"/>
  <c r="E389" i="1"/>
  <c r="E364" i="1"/>
  <c r="E341" i="1"/>
  <c r="E331" i="1"/>
  <c r="E322" i="1"/>
  <c r="E321" i="1"/>
  <c r="E226" i="1"/>
  <c r="E188" i="1"/>
  <c r="E136" i="1"/>
  <c r="E135" i="1"/>
  <c r="E106" i="1"/>
  <c r="E100" i="1"/>
  <c r="E21" i="1"/>
  <c r="G960" i="6" l="1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0" i="6"/>
  <c r="G849" i="6"/>
  <c r="G848" i="6"/>
  <c r="G846" i="6"/>
  <c r="G845" i="6"/>
  <c r="G844" i="6"/>
  <c r="G843" i="6"/>
  <c r="G842" i="6"/>
  <c r="G841" i="6"/>
  <c r="G840" i="6"/>
  <c r="G839" i="6"/>
  <c r="G837" i="6"/>
  <c r="G836" i="6"/>
  <c r="G835" i="6"/>
  <c r="G834" i="6"/>
  <c r="G833" i="6"/>
  <c r="G832" i="6"/>
  <c r="G830" i="6"/>
  <c r="G829" i="6"/>
  <c r="G825" i="6"/>
  <c r="G824" i="6"/>
  <c r="G823" i="6"/>
  <c r="G822" i="6"/>
  <c r="G821" i="6"/>
  <c r="G820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78" i="6"/>
  <c r="G776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5" i="6"/>
  <c r="G743" i="6"/>
  <c r="G742" i="6"/>
  <c r="G741" i="6"/>
  <c r="G740" i="6"/>
  <c r="G739" i="6"/>
  <c r="G738" i="6"/>
  <c r="G737" i="6"/>
  <c r="G736" i="6"/>
  <c r="G735" i="6"/>
  <c r="G733" i="6"/>
  <c r="G732" i="6"/>
  <c r="G731" i="6"/>
  <c r="G730" i="6"/>
  <c r="G729" i="6"/>
  <c r="G728" i="6"/>
  <c r="G727" i="6"/>
  <c r="G725" i="6"/>
  <c r="G724" i="6"/>
  <c r="G723" i="6"/>
  <c r="G722" i="6"/>
  <c r="G720" i="6"/>
  <c r="G719" i="6"/>
  <c r="G718" i="6"/>
  <c r="G717" i="6"/>
  <c r="G716" i="6"/>
  <c r="G714" i="6"/>
  <c r="G713" i="6"/>
  <c r="G712" i="6"/>
  <c r="G710" i="6"/>
  <c r="G709" i="6"/>
  <c r="G708" i="6"/>
  <c r="G707" i="6"/>
  <c r="G706" i="6"/>
  <c r="G705" i="6"/>
  <c r="G704" i="6"/>
  <c r="G702" i="6"/>
  <c r="G701" i="6"/>
  <c r="G700" i="6"/>
  <c r="G699" i="6"/>
  <c r="G698" i="6"/>
  <c r="G696" i="6"/>
  <c r="G695" i="6"/>
  <c r="G694" i="6"/>
  <c r="G693" i="6"/>
  <c r="G692" i="6"/>
  <c r="G691" i="6"/>
  <c r="G690" i="6"/>
  <c r="G689" i="6"/>
  <c r="G688" i="6"/>
  <c r="G687" i="6"/>
  <c r="G679" i="6"/>
  <c r="G676" i="6"/>
  <c r="G675" i="6"/>
  <c r="G674" i="6"/>
  <c r="G673" i="6"/>
  <c r="G672" i="6"/>
  <c r="G671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2" i="6"/>
  <c r="G381" i="6"/>
  <c r="G380" i="6"/>
  <c r="G379" i="6"/>
  <c r="G378" i="6"/>
  <c r="G377" i="6"/>
  <c r="G376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0" i="6"/>
  <c r="G239" i="6"/>
  <c r="G238" i="6"/>
  <c r="G237" i="6"/>
  <c r="G236" i="6"/>
  <c r="G235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1" i="6"/>
  <c r="G20" i="6"/>
  <c r="G19" i="6"/>
  <c r="G18" i="6"/>
  <c r="G17" i="6"/>
  <c r="G16" i="6"/>
  <c r="G15" i="6"/>
  <c r="G14" i="6"/>
  <c r="G12" i="6"/>
  <c r="G11" i="6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0" i="3"/>
  <c r="G849" i="3"/>
  <c r="G848" i="3"/>
  <c r="G846" i="3"/>
  <c r="G845" i="3"/>
  <c r="G844" i="3"/>
  <c r="G843" i="3"/>
  <c r="G842" i="3"/>
  <c r="G841" i="3"/>
  <c r="G840" i="3"/>
  <c r="G839" i="3"/>
  <c r="G837" i="3"/>
  <c r="G836" i="3"/>
  <c r="G835" i="3"/>
  <c r="G834" i="3"/>
  <c r="G833" i="3"/>
  <c r="G832" i="3"/>
  <c r="G830" i="3"/>
  <c r="G829" i="3"/>
  <c r="G825" i="3"/>
  <c r="G824" i="3"/>
  <c r="G823" i="3"/>
  <c r="G822" i="3"/>
  <c r="G821" i="3"/>
  <c r="G820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78" i="3"/>
  <c r="G776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6" i="3"/>
  <c r="G695" i="3"/>
  <c r="G694" i="3"/>
  <c r="G693" i="3"/>
  <c r="G692" i="3"/>
  <c r="G691" i="3"/>
  <c r="G690" i="3"/>
  <c r="G689" i="3"/>
  <c r="G688" i="3"/>
  <c r="G687" i="3"/>
  <c r="G676" i="3"/>
  <c r="G675" i="3"/>
  <c r="G674" i="3"/>
  <c r="G673" i="3"/>
  <c r="G672" i="3"/>
  <c r="G671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1" i="3"/>
  <c r="G470" i="3"/>
  <c r="G469" i="3"/>
  <c r="G468" i="3"/>
  <c r="G467" i="3"/>
  <c r="G466" i="3"/>
  <c r="G465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2" i="3"/>
  <c r="G381" i="3"/>
  <c r="G380" i="3"/>
  <c r="G379" i="3"/>
  <c r="G378" i="3"/>
  <c r="G377" i="3"/>
  <c r="G376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0" i="3"/>
  <c r="G239" i="3"/>
  <c r="G238" i="3"/>
  <c r="G237" i="3"/>
  <c r="G236" i="3"/>
  <c r="G235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1" i="3"/>
  <c r="G20" i="3"/>
  <c r="G19" i="3"/>
  <c r="G18" i="3"/>
  <c r="G17" i="3"/>
  <c r="G16" i="3"/>
  <c r="G15" i="3"/>
  <c r="G14" i="3"/>
  <c r="G12" i="3"/>
  <c r="G11" i="3"/>
  <c r="G13" i="3" s="1"/>
  <c r="G688" i="1"/>
  <c r="G689" i="1"/>
  <c r="G690" i="1"/>
  <c r="G691" i="1"/>
  <c r="G692" i="1"/>
  <c r="G693" i="1"/>
  <c r="G694" i="1"/>
  <c r="G695" i="1"/>
  <c r="G696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6" i="1"/>
  <c r="G778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20" i="1"/>
  <c r="G821" i="1"/>
  <c r="G822" i="1"/>
  <c r="G823" i="1"/>
  <c r="G824" i="1"/>
  <c r="G825" i="1"/>
  <c r="G829" i="1"/>
  <c r="G830" i="1"/>
  <c r="G832" i="1"/>
  <c r="G833" i="1"/>
  <c r="G834" i="1"/>
  <c r="G835" i="1"/>
  <c r="G836" i="1"/>
  <c r="G837" i="1"/>
  <c r="G839" i="1"/>
  <c r="G840" i="1"/>
  <c r="G841" i="1"/>
  <c r="G842" i="1"/>
  <c r="G843" i="1"/>
  <c r="G844" i="1"/>
  <c r="G845" i="1"/>
  <c r="G846" i="1"/>
  <c r="G848" i="1"/>
  <c r="G849" i="1"/>
  <c r="G850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687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6" i="1"/>
  <c r="G377" i="1"/>
  <c r="G378" i="1"/>
  <c r="G379" i="1"/>
  <c r="G380" i="1"/>
  <c r="G381" i="1"/>
  <c r="G382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5" i="1"/>
  <c r="G466" i="1"/>
  <c r="G467" i="1"/>
  <c r="G468" i="1"/>
  <c r="G469" i="1"/>
  <c r="G470" i="1"/>
  <c r="G471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1" i="1"/>
  <c r="G672" i="1"/>
  <c r="G673" i="1"/>
  <c r="G674" i="1"/>
  <c r="G675" i="1"/>
  <c r="G676" i="1"/>
  <c r="G679" i="1"/>
  <c r="G24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35" i="1"/>
  <c r="G236" i="1"/>
  <c r="G237" i="1"/>
  <c r="G238" i="1"/>
  <c r="G239" i="1"/>
  <c r="G240" i="1"/>
  <c r="G29" i="1"/>
  <c r="G12" i="1"/>
  <c r="G14" i="1"/>
  <c r="G15" i="1"/>
  <c r="G16" i="1"/>
  <c r="G17" i="1"/>
  <c r="G18" i="1"/>
  <c r="G19" i="1"/>
  <c r="G20" i="1"/>
  <c r="G21" i="1"/>
  <c r="G11" i="1"/>
  <c r="G13" i="1" l="1"/>
  <c r="G13" i="6"/>
  <c r="G838" i="3"/>
  <c r="G819" i="1"/>
  <c r="G22" i="1"/>
  <c r="G23" i="1" s="1"/>
  <c r="G838" i="1"/>
  <c r="G591" i="1"/>
  <c r="G413" i="1"/>
  <c r="G22" i="3"/>
  <c r="G23" i="3" s="1"/>
  <c r="G680" i="1"/>
  <c r="G670" i="1"/>
  <c r="G513" i="1"/>
  <c r="G670" i="3"/>
  <c r="G324" i="1"/>
  <c r="G241" i="1"/>
  <c r="G149" i="1"/>
  <c r="G962" i="3"/>
  <c r="G962" i="1"/>
  <c r="G847" i="1"/>
  <c r="G680" i="3"/>
  <c r="G108" i="3"/>
  <c r="G108" i="1"/>
  <c r="G819" i="6"/>
  <c r="G324" i="3"/>
  <c r="G149" i="6"/>
  <c r="G413" i="3"/>
  <c r="G591" i="3"/>
  <c r="G819" i="3"/>
  <c r="G241" i="6"/>
  <c r="G591" i="6"/>
  <c r="G108" i="6"/>
  <c r="G513" i="6"/>
  <c r="G847" i="6"/>
  <c r="G22" i="6"/>
  <c r="G23" i="6" s="1"/>
  <c r="G670" i="6"/>
  <c r="G149" i="3"/>
  <c r="G847" i="3"/>
  <c r="G324" i="6"/>
  <c r="G680" i="6"/>
  <c r="G838" i="6"/>
  <c r="G962" i="6"/>
  <c r="G513" i="3"/>
  <c r="G241" i="3"/>
  <c r="G413" i="6"/>
  <c r="G681" i="1" l="1"/>
  <c r="F828" i="3"/>
  <c r="G828" i="3" s="1"/>
  <c r="F828" i="1"/>
  <c r="G828" i="1" s="1"/>
  <c r="F828" i="6"/>
  <c r="G828" i="6" s="1"/>
  <c r="G242" i="1"/>
  <c r="F826" i="1"/>
  <c r="G826" i="1" s="1"/>
  <c r="G831" i="1" s="1"/>
  <c r="F826" i="6"/>
  <c r="G826" i="6" s="1"/>
  <c r="G831" i="6" s="1"/>
  <c r="F826" i="3"/>
  <c r="G826" i="3" s="1"/>
  <c r="G831" i="3" s="1"/>
  <c r="F827" i="3"/>
  <c r="G827" i="3" s="1"/>
  <c r="F827" i="1"/>
  <c r="G827" i="1" s="1"/>
  <c r="F827" i="6"/>
  <c r="G827" i="6" s="1"/>
  <c r="G681" i="3"/>
  <c r="G242" i="3"/>
  <c r="G242" i="6"/>
  <c r="G681" i="6"/>
  <c r="F697" i="3" l="1"/>
  <c r="G697" i="3" s="1"/>
  <c r="G775" i="3" s="1"/>
  <c r="F697" i="1"/>
  <c r="G697" i="1" s="1"/>
  <c r="G775" i="1" s="1"/>
  <c r="F697" i="6"/>
  <c r="G697" i="6" s="1"/>
  <c r="G775" i="6" s="1"/>
  <c r="F851" i="1"/>
  <c r="G851" i="1" s="1"/>
  <c r="G933" i="1" s="1"/>
  <c r="F851" i="6"/>
  <c r="G851" i="6" s="1"/>
  <c r="G933" i="6" s="1"/>
  <c r="F851" i="3"/>
  <c r="G851" i="3" s="1"/>
  <c r="G933" i="3" s="1"/>
  <c r="F126" i="4"/>
  <c r="F127" i="4" s="1"/>
  <c r="F120" i="4"/>
  <c r="F121" i="4" s="1"/>
  <c r="H114" i="4"/>
  <c r="F114" i="4"/>
  <c r="F115" i="4" s="1"/>
  <c r="F108" i="4"/>
  <c r="F107" i="4"/>
  <c r="F106" i="4"/>
  <c r="F105" i="4"/>
  <c r="F99" i="4"/>
  <c r="F98" i="4"/>
  <c r="F97" i="4"/>
  <c r="F96" i="4"/>
  <c r="F95" i="4"/>
  <c r="F94" i="4"/>
  <c r="F88" i="4"/>
  <c r="F87" i="4"/>
  <c r="F81" i="4"/>
  <c r="F80" i="4"/>
  <c r="F79" i="4"/>
  <c r="F78" i="4"/>
  <c r="F68" i="4"/>
  <c r="F69" i="4" s="1"/>
  <c r="F62" i="4"/>
  <c r="F61" i="4"/>
  <c r="F60" i="4"/>
  <c r="F59" i="4"/>
  <c r="F58" i="4"/>
  <c r="F52" i="4"/>
  <c r="F53" i="4" s="1"/>
  <c r="F46" i="4"/>
  <c r="F45" i="4"/>
  <c r="F39" i="4"/>
  <c r="F40" i="4" s="1"/>
  <c r="F29" i="4"/>
  <c r="F28" i="4"/>
  <c r="F23" i="4"/>
  <c r="F22" i="4"/>
  <c r="F16" i="4"/>
  <c r="F15" i="4"/>
  <c r="F14" i="4"/>
  <c r="F13" i="4"/>
  <c r="F12" i="4"/>
  <c r="F11" i="4"/>
  <c r="F10" i="4"/>
  <c r="G963" i="3" l="1"/>
  <c r="G965" i="3" s="1"/>
  <c r="C10" i="5" s="1"/>
  <c r="G963" i="6"/>
  <c r="G965" i="6" s="1"/>
  <c r="C11" i="5" s="1"/>
  <c r="G963" i="1"/>
  <c r="G965" i="1" s="1"/>
  <c r="C9" i="5" s="1"/>
  <c r="F100" i="4"/>
  <c r="F109" i="4"/>
  <c r="F89" i="4"/>
  <c r="F82" i="4"/>
  <c r="F47" i="4"/>
  <c r="F30" i="4"/>
  <c r="F24" i="4"/>
  <c r="F17" i="4"/>
  <c r="F63" i="4"/>
  <c r="F129" i="4"/>
  <c r="C12" i="5" l="1"/>
  <c r="F71" i="4"/>
  <c r="F32" i="4"/>
  <c r="F131" i="4" l="1"/>
  <c r="F282" i="8"/>
  <c r="F644" i="8"/>
  <c r="F12" i="8"/>
  <c r="F113" i="8"/>
  <c r="F69" i="8"/>
  <c r="F492" i="8"/>
  <c r="F523" i="8"/>
  <c r="F937" i="8"/>
  <c r="F454" i="8"/>
  <c r="F646" i="8"/>
  <c r="F441" i="8"/>
  <c r="F888" i="8"/>
  <c r="F30" i="8"/>
  <c r="F538" i="8"/>
  <c r="F519" i="8"/>
  <c r="F373" i="8"/>
  <c r="F144" i="8"/>
  <c r="F56" i="8"/>
  <c r="F795" i="8"/>
  <c r="F721" i="8"/>
  <c r="F339" i="8"/>
  <c r="F435" i="8"/>
  <c r="F711" i="8"/>
  <c r="F766" i="8"/>
  <c r="F415" i="8"/>
  <c r="F182" i="8"/>
  <c r="F93" i="8"/>
  <c r="F786" i="8"/>
  <c r="F287" i="8"/>
  <c r="F689" i="8"/>
  <c r="F269" i="8"/>
  <c r="F270" i="8"/>
  <c r="F218" i="8"/>
  <c r="F162" i="8"/>
  <c r="F543" i="8"/>
  <c r="F502" i="8"/>
  <c r="F757" i="8"/>
  <c r="F926" i="8"/>
  <c r="F754" i="8"/>
  <c r="F593" i="8"/>
  <c r="F762" i="8"/>
  <c r="F67" i="8"/>
  <c r="F224" i="8"/>
  <c r="F328" i="8"/>
  <c r="F422" i="8"/>
  <c r="F913" i="8"/>
  <c r="F592" i="8"/>
  <c r="F654" i="8"/>
  <c r="F630" i="8"/>
  <c r="F579" i="8"/>
  <c r="F776" i="8"/>
  <c r="F158" i="8"/>
  <c r="F880" i="8"/>
  <c r="F548" i="8"/>
  <c r="F668" i="8"/>
  <c r="F544" i="8"/>
  <c r="F848" i="8"/>
  <c r="F346" i="8"/>
  <c r="F348" i="8"/>
  <c r="F626" i="8"/>
  <c r="F613" i="8"/>
  <c r="F696" i="8"/>
  <c r="F931" i="8"/>
  <c r="F261" i="8"/>
  <c r="F498" i="8"/>
  <c r="F437" i="8"/>
  <c r="F266" i="8"/>
  <c r="F173" i="8"/>
  <c r="F793" i="8"/>
  <c r="F295" i="8"/>
  <c r="F809" i="8"/>
  <c r="F106" i="8"/>
  <c r="F497" i="8"/>
  <c r="F577" i="8"/>
  <c r="F318" i="8"/>
  <c r="F666" i="8"/>
  <c r="F489" i="8"/>
  <c r="F720" i="8"/>
  <c r="F792" i="8"/>
  <c r="F759" i="8"/>
  <c r="F634" i="8"/>
  <c r="F559" i="8"/>
  <c r="F938" i="8"/>
  <c r="F805" i="8"/>
  <c r="F679" i="8"/>
  <c r="F379" i="8"/>
  <c r="F363" i="8"/>
  <c r="F483" i="8"/>
  <c r="F870" i="8"/>
  <c r="F256" i="8"/>
  <c r="F911" i="8"/>
  <c r="F946" i="8"/>
  <c r="F268" i="8"/>
  <c r="F325" i="8"/>
  <c r="F469" i="8"/>
  <c r="F516" i="8"/>
  <c r="F159" i="8"/>
  <c r="F198" i="8"/>
  <c r="F236" i="8"/>
  <c r="F368" i="8"/>
  <c r="F167" i="8"/>
  <c r="F745" i="8"/>
  <c r="F358" i="8"/>
  <c r="F18" i="8"/>
  <c r="F855" i="8"/>
  <c r="F876" i="8"/>
  <c r="F596" i="8"/>
  <c r="F909" i="8"/>
  <c r="F403" i="8"/>
  <c r="F36" i="8"/>
  <c r="F344" i="8"/>
  <c r="F130" i="8"/>
  <c r="F434" i="8"/>
  <c r="F600" i="8"/>
  <c r="F769" i="8"/>
  <c r="F714" i="8"/>
  <c r="F817" i="8"/>
  <c r="F742" i="8"/>
  <c r="F879" i="8"/>
  <c r="F738" i="8"/>
  <c r="F707" i="8"/>
  <c r="F907" i="8"/>
  <c r="F123" i="8"/>
  <c r="F46" i="8"/>
  <c r="F381" i="8"/>
  <c r="F329" i="8"/>
  <c r="F854" i="8"/>
  <c r="F220" i="8"/>
  <c r="F131" i="8"/>
  <c r="F599" i="8"/>
  <c r="F283" i="8"/>
  <c r="F31" i="8"/>
  <c r="F98" i="8"/>
  <c r="F705" i="8"/>
  <c r="F669" i="8"/>
  <c r="F197" i="8"/>
  <c r="F531" i="8"/>
  <c r="F889" i="8"/>
  <c r="F637" i="8"/>
  <c r="F619" i="8"/>
  <c r="F722" i="8"/>
  <c r="F57" i="8"/>
  <c r="F878" i="8"/>
  <c r="F859" i="8"/>
  <c r="F790" i="8"/>
  <c r="F806" i="8"/>
  <c r="F631" i="8"/>
  <c r="F832" i="8"/>
  <c r="F191" i="8"/>
  <c r="F836" i="8"/>
  <c r="F51" i="8"/>
  <c r="F960" i="8"/>
  <c r="F378" i="8"/>
  <c r="F320" i="8"/>
  <c r="F953" i="8"/>
  <c r="F436" i="8"/>
  <c r="F571" i="8"/>
  <c r="F782" i="8"/>
  <c r="F824" i="8"/>
  <c r="F944" i="8"/>
  <c r="F772" i="8"/>
  <c r="F476" i="8"/>
  <c r="F267" i="8"/>
  <c r="F566" i="8"/>
  <c r="F565" i="8"/>
  <c r="F636" i="8"/>
  <c r="F352" i="8"/>
  <c r="F414" i="8"/>
  <c r="F474" i="8"/>
  <c r="F313" i="8"/>
  <c r="F898" i="8"/>
  <c r="F41" i="8"/>
  <c r="F932" i="8"/>
  <c r="F64" i="8"/>
  <c r="F853" i="8"/>
  <c r="F808" i="8"/>
  <c r="F77" i="8"/>
  <c r="F864" i="8"/>
  <c r="F116" i="8"/>
  <c r="F276" i="8"/>
  <c r="F124" i="8"/>
  <c r="F691" i="8"/>
  <c r="F87" i="8"/>
  <c r="F921" i="8"/>
  <c r="F68" i="8"/>
  <c r="F735" i="8"/>
  <c r="F530" i="8"/>
  <c r="F719" i="8"/>
  <c r="F463" i="8"/>
  <c r="F784" i="8"/>
  <c r="F695" i="8"/>
  <c r="F286" i="8"/>
  <c r="F803" i="8"/>
  <c r="F90" i="8"/>
  <c r="F86" i="8"/>
  <c r="F370" i="8"/>
  <c r="F827" i="8"/>
  <c r="F262" i="8"/>
  <c r="F597" i="8"/>
  <c r="F794" i="8"/>
  <c r="F893" i="8"/>
  <c r="F298" i="8"/>
  <c r="F44" i="8"/>
  <c r="F604" i="8"/>
  <c r="F546" i="8"/>
  <c r="F389" i="8"/>
  <c r="F935" i="8"/>
  <c r="F713" i="8"/>
  <c r="F82" i="8"/>
  <c r="F506" i="8"/>
  <c r="F396" i="8"/>
  <c r="F35" i="8"/>
  <c r="F85" i="8"/>
  <c r="F564" i="8"/>
  <c r="F265" i="8"/>
  <c r="F526" i="8"/>
  <c r="F60" i="8"/>
  <c r="F299" i="8"/>
  <c r="F534" i="8"/>
  <c r="F527" i="8"/>
  <c r="F409" i="8"/>
  <c r="F908" i="8"/>
  <c r="F529" i="8"/>
  <c r="F452" i="8"/>
  <c r="F833" i="8"/>
  <c r="F71" i="8"/>
  <c r="F858" i="8"/>
  <c r="F496" i="8"/>
  <c r="F730" i="8"/>
  <c r="F52" i="8"/>
  <c r="F80" i="8"/>
  <c r="F104" i="8"/>
  <c r="F948" i="8"/>
  <c r="F649" i="8"/>
  <c r="F761" i="8"/>
  <c r="F426" i="8"/>
  <c r="F330" i="8"/>
  <c r="F303" i="8"/>
  <c r="F390" i="8"/>
  <c r="F34" i="8"/>
  <c r="F549" i="8"/>
  <c r="F945" i="8"/>
  <c r="F279" i="8"/>
  <c r="F547" i="8"/>
  <c r="F479" i="8"/>
  <c r="F429" i="8"/>
  <c r="F665" i="8"/>
  <c r="F522" i="8"/>
  <c r="F942" i="8"/>
  <c r="F49" i="8"/>
  <c r="F550" i="8"/>
  <c r="F783" i="8"/>
  <c r="F603" i="8"/>
  <c r="F642" i="8"/>
  <c r="F335" i="8"/>
  <c r="F482" i="8"/>
  <c r="F449" i="8"/>
  <c r="F840" i="8"/>
  <c r="F433" i="8"/>
  <c r="F939" i="8"/>
  <c r="F773" i="8"/>
  <c r="F589" i="8"/>
  <c r="F568" i="8"/>
  <c r="F618" i="8"/>
  <c r="F175" i="8"/>
  <c r="F15" i="8"/>
  <c r="F273" i="8"/>
  <c r="F194" i="8"/>
  <c r="F185" i="8"/>
  <c r="F55" i="8"/>
  <c r="F467" i="8"/>
  <c r="F338" i="8"/>
  <c r="F756" i="8"/>
  <c r="F11" i="8"/>
  <c r="F708" i="8"/>
  <c r="F165" i="8"/>
  <c r="F539" i="8"/>
  <c r="F184" i="8"/>
  <c r="F369" i="8"/>
  <c r="F954" i="8"/>
  <c r="F639" i="8"/>
  <c r="F88" i="8"/>
  <c r="F664" i="8"/>
  <c r="F342" i="8"/>
  <c r="F957" i="8"/>
  <c r="F802" i="8"/>
  <c r="F951" i="8"/>
  <c r="F364" i="8"/>
  <c r="F851" i="8"/>
  <c r="F861" i="8"/>
  <c r="F573" i="8"/>
  <c r="F764" i="8"/>
  <c r="F118" i="8"/>
  <c r="F112" i="8"/>
  <c r="F391" i="8"/>
  <c r="F219" i="8"/>
  <c r="F660" i="8"/>
  <c r="F387" i="8"/>
  <c r="F940" i="8"/>
  <c r="F842" i="8"/>
  <c r="F388" i="8"/>
  <c r="F221" i="8"/>
  <c r="F515" i="8"/>
  <c r="F296" i="8"/>
  <c r="F94" i="8"/>
  <c r="F958" i="8"/>
  <c r="F333" i="8"/>
  <c r="F702" i="8"/>
  <c r="F210" i="8"/>
  <c r="F875" i="8"/>
  <c r="F79" i="8"/>
  <c r="F17" i="8"/>
  <c r="F307" i="8"/>
  <c r="F605" i="8"/>
  <c r="F417" i="8"/>
  <c r="F487" i="8"/>
  <c r="F105" i="8"/>
  <c r="F901" i="8"/>
  <c r="F181" i="8"/>
  <c r="F411" i="8"/>
  <c r="F653" i="8"/>
  <c r="F154" i="8"/>
  <c r="F442" i="8"/>
  <c r="F594" i="8"/>
  <c r="F927" i="8"/>
  <c r="F430" i="8"/>
  <c r="F922" i="8"/>
  <c r="F308" i="8"/>
  <c r="F406" i="8"/>
  <c r="F616" i="8"/>
  <c r="F881" i="8"/>
  <c r="F890" i="8"/>
  <c r="F906" i="8"/>
  <c r="F29" i="8"/>
  <c r="F137" i="8"/>
  <c r="F447" i="8"/>
  <c r="F201" i="8"/>
  <c r="F501" i="8"/>
  <c r="F420" i="8"/>
  <c r="F475" i="8"/>
  <c r="F428" i="8"/>
  <c r="F598" i="8"/>
  <c r="F815" i="8"/>
  <c r="F511" i="8"/>
  <c r="F846" i="8"/>
  <c r="F551" i="8"/>
  <c r="F920" i="8"/>
  <c r="F728" i="8"/>
  <c r="F814" i="8"/>
  <c r="F456" i="8"/>
  <c r="F867" i="8"/>
  <c r="F796" i="8"/>
  <c r="F869" i="8"/>
  <c r="F750" i="8"/>
  <c r="F574" i="8"/>
  <c r="F84" i="8"/>
  <c r="F663" i="8"/>
  <c r="F904" i="8"/>
  <c r="F882" i="8"/>
  <c r="F788" i="8"/>
  <c r="F703" i="8"/>
  <c r="F826" i="8"/>
  <c r="F157" i="8"/>
  <c r="F744" i="8"/>
  <c r="F332" i="8"/>
  <c r="F718" i="8"/>
  <c r="F699" i="8"/>
  <c r="F200" i="8"/>
  <c r="F166" i="8"/>
  <c r="F386" i="8"/>
  <c r="F319" i="8"/>
  <c r="F39" i="8"/>
  <c r="F607" i="8"/>
  <c r="F495" i="8"/>
  <c r="F180" i="8"/>
  <c r="F835" i="8"/>
  <c r="F361" i="8"/>
  <c r="F800" i="8"/>
  <c r="F535" i="8"/>
  <c r="F825" i="8"/>
  <c r="F207" i="8"/>
  <c r="F545" i="8"/>
  <c r="F857" i="8"/>
  <c r="F249" i="8"/>
  <c r="F164" i="8"/>
  <c r="F412" i="8"/>
  <c r="F580" i="8"/>
  <c r="F517" i="8"/>
  <c r="F444" i="8"/>
  <c r="F698" i="8"/>
  <c r="F675" i="8"/>
  <c r="F380" i="8"/>
  <c r="F930" i="8"/>
  <c r="F457" i="8"/>
  <c r="F734" i="8"/>
  <c r="F894" i="8"/>
  <c r="F410" i="8"/>
  <c r="F609" i="8"/>
  <c r="F583" i="8"/>
  <c r="F253" i="8"/>
  <c r="F518" i="8"/>
  <c r="F585" i="8"/>
  <c r="F709" i="8"/>
  <c r="F508" i="8"/>
  <c r="F461" i="8"/>
  <c r="F791" i="8"/>
  <c r="F107" i="8"/>
  <c r="F394" i="8"/>
  <c r="F271" i="8"/>
  <c r="F21" i="8"/>
  <c r="F657" i="8"/>
  <c r="F560" i="8"/>
  <c r="F156" i="8"/>
  <c r="F554" i="8"/>
  <c r="F155" i="8"/>
  <c r="F862" i="8"/>
  <c r="F725" i="8"/>
  <c r="F42" i="8"/>
  <c r="F255" i="8"/>
  <c r="F611" i="8"/>
  <c r="F425" i="8"/>
  <c r="F900" i="8"/>
  <c r="F312" i="8"/>
  <c r="F65" i="8"/>
  <c r="F615" i="8"/>
  <c r="F462" i="8"/>
  <c r="F119" i="8"/>
  <c r="F40" i="8"/>
  <c r="F301" i="8"/>
  <c r="F656" i="8"/>
  <c r="F891" i="8"/>
  <c r="F787" i="8"/>
  <c r="F647" i="8"/>
  <c r="F281" i="8"/>
  <c r="F217" i="8"/>
  <c r="F899" i="8"/>
  <c r="F690" i="8"/>
  <c r="F407" i="8"/>
  <c r="F395" i="8"/>
  <c r="F215" i="8"/>
  <c r="F856" i="8"/>
  <c r="F491" i="8"/>
  <c r="F76" i="8"/>
  <c r="F468" i="8"/>
  <c r="F323" i="8"/>
  <c r="F350" i="8"/>
  <c r="F431" i="8"/>
  <c r="F183" i="8"/>
  <c r="F275" i="8"/>
  <c r="F37" i="8"/>
  <c r="F620" i="8"/>
  <c r="F81" i="8"/>
  <c r="F710" i="8"/>
  <c r="F700" i="8"/>
  <c r="F371" i="8"/>
  <c r="F746" i="8"/>
  <c r="F264" i="8"/>
  <c r="F169" i="8"/>
  <c r="F366" i="8"/>
  <c r="F277" i="8"/>
  <c r="F127" i="8"/>
  <c r="F834" i="8"/>
  <c r="F128" i="8"/>
  <c r="F196" i="8"/>
  <c r="F213" i="8"/>
  <c r="F799" i="8"/>
  <c r="F622" i="8"/>
  <c r="F910" i="8"/>
  <c r="F147" i="8"/>
  <c r="F274" i="8"/>
  <c r="F471" i="8"/>
  <c r="F837" i="8"/>
  <c r="F331" i="8"/>
  <c r="F19" i="8"/>
  <c r="F563" i="8"/>
  <c r="F45" i="8"/>
  <c r="F226" i="8"/>
  <c r="F357" i="8"/>
  <c r="F43" i="8"/>
  <c r="F558" i="8"/>
  <c r="F83" i="8"/>
  <c r="F153" i="8"/>
  <c r="F222" i="8"/>
  <c r="F455" i="8"/>
  <c r="F952" i="8"/>
  <c r="F419" i="8"/>
  <c r="F883" i="8"/>
  <c r="F239" i="8"/>
  <c r="F555" i="8"/>
  <c r="F536" i="8"/>
  <c r="F203" i="8"/>
  <c r="F651" i="8"/>
  <c r="F581" i="8"/>
  <c r="F190" i="8"/>
  <c r="F309" i="8"/>
  <c r="F676" i="8"/>
  <c r="F258" i="8"/>
  <c r="F822" i="8"/>
  <c r="F638" i="8"/>
  <c r="F629" i="8"/>
  <c r="F211" i="8"/>
  <c r="F821" i="8"/>
  <c r="F66" i="8"/>
  <c r="F732" i="8"/>
  <c r="F627" i="8"/>
  <c r="F424" i="8"/>
  <c r="F453" i="8"/>
  <c r="F752" i="8"/>
  <c r="F865" i="8"/>
  <c r="F61" i="8"/>
  <c r="F697" i="8"/>
  <c r="F38" i="8"/>
  <c r="F849" i="8"/>
  <c r="F70" i="8"/>
  <c r="F753" i="8"/>
  <c r="F334" i="8"/>
  <c r="F466" i="8"/>
  <c r="F569" i="8"/>
  <c r="F643" i="8"/>
  <c r="F91" i="8"/>
  <c r="F928" i="8"/>
  <c r="F310" i="8"/>
  <c r="F797" i="8"/>
  <c r="F439" i="8"/>
  <c r="F354" i="8"/>
  <c r="F314" i="8"/>
  <c r="F520" i="8"/>
  <c r="F322" i="8"/>
  <c r="F240" i="8"/>
  <c r="F374" i="8"/>
  <c r="F505" i="8"/>
  <c r="F345" i="8"/>
  <c r="F443" i="8"/>
  <c r="F959" i="8"/>
  <c r="F129" i="8"/>
  <c r="F349" i="8"/>
  <c r="F163" i="8"/>
  <c r="F484" i="8"/>
  <c r="F392" i="8"/>
  <c r="F367" i="8"/>
  <c r="F778" i="8"/>
  <c r="F845" i="8"/>
  <c r="F533" i="8"/>
  <c r="F460" i="8"/>
  <c r="F914" i="8"/>
  <c r="F47" i="8"/>
  <c r="F717" i="8"/>
  <c r="F586" i="8"/>
  <c r="F400" i="8"/>
  <c r="F509" i="8"/>
  <c r="F887" i="8"/>
  <c r="F740" i="8"/>
  <c r="F804" i="8"/>
  <c r="F924" i="8"/>
  <c r="F187" i="8"/>
  <c r="F885" i="8"/>
  <c r="F174" i="8"/>
  <c r="F704" i="8"/>
  <c r="F925" i="8"/>
  <c r="F228" i="8"/>
  <c r="F416" i="8"/>
  <c r="F741" i="8"/>
  <c r="F562" i="8"/>
  <c r="F949" i="8"/>
  <c r="F606" i="8"/>
  <c r="F72" i="8"/>
  <c r="F823" i="8"/>
  <c r="F667" i="8"/>
  <c r="F755" i="8"/>
  <c r="F89" i="8"/>
  <c r="F97" i="8"/>
  <c r="F648" i="8"/>
  <c r="F96" i="8"/>
  <c r="F259" i="8"/>
  <c r="F816" i="8"/>
  <c r="F458" i="8"/>
  <c r="F343" i="8"/>
  <c r="F351" i="8"/>
  <c r="F305" i="8"/>
  <c r="F590" i="8"/>
  <c r="F140" i="8"/>
  <c r="F188" i="8"/>
  <c r="F820" i="8"/>
  <c r="F291" i="8"/>
  <c r="F811" i="8"/>
  <c r="F692" i="8"/>
  <c r="F748" i="8"/>
  <c r="F628" i="8"/>
  <c r="F950" i="8"/>
  <c r="F263" i="8"/>
  <c r="F382" i="8"/>
  <c r="F438" i="8"/>
  <c r="F785" i="8"/>
  <c r="F844" i="8"/>
  <c r="F843" i="8"/>
  <c r="F405" i="8"/>
  <c r="F75" i="8"/>
  <c r="F850" i="8"/>
  <c r="F641" i="8"/>
  <c r="F450" i="8"/>
  <c r="F510" i="8"/>
  <c r="F659" i="8"/>
  <c r="F652" i="8"/>
  <c r="F674" i="8"/>
  <c r="F645" i="8"/>
  <c r="F208" i="8"/>
  <c r="F360" i="8"/>
  <c r="F177" i="8"/>
  <c r="F915" i="8"/>
  <c r="F912" i="8"/>
  <c r="F602" i="8"/>
  <c r="F446" i="8"/>
  <c r="F852" i="8"/>
  <c r="F863" i="8"/>
  <c r="F161" i="8"/>
  <c r="F440" i="8"/>
  <c r="F362" i="8"/>
  <c r="F807" i="8"/>
  <c r="F92" i="8"/>
  <c r="F63" i="8"/>
  <c r="F136" i="8"/>
  <c r="F120" i="8"/>
  <c r="F672" i="8"/>
  <c r="F145" i="8"/>
  <c r="F733" i="8"/>
  <c r="F774" i="8"/>
  <c r="F421" i="8"/>
  <c r="F95" i="8"/>
  <c r="F284" i="8"/>
  <c r="F102" i="8"/>
  <c r="F73" i="8"/>
  <c r="F758" i="8"/>
  <c r="F235" i="8"/>
  <c r="F418" i="8"/>
  <c r="F365" i="8"/>
  <c r="F53" i="8"/>
  <c r="F614" i="8"/>
  <c r="F340" i="8"/>
  <c r="F552" i="8"/>
  <c r="F473" i="8"/>
  <c r="F694" i="8"/>
  <c r="F257" i="8"/>
  <c r="F401" i="8"/>
  <c r="F134" i="8"/>
  <c r="F521" i="8"/>
  <c r="F311" i="8"/>
  <c r="F830" i="8"/>
  <c r="F170" i="8"/>
  <c r="F610" i="8"/>
  <c r="F897" i="8"/>
  <c r="F736" i="8"/>
  <c r="F178" i="8"/>
  <c r="F143" i="8"/>
  <c r="F326" i="8"/>
  <c r="F923" i="8"/>
  <c r="F171" i="8"/>
  <c r="F206" i="8"/>
  <c r="F294" i="8"/>
  <c r="F542" i="8"/>
  <c r="F936" i="8"/>
  <c r="F280" i="8"/>
  <c r="F578" i="8"/>
  <c r="F278" i="8"/>
  <c r="F715" i="8"/>
  <c r="F20" i="8"/>
  <c r="F860" i="8"/>
  <c r="F841" i="8"/>
  <c r="F601" i="8"/>
  <c r="F886" i="8"/>
  <c r="F248" i="8"/>
  <c r="F54" i="8"/>
  <c r="F706" i="8"/>
  <c r="F673" i="8"/>
  <c r="F582" i="8"/>
  <c r="F739" i="8"/>
  <c r="F404" i="8"/>
  <c r="F541" i="8"/>
  <c r="F540" i="8"/>
  <c r="F225" i="8"/>
  <c r="F760" i="8"/>
  <c r="F192" i="8"/>
  <c r="F570" i="8"/>
  <c r="F557" i="8"/>
  <c r="F459" i="8"/>
  <c r="F397" i="8"/>
  <c r="F117" i="8"/>
  <c r="F500" i="8"/>
  <c r="F661" i="8"/>
  <c r="F115" i="8"/>
  <c r="F902" i="8"/>
  <c r="F142" i="8"/>
  <c r="F724" i="8"/>
  <c r="F62" i="8"/>
  <c r="F617" i="8"/>
  <c r="F768" i="8"/>
  <c r="F884" i="8"/>
  <c r="F490" i="8"/>
  <c r="F781" i="8"/>
  <c r="F612" i="8"/>
  <c r="F189" i="8"/>
  <c r="F693" i="8"/>
  <c r="F193" i="8"/>
  <c r="F771" i="8"/>
  <c r="F121" i="8"/>
  <c r="F749" i="8"/>
  <c r="F499" i="8"/>
  <c r="F372" i="8"/>
  <c r="F532" i="8"/>
  <c r="F347" i="8"/>
  <c r="F941" i="8"/>
  <c r="F114" i="8"/>
  <c r="F74" i="8"/>
  <c r="F14" i="8"/>
  <c r="F561" i="8"/>
  <c r="F507" i="8"/>
  <c r="F254" i="8"/>
  <c r="F135" i="8"/>
  <c r="F671" i="8"/>
  <c r="F33" i="8"/>
  <c r="F896" i="8"/>
  <c r="F537" i="8"/>
  <c r="F478" i="8"/>
  <c r="F288" i="8"/>
  <c r="F567" i="8"/>
  <c r="F48" i="8"/>
  <c r="F595" i="8"/>
  <c r="F687" i="8"/>
  <c r="F701" i="8"/>
  <c r="F223" i="8"/>
  <c r="F133" i="8"/>
  <c r="F956" i="8"/>
  <c r="F141" i="8"/>
  <c r="F16" i="8"/>
  <c r="F895" i="8"/>
  <c r="F212" i="8"/>
  <c r="F798" i="8"/>
  <c r="F432" i="8"/>
  <c r="F290" i="8"/>
  <c r="F572" i="8"/>
  <c r="F315" i="8"/>
  <c r="F524" i="8"/>
  <c r="F252" i="8"/>
  <c r="F408" i="8"/>
  <c r="F125" i="8"/>
  <c r="F199" i="8"/>
  <c r="F148" i="8"/>
  <c r="F355" i="8"/>
  <c r="F204" i="8"/>
  <c r="F770" i="8"/>
  <c r="F485" i="8"/>
  <c r="F336" i="8"/>
  <c r="F916" i="8"/>
  <c r="F398" i="8"/>
  <c r="F139" i="8"/>
  <c r="F503" i="8"/>
  <c r="F327" i="8"/>
  <c r="F588" i="8"/>
  <c r="F101" i="8"/>
  <c r="F584" i="8"/>
  <c r="F712" i="8"/>
  <c r="F216" i="8"/>
  <c r="F747" i="8"/>
  <c r="F917" i="8"/>
  <c r="F903" i="8"/>
  <c r="F297" i="8"/>
  <c r="F251" i="8"/>
  <c r="F103" i="8"/>
  <c r="F238" i="8"/>
  <c r="F829" i="8"/>
  <c r="F470" i="8"/>
  <c r="F337" i="8"/>
  <c r="F316" i="8"/>
  <c r="F918" i="8"/>
  <c r="F726" i="8"/>
  <c r="F632" i="8"/>
  <c r="F633" i="8"/>
  <c r="F172" i="8"/>
  <c r="F126" i="8"/>
  <c r="F731" i="8"/>
  <c r="F300" i="8"/>
  <c r="F640" i="8"/>
  <c r="F486" i="8"/>
  <c r="F763" i="8"/>
  <c r="F729" i="8"/>
  <c r="F50" i="8"/>
  <c r="F493" i="8"/>
  <c r="F32" i="8"/>
  <c r="F723" i="8"/>
  <c r="F727" i="8"/>
  <c r="F635" i="8"/>
  <c r="F385" i="8"/>
  <c r="F905" i="8"/>
  <c r="F650" i="8"/>
  <c r="F868" i="8"/>
  <c r="F321" i="8"/>
  <c r="F448" i="8"/>
  <c r="F525" i="8"/>
  <c r="F109" i="8"/>
  <c r="F929" i="8"/>
  <c r="F801" i="8"/>
  <c r="F152" i="8"/>
  <c r="F556" i="8"/>
  <c r="F765" i="8"/>
  <c r="F767" i="8"/>
  <c r="F504" i="8"/>
  <c r="F655" i="8"/>
  <c r="F202" i="8"/>
  <c r="F955" i="8"/>
  <c r="F306" i="8"/>
  <c r="F688" i="8"/>
  <c r="F179" i="8"/>
  <c r="F214" i="8"/>
  <c r="F260" i="8"/>
  <c r="F292" i="8"/>
  <c r="F828" i="8"/>
  <c r="F237" i="8"/>
  <c r="F789" i="8"/>
  <c r="F399" i="8"/>
  <c r="F302" i="8"/>
  <c r="F195" i="8"/>
  <c r="F138" i="8"/>
  <c r="F304" i="8"/>
  <c r="F608" i="8"/>
  <c r="F168" i="8"/>
  <c r="F919" i="8"/>
  <c r="F111" i="8"/>
  <c r="F553" i="8"/>
  <c r="F892" i="8"/>
  <c r="F481" i="8"/>
  <c r="F943" i="8"/>
  <c r="F100" i="8"/>
  <c r="F451" i="8"/>
  <c r="F813" i="8"/>
  <c r="F494" i="8"/>
  <c r="F176" i="8"/>
  <c r="F512" i="8"/>
  <c r="F285" i="8"/>
  <c r="F488" i="8"/>
  <c r="F514" i="8"/>
  <c r="F818" i="8"/>
  <c r="F402" i="8"/>
  <c r="F186" i="8"/>
  <c r="F293" i="8"/>
  <c r="F934" i="8"/>
  <c r="F810" i="8"/>
  <c r="F227" i="8"/>
  <c r="F289" i="8"/>
  <c r="F423" i="8"/>
  <c r="F341" i="8"/>
  <c r="F947" i="8"/>
  <c r="F205" i="8"/>
  <c r="F621" i="8"/>
  <c r="F576" i="8"/>
  <c r="F528" i="8"/>
  <c r="F317" i="8"/>
  <c r="F160" i="8"/>
  <c r="F575" i="8"/>
  <c r="F743" i="8"/>
  <c r="F393" i="8"/>
  <c r="F209" i="8"/>
  <c r="F716" i="8"/>
  <c r="F477" i="8"/>
  <c r="F877" i="8"/>
  <c r="F146" i="8"/>
  <c r="F359" i="8"/>
  <c r="F587" i="8"/>
  <c r="F658" i="8"/>
  <c r="F427" i="8"/>
  <c r="F99" i="8"/>
  <c r="F122" i="8"/>
  <c r="F250" i="8"/>
  <c r="F866" i="8"/>
  <c r="F662" i="8"/>
  <c r="F874" i="8"/>
  <c r="F110" i="8"/>
  <c r="F751" i="8"/>
  <c r="F353" i="8"/>
  <c r="F480" i="8"/>
  <c r="F812" i="8"/>
  <c r="F737" i="8"/>
  <c r="F132" i="8"/>
  <c r="F839" i="8"/>
  <c r="F272" i="8"/>
</calcChain>
</file>

<file path=xl/sharedStrings.xml><?xml version="1.0" encoding="utf-8"?>
<sst xmlns="http://schemas.openxmlformats.org/spreadsheetml/2006/main" count="14099" uniqueCount="1320">
  <si>
    <t>Amélioration des insfrastructes pénitentiares</t>
  </si>
  <si>
    <t>Devis estimatif semaire</t>
  </si>
  <si>
    <t>N°</t>
  </si>
  <si>
    <t xml:space="preserve">Désignation </t>
  </si>
  <si>
    <t xml:space="preserve">Uté </t>
  </si>
  <si>
    <t>Qté</t>
  </si>
  <si>
    <t xml:space="preserve">Réparer la couverture (bouchage des certaines fuites et pose d’une peinture antirouille) </t>
  </si>
  <si>
    <r>
      <t>m</t>
    </r>
    <r>
      <rPr>
        <vertAlign val="superscript"/>
        <sz val="14"/>
        <color theme="1"/>
        <rFont val="Calibri"/>
        <family val="2"/>
        <scheme val="minor"/>
      </rPr>
      <t>2</t>
    </r>
  </si>
  <si>
    <t>Poser un faux-plafond pour réduire la chaleur intérieure </t>
  </si>
  <si>
    <t xml:space="preserve">Prévoir quelques tôles transparentes pour un éclairage naturel </t>
  </si>
  <si>
    <t>Repeindre les murs intérieurs </t>
  </si>
  <si>
    <t>Refaire le béton de forme et la chappe au sol </t>
  </si>
  <si>
    <t>Remplacer les moustiquaires sur toutes les fenêtres </t>
  </si>
  <si>
    <t>I</t>
  </si>
  <si>
    <t>II</t>
  </si>
  <si>
    <t xml:space="preserve">Réparation des canalisations abimées </t>
  </si>
  <si>
    <t xml:space="preserve">Réparation du pavement devant la chapelle </t>
  </si>
  <si>
    <t>ml</t>
  </si>
  <si>
    <t>1.1</t>
  </si>
  <si>
    <t>1.2</t>
  </si>
  <si>
    <t>1.3</t>
  </si>
  <si>
    <t>2.1</t>
  </si>
  <si>
    <t>2.2</t>
  </si>
  <si>
    <t>DOMAINE DE LOGEMENT DES DETENUES</t>
  </si>
  <si>
    <t>1.1.1</t>
  </si>
  <si>
    <t>1.1.2</t>
  </si>
  <si>
    <t>1.1.3</t>
  </si>
  <si>
    <t>1.1.4</t>
  </si>
  <si>
    <t>1.1.5</t>
  </si>
  <si>
    <t>1.1.6</t>
  </si>
  <si>
    <t>1.1.7</t>
  </si>
  <si>
    <t>SOUS-TOTAL 1.1</t>
  </si>
  <si>
    <t>1.2.1</t>
  </si>
  <si>
    <t>1.2.2</t>
  </si>
  <si>
    <t>1.3.1</t>
  </si>
  <si>
    <t>1.3.2</t>
  </si>
  <si>
    <t>Remplacer toutes les portes abimées des toilettes/douches</t>
  </si>
  <si>
    <t>Déboucher les installations d'évacuation des toilettes/douches</t>
  </si>
  <si>
    <t>SOUS-TOTAL 1.2</t>
  </si>
  <si>
    <t>SOUS-TOTAL 1.3</t>
  </si>
  <si>
    <t xml:space="preserve">LOCAUX DES VISITES </t>
  </si>
  <si>
    <t>2.1.1</t>
  </si>
  <si>
    <t>Rafraichir la peinture sur les faces intérieures des murs</t>
  </si>
  <si>
    <t>SOUS-TOTAL 2.1</t>
  </si>
  <si>
    <t>LOCAL DE CUISINE</t>
  </si>
  <si>
    <t>2.2.1</t>
  </si>
  <si>
    <t xml:space="preserve">Remplacer toutes les tôles de la couverture du hangar cuisine individuelle situé dans la cour N°01 des femmes. La charpente métallique est récupérable </t>
  </si>
  <si>
    <t>SOUS-TOTAL 2.2</t>
  </si>
  <si>
    <t>2.3</t>
  </si>
  <si>
    <t>CENTRE DE SANTE</t>
  </si>
  <si>
    <t>2.3.1</t>
  </si>
  <si>
    <t>SOUS-TOTAL 2.3</t>
  </si>
  <si>
    <t>2.4</t>
  </si>
  <si>
    <t>2.4.1</t>
  </si>
  <si>
    <t>SOUS-TOTAL 2.4</t>
  </si>
  <si>
    <t>Réparation de la chappe du pavement sol</t>
  </si>
  <si>
    <t>Peinture sur face intérieure</t>
  </si>
  <si>
    <t>Réparation de la couverture (gouttes d'eau)</t>
  </si>
  <si>
    <t>Réparer l'enduit dans le hall servant de classe devant la chapelle</t>
  </si>
  <si>
    <t>2.4.2</t>
  </si>
  <si>
    <t>2.4.3</t>
  </si>
  <si>
    <t>2.4.4</t>
  </si>
  <si>
    <t>2.4.5</t>
  </si>
  <si>
    <t>2.5</t>
  </si>
  <si>
    <t>EDUCATION</t>
  </si>
  <si>
    <t>SOUS-TOTAL 2.5</t>
  </si>
  <si>
    <t>2.5.1</t>
  </si>
  <si>
    <t>TOTAL DU DOMAINE I _ LOGEMENT</t>
  </si>
  <si>
    <t>TOTAL DU DOMAINE II _ SERVICES DESTINES AUX DETENUES</t>
  </si>
  <si>
    <t>III</t>
  </si>
  <si>
    <t>DOMAINE DU FONCTIONNEMENT DE LA PRISON</t>
  </si>
  <si>
    <t>DOMAINE DE SERVICES DESTINES AUX DETENUS</t>
  </si>
  <si>
    <t>3.1</t>
  </si>
  <si>
    <t>SECURITE DE LA PRISON</t>
  </si>
  <si>
    <t>3.1.1</t>
  </si>
  <si>
    <t>SOUS-TOTAL 3.1</t>
  </si>
  <si>
    <t>Bloc</t>
  </si>
  <si>
    <t>Construire deux guérites de gardiennage policier coté sud-Est et Sud-Ouest</t>
  </si>
  <si>
    <t>Démolir un réservoir coté chambre N°02 qui constitue un escalier de probable évasion</t>
  </si>
  <si>
    <t>FF</t>
  </si>
  <si>
    <t>Construire un mur d'enceinte de la prison en moellons , car tous les murs extérieurs des chambres sont en briques facilement défonçables</t>
  </si>
  <si>
    <t>3.2</t>
  </si>
  <si>
    <t>ADMINISTRATION</t>
  </si>
  <si>
    <t>3.2.1</t>
  </si>
  <si>
    <t>3.1.2</t>
  </si>
  <si>
    <t>3.1.3</t>
  </si>
  <si>
    <t>3.1.4</t>
  </si>
  <si>
    <t xml:space="preserve">Réaménager le local de direction et secretariat </t>
  </si>
  <si>
    <t>Peinture dans le Hall d'entrée central de la prison</t>
  </si>
  <si>
    <t>3.2.2</t>
  </si>
  <si>
    <t>SOUS-TOTAL 3.2</t>
  </si>
  <si>
    <t>3.3</t>
  </si>
  <si>
    <t>ASSAINISSEMENT ET DRAINAGE</t>
  </si>
  <si>
    <t>3.3.1</t>
  </si>
  <si>
    <t>3.3.2</t>
  </si>
  <si>
    <t xml:space="preserve">Réparer les caniveaux ouverts et souterrain pour évacuation des eaux de pluie; </t>
  </si>
  <si>
    <t xml:space="preserve">Réparer les caniveaux/conduites souterrains  pour évacuation des eaux usées </t>
  </si>
  <si>
    <t>Construire une grande fosse pour les eaux usées coté femmes </t>
  </si>
  <si>
    <t>Construire une fosse pour les eaux usée coté mineurs </t>
  </si>
  <si>
    <t>Construire un bassin d’infiltration pour les eaux de pluie coté femmes adultes </t>
  </si>
  <si>
    <t>SOUS-TOTAL 3.3</t>
  </si>
  <si>
    <t>3.3.3</t>
  </si>
  <si>
    <t>3.3.4</t>
  </si>
  <si>
    <t>3.3.5</t>
  </si>
  <si>
    <t>3.3.6</t>
  </si>
  <si>
    <t>3.4</t>
  </si>
  <si>
    <t>EAU POTABLE</t>
  </si>
  <si>
    <t>3.4.1</t>
  </si>
  <si>
    <t>Remplacer toute l’installation de distribution eau potable inter bâtiment et interieur des bâtiments</t>
  </si>
  <si>
    <t xml:space="preserve">Assurer un deuxième raccordement d’eau (une possibilité existe sur site : à contacter la REGIDESO) </t>
  </si>
  <si>
    <t>pce</t>
  </si>
  <si>
    <t xml:space="preserve">Réservoir existant coté femmes : réparer le branchement pour permettre son nettoyage lors de l’entretien-maintenance </t>
  </si>
  <si>
    <t>3.5</t>
  </si>
  <si>
    <t>COLLECTE DE L'EAU DE PLUIE</t>
  </si>
  <si>
    <t>SOUS-TOTAL 3.4</t>
  </si>
  <si>
    <t>3.6</t>
  </si>
  <si>
    <t>SERVICE D'APPUI</t>
  </si>
  <si>
    <t>SOUS-TOTAL 3.5</t>
  </si>
  <si>
    <t>Construire un local de matériel de champ</t>
  </si>
  <si>
    <t>3.6.1</t>
  </si>
  <si>
    <t>SOUS-TOTAL 3.6</t>
  </si>
  <si>
    <t>3.7</t>
  </si>
  <si>
    <t>ELECTRICITE</t>
  </si>
  <si>
    <t>3.7.1</t>
  </si>
  <si>
    <t>SOUS-TOTAL 3.7</t>
  </si>
  <si>
    <t xml:space="preserve">DORTOIRS/CHAMBRES </t>
  </si>
  <si>
    <t xml:space="preserve">LES COURS EXTERIEURS </t>
  </si>
  <si>
    <t xml:space="preserve">LES DOUCHES ET TOILETTES </t>
  </si>
  <si>
    <t>3.4.2</t>
  </si>
  <si>
    <t>3.4.3</t>
  </si>
  <si>
    <t>3.4.4</t>
  </si>
  <si>
    <t>3.5.1</t>
  </si>
  <si>
    <t>TOTAL DU DOMAINE III _ FONCTIONNEMENT DE LA PRISON</t>
  </si>
  <si>
    <t>PU (Euros)</t>
  </si>
  <si>
    <t>PT (Euros)</t>
  </si>
  <si>
    <r>
      <t>Refaire l’installation électrique intérieure </t>
    </r>
    <r>
      <rPr>
        <sz val="14"/>
        <color rgb="FFFF0000"/>
        <rFont val="Calibri"/>
        <family val="2"/>
        <scheme val="minor"/>
      </rPr>
      <t>(cfr domaine fonctionnement prison)</t>
    </r>
  </si>
  <si>
    <t>Réparer une fissure du mur et retouche de la peinture après réparation de fissures ( salle polyvalente)</t>
  </si>
  <si>
    <t xml:space="preserve">Renforcement de la couverture de la salle d'atélier pour les mineurs par une peinture de protection sur les toles </t>
  </si>
  <si>
    <t>Construire des puisards d'infiltration des eaux sur quelques blocs</t>
  </si>
  <si>
    <t>2.2.2</t>
  </si>
  <si>
    <t xml:space="preserve">Construire un hangar abri bois à l'extérieur de la clôture </t>
  </si>
  <si>
    <t>Re-aménagement des locaux pour augmenter les services du CDS (y compris l'incinérateur)</t>
  </si>
  <si>
    <r>
      <t>Construire un réservoir 10 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de stock d’eau potable côté cour n°01 des femmes adultes ( réservoir en moellons)</t>
    </r>
  </si>
  <si>
    <t>Construire un dortoir des policiers de garde coté Est</t>
  </si>
  <si>
    <t xml:space="preserve">CHAPELLE  </t>
  </si>
  <si>
    <t xml:space="preserve">Renforcer les fenêtres des bureaux administratifs pour sécurité du staff : pose des grillages, pose des ouvrants à la place des système NACO </t>
  </si>
  <si>
    <r>
      <t> Construire des reservoirs de collecte des eaux de pluie pour réutilisation dans les activités de nettoyage des locaux ( reservoirs en plastiques 5m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</si>
  <si>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t>Refaire l’installation électrique sécurisé inter bloc sur tout le site selon la norme, l'éclairage des cours  et l'intérieur de tous les blocs</t>
  </si>
  <si>
    <t>Prison Muyinga</t>
  </si>
  <si>
    <t>TOTAL GENERAL PRISON MUYINGA</t>
  </si>
  <si>
    <t>ACTIVITES PHYSIQUES RECREATIVES</t>
  </si>
  <si>
    <t>DORTOIRS/CELLULES</t>
  </si>
  <si>
    <t>PPF
/PPU</t>
  </si>
  <si>
    <t>PU
Euros
(en chiffre)</t>
  </si>
  <si>
    <t>PU
Euros
(en lettre)</t>
  </si>
  <si>
    <t xml:space="preserve">PROJET  D’APPUI  AU SECTEUR DE LA  JUSTICE
AMELIORATION DU BATI CARCERAL </t>
  </si>
  <si>
    <t>0.1</t>
  </si>
  <si>
    <t xml:space="preserve">Installation et repli de chantier </t>
  </si>
  <si>
    <t>PPF</t>
  </si>
  <si>
    <t>0.2</t>
  </si>
  <si>
    <t>Panneau de chantier</t>
  </si>
  <si>
    <t>TRAVAUX PREPARATOIRES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</si>
  <si>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</si>
  <si>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Dessouchages des arbres</t>
  </si>
  <si>
    <t>Pce</t>
  </si>
  <si>
    <t xml:space="preserve">Dépose de toiture </t>
  </si>
  <si>
    <t>Décapage de la terre végénétale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</si>
  <si>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</si>
  <si>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BETON  NON ARME</t>
  </si>
  <si>
    <t>BETON ARME</t>
  </si>
  <si>
    <t>PAVEMENT</t>
  </si>
  <si>
    <t>MACONNERIE.</t>
  </si>
  <si>
    <t>REVETEMENT DE SOL</t>
  </si>
  <si>
    <t>REVETEMENT SUR MURS</t>
  </si>
  <si>
    <t>HUISSERIE ET MENUISERIE.</t>
  </si>
  <si>
    <t>FAUX PLAFOND.</t>
  </si>
  <si>
    <t>COUVERTURE ET ETANCHEITE DES TOITURES.</t>
  </si>
  <si>
    <t>PEINTURE</t>
  </si>
  <si>
    <t>Remise en état du herrison existant</t>
  </si>
  <si>
    <t xml:space="preserve">Plinthe en mortier de ciment </t>
  </si>
  <si>
    <t>Faux-plafond en multiplex 5mm sur gitage en bois.</t>
  </si>
  <si>
    <t>m²</t>
  </si>
  <si>
    <t>Chaulage sur façes destinées à être peintes</t>
  </si>
  <si>
    <t>Peinture acrylique sur le faux-plafond en multiplex</t>
  </si>
  <si>
    <t>Peinture glycérophtalique sur les portes métalliques</t>
  </si>
  <si>
    <t>Peinture glycérophtalique sur les fénêtres métalliques</t>
  </si>
  <si>
    <t>Excavation des fouilles des fondations</t>
  </si>
  <si>
    <t xml:space="preserve">Béton cyclopéen </t>
  </si>
  <si>
    <t>Béton cyclopéen en sol</t>
  </si>
  <si>
    <t>Maçonnerie de soubassement en moellons</t>
  </si>
  <si>
    <t>Maçonnerie du mur  en élévation en moellons</t>
  </si>
  <si>
    <t xml:space="preserve">Portails d'entrée </t>
  </si>
  <si>
    <t xml:space="preserve">Bouchage des fuites d'eau sur la couverture en tôles </t>
  </si>
  <si>
    <t>Tôles transparentes pour eclairage naturel</t>
  </si>
  <si>
    <t xml:space="preserve">Moustiquaire sur les fenetres </t>
  </si>
  <si>
    <t>INSTALLATION DE CHANTIER SUR LE SITE</t>
  </si>
  <si>
    <t>Préparation des caniveaux destinés à être réparer</t>
  </si>
  <si>
    <t>Pces</t>
  </si>
  <si>
    <t>Débouchage des installations d'évacuation des toilettes/douches</t>
  </si>
  <si>
    <t>Dépose des tôles abimées destiées à être remplacer</t>
  </si>
  <si>
    <t>Fourniture des grandes marmites pour la cuisine collective (stove large size for collective kitchen)</t>
  </si>
  <si>
    <t>DECHETERIE DU CDS DE LA PRISON</t>
  </si>
  <si>
    <t>Incinérateur type Montfort</t>
  </si>
  <si>
    <t>Fosse à Placenta</t>
  </si>
  <si>
    <t>Fosse à cendres</t>
  </si>
  <si>
    <t>Bac/poubelle de déchets prêts à être incinérés</t>
  </si>
  <si>
    <t>Point d’eau</t>
  </si>
  <si>
    <t>Clôture de la déchèterie</t>
  </si>
  <si>
    <t>TERRASSEMENTS</t>
  </si>
  <si>
    <t>Dépose des fénêtres abimées/ou à remplacer</t>
  </si>
  <si>
    <t>Dépose des portes abimées/ou à remplacer</t>
  </si>
  <si>
    <t xml:space="preserve">Fouille de fondations </t>
  </si>
  <si>
    <t>Remblais de l'espace bâti /ou exploitable</t>
  </si>
  <si>
    <t>Béton de propreté</t>
  </si>
  <si>
    <t xml:space="preserve">Béton pour appui des fenêtres </t>
  </si>
  <si>
    <t>Béton de forme sur les passages couverts, trottoirs et caniveaux</t>
  </si>
  <si>
    <t xml:space="preserve">Béton de forme légèrement armé sur le hérisson </t>
  </si>
  <si>
    <t>Béton des semelles et fûts des colonnes</t>
  </si>
  <si>
    <t>Béton armé de chainage bas horizontaux</t>
  </si>
  <si>
    <t>Béton armé de chaînage haut horizontaux</t>
  </si>
  <si>
    <t>Béton armé des linteaux partiels</t>
  </si>
  <si>
    <t xml:space="preserve">Béton armé des colonnes /chainages verticaux </t>
  </si>
  <si>
    <t xml:space="preserve">Béton armé pour paillasse de travail , </t>
  </si>
  <si>
    <t>sable de proprété</t>
  </si>
  <si>
    <t>Hérisson de moellons</t>
  </si>
  <si>
    <t>Maçonnerie en briques cuites artisanales, ép:  20cm</t>
  </si>
  <si>
    <t>Maçonnerie en briques cuites artisanales, ép: 10cm</t>
  </si>
  <si>
    <t>Maconnerie en briques ajourées (pour les aérations)</t>
  </si>
  <si>
    <t>Maçonnerie de claustras en ciment</t>
  </si>
  <si>
    <t>Maçonnerie de soubassement sous le chainage bas , ép: 40cm</t>
  </si>
  <si>
    <t>m³</t>
  </si>
  <si>
    <t xml:space="preserve">Chape ciment lissée teintée au rouge </t>
  </si>
  <si>
    <t>Chape ciment lissée de couleur ciment classique</t>
  </si>
  <si>
    <t>Chape ciment talochée sur passages couverts, trottoirs et caniveaux</t>
  </si>
  <si>
    <t xml:space="preserve">Carreaux de sol </t>
  </si>
  <si>
    <t>Rejointoyage sur façes des murs</t>
  </si>
  <si>
    <t>Enduit fines sur façes des murs</t>
  </si>
  <si>
    <t>Enduit tylorien sur façes des murs</t>
  </si>
  <si>
    <t xml:space="preserve">Carreaux de faïence sur façes humides </t>
  </si>
  <si>
    <t>Plinthe en carreaux</t>
  </si>
  <si>
    <t xml:space="preserve">Fenêtres métalliques vitrées à ouvrants </t>
  </si>
  <si>
    <t xml:space="preserve">Fenêtres métalliques vitrées fixes </t>
  </si>
  <si>
    <t>Fenêtres à lamelle NACO</t>
  </si>
  <si>
    <t xml:space="preserve">Portes métalliques doubles semi-vitrées </t>
  </si>
  <si>
    <t xml:space="preserve">Portes métalliques doubles pleines </t>
  </si>
  <si>
    <t>Portes métalliques simples pleines ;</t>
  </si>
  <si>
    <t>Portes métalliques simple semi-vitrées ;</t>
  </si>
  <si>
    <t>Portes en contreplaqué à encadrement métalliques ;</t>
  </si>
  <si>
    <t>Portes en contreplaqué pour placards ;</t>
  </si>
  <si>
    <t>Panneaux de bois pour les rangements des placards/étagères</t>
  </si>
  <si>
    <t>Garde corps métalliques (hauteur 90cm)</t>
  </si>
  <si>
    <t>Poteaux métalliques en tubes doublés pour passage couvert/hangar cuisine</t>
  </si>
  <si>
    <t>Rampants en tubes 40x40x1,5mm</t>
  </si>
  <si>
    <t>Fermes en tubes creux 60x40x1,5mm</t>
  </si>
  <si>
    <t>Pannes en tubes creux 60x40x1,5mm</t>
  </si>
  <si>
    <t>Pannes en tubes creux 40x40x1,5mm</t>
  </si>
  <si>
    <t xml:space="preserve">Couverture en tôles BG 28 teintées au rouge </t>
  </si>
  <si>
    <t xml:space="preserve">Charpente en madriers de bois </t>
  </si>
  <si>
    <t>Planches de rive en profil C 150x30x1,5mm</t>
  </si>
  <si>
    <t xml:space="preserve">Réparartion de fissure apparente sur le mur </t>
  </si>
  <si>
    <t>Pose d'une peinture anti-rouille de protection des tôles en début de corrosion</t>
  </si>
  <si>
    <t>Terrassement de plate forme du terrain</t>
  </si>
  <si>
    <t>Béton de forme de sol</t>
  </si>
  <si>
    <t>Clôture de protection en tubes et treillis métalliques</t>
  </si>
  <si>
    <t>Porte d'entrée dans l'espace aménagé</t>
  </si>
  <si>
    <t>Aménagement des toilettes pour l'espace de jeux (unité complète : travaux et installation)</t>
  </si>
  <si>
    <t>Guerité de policiers pour gardiennage</t>
  </si>
  <si>
    <t>Construction d'une guerite complet sur structure métallique</t>
  </si>
  <si>
    <t>Clôture d'enceinte pour la prison</t>
  </si>
  <si>
    <t>Fil V.OB.1.5 mm²</t>
  </si>
  <si>
    <t>Fil V.OB.2.5 mm²</t>
  </si>
  <si>
    <t>Prise de courant 2P+T 16A/220V</t>
  </si>
  <si>
    <t>Appliques murales E27 12W/220V</t>
  </si>
  <si>
    <t>Interrupteurs S/A  10A/220V</t>
  </si>
  <si>
    <t>Interrupteur doubles poles 10A/220V</t>
  </si>
  <si>
    <t>Interrupteur trois poles 10A/220V</t>
  </si>
  <si>
    <t>Interrupteur quatre poles 10A/220V</t>
  </si>
  <si>
    <t>Gaine flexible pour conduire les fils dans le faux-plafond</t>
  </si>
  <si>
    <t xml:space="preserve">Gaine PVC rigides fixés apparents </t>
  </si>
  <si>
    <t>Piquet de terre</t>
  </si>
  <si>
    <t>Fil de terre 1x25mm²</t>
  </si>
  <si>
    <t>Barrette de coupure</t>
  </si>
  <si>
    <t>Disjoncteur magnétothermique 2P 16A/220V</t>
  </si>
  <si>
    <t>Disjoncteur magnétothermique 2P 10A/220V</t>
  </si>
  <si>
    <t>Câbles souterrains 4x6mm² ( raccordement inter-bâtiment)</t>
  </si>
  <si>
    <t>Luminaires (ampoules) éco E27 12W/220V</t>
  </si>
  <si>
    <t>Culot (Sockets) E27 12W/220V</t>
  </si>
  <si>
    <t>Luminaires-projecteurs pour l'extérieur 300W/220V/10A</t>
  </si>
  <si>
    <t>Disjoncteur magnétothermique 4P 63A/220V</t>
  </si>
  <si>
    <t xml:space="preserve">Coffret divisionnaire 1 rangée/ 12 modules avec barette de terre </t>
  </si>
  <si>
    <t xml:space="preserve">Coffret divisionnaire  2 rangées/ 24 modules avec barette de terre </t>
  </si>
  <si>
    <t>Disjoncteur différentiel 2P 32A/220V</t>
  </si>
  <si>
    <t>PPU</t>
  </si>
  <si>
    <t>Dépose de faux-plafond abimé</t>
  </si>
  <si>
    <t xml:space="preserve">TRAVAUX GENERAUX </t>
  </si>
  <si>
    <t>DEMOLUTION , DEPOSE ET DECAPAGE</t>
  </si>
  <si>
    <t>INSTALLATION ELECTRICITE DE LA PRISON</t>
  </si>
  <si>
    <t>Dortoir des policiers de garde</t>
  </si>
  <si>
    <t>Raccordement du site par la REGIDESO</t>
  </si>
  <si>
    <t>Tuyauterie de distribution eau potable</t>
  </si>
  <si>
    <t>Points d'eau au niveau des cours</t>
  </si>
  <si>
    <t xml:space="preserve">EAU POTABLE </t>
  </si>
  <si>
    <t>GESTION DE L'EAU DE PLUIE</t>
  </si>
  <si>
    <t>GESTION DES EAUX USEES ET EAUX VANNES</t>
  </si>
  <si>
    <t>PLOMBERIE ET SANITAIRE</t>
  </si>
  <si>
    <t>W.C. type anglais</t>
  </si>
  <si>
    <t>W.C. turc</t>
  </si>
  <si>
    <t xml:space="preserve">Urinoirs </t>
  </si>
  <si>
    <t>Bac douche en carreaux de sol</t>
  </si>
  <si>
    <t>Lave-main</t>
  </si>
  <si>
    <t>Lavabo moyen</t>
  </si>
  <si>
    <t>Evier inoxydable simple cuve</t>
  </si>
  <si>
    <t>Tuyauterie d'évacuation intérieure avec tous les accessoires</t>
  </si>
  <si>
    <t>Tuyauterie de distribution intérieure avec tous les accessoires</t>
  </si>
  <si>
    <t>Bac à laver maçonné</t>
  </si>
  <si>
    <t>Bac à laver maçonné maçonné</t>
  </si>
  <si>
    <t>Séparer les eaux usées et vannes dans les conduits sous les ouvrages sous-terrains</t>
  </si>
  <si>
    <t>pces</t>
  </si>
  <si>
    <t>Puits perdus  Prof 10m</t>
  </si>
  <si>
    <t xml:space="preserve">Caniveaux ouverts </t>
  </si>
  <si>
    <t xml:space="preserve">Puisards d'infirltration des eaux </t>
  </si>
  <si>
    <t>Bassin d'infiltration des eaux L 1300xlarg 600</t>
  </si>
  <si>
    <t>Bassin d'infiltration des eaux L 2400xlarg 600</t>
  </si>
  <si>
    <t>Regards de visites/ dissipation</t>
  </si>
  <si>
    <t>Caniveaux couverts /souterrains</t>
  </si>
  <si>
    <t>Chambres de visite /regards</t>
  </si>
  <si>
    <t>Remblais de l'espace bâti /ou espace exploitable</t>
  </si>
  <si>
    <t xml:space="preserve">Elevation en tubes et treillis </t>
  </si>
  <si>
    <t>Grandes portes d'accès identique à l'elevation</t>
  </si>
  <si>
    <t>Toiture métallique (charpente en tubes et tôles BG 28 teintées au rouge)</t>
  </si>
  <si>
    <t>Trottoirs et caniveaux</t>
  </si>
  <si>
    <t xml:space="preserve">HANGAR ABRI FERME POUR LE STOCK DE  BOIS </t>
  </si>
  <si>
    <t>MATERIEL / EQUIPEMENTS DE LA CUISINE</t>
  </si>
  <si>
    <r>
      <t>m</t>
    </r>
    <r>
      <rPr>
        <vertAlign val="superscript"/>
        <sz val="11"/>
        <rFont val="Calibri"/>
        <family val="2"/>
        <scheme val="minor"/>
      </rPr>
      <t>2</t>
    </r>
  </si>
  <si>
    <r>
      <t>m</t>
    </r>
    <r>
      <rPr>
        <vertAlign val="superscript"/>
        <sz val="11"/>
        <rFont val="Calibri"/>
        <family val="2"/>
        <scheme val="minor"/>
      </rPr>
      <t>3</t>
    </r>
  </si>
  <si>
    <r>
      <t>Reservoir de stockage 10m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en plastique </t>
    </r>
  </si>
  <si>
    <r>
      <t>Reservoir de stockage 5m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en plastique </t>
    </r>
  </si>
  <si>
    <r>
      <t>Reservoirs de collecte des eaux pluviales: 
capacité 5m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en plastiques</t>
    </r>
  </si>
  <si>
    <t>Pavement classique au sol (hérisson+béton de forme)</t>
  </si>
  <si>
    <t>Démolution du béton de forme abimé</t>
  </si>
  <si>
    <t>Fosse septique classique : L 300xlarg 100xH 120</t>
  </si>
  <si>
    <t>Fosse septique totalement en mur voile/béton banché :
L 1500xlarg 300xH 250</t>
  </si>
  <si>
    <t>Fosse septique totalement en mur voile/béton banché : 
L 900xlarg 300xH 250</t>
  </si>
  <si>
    <t>Fosse septique totalement en mur voile/béton banché : 
L 750xlarg 300xH 250</t>
  </si>
  <si>
    <t>Bac dégraisseur sur le conduit des eaux en provenance de cuisine (totalement en mur voile)</t>
  </si>
  <si>
    <t>Tuyauterie d'évaction des eaux vannes PVC 250 PN10</t>
  </si>
  <si>
    <t>Tuyauterie d'évaction des eaux usées PVC 200 PN 10</t>
  </si>
  <si>
    <t>DEVIS QUANTITATIF ESTIMATIF</t>
  </si>
  <si>
    <t>Lot N°1: PRISON DE NGOZI-FEMMES</t>
  </si>
  <si>
    <t>PU
Euros</t>
  </si>
  <si>
    <t>PT
Euros</t>
  </si>
  <si>
    <t>Lot N°2: PRISON DE NGOZI-HOMMES</t>
  </si>
  <si>
    <t>Lot N°3: PRISON DE MUYINGA</t>
  </si>
  <si>
    <t>Couverture de la zone de l’incinérateur en toles BG 28 teintées rouge</t>
  </si>
  <si>
    <t>CHAPELLE  ET SALLE MULTI-SERVICES</t>
  </si>
  <si>
    <t xml:space="preserve">Puisards d'infiltration des eaux </t>
  </si>
  <si>
    <t>SOUS-TOTAL 0: TRAVAUX GENERAUX</t>
  </si>
  <si>
    <t>SOUS-TOTAL I: DOMAINE LOGEMENTS DETENUS</t>
  </si>
  <si>
    <t>SOUS-TOTAL II: SERVICES DETINES AUX DETENUS</t>
  </si>
  <si>
    <t>SOUS-TOTAL III: DOMAINE FONCTIONNEMENT DE LA PRISON</t>
  </si>
  <si>
    <t>Câbles souterrains 3x4mm² ( raccordement inter-bâtiment)</t>
  </si>
  <si>
    <t>Coffret de distribution principale 4 modules avec barette de terre</t>
  </si>
  <si>
    <r>
      <t>Coffret de distribution secondaire 4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modules avec barette de terre</t>
    </r>
  </si>
  <si>
    <t>TOTAL GENERAL DU LOT N°01: NGOZI FEMMES</t>
  </si>
  <si>
    <t>TOTAL GENERAL DU LOT N°02: NGOZI HOMMES</t>
  </si>
  <si>
    <t>TOTAL GENERAL DU LOT N°03 : MUYINGA</t>
  </si>
  <si>
    <t>Maçonnerie en briques cuites artisanales, ép:  30cm</t>
  </si>
  <si>
    <t>Fenêtres métalliques grillagées avec moustiquaires</t>
  </si>
  <si>
    <t>Rehaussement de maçonnerie en briques cuites, ép:30cm</t>
  </si>
  <si>
    <t xml:space="preserve">Chape ciment talochée sur passages couverts, trottoirs , caniveaux et/ou dans les cours </t>
  </si>
  <si>
    <t>WC pour les personnes handicapées</t>
  </si>
  <si>
    <t>Douche pour les personnes handicapées</t>
  </si>
  <si>
    <t>Portes métalliques grillagées ;</t>
  </si>
  <si>
    <t xml:space="preserve">Mur grillagé </t>
  </si>
  <si>
    <t>LOT 1</t>
  </si>
  <si>
    <t>PRISON NGOZI FEMMES</t>
  </si>
  <si>
    <t>LOT 2</t>
  </si>
  <si>
    <t>LOT 3</t>
  </si>
  <si>
    <t>PRISON NGOZI HOMMES</t>
  </si>
  <si>
    <t>PRISON MUYINGA</t>
  </si>
  <si>
    <t>Lot</t>
  </si>
  <si>
    <t>Nom de Prison</t>
  </si>
  <si>
    <t>PU Euros</t>
  </si>
  <si>
    <t>Clôture de protection en maçonnerie de moellons, épaisseru 40cm et hauteur 4m</t>
  </si>
  <si>
    <t>2.6</t>
  </si>
  <si>
    <t>Sous total 01: Installation chantier</t>
  </si>
  <si>
    <t>sous total 02: démulution, dépose et décapage</t>
  </si>
  <si>
    <t>sous total 1.1: dortoirs et cellules</t>
  </si>
  <si>
    <t>sous total 1.2: cours exterieures</t>
  </si>
  <si>
    <t>sous total 1.3: douches et toilettes</t>
  </si>
  <si>
    <t>Sous total 2.1: locaux des visiteurs</t>
  </si>
  <si>
    <t>Sous total 2.2: locaux de cuisine</t>
  </si>
  <si>
    <t>sous total 2.3: centre de santé</t>
  </si>
  <si>
    <t>sous total 2.4: chapelle et autres salles</t>
  </si>
  <si>
    <t>sous total 2.5: éducation</t>
  </si>
  <si>
    <t>sous total 2.6: activités physiques récréatives</t>
  </si>
  <si>
    <t>sous total 3.1: sécurité de la prison</t>
  </si>
  <si>
    <t>sous total 3.2: admnistration</t>
  </si>
  <si>
    <t>sous total 3.3: gestion des eaux usées et vannes</t>
  </si>
  <si>
    <t>sous total 3.4: eau potable</t>
  </si>
  <si>
    <t>sous total 3.5: gestion de l'eau de pluie</t>
  </si>
  <si>
    <t>sous total 3.6: service d'appui</t>
  </si>
  <si>
    <t>sous total 3.7: installation électrique</t>
  </si>
  <si>
    <t>Peinture acrylique lesivable sur enduit des murs</t>
  </si>
  <si>
    <t>Portes en contreplaqué à encadrement métallique</t>
  </si>
  <si>
    <t>Construction/extension de  locaux administratifs</t>
  </si>
  <si>
    <t xml:space="preserve">Paratonnerre de protection du site </t>
  </si>
  <si>
    <t>0.1.1</t>
  </si>
  <si>
    <t>0.1.2</t>
  </si>
  <si>
    <t>0.2.1</t>
  </si>
  <si>
    <t>0.2.2</t>
  </si>
  <si>
    <t>0.2.3</t>
  </si>
  <si>
    <t>0.2.4</t>
  </si>
  <si>
    <t>0.2.5</t>
  </si>
  <si>
    <t>0.2.6</t>
  </si>
  <si>
    <t>0.2.7</t>
  </si>
  <si>
    <t>1.1.1.1</t>
  </si>
  <si>
    <t>1.1.1.2</t>
  </si>
  <si>
    <t>1.1.1.3</t>
  </si>
  <si>
    <t>1.1.1.4</t>
  </si>
  <si>
    <t>1.1.1.5</t>
  </si>
  <si>
    <t>1.1.1.6</t>
  </si>
  <si>
    <t>1.1.1.7</t>
  </si>
  <si>
    <t>1.1.2.1</t>
  </si>
  <si>
    <t>1.1.2.2</t>
  </si>
  <si>
    <t>1.1.3.1</t>
  </si>
  <si>
    <t>1.1.3.2</t>
  </si>
  <si>
    <t>1.1.3.3</t>
  </si>
  <si>
    <t>1.1.3.4</t>
  </si>
  <si>
    <t>1.1.4.1</t>
  </si>
  <si>
    <t>1.1.4.2</t>
  </si>
  <si>
    <t>1.1.4.3</t>
  </si>
  <si>
    <t>1.1.4.4</t>
  </si>
  <si>
    <t>1.1.4.5</t>
  </si>
  <si>
    <t>1.1.4.6</t>
  </si>
  <si>
    <t>1.1.4.7</t>
  </si>
  <si>
    <t>1.1.5.1</t>
  </si>
  <si>
    <t>1.1.5.2</t>
  </si>
  <si>
    <t>1.1.5.3</t>
  </si>
  <si>
    <t>1.1.6.1</t>
  </si>
  <si>
    <t>1.1.6.2</t>
  </si>
  <si>
    <t>1.1.6.3</t>
  </si>
  <si>
    <t>1.1.6.4</t>
  </si>
  <si>
    <t>1.1.6.5</t>
  </si>
  <si>
    <t>1.1.6.6</t>
  </si>
  <si>
    <t>1.1.6.7</t>
  </si>
  <si>
    <t>1.1.7.1</t>
  </si>
  <si>
    <t>1.1.7.2</t>
  </si>
  <si>
    <t>1.1.7.3</t>
  </si>
  <si>
    <t>1.1.7.4</t>
  </si>
  <si>
    <t>1.1.8</t>
  </si>
  <si>
    <t>1.1.8.1</t>
  </si>
  <si>
    <t>1.1.8.2</t>
  </si>
  <si>
    <t>1.1.8.3</t>
  </si>
  <si>
    <t>1.1.8.4</t>
  </si>
  <si>
    <t>1.1.8.5</t>
  </si>
  <si>
    <t>1.1.8.6</t>
  </si>
  <si>
    <t>1.1.8.7</t>
  </si>
  <si>
    <t>1.1.9</t>
  </si>
  <si>
    <t>1.1.9.1</t>
  </si>
  <si>
    <t>1.1.9.2</t>
  </si>
  <si>
    <t>1.1.9.3</t>
  </si>
  <si>
    <t>1.1.9.4</t>
  </si>
  <si>
    <t>1.1.9.5</t>
  </si>
  <si>
    <t>1.1.9.6</t>
  </si>
  <si>
    <t>1.1.9.7</t>
  </si>
  <si>
    <t>1.1.9.8</t>
  </si>
  <si>
    <t>1.1.9.9</t>
  </si>
  <si>
    <t>1.1.9.10</t>
  </si>
  <si>
    <t>1.1.10</t>
  </si>
  <si>
    <t>1.1.10.1</t>
  </si>
  <si>
    <t>1.1.11</t>
  </si>
  <si>
    <t>1.1.11.1</t>
  </si>
  <si>
    <t>1.1.11.2</t>
  </si>
  <si>
    <t>1.1.11.3</t>
  </si>
  <si>
    <t>1.1.11.4</t>
  </si>
  <si>
    <t>1.1.11.5</t>
  </si>
  <si>
    <t>1.1.11.6</t>
  </si>
  <si>
    <t>1.1.11.7</t>
  </si>
  <si>
    <t>1.1.11.8</t>
  </si>
  <si>
    <t>1.1.11.9</t>
  </si>
  <si>
    <t>1.1.11.10</t>
  </si>
  <si>
    <t>1.1.11.11</t>
  </si>
  <si>
    <t>1.1.12</t>
  </si>
  <si>
    <t>1.1.12.1</t>
  </si>
  <si>
    <t>1.1.12.2</t>
  </si>
  <si>
    <t>1.1.12.3</t>
  </si>
  <si>
    <t>1.1.12.4</t>
  </si>
  <si>
    <t>1.1.12.5</t>
  </si>
  <si>
    <t>1.2.1.1</t>
  </si>
  <si>
    <t>1.2.1.2</t>
  </si>
  <si>
    <t>1.2.1.3</t>
  </si>
  <si>
    <t>1.2.1.4</t>
  </si>
  <si>
    <t>1.2.1.5</t>
  </si>
  <si>
    <t>1.2.1.6</t>
  </si>
  <si>
    <t>1.2.1.7</t>
  </si>
  <si>
    <t>1.2.2.1</t>
  </si>
  <si>
    <t>1.2.2.2</t>
  </si>
  <si>
    <t>1.2.3</t>
  </si>
  <si>
    <t>1.2.3.1</t>
  </si>
  <si>
    <t>1.2.3.2</t>
  </si>
  <si>
    <t>1.2.3.3</t>
  </si>
  <si>
    <t>1.2.3.4</t>
  </si>
  <si>
    <t>1.2.4</t>
  </si>
  <si>
    <t>1.2.4.1</t>
  </si>
  <si>
    <t>1.2.4.2</t>
  </si>
  <si>
    <t>1.2.4.3</t>
  </si>
  <si>
    <t>1.2.4.4</t>
  </si>
  <si>
    <t>1.2.4.5</t>
  </si>
  <si>
    <t>1.2.4.6</t>
  </si>
  <si>
    <t>1.2.4.7</t>
  </si>
  <si>
    <t>1.2.5</t>
  </si>
  <si>
    <t>1.2.5.1</t>
  </si>
  <si>
    <t>1.2.5.2</t>
  </si>
  <si>
    <t>1.2.5.3</t>
  </si>
  <si>
    <t>1.2.6</t>
  </si>
  <si>
    <t>1.2.6.1</t>
  </si>
  <si>
    <t>1.2.6.2</t>
  </si>
  <si>
    <t>1.2.6.3</t>
  </si>
  <si>
    <t>1.2.6.4</t>
  </si>
  <si>
    <t>1.2.6.5</t>
  </si>
  <si>
    <t>1.2.7</t>
  </si>
  <si>
    <t>1.2.7.1</t>
  </si>
  <si>
    <t>1.2.7.2</t>
  </si>
  <si>
    <t>1.2.7.3</t>
  </si>
  <si>
    <t>1.2.7.4</t>
  </si>
  <si>
    <t>1.3.1.1</t>
  </si>
  <si>
    <t>1.3.1.2</t>
  </si>
  <si>
    <t>1.3.1.3</t>
  </si>
  <si>
    <t>1.3.1.4</t>
  </si>
  <si>
    <t>1.3.1.5</t>
  </si>
  <si>
    <t>1.3.1.6</t>
  </si>
  <si>
    <t>1.3.1.7</t>
  </si>
  <si>
    <t>1.3.2.1</t>
  </si>
  <si>
    <t>1.3.2.2</t>
  </si>
  <si>
    <t>1.3.3</t>
  </si>
  <si>
    <t>1.3.3.1</t>
  </si>
  <si>
    <t>1.3.3.2</t>
  </si>
  <si>
    <t>1.3.3.3</t>
  </si>
  <si>
    <t>1.3.3.4</t>
  </si>
  <si>
    <t>1.3.4</t>
  </si>
  <si>
    <t>1.3.4.1</t>
  </si>
  <si>
    <t>1.3.4.2</t>
  </si>
  <si>
    <t>1.3.4.3</t>
  </si>
  <si>
    <t>1.3.4.4</t>
  </si>
  <si>
    <t>1.3.4.5</t>
  </si>
  <si>
    <t>1.3.4.6</t>
  </si>
  <si>
    <t>1.3.4.7</t>
  </si>
  <si>
    <t>1.3.5</t>
  </si>
  <si>
    <t>1.3.5.1</t>
  </si>
  <si>
    <t>1.3.5.2</t>
  </si>
  <si>
    <t>1.3.5.3</t>
  </si>
  <si>
    <t>1.3.6</t>
  </si>
  <si>
    <t>1.3.6.1</t>
  </si>
  <si>
    <t>1.3.6.2</t>
  </si>
  <si>
    <t>1.3.6.3</t>
  </si>
  <si>
    <t>1.3.6.4</t>
  </si>
  <si>
    <t>1.3.6.5</t>
  </si>
  <si>
    <t>1.3.7</t>
  </si>
  <si>
    <t>1.3.7.1</t>
  </si>
  <si>
    <t>1.3.7.2</t>
  </si>
  <si>
    <t>1.3.7.3</t>
  </si>
  <si>
    <t>1.3.7.4</t>
  </si>
  <si>
    <t>1.3.8</t>
  </si>
  <si>
    <t>1.3.8.1</t>
  </si>
  <si>
    <t>1.3.8.2</t>
  </si>
  <si>
    <t>1.3.8.3</t>
  </si>
  <si>
    <t>1.3.8.4</t>
  </si>
  <si>
    <t>1.3.8.5</t>
  </si>
  <si>
    <t>1.3.8.6</t>
  </si>
  <si>
    <t>1.3.8.7</t>
  </si>
  <si>
    <t>1.3.9</t>
  </si>
  <si>
    <t>1.3.9.1</t>
  </si>
  <si>
    <t>1.3.9.2</t>
  </si>
  <si>
    <t>1.3.9.3</t>
  </si>
  <si>
    <t>1.3.9.4</t>
  </si>
  <si>
    <t>1.3.9.5</t>
  </si>
  <si>
    <t>1.3.9.6</t>
  </si>
  <si>
    <t>1.3.9.7</t>
  </si>
  <si>
    <t>1.3.9.8</t>
  </si>
  <si>
    <t>1.3.9.9</t>
  </si>
  <si>
    <t>1.3.10</t>
  </si>
  <si>
    <t>1.3.10.1</t>
  </si>
  <si>
    <t>1.3.11</t>
  </si>
  <si>
    <t>1.3.11.1</t>
  </si>
  <si>
    <t>1.3.11.2</t>
  </si>
  <si>
    <t>1.3.11.3</t>
  </si>
  <si>
    <t>1.3.11.4</t>
  </si>
  <si>
    <t>1.3.11.5</t>
  </si>
  <si>
    <t>1.3.11.6</t>
  </si>
  <si>
    <t>1.3.11.7</t>
  </si>
  <si>
    <t>1.3.11.8</t>
  </si>
  <si>
    <t>1.3.11.9</t>
  </si>
  <si>
    <t>1.3.11.10</t>
  </si>
  <si>
    <t>1.3.11.11</t>
  </si>
  <si>
    <t>1.3.12</t>
  </si>
  <si>
    <t>1.3.12.1</t>
  </si>
  <si>
    <t>1.3.12.2</t>
  </si>
  <si>
    <t>1.3.12.3</t>
  </si>
  <si>
    <t>1.3.12.4</t>
  </si>
  <si>
    <t>1.3.12.5</t>
  </si>
  <si>
    <t>1.3.13</t>
  </si>
  <si>
    <t>1.3.13.1</t>
  </si>
  <si>
    <t>1.3.13.2</t>
  </si>
  <si>
    <t>1.3.13.3</t>
  </si>
  <si>
    <t>1.3.13.4</t>
  </si>
  <si>
    <t>1.3.13.5</t>
  </si>
  <si>
    <t>1.3.13.6</t>
  </si>
  <si>
    <t>1.3.13.7</t>
  </si>
  <si>
    <t>1.3.13.8</t>
  </si>
  <si>
    <t>1.3.13.9</t>
  </si>
  <si>
    <t>1.3.13.10</t>
  </si>
  <si>
    <t>1.3.13.11</t>
  </si>
  <si>
    <t>1.3.13.12</t>
  </si>
  <si>
    <t>2.1.1.1</t>
  </si>
  <si>
    <t>2.1.1.2</t>
  </si>
  <si>
    <t>2.1.1.3</t>
  </si>
  <si>
    <t>2.1.1.4</t>
  </si>
  <si>
    <t>2.1.1.5</t>
  </si>
  <si>
    <t>2.1.1.6</t>
  </si>
  <si>
    <t>2.1.1.7</t>
  </si>
  <si>
    <t>2.1.2</t>
  </si>
  <si>
    <t>2.1.2.1</t>
  </si>
  <si>
    <t>2.1.2.2</t>
  </si>
  <si>
    <t>2.1.3</t>
  </si>
  <si>
    <t>2.1.3.1</t>
  </si>
  <si>
    <t>2.1.3.2</t>
  </si>
  <si>
    <t>2.1.3.3</t>
  </si>
  <si>
    <t>2.1.3.4</t>
  </si>
  <si>
    <t>2.1.4</t>
  </si>
  <si>
    <t>2.1.4.1</t>
  </si>
  <si>
    <t>2.1.4.2</t>
  </si>
  <si>
    <t>2.1.4.3</t>
  </si>
  <si>
    <t>2.1.4.4</t>
  </si>
  <si>
    <t>2.1.4.5</t>
  </si>
  <si>
    <t>2.1.4.6</t>
  </si>
  <si>
    <t>2.1.4.7</t>
  </si>
  <si>
    <t>2.1.5</t>
  </si>
  <si>
    <t>2.1.5.1</t>
  </si>
  <si>
    <t>2.1.5.2</t>
  </si>
  <si>
    <t>2.1.5.3</t>
  </si>
  <si>
    <t>2.1.6</t>
  </si>
  <si>
    <t>2.1.6.1</t>
  </si>
  <si>
    <t>2.1.6.2</t>
  </si>
  <si>
    <t>2.1.6.3</t>
  </si>
  <si>
    <t>2.1.6.4</t>
  </si>
  <si>
    <t>2.1.6.5</t>
  </si>
  <si>
    <t>2.1.7</t>
  </si>
  <si>
    <t>2.1.7.1</t>
  </si>
  <si>
    <t>2.1.7.2</t>
  </si>
  <si>
    <t>2.1.7.3</t>
  </si>
  <si>
    <t>2.1.7.4</t>
  </si>
  <si>
    <t>2.1.8</t>
  </si>
  <si>
    <t>2.1.8.1</t>
  </si>
  <si>
    <t>2.1.8.2</t>
  </si>
  <si>
    <t>2.1.8.3</t>
  </si>
  <si>
    <t>2.1.8.4</t>
  </si>
  <si>
    <t>2.1.8.5</t>
  </si>
  <si>
    <t>2.1.8.6</t>
  </si>
  <si>
    <t>2.1.8.7</t>
  </si>
  <si>
    <t>2.1.9</t>
  </si>
  <si>
    <t>2.1.9.1</t>
  </si>
  <si>
    <t>2.1.9.2</t>
  </si>
  <si>
    <t>2.1.9.3</t>
  </si>
  <si>
    <t>2.1.9.4</t>
  </si>
  <si>
    <t>2.1.9.5</t>
  </si>
  <si>
    <t>2.1.9.6</t>
  </si>
  <si>
    <t>2.1.9.7</t>
  </si>
  <si>
    <t>2.1.9.8</t>
  </si>
  <si>
    <t>2.1.9.9</t>
  </si>
  <si>
    <t>2.1.10</t>
  </si>
  <si>
    <t>2.10.1</t>
  </si>
  <si>
    <t>2.1.11</t>
  </si>
  <si>
    <t>2.1.11.1</t>
  </si>
  <si>
    <t>2.1.11.2</t>
  </si>
  <si>
    <t>2.1.11.3</t>
  </si>
  <si>
    <t>2.1.11.4</t>
  </si>
  <si>
    <t>2.1.11.5</t>
  </si>
  <si>
    <t>2.1.11.6</t>
  </si>
  <si>
    <t>2.1.11.7</t>
  </si>
  <si>
    <t>2.1.11.8</t>
  </si>
  <si>
    <t>2.1.11.9</t>
  </si>
  <si>
    <t>2.1.11.10</t>
  </si>
  <si>
    <t>2.1.11.11</t>
  </si>
  <si>
    <t>2.1.12</t>
  </si>
  <si>
    <t>2.1.12.1</t>
  </si>
  <si>
    <t>2.1.12.2</t>
  </si>
  <si>
    <t>2.1.12.3</t>
  </si>
  <si>
    <t>2.1.12.4</t>
  </si>
  <si>
    <t>2.1.12.5</t>
  </si>
  <si>
    <t>2.2.1.1</t>
  </si>
  <si>
    <t>2.2.1.2</t>
  </si>
  <si>
    <t>2.2.1.3</t>
  </si>
  <si>
    <t>2.2.1.4</t>
  </si>
  <si>
    <t>2.2.1.5</t>
  </si>
  <si>
    <t>2.2.1.6</t>
  </si>
  <si>
    <t>2.2.1.7</t>
  </si>
  <si>
    <t>2.2.2.1</t>
  </si>
  <si>
    <t>2.2.2.2</t>
  </si>
  <si>
    <t>2.2.3</t>
  </si>
  <si>
    <t>2.2.3.1</t>
  </si>
  <si>
    <t>2.2.3.2</t>
  </si>
  <si>
    <t>2.2.3.3</t>
  </si>
  <si>
    <t>2.2.3.4</t>
  </si>
  <si>
    <t>2.2.4</t>
  </si>
  <si>
    <t>2.2.4.1</t>
  </si>
  <si>
    <t>2.2.4.2</t>
  </si>
  <si>
    <t>2.2.4.3</t>
  </si>
  <si>
    <t>2.2.4.4</t>
  </si>
  <si>
    <t>2.2.4.5</t>
  </si>
  <si>
    <t>2.2.4.6</t>
  </si>
  <si>
    <t>2.2.4.7</t>
  </si>
  <si>
    <t>2.2.5</t>
  </si>
  <si>
    <t>2.2.5.1</t>
  </si>
  <si>
    <t>2.2.5.2</t>
  </si>
  <si>
    <t>2.2.5.3</t>
  </si>
  <si>
    <t>2.2.6</t>
  </si>
  <si>
    <t>2.2.6.1</t>
  </si>
  <si>
    <t>2.2.6.2</t>
  </si>
  <si>
    <t>2.2.6.3</t>
  </si>
  <si>
    <t>2.2.6.4</t>
  </si>
  <si>
    <t>2.2.6.5</t>
  </si>
  <si>
    <t>2.2.6.6</t>
  </si>
  <si>
    <t>2.2.7</t>
  </si>
  <si>
    <t>2.2.7.1</t>
  </si>
  <si>
    <t>2.2.7.2</t>
  </si>
  <si>
    <t>2.2.7.3</t>
  </si>
  <si>
    <t>2.2.7.4</t>
  </si>
  <si>
    <t>2.2.8</t>
  </si>
  <si>
    <t>2.2.8.1</t>
  </si>
  <si>
    <t>2.2.8.2</t>
  </si>
  <si>
    <t>2.2.8.3</t>
  </si>
  <si>
    <t>2.2.8.4</t>
  </si>
  <si>
    <t>2.2.8.5</t>
  </si>
  <si>
    <t>2.2.8.6</t>
  </si>
  <si>
    <t>2.2.8.7</t>
  </si>
  <si>
    <t>2.2.9</t>
  </si>
  <si>
    <t>2.2.9.1</t>
  </si>
  <si>
    <t>2.2.9.2</t>
  </si>
  <si>
    <t>2.2.9.3</t>
  </si>
  <si>
    <t>2.2.9.4</t>
  </si>
  <si>
    <t>2.2.9.5</t>
  </si>
  <si>
    <t>2.2.9.6</t>
  </si>
  <si>
    <t>2.2.9.7</t>
  </si>
  <si>
    <t>2.2.9.8</t>
  </si>
  <si>
    <t>2.2.9.9</t>
  </si>
  <si>
    <t>2.2.9.10</t>
  </si>
  <si>
    <t>2.2.10</t>
  </si>
  <si>
    <t>2.2.10.1</t>
  </si>
  <si>
    <t>2.2.11</t>
  </si>
  <si>
    <t>2.2.11.1</t>
  </si>
  <si>
    <t>2.2.11.2</t>
  </si>
  <si>
    <t>2.2.11.3</t>
  </si>
  <si>
    <t>2.2.11.4</t>
  </si>
  <si>
    <t>2.2.11.5</t>
  </si>
  <si>
    <t>2.2.11.6</t>
  </si>
  <si>
    <t>2.2.11.7</t>
  </si>
  <si>
    <t>2.2.11.8</t>
  </si>
  <si>
    <t>2.2.11.9</t>
  </si>
  <si>
    <t>2.2.11.10</t>
  </si>
  <si>
    <t>2.2.11.11</t>
  </si>
  <si>
    <t>2.2.12</t>
  </si>
  <si>
    <t>2.2.12.1</t>
  </si>
  <si>
    <t>2.2.12.2</t>
  </si>
  <si>
    <t>2.2.12.3</t>
  </si>
  <si>
    <t>2.2.12.4</t>
  </si>
  <si>
    <t>2.2.12.5</t>
  </si>
  <si>
    <t>2.2.13</t>
  </si>
  <si>
    <t>2.2.13.1</t>
  </si>
  <si>
    <t>2.2.13.2</t>
  </si>
  <si>
    <t>2.2.13.3</t>
  </si>
  <si>
    <t>2.2.13.4</t>
  </si>
  <si>
    <t>2.2.13.5</t>
  </si>
  <si>
    <t>2.2.14</t>
  </si>
  <si>
    <t>2.2.14.1</t>
  </si>
  <si>
    <t>2.3.1.1</t>
  </si>
  <si>
    <t>2.3.1.2</t>
  </si>
  <si>
    <t>2.3.1.3</t>
  </si>
  <si>
    <t>2.3.1.4</t>
  </si>
  <si>
    <t>2.3.1.5</t>
  </si>
  <si>
    <t>2.3.1.6</t>
  </si>
  <si>
    <t>2.3.1.7</t>
  </si>
  <si>
    <t>2.3.2</t>
  </si>
  <si>
    <t>2.3.2.1</t>
  </si>
  <si>
    <t>2.3.2.2</t>
  </si>
  <si>
    <t>2.3.3</t>
  </si>
  <si>
    <t>2.3.3.1</t>
  </si>
  <si>
    <t>2.3.3.2</t>
  </si>
  <si>
    <t>2.3.3.3</t>
  </si>
  <si>
    <t>2.3.3.4</t>
  </si>
  <si>
    <t>2.3.4</t>
  </si>
  <si>
    <t>2.3.4.1</t>
  </si>
  <si>
    <t>2.3.4.2</t>
  </si>
  <si>
    <t>2.3.4.3</t>
  </si>
  <si>
    <t>2.3.4.4</t>
  </si>
  <si>
    <t>2.3.4.5</t>
  </si>
  <si>
    <t>2.3.4.6</t>
  </si>
  <si>
    <t>2.3.4.7</t>
  </si>
  <si>
    <t>2.3.5</t>
  </si>
  <si>
    <t>2.3.5.1</t>
  </si>
  <si>
    <t>2.3.5.2</t>
  </si>
  <si>
    <t>2.3.5.3</t>
  </si>
  <si>
    <t>2.3.6</t>
  </si>
  <si>
    <t>2.3.6.1</t>
  </si>
  <si>
    <t>2.3.6.2</t>
  </si>
  <si>
    <t>2.3.6.3</t>
  </si>
  <si>
    <t>2.3.6.4</t>
  </si>
  <si>
    <t>2.3.6.5</t>
  </si>
  <si>
    <t>2.3.6.6</t>
  </si>
  <si>
    <t>2.3.7</t>
  </si>
  <si>
    <t>2.3.7.1</t>
  </si>
  <si>
    <t>2.3.7.2</t>
  </si>
  <si>
    <t>2.3.7.3</t>
  </si>
  <si>
    <t>2.3.7.4</t>
  </si>
  <si>
    <t>2.3.8</t>
  </si>
  <si>
    <t>2.3.8.1</t>
  </si>
  <si>
    <t>2.3.8.2</t>
  </si>
  <si>
    <t>2.3.8.3</t>
  </si>
  <si>
    <t>2.3.8.4</t>
  </si>
  <si>
    <t>2.3.8.5</t>
  </si>
  <si>
    <t>2.3.8.6</t>
  </si>
  <si>
    <t>2.3.8.7</t>
  </si>
  <si>
    <t>2.3.9</t>
  </si>
  <si>
    <t>2.3.9.1</t>
  </si>
  <si>
    <t>2.3.9.2</t>
  </si>
  <si>
    <t>2.3.9.3</t>
  </si>
  <si>
    <t>2.3.9.4</t>
  </si>
  <si>
    <t>2.3.9.5</t>
  </si>
  <si>
    <t>2.3.9.6</t>
  </si>
  <si>
    <t>2.3.9.7</t>
  </si>
  <si>
    <t>2.3.9.8</t>
  </si>
  <si>
    <t>2.3.9.9</t>
  </si>
  <si>
    <t>2.3.9.10</t>
  </si>
  <si>
    <t>2.3.9.11</t>
  </si>
  <si>
    <t>2.3.10</t>
  </si>
  <si>
    <t>2.3.10.1</t>
  </si>
  <si>
    <t>2.3.11</t>
  </si>
  <si>
    <t>2.3.11.1</t>
  </si>
  <si>
    <t>2.3.11.2</t>
  </si>
  <si>
    <t>2.3.11.3</t>
  </si>
  <si>
    <t>2.3.11.4</t>
  </si>
  <si>
    <t>2.3.11.5</t>
  </si>
  <si>
    <t>2.3.11.6</t>
  </si>
  <si>
    <t>2.3.11.7</t>
  </si>
  <si>
    <t>2.3.11.8</t>
  </si>
  <si>
    <t>2.3.11.9</t>
  </si>
  <si>
    <t>2.3.11.10</t>
  </si>
  <si>
    <t>2.3.11.11</t>
  </si>
  <si>
    <t>2.3.12</t>
  </si>
  <si>
    <t>2.3.12.1</t>
  </si>
  <si>
    <t>2.3.12.2</t>
  </si>
  <si>
    <t>2.3.12.3</t>
  </si>
  <si>
    <t>2.3.12.4</t>
  </si>
  <si>
    <t>2.3.12.5</t>
  </si>
  <si>
    <t>2.3.13</t>
  </si>
  <si>
    <t>2.3.13.1</t>
  </si>
  <si>
    <t>2.3.13.2</t>
  </si>
  <si>
    <t>2.3.13.3</t>
  </si>
  <si>
    <t>2.3.13.4</t>
  </si>
  <si>
    <t>2.3.13.5</t>
  </si>
  <si>
    <t>2.3.13.6</t>
  </si>
  <si>
    <t>2.3.13.7</t>
  </si>
  <si>
    <t>2.3.13.8</t>
  </si>
  <si>
    <t>2.3.13.9</t>
  </si>
  <si>
    <t>2.3.14</t>
  </si>
  <si>
    <t>2.3.14.1</t>
  </si>
  <si>
    <t>2.3.14.2</t>
  </si>
  <si>
    <t>2.3.14.3</t>
  </si>
  <si>
    <t>2.3.14.4</t>
  </si>
  <si>
    <t>2.3.14.5</t>
  </si>
  <si>
    <t>2.3.14.6</t>
  </si>
  <si>
    <t>2.3.14.7</t>
  </si>
  <si>
    <t>2.4.1.1</t>
  </si>
  <si>
    <t>2.4.1.2</t>
  </si>
  <si>
    <t>2.4.1.3</t>
  </si>
  <si>
    <t>2.4.1.4</t>
  </si>
  <si>
    <t>2.4.1.5</t>
  </si>
  <si>
    <t>2.4.1.6</t>
  </si>
  <si>
    <t>2.4.1.7</t>
  </si>
  <si>
    <t>2.4.2.1</t>
  </si>
  <si>
    <t>2.4.2.2</t>
  </si>
  <si>
    <t>2.4.3.1</t>
  </si>
  <si>
    <t>2.4.3.2</t>
  </si>
  <si>
    <t>2.4.3.3</t>
  </si>
  <si>
    <t>2.4.3.4</t>
  </si>
  <si>
    <t>2.4.4.1</t>
  </si>
  <si>
    <t>2.4.4.2</t>
  </si>
  <si>
    <t>2.4.4.3</t>
  </si>
  <si>
    <t>2.4.4.4</t>
  </si>
  <si>
    <t>2.4.4.5</t>
  </si>
  <si>
    <t>2.4.4.6</t>
  </si>
  <si>
    <t>2.4.4.7</t>
  </si>
  <si>
    <t>2.4.5.1</t>
  </si>
  <si>
    <t>2.4.5.2</t>
  </si>
  <si>
    <t>2.4.5.3</t>
  </si>
  <si>
    <t>2.4.6</t>
  </si>
  <si>
    <t>2.4.6.1</t>
  </si>
  <si>
    <t>2.4.6.2</t>
  </si>
  <si>
    <t>2.4.6.3</t>
  </si>
  <si>
    <t>2.4.6.4</t>
  </si>
  <si>
    <t>2.4.6.5</t>
  </si>
  <si>
    <t>2.4.7</t>
  </si>
  <si>
    <t>2.4.7.1</t>
  </si>
  <si>
    <t>2.4.7.2</t>
  </si>
  <si>
    <t>2.4.7.3</t>
  </si>
  <si>
    <t>2.4.7.4</t>
  </si>
  <si>
    <t>2.4.8</t>
  </si>
  <si>
    <t>2.4.8.1</t>
  </si>
  <si>
    <t>2.4.8.2</t>
  </si>
  <si>
    <t>2.4.8.3</t>
  </si>
  <si>
    <t>2.4.8.4</t>
  </si>
  <si>
    <t>2.4.8.5</t>
  </si>
  <si>
    <t>2.4.8.6</t>
  </si>
  <si>
    <t>2.4.8.7</t>
  </si>
  <si>
    <t>2.4.9</t>
  </si>
  <si>
    <t>2.4.9.1</t>
  </si>
  <si>
    <t>2.4.9.2</t>
  </si>
  <si>
    <t>2.4.9.3</t>
  </si>
  <si>
    <t>2.4.9.4</t>
  </si>
  <si>
    <t>2.4.9.5</t>
  </si>
  <si>
    <t>2.4.9.6</t>
  </si>
  <si>
    <t>2.4.9.7</t>
  </si>
  <si>
    <t>2.4.9.8</t>
  </si>
  <si>
    <t>2.4.10</t>
  </si>
  <si>
    <t>2.4.10.1</t>
  </si>
  <si>
    <t>2.4.11</t>
  </si>
  <si>
    <t>2.4.11.1</t>
  </si>
  <si>
    <t>2.4.11.2</t>
  </si>
  <si>
    <t>2.4.11.3</t>
  </si>
  <si>
    <t>2.4.11.4</t>
  </si>
  <si>
    <t>2.4.11.5</t>
  </si>
  <si>
    <t>2.4.11.6</t>
  </si>
  <si>
    <t>2.4.11.7</t>
  </si>
  <si>
    <t>2.4.11.8</t>
  </si>
  <si>
    <t>2.4.11.9</t>
  </si>
  <si>
    <t>2.4.11.10</t>
  </si>
  <si>
    <t>2.4.11.11</t>
  </si>
  <si>
    <t>2.4.12</t>
  </si>
  <si>
    <t>2.4.12.1</t>
  </si>
  <si>
    <t>2.4.12.2</t>
  </si>
  <si>
    <t>2.4.12.3</t>
  </si>
  <si>
    <t>2.4.12.4</t>
  </si>
  <si>
    <t>2.4.12.5</t>
  </si>
  <si>
    <t>2.5.1.1</t>
  </si>
  <si>
    <t>2.5.1.2</t>
  </si>
  <si>
    <t>2.5.1.3</t>
  </si>
  <si>
    <t>2.5.1.4</t>
  </si>
  <si>
    <t>2.5.1.5</t>
  </si>
  <si>
    <t>2.5.1.6</t>
  </si>
  <si>
    <t>2.5.1.7</t>
  </si>
  <si>
    <t>2.5.2</t>
  </si>
  <si>
    <t>2.5.2.1</t>
  </si>
  <si>
    <t>2.5.2.2</t>
  </si>
  <si>
    <t>2.5.2.3</t>
  </si>
  <si>
    <t>2.5.2.4</t>
  </si>
  <si>
    <t>2.5.2.5</t>
  </si>
  <si>
    <t>2.5.2.6</t>
  </si>
  <si>
    <t>2.5.2.7</t>
  </si>
  <si>
    <t>2.5.3</t>
  </si>
  <si>
    <t>2.5.3.1</t>
  </si>
  <si>
    <t>2.5.3.2</t>
  </si>
  <si>
    <t>2.5.3.3</t>
  </si>
  <si>
    <t>2.5.3.4</t>
  </si>
  <si>
    <t>2.5.3.5</t>
  </si>
  <si>
    <t>2.5.3.6</t>
  </si>
  <si>
    <t>2.5.3.7</t>
  </si>
  <si>
    <t>2.5.4</t>
  </si>
  <si>
    <t>2.5.4.1</t>
  </si>
  <si>
    <t>2.5.4.2</t>
  </si>
  <si>
    <t>2.5.4.3</t>
  </si>
  <si>
    <t>2.5.5</t>
  </si>
  <si>
    <t>2.5.5.1</t>
  </si>
  <si>
    <t>2.5.5.2</t>
  </si>
  <si>
    <t>2.5.5.3</t>
  </si>
  <si>
    <t>2.5.5.4</t>
  </si>
  <si>
    <t>2.5.5.5</t>
  </si>
  <si>
    <t>2.5.5.6</t>
  </si>
  <si>
    <t>2.5.6</t>
  </si>
  <si>
    <t>2.5.6.1</t>
  </si>
  <si>
    <t>2.5.6.2</t>
  </si>
  <si>
    <t>2.5.6.3</t>
  </si>
  <si>
    <t>2.5.6.4</t>
  </si>
  <si>
    <t>2.5.7</t>
  </si>
  <si>
    <t>2.5.7.1</t>
  </si>
  <si>
    <t>2.5.7.2</t>
  </si>
  <si>
    <t>2.5.7.3</t>
  </si>
  <si>
    <t>2.5.7.4</t>
  </si>
  <si>
    <t>2.5.7.5</t>
  </si>
  <si>
    <t>2.5.7.6</t>
  </si>
  <si>
    <t>2.5.7.7</t>
  </si>
  <si>
    <t>2.5.8</t>
  </si>
  <si>
    <t>2.5.8.1</t>
  </si>
  <si>
    <t>2.5.8.2</t>
  </si>
  <si>
    <t>2.5.8.3</t>
  </si>
  <si>
    <t>2.5.8.4</t>
  </si>
  <si>
    <t>2.5.8.5</t>
  </si>
  <si>
    <t>2.5.8.6</t>
  </si>
  <si>
    <t>2.5.8.7</t>
  </si>
  <si>
    <t>2.5.8.8</t>
  </si>
  <si>
    <t>2.5.9</t>
  </si>
  <si>
    <t>2.5.9.1</t>
  </si>
  <si>
    <t>2.5.10</t>
  </si>
  <si>
    <t>2.5.10.1</t>
  </si>
  <si>
    <t>2.5.10.2</t>
  </si>
  <si>
    <t>2.5.10.3</t>
  </si>
  <si>
    <t>2.5.10.4</t>
  </si>
  <si>
    <t>2.5.10.5</t>
  </si>
  <si>
    <t>2.5.10.6</t>
  </si>
  <si>
    <t>2.5.10.7</t>
  </si>
  <si>
    <t>2.5.10.8</t>
  </si>
  <si>
    <t>2.5.10.9</t>
  </si>
  <si>
    <t>2.5.10.10</t>
  </si>
  <si>
    <t>2.5.10.11</t>
  </si>
  <si>
    <t>2.5.11</t>
  </si>
  <si>
    <t>2.5.11.1</t>
  </si>
  <si>
    <t>2.5.11.2</t>
  </si>
  <si>
    <t>2.5.11.3</t>
  </si>
  <si>
    <t>2.5.11.4</t>
  </si>
  <si>
    <t>2.5.11.5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</si>
  <si>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</si>
  <si>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</si>
  <si>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</si>
  <si>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</si>
  <si>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</si>
  <si>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</si>
  <si>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</si>
  <si>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</si>
  <si>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3.1.1.1</t>
  </si>
  <si>
    <t>3.1.2.1</t>
  </si>
  <si>
    <t>3.1.2.2</t>
  </si>
  <si>
    <t>3.1.2.3</t>
  </si>
  <si>
    <t>3.1.2.4</t>
  </si>
  <si>
    <t>3.1.2.5</t>
  </si>
  <si>
    <t>3.1.3.1</t>
  </si>
  <si>
    <t>3.1.3.1.1</t>
  </si>
  <si>
    <t>3.1.3.1.2</t>
  </si>
  <si>
    <t>3.1.3.2</t>
  </si>
  <si>
    <t>3.1.3.2.1</t>
  </si>
  <si>
    <t>3.1.3.2.2</t>
  </si>
  <si>
    <t>3.1.3.2.3</t>
  </si>
  <si>
    <t>3.1.3.2.4</t>
  </si>
  <si>
    <t>3.1.3.3</t>
  </si>
  <si>
    <t>3.1.3.3.1</t>
  </si>
  <si>
    <t>3.1.3.3.2</t>
  </si>
  <si>
    <t>3.1.3.3.3</t>
  </si>
  <si>
    <t>3.1.3.3.4</t>
  </si>
  <si>
    <t>3.1.3.3.5</t>
  </si>
  <si>
    <t>3.1.3.3.6</t>
  </si>
  <si>
    <t>3.1.3.3.7</t>
  </si>
  <si>
    <t>3.1.3.4</t>
  </si>
  <si>
    <t>3.1.3.4.1</t>
  </si>
  <si>
    <t>3.1.3.4.2</t>
  </si>
  <si>
    <t>3.1.3.4.3</t>
  </si>
  <si>
    <t>3.1.3.5</t>
  </si>
  <si>
    <t>3.1.3.5.1</t>
  </si>
  <si>
    <t>3.1.3.5.2</t>
  </si>
  <si>
    <t>3.1.3.5.3</t>
  </si>
  <si>
    <t>3.1.3.5.4</t>
  </si>
  <si>
    <t>3.1.3.5.5</t>
  </si>
  <si>
    <t>3.1.3.6</t>
  </si>
  <si>
    <t>3.1.3.6.1</t>
  </si>
  <si>
    <t>3.1.3.6.2</t>
  </si>
  <si>
    <t>3.1.3.6.3</t>
  </si>
  <si>
    <t>3.1.3.6.4</t>
  </si>
  <si>
    <t>3.1.3.7</t>
  </si>
  <si>
    <t>3.1.3.7.1</t>
  </si>
  <si>
    <t>3.1.3.7.2</t>
  </si>
  <si>
    <t>3.1.3.7.3</t>
  </si>
  <si>
    <t>3.1.3.7.4</t>
  </si>
  <si>
    <t>3.1.3.7.5</t>
  </si>
  <si>
    <t>3.1.3.7.6</t>
  </si>
  <si>
    <t>3.1.3.7.7</t>
  </si>
  <si>
    <t>3.1.3.8</t>
  </si>
  <si>
    <t>3.1.3.8.1</t>
  </si>
  <si>
    <t>3.1.3.8.2</t>
  </si>
  <si>
    <t>3.1.3.8.3</t>
  </si>
  <si>
    <t>3.1.3.8.4</t>
  </si>
  <si>
    <t>3.1.3.8.5</t>
  </si>
  <si>
    <t>3.1.3.8.6</t>
  </si>
  <si>
    <t>3.1.3.8.7</t>
  </si>
  <si>
    <t>3.1.3.8.8</t>
  </si>
  <si>
    <t>3.1.3.8.9</t>
  </si>
  <si>
    <t>3.1.3.9</t>
  </si>
  <si>
    <t>3.1.3.9.1</t>
  </si>
  <si>
    <t>3.1.3.10</t>
  </si>
  <si>
    <t>3.1.3.10.1</t>
  </si>
  <si>
    <t>3.1.3.10.2</t>
  </si>
  <si>
    <t>3.1.3.10.3</t>
  </si>
  <si>
    <t>3.1.3.10.4</t>
  </si>
  <si>
    <t>3.1.3.10.5</t>
  </si>
  <si>
    <t>3.1.3.10.6</t>
  </si>
  <si>
    <t>3.1.3.10.7</t>
  </si>
  <si>
    <t>3.1.3.10.8</t>
  </si>
  <si>
    <t>3.1.3.10.9</t>
  </si>
  <si>
    <t>3.1.3.10.10</t>
  </si>
  <si>
    <t>3.1.3.10.11</t>
  </si>
  <si>
    <t>3.1.3.11</t>
  </si>
  <si>
    <t>3.1.3.11.1</t>
  </si>
  <si>
    <t>3.1.3.11.2</t>
  </si>
  <si>
    <t>3.1.3.11.3</t>
  </si>
  <si>
    <t>3.1.3.11.4</t>
  </si>
  <si>
    <t>3.1.3.11.5</t>
  </si>
  <si>
    <t>3.1.3.12</t>
  </si>
  <si>
    <t>3.1.3.12.1</t>
  </si>
  <si>
    <t>3.1.3.12.2</t>
  </si>
  <si>
    <t>3.1.3.12.3</t>
  </si>
  <si>
    <t>3.1.3.12.4</t>
  </si>
  <si>
    <t>3.1.3.12.5</t>
  </si>
  <si>
    <t>3.1.3.12.6</t>
  </si>
  <si>
    <t>3.1.3.12.7</t>
  </si>
  <si>
    <t>3.1.3.12.8</t>
  </si>
  <si>
    <t>3.1.3.12.9</t>
  </si>
  <si>
    <t>3.1.3.12.10</t>
  </si>
  <si>
    <t>3.2.0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</si>
  <si>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</si>
  <si>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</si>
  <si>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</si>
  <si>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</si>
  <si>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</si>
  <si>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</si>
  <si>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</si>
  <si>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</si>
  <si>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3.2.1.9</t>
  </si>
  <si>
    <t>3.2.1.10</t>
  </si>
  <si>
    <t>3.2.2.1</t>
  </si>
  <si>
    <t>3.2.3</t>
  </si>
  <si>
    <t>3.2.3.1</t>
  </si>
  <si>
    <t>3.2.3.2</t>
  </si>
  <si>
    <t>3.2.3.3</t>
  </si>
  <si>
    <t>3.2.3.4</t>
  </si>
  <si>
    <t>3.2.3.5</t>
  </si>
  <si>
    <t>3.2.3.6</t>
  </si>
  <si>
    <t>3.2.3.7</t>
  </si>
  <si>
    <t>3.2.3.8</t>
  </si>
  <si>
    <t>3.2.3.9</t>
  </si>
  <si>
    <t>3.2.3.10</t>
  </si>
  <si>
    <t>3.2.3.11</t>
  </si>
  <si>
    <t>3.2.4</t>
  </si>
  <si>
    <t>3.2.4.1</t>
  </si>
  <si>
    <t>3.2.4.2</t>
  </si>
  <si>
    <t>3.2.4.3</t>
  </si>
  <si>
    <t>3.2.4.4</t>
  </si>
  <si>
    <t>3.2.4.5</t>
  </si>
  <si>
    <t>3.2.5</t>
  </si>
  <si>
    <t>3.2.5.1</t>
  </si>
  <si>
    <t>3.2.5.2</t>
  </si>
  <si>
    <t>3.2.5.3</t>
  </si>
  <si>
    <t>3.2.5.4</t>
  </si>
  <si>
    <t>3.2.5.5</t>
  </si>
  <si>
    <t>3.2.5.6</t>
  </si>
  <si>
    <t>3.2.5.7</t>
  </si>
  <si>
    <t>3.2.5.8</t>
  </si>
  <si>
    <t>3.2.5.9</t>
  </si>
  <si>
    <t>3.3.7</t>
  </si>
  <si>
    <t>3.3.8</t>
  </si>
  <si>
    <t>3.3.9</t>
  </si>
  <si>
    <t>3.3.10</t>
  </si>
  <si>
    <t>3.4.5</t>
  </si>
  <si>
    <t>3.5.2</t>
  </si>
  <si>
    <t>3.5.3</t>
  </si>
  <si>
    <t>3.5.4</t>
  </si>
  <si>
    <t>3.5.5</t>
  </si>
  <si>
    <t>3.5.6</t>
  </si>
  <si>
    <t>3.5.7</t>
  </si>
  <si>
    <t>3.6.1.1</t>
  </si>
  <si>
    <t>3.6.1.2</t>
  </si>
  <si>
    <t>3.6.2</t>
  </si>
  <si>
    <t>3.6.2.1</t>
  </si>
  <si>
    <t>3.6.2.2</t>
  </si>
  <si>
    <t>3.6.2.3</t>
  </si>
  <si>
    <t>3.6.2.4</t>
  </si>
  <si>
    <t>3.6.3</t>
  </si>
  <si>
    <t>3.6.3.1</t>
  </si>
  <si>
    <t>3.6.3.2</t>
  </si>
  <si>
    <t>3.6.3.3</t>
  </si>
  <si>
    <t>3.6.3.4</t>
  </si>
  <si>
    <t>3.6.3.5</t>
  </si>
  <si>
    <t>3.6.3.6</t>
  </si>
  <si>
    <t>3.6.3.7</t>
  </si>
  <si>
    <t>3.6.4</t>
  </si>
  <si>
    <t>3.6.4.1</t>
  </si>
  <si>
    <t>3.6.4.2</t>
  </si>
  <si>
    <t>3.6.4.3</t>
  </si>
  <si>
    <t>3.6.5</t>
  </si>
  <si>
    <t>3.6.5.1</t>
  </si>
  <si>
    <t>3.6.5.2</t>
  </si>
  <si>
    <t>3.6.5.3</t>
  </si>
  <si>
    <t>3.6.5.4</t>
  </si>
  <si>
    <t>3.6.5.5</t>
  </si>
  <si>
    <t>3.6.5.6</t>
  </si>
  <si>
    <t>3.6.6</t>
  </si>
  <si>
    <t>3.6.6.1</t>
  </si>
  <si>
    <t>3.6.6.2</t>
  </si>
  <si>
    <t>3.6.6.3</t>
  </si>
  <si>
    <t>3.6.6.4</t>
  </si>
  <si>
    <t>3.6.7</t>
  </si>
  <si>
    <t>3.6.7.1</t>
  </si>
  <si>
    <t>3.6.7.2</t>
  </si>
  <si>
    <t>3.6.7.3</t>
  </si>
  <si>
    <t>3.6.7.4</t>
  </si>
  <si>
    <t>3.6.7.5</t>
  </si>
  <si>
    <t>3.6.7.6</t>
  </si>
  <si>
    <t>3.6.7.7</t>
  </si>
  <si>
    <t>3.6.8</t>
  </si>
  <si>
    <t>3.6.8.1</t>
  </si>
  <si>
    <t>3.6.8.2</t>
  </si>
  <si>
    <t>3.6.8.3</t>
  </si>
  <si>
    <t>3.6.8.4</t>
  </si>
  <si>
    <t>3.6.8.5</t>
  </si>
  <si>
    <t>3.6.8.6</t>
  </si>
  <si>
    <t>3.6.8.7</t>
  </si>
  <si>
    <t>3.6.8.8</t>
  </si>
  <si>
    <t>3.6.8.9</t>
  </si>
  <si>
    <t>3.6.8.10</t>
  </si>
  <si>
    <t>3.6.8.11</t>
  </si>
  <si>
    <t>3.6.8.12</t>
  </si>
  <si>
    <t>3.6.9</t>
  </si>
  <si>
    <t>3.6.9.1</t>
  </si>
  <si>
    <t>3.6.10</t>
  </si>
  <si>
    <t>3.6.10.1</t>
  </si>
  <si>
    <t>3.6.10.2</t>
  </si>
  <si>
    <t>3.6.10.3</t>
  </si>
  <si>
    <t>3.6.10.4</t>
  </si>
  <si>
    <t>3.6.10.5</t>
  </si>
  <si>
    <t>3.6.10.6</t>
  </si>
  <si>
    <t>3.6.10.7</t>
  </si>
  <si>
    <t>3.6.10.8</t>
  </si>
  <si>
    <t>3.6.10.9</t>
  </si>
  <si>
    <t>3.6.10.10</t>
  </si>
  <si>
    <t>3.6.10.11</t>
  </si>
  <si>
    <t>3.6.11</t>
  </si>
  <si>
    <t>3.6.11.1</t>
  </si>
  <si>
    <t>3.6.11.2</t>
  </si>
  <si>
    <t>3.6.11.3</t>
  </si>
  <si>
    <t>3.6.11.4</t>
  </si>
  <si>
    <t>3.6.11.5</t>
  </si>
  <si>
    <t>3.6.12</t>
  </si>
  <si>
    <t>3.6.12.1</t>
  </si>
  <si>
    <t>3.6.12.2</t>
  </si>
  <si>
    <t>3.6.12.3</t>
  </si>
  <si>
    <t>3.6.12.4</t>
  </si>
  <si>
    <t>3.6.12.5</t>
  </si>
  <si>
    <t>3.6.12.6</t>
  </si>
  <si>
    <t>3.6.12.7</t>
  </si>
  <si>
    <t>3.6.12.8</t>
  </si>
  <si>
    <t>3.6.12.9</t>
  </si>
  <si>
    <t>3.6.12.10</t>
  </si>
  <si>
    <t>3.7.2</t>
  </si>
  <si>
    <t>3.7.3</t>
  </si>
  <si>
    <t>3.7.4</t>
  </si>
  <si>
    <t>3.7.5</t>
  </si>
  <si>
    <t>3.7.6</t>
  </si>
  <si>
    <t>3.7.7</t>
  </si>
  <si>
    <t>3.7.8</t>
  </si>
  <si>
    <t>3.7.9</t>
  </si>
  <si>
    <t>3.7.10</t>
  </si>
  <si>
    <t>3.7.11</t>
  </si>
  <si>
    <t>3.7.12</t>
  </si>
  <si>
    <t>3.7.13</t>
  </si>
  <si>
    <t>3.7.14</t>
  </si>
  <si>
    <t>3.7.15</t>
  </si>
  <si>
    <t>3.7.16</t>
  </si>
  <si>
    <t>3.7.17</t>
  </si>
  <si>
    <t>3.7.18</t>
  </si>
  <si>
    <t>3.7.19</t>
  </si>
  <si>
    <t>3.7.20</t>
  </si>
  <si>
    <t>3.7.21</t>
  </si>
  <si>
    <t>3.7.22</t>
  </si>
  <si>
    <t>3.7.23</t>
  </si>
  <si>
    <t>3.7.24</t>
  </si>
  <si>
    <t>3.7.25</t>
  </si>
  <si>
    <t>3.7.26</t>
  </si>
  <si>
    <t>3.7.27</t>
  </si>
  <si>
    <t>Peinture acrylique de type lessivable sur enduit des murs</t>
  </si>
  <si>
    <t>Ce Canevas de " BPU "  est applicable pour chaque lot</t>
  </si>
  <si>
    <r>
      <rPr>
        <u/>
        <sz val="11"/>
        <color theme="1"/>
        <rFont val="Calibri"/>
        <family val="2"/>
        <scheme val="minor"/>
      </rPr>
      <t>Recommandation</t>
    </r>
    <r>
      <rPr>
        <sz val="11"/>
        <color theme="1"/>
        <rFont val="Calibri"/>
        <family val="2"/>
        <scheme val="minor"/>
      </rPr>
      <t>: Donner les PU pour tous les postes de cette liste du BPU</t>
    </r>
  </si>
  <si>
    <t>PT ( Euros) HTVA</t>
  </si>
  <si>
    <t>TOTAL GENERAL HTVA</t>
  </si>
  <si>
    <t xml:space="preserve">RECAPITULATIF </t>
  </si>
  <si>
    <t>BORDEREAU DES PRIX UNITAIRES ( BPU)</t>
  </si>
  <si>
    <t>DEMOLITION , DEPOSE ET DECAPAGE</t>
  </si>
  <si>
    <t>Démolition de murs en moellons</t>
  </si>
  <si>
    <t>Démolition de murs en briques cuites</t>
  </si>
  <si>
    <t>Démolition de guérite des policiers</t>
  </si>
  <si>
    <t>Démolition de tank de stockage d'eau en plastique</t>
  </si>
  <si>
    <t>Démolition de tanks de stockage d'eau en plastique</t>
  </si>
  <si>
    <t>Décapage de la terre végétale</t>
  </si>
  <si>
    <t>Préparation des caniveaux destinés à être réparés</t>
  </si>
  <si>
    <t>Dépose des tôles abimées destinées à être remplacées</t>
  </si>
  <si>
    <t>Dépose de faux-plafond abimés</t>
  </si>
  <si>
    <t>BETON NON ARME</t>
  </si>
  <si>
    <t>Sable de proprété</t>
  </si>
  <si>
    <t>MACONNERIE</t>
  </si>
  <si>
    <t>Maçonnerie en briques ajourées (pour les aérations)</t>
  </si>
  <si>
    <t xml:space="preserve">Réparation de fissure apparente sur le mur </t>
  </si>
  <si>
    <t xml:space="preserve">Réparation de fissures apparentes sur le mur </t>
  </si>
  <si>
    <t>Rejointoyage sur faces des murs</t>
  </si>
  <si>
    <t>Enduit fines sur faces des murs</t>
  </si>
  <si>
    <t>Enduit tylorien sur faces des murs</t>
  </si>
  <si>
    <t>HUISSERIE ET MENUISERIE</t>
  </si>
  <si>
    <t>Portes métalliques simples pleines </t>
  </si>
  <si>
    <t>Portes métalliques simple semi-vitrées </t>
  </si>
  <si>
    <t>Portes en contreplaqué à encadrement métalliques </t>
  </si>
  <si>
    <t xml:space="preserve">Moustiquaire sur les fenêtres </t>
  </si>
  <si>
    <t xml:space="preserve">LES COURS EXTERIEURES </t>
  </si>
  <si>
    <t>Démolition de la chape et béton de forme abimés destinés à être réparer</t>
  </si>
  <si>
    <t xml:space="preserve">Carreaux de faïence sur faces humides </t>
  </si>
  <si>
    <t>Chaulage sur faces destinées à être peintes</t>
  </si>
  <si>
    <t>Démolition de la chape et béton de forme abimés destinés à être réparés</t>
  </si>
  <si>
    <t>Dépose des tôles abimées destinées à être remplacéesr</t>
  </si>
  <si>
    <t>Guérite pour policiers pour gardiennage</t>
  </si>
  <si>
    <t>Construction d'une guérite complète sur structure métallique</t>
  </si>
  <si>
    <t>sous total 02: démulition, dépose et décapage</t>
  </si>
  <si>
    <t>Démolition des ouvrages existants dans l'espace</t>
  </si>
  <si>
    <t>Guérite de policiers pour gardiennage</t>
  </si>
  <si>
    <t>Construction d'une guerite complete sur structure métallique</t>
  </si>
  <si>
    <t>Démolution des ouvrages existants dans l'espace</t>
  </si>
  <si>
    <t>Démolition de gueritte des policiers</t>
  </si>
  <si>
    <t>Démolition des ouvrages existants dans l'espce</t>
  </si>
  <si>
    <t>Démolition du béton de forme abimé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</si>
</sst>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2"/>
      <color theme="1"/>
      <name val="Arial"/>
      <family val="2"/>
    </font>
    <font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Border="1"/>
    <xf numFmtId="0" fontId="4" fillId="0" borderId="5" xfId="0" applyFont="1" applyBorder="1" applyAlignment="1">
      <alignment wrapText="1"/>
    </xf>
    <xf numFmtId="0" fontId="3" fillId="0" borderId="5" xfId="0" applyFont="1" applyBorder="1"/>
    <xf numFmtId="0" fontId="4" fillId="2" borderId="1" xfId="0" applyFont="1" applyFill="1" applyBorder="1"/>
    <xf numFmtId="0" fontId="6" fillId="3" borderId="0" xfId="0" applyFont="1" applyFill="1"/>
    <xf numFmtId="0" fontId="6" fillId="4" borderId="0" xfId="0" applyFont="1" applyFill="1"/>
    <xf numFmtId="0" fontId="3" fillId="0" borderId="7" xfId="0" applyFont="1" applyBorder="1"/>
    <xf numFmtId="0" fontId="4" fillId="0" borderId="8" xfId="0" applyFont="1" applyBorder="1" applyAlignment="1">
      <alignment wrapText="1"/>
    </xf>
    <xf numFmtId="0" fontId="3" fillId="0" borderId="8" xfId="0" applyFont="1" applyBorder="1"/>
    <xf numFmtId="0" fontId="7" fillId="0" borderId="4" xfId="0" applyFont="1" applyBorder="1"/>
    <xf numFmtId="0" fontId="8" fillId="0" borderId="5" xfId="0" applyFont="1" applyBorder="1" applyAlignment="1">
      <alignment wrapText="1"/>
    </xf>
    <xf numFmtId="0" fontId="7" fillId="0" borderId="5" xfId="0" applyFont="1" applyBorder="1"/>
    <xf numFmtId="0" fontId="7" fillId="0" borderId="0" xfId="0" applyFont="1"/>
    <xf numFmtId="0" fontId="9" fillId="0" borderId="5" xfId="0" applyFont="1" applyBorder="1" applyAlignment="1">
      <alignment wrapText="1"/>
    </xf>
    <xf numFmtId="164" fontId="3" fillId="0" borderId="0" xfId="1" applyFont="1"/>
    <xf numFmtId="164" fontId="6" fillId="3" borderId="0" xfId="1" applyFont="1" applyFill="1"/>
    <xf numFmtId="164" fontId="6" fillId="4" borderId="0" xfId="1" applyFont="1" applyFill="1"/>
    <xf numFmtId="164" fontId="4" fillId="2" borderId="1" xfId="1" applyFont="1" applyFill="1" applyBorder="1"/>
    <xf numFmtId="164" fontId="3" fillId="0" borderId="1" xfId="1" applyFont="1" applyBorder="1"/>
    <xf numFmtId="164" fontId="3" fillId="0" borderId="2" xfId="1" applyFont="1" applyBorder="1"/>
    <xf numFmtId="164" fontId="3" fillId="0" borderId="6" xfId="1" applyFont="1" applyBorder="1"/>
    <xf numFmtId="164" fontId="3" fillId="0" borderId="0" xfId="1" applyFont="1" applyBorder="1"/>
    <xf numFmtId="164" fontId="7" fillId="0" borderId="6" xfId="1" applyFont="1" applyBorder="1"/>
    <xf numFmtId="164" fontId="3" fillId="0" borderId="9" xfId="1" applyFont="1" applyBorder="1"/>
    <xf numFmtId="164" fontId="6" fillId="4" borderId="3" xfId="1" applyFont="1" applyFill="1" applyBorder="1"/>
    <xf numFmtId="164" fontId="6" fillId="4" borderId="10" xfId="1" applyFont="1" applyFill="1" applyBorder="1"/>
    <xf numFmtId="164" fontId="6" fillId="5" borderId="0" xfId="1" applyFont="1" applyFill="1"/>
    <xf numFmtId="164" fontId="3" fillId="0" borderId="0" xfId="0" applyNumberFormat="1" applyFont="1"/>
    <xf numFmtId="0" fontId="3" fillId="0" borderId="11" xfId="0" applyFont="1" applyBorder="1" applyAlignment="1">
      <alignment wrapText="1"/>
    </xf>
    <xf numFmtId="164" fontId="3" fillId="0" borderId="12" xfId="1" applyFont="1" applyBorder="1"/>
    <xf numFmtId="0" fontId="12" fillId="6" borderId="0" xfId="0" applyFont="1" applyFill="1"/>
    <xf numFmtId="164" fontId="12" fillId="6" borderId="0" xfId="1" applyFont="1" applyFill="1"/>
    <xf numFmtId="0" fontId="6" fillId="6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3" fillId="0" borderId="1" xfId="0" applyFont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wrapText="1"/>
    </xf>
    <xf numFmtId="164" fontId="19" fillId="0" borderId="1" xfId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4" fontId="19" fillId="0" borderId="0" xfId="1" applyFont="1"/>
    <xf numFmtId="164" fontId="20" fillId="0" borderId="1" xfId="1" applyFont="1" applyBorder="1"/>
    <xf numFmtId="0" fontId="13" fillId="0" borderId="0" xfId="0" applyFont="1" applyAlignment="1">
      <alignment horizontal="center" wrapText="1"/>
    </xf>
    <xf numFmtId="0" fontId="14" fillId="0" borderId="0" xfId="0" applyFont="1"/>
    <xf numFmtId="0" fontId="21" fillId="3" borderId="0" xfId="0" applyFont="1" applyFill="1"/>
    <xf numFmtId="0" fontId="14" fillId="2" borderId="1" xfId="0" applyFont="1" applyFill="1" applyBorder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1" xfId="0" applyFont="1" applyBorder="1"/>
    <xf numFmtId="0" fontId="18" fillId="0" borderId="0" xfId="0" applyFont="1"/>
    <xf numFmtId="0" fontId="20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21" fillId="3" borderId="0" xfId="0" applyFont="1" applyFill="1" applyAlignment="1">
      <alignment horizontal="left"/>
    </xf>
    <xf numFmtId="0" fontId="21" fillId="4" borderId="1" xfId="0" applyFont="1" applyFill="1" applyBorder="1"/>
    <xf numFmtId="0" fontId="20" fillId="0" borderId="1" xfId="0" applyFont="1" applyBorder="1"/>
    <xf numFmtId="0" fontId="14" fillId="0" borderId="1" xfId="0" applyFont="1" applyBorder="1"/>
    <xf numFmtId="0" fontId="19" fillId="7" borderId="0" xfId="0" applyFont="1" applyFill="1"/>
    <xf numFmtId="164" fontId="19" fillId="0" borderId="0" xfId="1" applyFont="1" applyFill="1"/>
    <xf numFmtId="164" fontId="21" fillId="0" borderId="0" xfId="0" applyNumberFormat="1" applyFont="1" applyAlignment="1">
      <alignment horizontal="justify" vertical="center"/>
    </xf>
    <xf numFmtId="164" fontId="15" fillId="0" borderId="0" xfId="1" applyFont="1" applyFill="1" applyBorder="1" applyAlignment="1">
      <alignment horizontal="center" wrapText="1"/>
    </xf>
    <xf numFmtId="164" fontId="21" fillId="3" borderId="0" xfId="1" applyFont="1" applyFill="1"/>
    <xf numFmtId="164" fontId="14" fillId="2" borderId="1" xfId="1" applyFont="1" applyFill="1" applyBorder="1" applyAlignment="1">
      <alignment vertical="center" wrapText="1"/>
    </xf>
    <xf numFmtId="164" fontId="19" fillId="0" borderId="1" xfId="1" applyFont="1" applyBorder="1" applyAlignment="1">
      <alignment wrapText="1"/>
    </xf>
    <xf numFmtId="164" fontId="18" fillId="0" borderId="1" xfId="1" applyFont="1" applyBorder="1"/>
    <xf numFmtId="164" fontId="14" fillId="0" borderId="1" xfId="1" applyFont="1" applyBorder="1"/>
    <xf numFmtId="0" fontId="18" fillId="0" borderId="0" xfId="0" applyFont="1" applyAlignment="1">
      <alignment horizontal="left" vertical="center" wrapText="1"/>
    </xf>
    <xf numFmtId="164" fontId="18" fillId="0" borderId="0" xfId="1" applyFont="1" applyBorder="1"/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9" fillId="7" borderId="0" xfId="0" applyFont="1" applyFill="1" applyAlignment="1">
      <alignment vertical="center"/>
    </xf>
    <xf numFmtId="164" fontId="19" fillId="7" borderId="0" xfId="1" applyFont="1" applyFill="1"/>
    <xf numFmtId="164" fontId="19" fillId="0" borderId="1" xfId="0" applyNumberFormat="1" applyFont="1" applyBorder="1" applyAlignment="1">
      <alignment vertical="center" wrapText="1"/>
    </xf>
    <xf numFmtId="164" fontId="19" fillId="0" borderId="1" xfId="0" applyNumberFormat="1" applyFont="1" applyBorder="1"/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wrapText="1"/>
    </xf>
    <xf numFmtId="164" fontId="19" fillId="0" borderId="2" xfId="0" applyNumberFormat="1" applyFont="1" applyBorder="1" applyAlignment="1">
      <alignment vertical="center" wrapText="1"/>
    </xf>
    <xf numFmtId="164" fontId="19" fillId="0" borderId="16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right"/>
    </xf>
    <xf numFmtId="164" fontId="14" fillId="0" borderId="13" xfId="1" applyFont="1" applyBorder="1"/>
    <xf numFmtId="164" fontId="14" fillId="8" borderId="3" xfId="0" applyNumberFormat="1" applyFont="1" applyFill="1" applyBorder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64" fontId="19" fillId="0" borderId="0" xfId="1" applyFont="1" applyBorder="1" applyAlignment="1">
      <alignment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164" fontId="14" fillId="8" borderId="0" xfId="0" applyNumberFormat="1" applyFont="1" applyFill="1"/>
    <xf numFmtId="164" fontId="19" fillId="0" borderId="0" xfId="1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9" fillId="0" borderId="17" xfId="0" applyFont="1" applyBorder="1"/>
    <xf numFmtId="0" fontId="19" fillId="0" borderId="18" xfId="0" applyFont="1" applyBorder="1"/>
    <xf numFmtId="0" fontId="19" fillId="0" borderId="18" xfId="0" applyFont="1" applyBorder="1" applyAlignment="1">
      <alignment vertical="center"/>
    </xf>
    <xf numFmtId="164" fontId="19" fillId="0" borderId="18" xfId="1" applyFont="1" applyBorder="1"/>
    <xf numFmtId="0" fontId="14" fillId="0" borderId="18" xfId="0" applyFont="1" applyBorder="1" applyAlignment="1">
      <alignment horizontal="right"/>
    </xf>
    <xf numFmtId="164" fontId="19" fillId="9" borderId="3" xfId="0" applyNumberFormat="1" applyFont="1" applyFill="1" applyBorder="1"/>
    <xf numFmtId="164" fontId="15" fillId="0" borderId="0" xfId="1" applyFont="1" applyFill="1" applyBorder="1" applyAlignment="1">
      <alignment horizontal="center" vertical="center" wrapText="1"/>
    </xf>
    <xf numFmtId="164" fontId="19" fillId="7" borderId="0" xfId="1" applyFont="1" applyFill="1" applyAlignment="1">
      <alignment vertical="center"/>
    </xf>
    <xf numFmtId="164" fontId="21" fillId="3" borderId="0" xfId="1" applyFont="1" applyFill="1" applyAlignment="1">
      <alignment vertical="center"/>
    </xf>
    <xf numFmtId="164" fontId="14" fillId="2" borderId="1" xfId="1" applyFont="1" applyFill="1" applyBorder="1" applyAlignment="1">
      <alignment horizontal="center" vertical="center" wrapText="1"/>
    </xf>
    <xf numFmtId="164" fontId="19" fillId="0" borderId="1" xfId="1" applyFont="1" applyBorder="1" applyAlignment="1">
      <alignment vertical="center"/>
    </xf>
    <xf numFmtId="164" fontId="19" fillId="0" borderId="1" xfId="1" applyFont="1" applyBorder="1" applyAlignment="1">
      <alignment horizontal="center" vertical="center" wrapText="1"/>
    </xf>
    <xf numFmtId="164" fontId="14" fillId="0" borderId="1" xfId="1" applyFont="1" applyBorder="1" applyAlignment="1">
      <alignment horizontal="center" vertical="center" wrapText="1"/>
    </xf>
    <xf numFmtId="164" fontId="14" fillId="0" borderId="0" xfId="1" applyFont="1" applyBorder="1" applyAlignment="1">
      <alignment horizontal="center" vertical="center" wrapText="1"/>
    </xf>
    <xf numFmtId="164" fontId="18" fillId="0" borderId="1" xfId="1" applyFont="1" applyBorder="1" applyAlignment="1">
      <alignment vertical="center"/>
    </xf>
    <xf numFmtId="164" fontId="14" fillId="0" borderId="1" xfId="1" applyFont="1" applyBorder="1" applyAlignment="1">
      <alignment vertical="center"/>
    </xf>
    <xf numFmtId="164" fontId="14" fillId="0" borderId="0" xfId="1" applyFont="1" applyBorder="1" applyAlignment="1">
      <alignment vertical="center"/>
    </xf>
    <xf numFmtId="164" fontId="20" fillId="0" borderId="1" xfId="1" applyFont="1" applyBorder="1" applyAlignment="1">
      <alignment vertical="center"/>
    </xf>
    <xf numFmtId="164" fontId="19" fillId="0" borderId="0" xfId="1" applyFont="1" applyAlignment="1">
      <alignment vertical="center"/>
    </xf>
    <xf numFmtId="164" fontId="19" fillId="0" borderId="18" xfId="1" applyFont="1" applyBorder="1" applyAlignment="1">
      <alignment vertical="center"/>
    </xf>
    <xf numFmtId="0" fontId="23" fillId="0" borderId="0" xfId="0" applyFont="1"/>
    <xf numFmtId="0" fontId="20" fillId="0" borderId="0" xfId="0" applyFont="1" applyAlignment="1">
      <alignment wrapText="1"/>
    </xf>
    <xf numFmtId="0" fontId="23" fillId="0" borderId="0" xfId="0" applyFont="1" applyAlignment="1">
      <alignment wrapText="1"/>
    </xf>
    <xf numFmtId="164" fontId="20" fillId="0" borderId="0" xfId="1" applyFont="1" applyFill="1"/>
    <xf numFmtId="12" fontId="19" fillId="0" borderId="1" xfId="1" applyNumberFormat="1" applyFont="1" applyBorder="1" applyAlignment="1">
      <alignment vertical="center"/>
    </xf>
    <xf numFmtId="164" fontId="18" fillId="0" borderId="0" xfId="1" applyFont="1" applyFill="1"/>
    <xf numFmtId="0" fontId="14" fillId="0" borderId="13" xfId="0" applyFont="1" applyBorder="1" applyAlignment="1">
      <alignment horizontal="right"/>
    </xf>
    <xf numFmtId="164" fontId="19" fillId="0" borderId="2" xfId="0" applyNumberFormat="1" applyFont="1" applyBorder="1"/>
    <xf numFmtId="164" fontId="19" fillId="0" borderId="0" xfId="0" applyNumberFormat="1" applyFont="1"/>
    <xf numFmtId="164" fontId="19" fillId="0" borderId="13" xfId="1" applyFont="1" applyBorder="1" applyAlignment="1">
      <alignment wrapText="1"/>
    </xf>
    <xf numFmtId="164" fontId="13" fillId="0" borderId="3" xfId="0" applyNumberFormat="1" applyFont="1" applyBorder="1" applyAlignment="1">
      <alignment vertical="center" wrapText="1"/>
    </xf>
    <xf numFmtId="0" fontId="24" fillId="0" borderId="0" xfId="0" applyFont="1"/>
    <xf numFmtId="164" fontId="18" fillId="10" borderId="1" xfId="1" applyFont="1" applyFill="1" applyBorder="1" applyAlignment="1">
      <alignment vertical="center"/>
    </xf>
    <xf numFmtId="0" fontId="19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</cellXfs>
  <cellStyles count="2">
    <cellStyle name="Milliers" xfId="1" builtinId="3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3341698</xdr:colOff>
      <xdr:row>2</xdr:row>
      <xdr:rowOff>11907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3B2E975-E2B3-4941-9E0E-3139BC8EE2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1"/>
          <a:ext cx="3901292" cy="3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3341698</xdr:colOff>
      <xdr:row>2</xdr:row>
      <xdr:rowOff>11907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83C8FB5-0AE2-44DC-AFC8-906DD104F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1"/>
          <a:ext cx="3901768" cy="37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3341698</xdr:colOff>
      <xdr:row>2</xdr:row>
      <xdr:rowOff>11907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FBAAF2F-7B5E-48C0-9023-342E9DA70E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1"/>
          <a:ext cx="3901768" cy="37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3341698</xdr:colOff>
      <xdr:row>2</xdr:row>
      <xdr:rowOff>11907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A25602D-EEB3-420B-8BAD-C684DF74CA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1"/>
          <a:ext cx="3901768" cy="37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1114424</xdr:colOff>
      <xdr:row>2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425B4BD-456F-4E63-9C00-FC7C682DE4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0" y="0"/>
          <a:ext cx="4176712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abelbe-my.sharepoint.com/Users/G&#233;rard/Documents/NbLettre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NbLettre"/>
    </sheetNames>
    <definedNames>
      <definedName name="convnumberletter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EB93-EE9B-4281-8A3B-1E1B74E19F8A}">
  <dimension ref="A1:I133"/>
  <sheetViews>
    <sheetView zoomScale="160" zoomScaleNormal="160" workbookViewId="0">
      <selection activeCell="B10" sqref="B10"/>
    </sheetView>
  </sheetViews>
  <sheetFormatPr baseColWidth="10" defaultColWidth="10.90625" defaultRowHeight="18" x14ac:dyDescent="0.35"/>
  <cols>
    <col min="1" max="1" width="5.08984375" style="1" customWidth="1"/>
    <col min="2" max="2" width="40.08984375" style="1" customWidth="1"/>
    <col min="3" max="3" width="8" style="1" customWidth="1"/>
    <col min="4" max="4" width="8.7265625" style="1" customWidth="1"/>
    <col min="5" max="5" width="12.453125" style="22" customWidth="1"/>
    <col min="6" max="6" width="14.6328125" style="22" customWidth="1"/>
    <col min="7" max="7" width="17.1796875" style="1" bestFit="1" customWidth="1"/>
    <col min="8" max="8" width="17.26953125" style="1" bestFit="1" customWidth="1"/>
    <col min="9" max="9" width="15.08984375" style="1" bestFit="1" customWidth="1"/>
    <col min="10" max="16384" width="10.90625" style="1"/>
  </cols>
  <sheetData>
    <row r="1" spans="1:6" x14ac:dyDescent="0.35">
      <c r="A1" s="38" t="s">
        <v>0</v>
      </c>
      <c r="B1" s="38"/>
      <c r="C1" s="38"/>
      <c r="D1" s="38"/>
      <c r="E1" s="39"/>
      <c r="F1" s="39"/>
    </row>
    <row r="2" spans="1:6" x14ac:dyDescent="0.35">
      <c r="A2" s="38" t="s">
        <v>1</v>
      </c>
      <c r="B2" s="38"/>
      <c r="C2" s="38"/>
      <c r="D2" s="38"/>
      <c r="E2" s="39"/>
      <c r="F2" s="39"/>
    </row>
    <row r="3" spans="1:6" x14ac:dyDescent="0.35">
      <c r="A3" s="40" t="s">
        <v>148</v>
      </c>
      <c r="B3" s="38"/>
      <c r="C3" s="38"/>
      <c r="D3" s="38"/>
      <c r="E3" s="39"/>
      <c r="F3" s="39"/>
    </row>
    <row r="5" spans="1:6" s="2" customFormat="1" ht="16.8" customHeight="1" x14ac:dyDescent="0.35">
      <c r="A5" s="12" t="s">
        <v>13</v>
      </c>
      <c r="B5" s="12" t="s">
        <v>23</v>
      </c>
      <c r="C5" s="12"/>
      <c r="D5" s="12"/>
      <c r="E5" s="23"/>
      <c r="F5" s="23"/>
    </row>
    <row r="6" spans="1:6" ht="12.6" customHeight="1" x14ac:dyDescent="0.35"/>
    <row r="7" spans="1:6" s="2" customFormat="1" ht="16.8" customHeight="1" x14ac:dyDescent="0.35">
      <c r="A7" s="13" t="s">
        <v>18</v>
      </c>
      <c r="B7" s="13" t="s">
        <v>125</v>
      </c>
      <c r="C7" s="13"/>
      <c r="D7" s="13"/>
      <c r="E7" s="24"/>
      <c r="F7" s="24"/>
    </row>
    <row r="8" spans="1:6" ht="12.6" customHeight="1" x14ac:dyDescent="0.35"/>
    <row r="9" spans="1:6" x14ac:dyDescent="0.35">
      <c r="A9" s="11" t="s">
        <v>2</v>
      </c>
      <c r="B9" s="11" t="s">
        <v>3</v>
      </c>
      <c r="C9" s="11" t="s">
        <v>4</v>
      </c>
      <c r="D9" s="11" t="s">
        <v>5</v>
      </c>
      <c r="E9" s="25" t="s">
        <v>133</v>
      </c>
      <c r="F9" s="25" t="s">
        <v>134</v>
      </c>
    </row>
    <row r="10" spans="1:6" ht="54" x14ac:dyDescent="0.35">
      <c r="A10" s="3" t="s">
        <v>24</v>
      </c>
      <c r="B10" s="4" t="s">
        <v>6</v>
      </c>
      <c r="C10" s="3" t="s">
        <v>7</v>
      </c>
      <c r="D10" s="3">
        <v>0</v>
      </c>
      <c r="E10" s="26">
        <v>6.5</v>
      </c>
      <c r="F10" s="26">
        <f>+D10*E10</f>
        <v>0</v>
      </c>
    </row>
    <row r="11" spans="1:6" ht="36" x14ac:dyDescent="0.35">
      <c r="A11" s="3" t="s">
        <v>25</v>
      </c>
      <c r="B11" s="4" t="s">
        <v>8</v>
      </c>
      <c r="C11" s="3" t="s">
        <v>7</v>
      </c>
      <c r="D11" s="3">
        <v>0</v>
      </c>
      <c r="E11" s="26">
        <v>26</v>
      </c>
      <c r="F11" s="26">
        <f t="shared" ref="F11:F16" si="0">+D11*E11</f>
        <v>0</v>
      </c>
    </row>
    <row r="12" spans="1:6" ht="36" x14ac:dyDescent="0.35">
      <c r="A12" s="3" t="s">
        <v>26</v>
      </c>
      <c r="B12" s="4" t="s">
        <v>9</v>
      </c>
      <c r="C12" s="3" t="s">
        <v>7</v>
      </c>
      <c r="D12" s="3">
        <v>0</v>
      </c>
      <c r="E12" s="26">
        <v>22.5</v>
      </c>
      <c r="F12" s="26">
        <f t="shared" si="0"/>
        <v>0</v>
      </c>
    </row>
    <row r="13" spans="1:6" ht="19.8" x14ac:dyDescent="0.35">
      <c r="A13" s="3" t="s">
        <v>27</v>
      </c>
      <c r="B13" s="4" t="s">
        <v>10</v>
      </c>
      <c r="C13" s="3" t="s">
        <v>7</v>
      </c>
      <c r="D13" s="3">
        <v>0</v>
      </c>
      <c r="E13" s="26">
        <v>3.5</v>
      </c>
      <c r="F13" s="26">
        <f t="shared" si="0"/>
        <v>0</v>
      </c>
    </row>
    <row r="14" spans="1:6" ht="19.8" x14ac:dyDescent="0.35">
      <c r="A14" s="3" t="s">
        <v>28</v>
      </c>
      <c r="B14" s="4" t="s">
        <v>11</v>
      </c>
      <c r="C14" s="3" t="s">
        <v>7</v>
      </c>
      <c r="D14" s="3">
        <v>0</v>
      </c>
      <c r="E14" s="26">
        <v>16.5</v>
      </c>
      <c r="F14" s="26">
        <f t="shared" si="0"/>
        <v>0</v>
      </c>
    </row>
    <row r="15" spans="1:6" ht="36" x14ac:dyDescent="0.35">
      <c r="A15" s="3" t="s">
        <v>29</v>
      </c>
      <c r="B15" s="4" t="s">
        <v>135</v>
      </c>
      <c r="C15" s="3" t="s">
        <v>7</v>
      </c>
      <c r="D15" s="3"/>
      <c r="E15" s="26"/>
      <c r="F15" s="26">
        <f t="shared" si="0"/>
        <v>0</v>
      </c>
    </row>
    <row r="16" spans="1:6" ht="36.6" thickBot="1" x14ac:dyDescent="0.4">
      <c r="A16" s="3" t="s">
        <v>30</v>
      </c>
      <c r="B16" s="6" t="s">
        <v>12</v>
      </c>
      <c r="C16" s="5" t="s">
        <v>7</v>
      </c>
      <c r="D16" s="5">
        <v>0</v>
      </c>
      <c r="E16" s="27">
        <v>6.5</v>
      </c>
      <c r="F16" s="26">
        <f t="shared" si="0"/>
        <v>0</v>
      </c>
    </row>
    <row r="17" spans="1:6" ht="18.600000000000001" thickBot="1" x14ac:dyDescent="0.4">
      <c r="A17" s="8"/>
      <c r="B17" s="9" t="s">
        <v>31</v>
      </c>
      <c r="C17" s="10"/>
      <c r="D17" s="10"/>
      <c r="E17" s="28"/>
      <c r="F17" s="32">
        <f>+SUM(F10:F16)</f>
        <v>0</v>
      </c>
    </row>
    <row r="18" spans="1:6" ht="10.8" customHeight="1" x14ac:dyDescent="0.35">
      <c r="B18" s="7"/>
      <c r="E18" s="29"/>
      <c r="F18" s="29"/>
    </row>
    <row r="19" spans="1:6" s="2" customFormat="1" ht="16.8" customHeight="1" x14ac:dyDescent="0.35">
      <c r="A19" s="13" t="s">
        <v>19</v>
      </c>
      <c r="B19" s="13" t="s">
        <v>126</v>
      </c>
      <c r="C19" s="13"/>
      <c r="D19" s="13"/>
      <c r="E19" s="24"/>
      <c r="F19" s="24"/>
    </row>
    <row r="20" spans="1:6" ht="9.6" customHeight="1" x14ac:dyDescent="0.35">
      <c r="B20" s="7"/>
      <c r="E20" s="29"/>
      <c r="F20" s="29"/>
    </row>
    <row r="21" spans="1:6" x14ac:dyDescent="0.35">
      <c r="A21" s="11" t="s">
        <v>2</v>
      </c>
      <c r="B21" s="11" t="s">
        <v>3</v>
      </c>
      <c r="C21" s="11" t="s">
        <v>4</v>
      </c>
      <c r="D21" s="11" t="s">
        <v>5</v>
      </c>
      <c r="E21" s="25" t="s">
        <v>133</v>
      </c>
      <c r="F21" s="25" t="s">
        <v>134</v>
      </c>
    </row>
    <row r="22" spans="1:6" x14ac:dyDescent="0.35">
      <c r="A22" s="3" t="s">
        <v>32</v>
      </c>
      <c r="B22" s="4" t="s">
        <v>15</v>
      </c>
      <c r="C22" s="3" t="s">
        <v>17</v>
      </c>
      <c r="D22" s="3">
        <v>0</v>
      </c>
      <c r="E22" s="26">
        <v>8</v>
      </c>
      <c r="F22" s="26">
        <f>+D22*E22</f>
        <v>0</v>
      </c>
    </row>
    <row r="23" spans="1:6" ht="20.399999999999999" thickBot="1" x14ac:dyDescent="0.4">
      <c r="A23" s="3" t="s">
        <v>33</v>
      </c>
      <c r="B23" s="3" t="s">
        <v>16</v>
      </c>
      <c r="C23" s="3" t="s">
        <v>7</v>
      </c>
      <c r="D23" s="3">
        <v>0</v>
      </c>
      <c r="E23" s="26">
        <v>16.5</v>
      </c>
      <c r="F23" s="26">
        <f>+D23*E23</f>
        <v>0</v>
      </c>
    </row>
    <row r="24" spans="1:6" ht="18.600000000000001" thickBot="1" x14ac:dyDescent="0.4">
      <c r="A24" s="8"/>
      <c r="B24" s="9" t="s">
        <v>38</v>
      </c>
      <c r="C24" s="10"/>
      <c r="D24" s="10"/>
      <c r="E24" s="28"/>
      <c r="F24" s="24">
        <f>SUM(F22:F23)</f>
        <v>0</v>
      </c>
    </row>
    <row r="25" spans="1:6" x14ac:dyDescent="0.35">
      <c r="A25" s="3"/>
      <c r="B25" s="3"/>
      <c r="C25" s="3"/>
      <c r="D25" s="3"/>
      <c r="E25" s="26"/>
      <c r="F25" s="26"/>
    </row>
    <row r="26" spans="1:6" s="2" customFormat="1" ht="16.8" customHeight="1" x14ac:dyDescent="0.35">
      <c r="A26" s="13" t="s">
        <v>20</v>
      </c>
      <c r="B26" s="13" t="s">
        <v>127</v>
      </c>
      <c r="C26" s="13"/>
      <c r="D26" s="13"/>
      <c r="E26" s="24"/>
      <c r="F26" s="24"/>
    </row>
    <row r="27" spans="1:6" x14ac:dyDescent="0.35">
      <c r="A27" s="11" t="s">
        <v>2</v>
      </c>
      <c r="B27" s="11" t="s">
        <v>3</v>
      </c>
      <c r="C27" s="11" t="s">
        <v>4</v>
      </c>
      <c r="D27" s="11" t="s">
        <v>5</v>
      </c>
      <c r="E27" s="25" t="s">
        <v>133</v>
      </c>
      <c r="F27" s="25" t="s">
        <v>134</v>
      </c>
    </row>
    <row r="28" spans="1:6" ht="36" x14ac:dyDescent="0.35">
      <c r="A28" s="3" t="s">
        <v>34</v>
      </c>
      <c r="B28" s="4" t="s">
        <v>36</v>
      </c>
      <c r="C28" s="3" t="s">
        <v>7</v>
      </c>
      <c r="D28" s="3">
        <v>0</v>
      </c>
      <c r="E28" s="26">
        <v>82</v>
      </c>
      <c r="F28" s="26">
        <f>+D28*E28</f>
        <v>0</v>
      </c>
    </row>
    <row r="29" spans="1:6" ht="36.6" thickBot="1" x14ac:dyDescent="0.4">
      <c r="A29" s="3" t="s">
        <v>35</v>
      </c>
      <c r="B29" s="4" t="s">
        <v>37</v>
      </c>
      <c r="C29" s="3" t="s">
        <v>79</v>
      </c>
      <c r="D29" s="3">
        <v>0</v>
      </c>
      <c r="E29" s="26">
        <v>165</v>
      </c>
      <c r="F29" s="26">
        <f>+D29*E29</f>
        <v>0</v>
      </c>
    </row>
    <row r="30" spans="1:6" ht="18.600000000000001" thickBot="1" x14ac:dyDescent="0.4">
      <c r="A30" s="8"/>
      <c r="B30" s="9" t="s">
        <v>39</v>
      </c>
      <c r="C30" s="10"/>
      <c r="D30" s="10"/>
      <c r="E30" s="28"/>
      <c r="F30" s="24">
        <f>SUM(F28:F29)</f>
        <v>0</v>
      </c>
    </row>
    <row r="31" spans="1:6" ht="12" customHeight="1" thickBot="1" x14ac:dyDescent="0.4">
      <c r="A31" s="3"/>
      <c r="B31" s="3"/>
      <c r="C31" s="3"/>
      <c r="D31" s="3"/>
      <c r="E31" s="26"/>
      <c r="F31" s="26"/>
    </row>
    <row r="32" spans="1:6" s="20" customFormat="1" ht="18.600000000000001" thickBot="1" x14ac:dyDescent="0.4">
      <c r="A32" s="17"/>
      <c r="B32" s="18" t="s">
        <v>67</v>
      </c>
      <c r="C32" s="19"/>
      <c r="D32" s="19"/>
      <c r="E32" s="30"/>
      <c r="F32" s="23">
        <f>+F30+F24+F17</f>
        <v>0</v>
      </c>
    </row>
    <row r="33" spans="1:6" x14ac:dyDescent="0.35">
      <c r="A33" s="3"/>
      <c r="B33" s="3"/>
      <c r="C33" s="3"/>
      <c r="D33" s="3"/>
      <c r="E33" s="26"/>
      <c r="F33" s="26"/>
    </row>
    <row r="34" spans="1:6" s="2" customFormat="1" ht="16.8" customHeight="1" x14ac:dyDescent="0.35">
      <c r="A34" s="12" t="s">
        <v>14</v>
      </c>
      <c r="B34" s="12" t="s">
        <v>71</v>
      </c>
      <c r="C34" s="12"/>
      <c r="D34" s="12"/>
      <c r="E34" s="23"/>
      <c r="F34" s="23"/>
    </row>
    <row r="35" spans="1:6" x14ac:dyDescent="0.35">
      <c r="A35" s="3"/>
      <c r="B35" s="3"/>
      <c r="C35" s="3"/>
      <c r="D35" s="3"/>
      <c r="E35" s="26"/>
      <c r="F35" s="26"/>
    </row>
    <row r="36" spans="1:6" s="2" customFormat="1" ht="16.8" customHeight="1" x14ac:dyDescent="0.35">
      <c r="A36" s="13" t="s">
        <v>21</v>
      </c>
      <c r="B36" s="13" t="s">
        <v>40</v>
      </c>
      <c r="C36" s="13"/>
      <c r="D36" s="13"/>
      <c r="E36" s="24"/>
      <c r="F36" s="24"/>
    </row>
    <row r="38" spans="1:6" x14ac:dyDescent="0.35">
      <c r="A38" s="11" t="s">
        <v>2</v>
      </c>
      <c r="B38" s="11" t="s">
        <v>3</v>
      </c>
      <c r="C38" s="11" t="s">
        <v>4</v>
      </c>
      <c r="D38" s="11" t="s">
        <v>5</v>
      </c>
      <c r="E38" s="25" t="s">
        <v>133</v>
      </c>
      <c r="F38" s="25" t="s">
        <v>134</v>
      </c>
    </row>
    <row r="39" spans="1:6" ht="36.6" thickBot="1" x14ac:dyDescent="0.4">
      <c r="A39" s="3" t="s">
        <v>41</v>
      </c>
      <c r="B39" s="4" t="s">
        <v>42</v>
      </c>
      <c r="C39" s="3" t="s">
        <v>7</v>
      </c>
      <c r="D39" s="3">
        <v>0</v>
      </c>
      <c r="E39" s="26">
        <v>3.5</v>
      </c>
      <c r="F39" s="26">
        <f>+D39*E39</f>
        <v>0</v>
      </c>
    </row>
    <row r="40" spans="1:6" ht="18.600000000000001" thickBot="1" x14ac:dyDescent="0.4">
      <c r="A40" s="8"/>
      <c r="B40" s="9" t="s">
        <v>43</v>
      </c>
      <c r="C40" s="10"/>
      <c r="D40" s="10"/>
      <c r="E40" s="28"/>
      <c r="F40" s="24">
        <f>SUM(F39)</f>
        <v>0</v>
      </c>
    </row>
    <row r="41" spans="1:6" ht="11.4" customHeight="1" x14ac:dyDescent="0.35"/>
    <row r="42" spans="1:6" s="2" customFormat="1" ht="16.8" customHeight="1" x14ac:dyDescent="0.35">
      <c r="A42" s="13" t="s">
        <v>22</v>
      </c>
      <c r="B42" s="13" t="s">
        <v>44</v>
      </c>
      <c r="C42" s="13"/>
      <c r="D42" s="13"/>
      <c r="E42" s="24"/>
      <c r="F42" s="24"/>
    </row>
    <row r="44" spans="1:6" x14ac:dyDescent="0.35">
      <c r="A44" s="11" t="s">
        <v>2</v>
      </c>
      <c r="B44" s="11" t="s">
        <v>3</v>
      </c>
      <c r="C44" s="11" t="s">
        <v>4</v>
      </c>
      <c r="D44" s="11" t="s">
        <v>5</v>
      </c>
      <c r="E44" s="25" t="s">
        <v>133</v>
      </c>
      <c r="F44" s="25" t="s">
        <v>134</v>
      </c>
    </row>
    <row r="45" spans="1:6" ht="72" x14ac:dyDescent="0.35">
      <c r="A45" s="3" t="s">
        <v>45</v>
      </c>
      <c r="B45" s="4" t="s">
        <v>46</v>
      </c>
      <c r="C45" s="3" t="s">
        <v>7</v>
      </c>
      <c r="D45" s="3">
        <v>0</v>
      </c>
      <c r="E45" s="26">
        <v>18.5</v>
      </c>
      <c r="F45" s="27">
        <f>+D45*E45</f>
        <v>0</v>
      </c>
    </row>
    <row r="46" spans="1:6" ht="36.6" thickBot="1" x14ac:dyDescent="0.4">
      <c r="A46" s="3" t="s">
        <v>139</v>
      </c>
      <c r="B46" s="36" t="s">
        <v>140</v>
      </c>
      <c r="C46" s="3" t="s">
        <v>7</v>
      </c>
      <c r="D46" s="3">
        <v>0</v>
      </c>
      <c r="E46" s="37">
        <v>105.5</v>
      </c>
      <c r="F46" s="27">
        <f>+D46*E46</f>
        <v>0</v>
      </c>
    </row>
    <row r="47" spans="1:6" ht="18.600000000000001" thickBot="1" x14ac:dyDescent="0.4">
      <c r="A47" s="8"/>
      <c r="B47" s="9" t="s">
        <v>47</v>
      </c>
      <c r="C47" s="10"/>
      <c r="D47" s="10"/>
      <c r="E47" s="28"/>
      <c r="F47" s="32">
        <f>SUM(F45:F46)</f>
        <v>0</v>
      </c>
    </row>
    <row r="48" spans="1:6" ht="14.4" customHeight="1" x14ac:dyDescent="0.35"/>
    <row r="49" spans="1:7" s="2" customFormat="1" ht="16.8" customHeight="1" x14ac:dyDescent="0.35">
      <c r="A49" s="13" t="s">
        <v>48</v>
      </c>
      <c r="B49" s="13" t="s">
        <v>49</v>
      </c>
      <c r="C49" s="13"/>
      <c r="D49" s="13"/>
      <c r="E49" s="24"/>
      <c r="F49" s="24"/>
    </row>
    <row r="50" spans="1:7" ht="13.2" customHeight="1" x14ac:dyDescent="0.35"/>
    <row r="51" spans="1:7" x14ac:dyDescent="0.35">
      <c r="A51" s="11" t="s">
        <v>2</v>
      </c>
      <c r="B51" s="11" t="s">
        <v>3</v>
      </c>
      <c r="C51" s="11" t="s">
        <v>4</v>
      </c>
      <c r="D51" s="11" t="s">
        <v>5</v>
      </c>
      <c r="E51" s="25" t="s">
        <v>133</v>
      </c>
      <c r="F51" s="25" t="s">
        <v>134</v>
      </c>
    </row>
    <row r="52" spans="1:7" ht="36.6" thickBot="1" x14ac:dyDescent="0.4">
      <c r="A52" s="3" t="s">
        <v>50</v>
      </c>
      <c r="B52" s="4" t="s">
        <v>141</v>
      </c>
      <c r="C52" s="3" t="s">
        <v>7</v>
      </c>
      <c r="D52" s="3">
        <v>0</v>
      </c>
      <c r="E52" s="26">
        <v>145</v>
      </c>
      <c r="F52" s="27">
        <f>+D52*E52</f>
        <v>0</v>
      </c>
      <c r="G52" s="22"/>
    </row>
    <row r="53" spans="1:7" ht="18.600000000000001" thickBot="1" x14ac:dyDescent="0.4">
      <c r="A53" s="8"/>
      <c r="B53" s="9" t="s">
        <v>51</v>
      </c>
      <c r="C53" s="10"/>
      <c r="D53" s="10"/>
      <c r="E53" s="28"/>
      <c r="F53" s="32">
        <f>SUM(F52)</f>
        <v>0</v>
      </c>
    </row>
    <row r="55" spans="1:7" s="2" customFormat="1" ht="16.8" customHeight="1" x14ac:dyDescent="0.35">
      <c r="A55" s="13" t="s">
        <v>52</v>
      </c>
      <c r="B55" s="13" t="s">
        <v>144</v>
      </c>
      <c r="C55" s="13"/>
      <c r="D55" s="13"/>
      <c r="E55" s="24"/>
      <c r="F55" s="24"/>
    </row>
    <row r="57" spans="1:7" x14ac:dyDescent="0.35">
      <c r="A57" s="11" t="s">
        <v>2</v>
      </c>
      <c r="B57" s="11" t="s">
        <v>3</v>
      </c>
      <c r="C57" s="11" t="s">
        <v>4</v>
      </c>
      <c r="D57" s="11" t="s">
        <v>5</v>
      </c>
      <c r="E57" s="25" t="s">
        <v>133</v>
      </c>
      <c r="F57" s="25" t="s">
        <v>134</v>
      </c>
    </row>
    <row r="58" spans="1:7" ht="19.8" x14ac:dyDescent="0.35">
      <c r="A58" s="3" t="s">
        <v>53</v>
      </c>
      <c r="B58" s="4" t="s">
        <v>55</v>
      </c>
      <c r="C58" s="3" t="s">
        <v>7</v>
      </c>
      <c r="D58" s="3">
        <v>0</v>
      </c>
      <c r="E58" s="26">
        <v>16.5</v>
      </c>
      <c r="F58" s="26">
        <f>D58*E58</f>
        <v>0</v>
      </c>
    </row>
    <row r="59" spans="1:7" ht="19.8" x14ac:dyDescent="0.35">
      <c r="A59" s="3" t="s">
        <v>59</v>
      </c>
      <c r="B59" s="4" t="s">
        <v>56</v>
      </c>
      <c r="C59" s="3" t="s">
        <v>7</v>
      </c>
      <c r="D59" s="3">
        <v>0</v>
      </c>
      <c r="E59" s="26">
        <v>3.5</v>
      </c>
      <c r="F59" s="26">
        <f t="shared" ref="F59:F62" si="1">D59*E59</f>
        <v>0</v>
      </c>
    </row>
    <row r="60" spans="1:7" ht="19.8" x14ac:dyDescent="0.35">
      <c r="A60" s="3" t="s">
        <v>60</v>
      </c>
      <c r="B60" s="4" t="s">
        <v>57</v>
      </c>
      <c r="C60" s="3" t="s">
        <v>7</v>
      </c>
      <c r="D60" s="3">
        <v>0</v>
      </c>
      <c r="E60" s="26">
        <v>1.5</v>
      </c>
      <c r="F60" s="26">
        <f t="shared" si="1"/>
        <v>0</v>
      </c>
    </row>
    <row r="61" spans="1:7" ht="36" x14ac:dyDescent="0.35">
      <c r="A61" s="3" t="s">
        <v>61</v>
      </c>
      <c r="B61" s="4" t="s">
        <v>58</v>
      </c>
      <c r="C61" s="3" t="s">
        <v>7</v>
      </c>
      <c r="D61" s="3">
        <v>0</v>
      </c>
      <c r="E61" s="26">
        <v>2.5</v>
      </c>
      <c r="F61" s="26">
        <f t="shared" si="1"/>
        <v>0</v>
      </c>
    </row>
    <row r="62" spans="1:7" ht="54.6" thickBot="1" x14ac:dyDescent="0.4">
      <c r="A62" s="3" t="s">
        <v>62</v>
      </c>
      <c r="B62" s="4" t="s">
        <v>136</v>
      </c>
      <c r="C62" s="3" t="s">
        <v>79</v>
      </c>
      <c r="D62" s="3">
        <v>0</v>
      </c>
      <c r="E62" s="26">
        <v>105</v>
      </c>
      <c r="F62" s="26">
        <f t="shared" si="1"/>
        <v>0</v>
      </c>
    </row>
    <row r="63" spans="1:7" ht="18.600000000000001" thickBot="1" x14ac:dyDescent="0.4">
      <c r="A63" s="8"/>
      <c r="B63" s="9" t="s">
        <v>54</v>
      </c>
      <c r="C63" s="10"/>
      <c r="D63" s="10"/>
      <c r="E63" s="28"/>
      <c r="F63" s="32">
        <f>SUM(F58:F62)</f>
        <v>0</v>
      </c>
    </row>
    <row r="65" spans="1:9" s="2" customFormat="1" ht="16.8" customHeight="1" x14ac:dyDescent="0.35">
      <c r="A65" s="13" t="s">
        <v>63</v>
      </c>
      <c r="B65" s="13" t="s">
        <v>64</v>
      </c>
      <c r="C65" s="13"/>
      <c r="D65" s="13"/>
      <c r="E65" s="24"/>
      <c r="F65" s="24"/>
    </row>
    <row r="66" spans="1:9" x14ac:dyDescent="0.35">
      <c r="A66" s="5"/>
      <c r="B66" s="6"/>
      <c r="C66" s="5"/>
      <c r="D66" s="5"/>
      <c r="E66" s="27"/>
      <c r="F66" s="26"/>
    </row>
    <row r="67" spans="1:9" x14ac:dyDescent="0.35">
      <c r="A67" s="11" t="s">
        <v>2</v>
      </c>
      <c r="B67" s="11" t="s">
        <v>3</v>
      </c>
      <c r="C67" s="11" t="s">
        <v>4</v>
      </c>
      <c r="D67" s="11" t="s">
        <v>5</v>
      </c>
      <c r="E67" s="25" t="s">
        <v>133</v>
      </c>
      <c r="F67" s="25" t="s">
        <v>134</v>
      </c>
    </row>
    <row r="68" spans="1:9" ht="54.6" thickBot="1" x14ac:dyDescent="0.4">
      <c r="A68" s="3" t="s">
        <v>66</v>
      </c>
      <c r="B68" s="4" t="s">
        <v>137</v>
      </c>
      <c r="C68" s="3" t="s">
        <v>7</v>
      </c>
      <c r="D68" s="3">
        <v>0</v>
      </c>
      <c r="E68" s="26">
        <v>6.5</v>
      </c>
      <c r="F68" s="26">
        <f>+D68*E68</f>
        <v>0</v>
      </c>
    </row>
    <row r="69" spans="1:9" ht="18.600000000000001" thickBot="1" x14ac:dyDescent="0.4">
      <c r="A69" s="8"/>
      <c r="B69" s="9" t="s">
        <v>65</v>
      </c>
      <c r="C69" s="10"/>
      <c r="D69" s="10"/>
      <c r="E69" s="28"/>
      <c r="F69" s="33">
        <f>SUM(F68)</f>
        <v>0</v>
      </c>
    </row>
    <row r="70" spans="1:9" ht="18.600000000000001" thickBot="1" x14ac:dyDescent="0.4"/>
    <row r="71" spans="1:9" s="20" customFormat="1" ht="36.6" thickBot="1" x14ac:dyDescent="0.4">
      <c r="A71" s="17"/>
      <c r="B71" s="18" t="s">
        <v>68</v>
      </c>
      <c r="C71" s="19"/>
      <c r="D71" s="19"/>
      <c r="E71" s="30"/>
      <c r="F71" s="23">
        <f>+F69+F63+F53+F47+F40</f>
        <v>0</v>
      </c>
    </row>
    <row r="73" spans="1:9" s="2" customFormat="1" ht="16.8" customHeight="1" x14ac:dyDescent="0.35">
      <c r="A73" s="12" t="s">
        <v>69</v>
      </c>
      <c r="B73" s="12" t="s">
        <v>70</v>
      </c>
      <c r="C73" s="12"/>
      <c r="D73" s="12"/>
      <c r="E73" s="23"/>
      <c r="F73" s="23"/>
    </row>
    <row r="75" spans="1:9" s="2" customFormat="1" ht="16.8" customHeight="1" x14ac:dyDescent="0.35">
      <c r="A75" s="13" t="s">
        <v>72</v>
      </c>
      <c r="B75" s="13" t="s">
        <v>73</v>
      </c>
      <c r="C75" s="13"/>
      <c r="D75" s="13"/>
      <c r="E75" s="24"/>
      <c r="F75" s="24"/>
    </row>
    <row r="77" spans="1:9" x14ac:dyDescent="0.35">
      <c r="A77" s="11" t="s">
        <v>2</v>
      </c>
      <c r="B77" s="11" t="s">
        <v>3</v>
      </c>
      <c r="C77" s="11" t="s">
        <v>4</v>
      </c>
      <c r="D77" s="11" t="s">
        <v>5</v>
      </c>
      <c r="E77" s="25" t="s">
        <v>133</v>
      </c>
      <c r="F77" s="25" t="s">
        <v>134</v>
      </c>
    </row>
    <row r="78" spans="1:9" ht="36" x14ac:dyDescent="0.35">
      <c r="A78" s="3" t="s">
        <v>74</v>
      </c>
      <c r="B78" s="4" t="s">
        <v>77</v>
      </c>
      <c r="C78" s="3" t="s">
        <v>76</v>
      </c>
      <c r="D78" s="3">
        <v>0</v>
      </c>
      <c r="E78" s="26">
        <v>1125</v>
      </c>
      <c r="F78" s="26">
        <f>+D78*E78</f>
        <v>0</v>
      </c>
      <c r="I78" s="22"/>
    </row>
    <row r="79" spans="1:9" ht="36" x14ac:dyDescent="0.35">
      <c r="A79" s="3" t="s">
        <v>84</v>
      </c>
      <c r="B79" s="4" t="s">
        <v>78</v>
      </c>
      <c r="C79" s="3" t="s">
        <v>79</v>
      </c>
      <c r="D79" s="3">
        <v>0</v>
      </c>
      <c r="E79" s="26">
        <v>85</v>
      </c>
      <c r="F79" s="26">
        <f t="shared" ref="F79:F81" si="2">+D79*E79</f>
        <v>0</v>
      </c>
    </row>
    <row r="80" spans="1:9" ht="36" x14ac:dyDescent="0.35">
      <c r="A80" s="3" t="s">
        <v>85</v>
      </c>
      <c r="B80" s="4" t="s">
        <v>143</v>
      </c>
      <c r="C80" s="3" t="s">
        <v>7</v>
      </c>
      <c r="D80" s="3">
        <v>0</v>
      </c>
      <c r="E80" s="26">
        <v>285</v>
      </c>
      <c r="F80" s="26">
        <f t="shared" si="2"/>
        <v>0</v>
      </c>
    </row>
    <row r="81" spans="1:7" ht="72" x14ac:dyDescent="0.35">
      <c r="A81" s="3" t="s">
        <v>86</v>
      </c>
      <c r="B81" s="4" t="s">
        <v>80</v>
      </c>
      <c r="C81" s="3" t="s">
        <v>17</v>
      </c>
      <c r="D81" s="3">
        <v>0</v>
      </c>
      <c r="E81" s="26">
        <v>225</v>
      </c>
      <c r="F81" s="26">
        <f t="shared" si="2"/>
        <v>0</v>
      </c>
      <c r="G81" s="22"/>
    </row>
    <row r="82" spans="1:7" ht="18.600000000000001" thickBot="1" x14ac:dyDescent="0.4">
      <c r="A82" s="14"/>
      <c r="B82" s="15" t="s">
        <v>75</v>
      </c>
      <c r="C82" s="16"/>
      <c r="D82" s="16"/>
      <c r="E82" s="31"/>
      <c r="F82" s="33">
        <f>SUM(F78:F81)</f>
        <v>0</v>
      </c>
    </row>
    <row r="84" spans="1:7" s="2" customFormat="1" ht="16.8" customHeight="1" x14ac:dyDescent="0.35">
      <c r="A84" s="13" t="s">
        <v>81</v>
      </c>
      <c r="B84" s="13" t="s">
        <v>82</v>
      </c>
      <c r="C84" s="13"/>
      <c r="D84" s="13"/>
      <c r="E84" s="24"/>
      <c r="F84" s="24"/>
    </row>
    <row r="86" spans="1:7" x14ac:dyDescent="0.35">
      <c r="A86" s="11" t="s">
        <v>2</v>
      </c>
      <c r="B86" s="11" t="s">
        <v>3</v>
      </c>
      <c r="C86" s="11" t="s">
        <v>4</v>
      </c>
      <c r="D86" s="11" t="s">
        <v>5</v>
      </c>
      <c r="E86" s="25" t="s">
        <v>133</v>
      </c>
      <c r="F86" s="25" t="s">
        <v>134</v>
      </c>
    </row>
    <row r="87" spans="1:7" ht="36" x14ac:dyDescent="0.35">
      <c r="A87" s="3" t="s">
        <v>83</v>
      </c>
      <c r="B87" s="4" t="s">
        <v>87</v>
      </c>
      <c r="C87" s="3" t="s">
        <v>7</v>
      </c>
      <c r="D87" s="3">
        <v>0</v>
      </c>
      <c r="E87" s="26">
        <v>35.5</v>
      </c>
      <c r="F87" s="26">
        <f>+D87*E87</f>
        <v>0</v>
      </c>
    </row>
    <row r="88" spans="1:7" ht="36" x14ac:dyDescent="0.35">
      <c r="A88" s="3" t="s">
        <v>89</v>
      </c>
      <c r="B88" s="4" t="s">
        <v>88</v>
      </c>
      <c r="C88" s="3" t="s">
        <v>7</v>
      </c>
      <c r="D88" s="3">
        <v>0</v>
      </c>
      <c r="E88" s="26">
        <v>6.5</v>
      </c>
      <c r="F88" s="26">
        <f>+D88*E88</f>
        <v>0</v>
      </c>
    </row>
    <row r="89" spans="1:7" ht="18.600000000000001" thickBot="1" x14ac:dyDescent="0.4">
      <c r="A89" s="14"/>
      <c r="B89" s="15" t="s">
        <v>90</v>
      </c>
      <c r="C89" s="16"/>
      <c r="D89" s="16"/>
      <c r="E89" s="31"/>
      <c r="F89" s="33">
        <f>SUM(F87:F88)</f>
        <v>0</v>
      </c>
    </row>
    <row r="90" spans="1:7" x14ac:dyDescent="0.35">
      <c r="A90" s="3"/>
      <c r="B90" s="3"/>
      <c r="C90" s="3"/>
      <c r="D90" s="3"/>
      <c r="E90" s="26"/>
      <c r="F90" s="26"/>
    </row>
    <row r="91" spans="1:7" s="2" customFormat="1" ht="16.8" customHeight="1" x14ac:dyDescent="0.35">
      <c r="A91" s="13" t="s">
        <v>91</v>
      </c>
      <c r="B91" s="13" t="s">
        <v>92</v>
      </c>
      <c r="C91" s="13"/>
      <c r="D91" s="13"/>
      <c r="E91" s="24"/>
      <c r="F91" s="24"/>
    </row>
    <row r="93" spans="1:7" x14ac:dyDescent="0.35">
      <c r="A93" s="11" t="s">
        <v>2</v>
      </c>
      <c r="B93" s="11" t="s">
        <v>3</v>
      </c>
      <c r="C93" s="11" t="s">
        <v>4</v>
      </c>
      <c r="D93" s="11" t="s">
        <v>5</v>
      </c>
      <c r="E93" s="25" t="s">
        <v>133</v>
      </c>
      <c r="F93" s="25" t="s">
        <v>134</v>
      </c>
    </row>
    <row r="94" spans="1:7" ht="36" x14ac:dyDescent="0.35">
      <c r="A94" s="3" t="s">
        <v>93</v>
      </c>
      <c r="B94" s="4" t="s">
        <v>95</v>
      </c>
      <c r="C94" s="3" t="s">
        <v>17</v>
      </c>
      <c r="D94" s="3">
        <v>0</v>
      </c>
      <c r="E94" s="26">
        <v>32.5</v>
      </c>
      <c r="F94" s="26">
        <f>+D94*E94</f>
        <v>0</v>
      </c>
    </row>
    <row r="95" spans="1:7" ht="36" x14ac:dyDescent="0.35">
      <c r="A95" s="3" t="s">
        <v>94</v>
      </c>
      <c r="B95" s="4" t="s">
        <v>96</v>
      </c>
      <c r="C95" s="3" t="s">
        <v>17</v>
      </c>
      <c r="D95" s="3">
        <v>0</v>
      </c>
      <c r="E95" s="26">
        <v>55.5</v>
      </c>
      <c r="F95" s="26">
        <f t="shared" ref="F95:F98" si="3">+D95*E95</f>
        <v>0</v>
      </c>
    </row>
    <row r="96" spans="1:7" ht="36" x14ac:dyDescent="0.35">
      <c r="A96" s="3" t="s">
        <v>101</v>
      </c>
      <c r="B96" s="4" t="s">
        <v>97</v>
      </c>
      <c r="C96" s="3" t="s">
        <v>110</v>
      </c>
      <c r="D96" s="3">
        <v>0</v>
      </c>
      <c r="E96" s="26">
        <v>17500</v>
      </c>
      <c r="F96" s="26">
        <f t="shared" si="3"/>
        <v>0</v>
      </c>
      <c r="G96" s="35"/>
    </row>
    <row r="97" spans="1:6" ht="36" x14ac:dyDescent="0.35">
      <c r="A97" s="3" t="s">
        <v>102</v>
      </c>
      <c r="B97" s="4" t="s">
        <v>98</v>
      </c>
      <c r="C97" s="3" t="s">
        <v>110</v>
      </c>
      <c r="D97" s="3">
        <v>0</v>
      </c>
      <c r="E97" s="26">
        <v>17500</v>
      </c>
      <c r="F97" s="26">
        <f t="shared" si="3"/>
        <v>0</v>
      </c>
    </row>
    <row r="98" spans="1:6" ht="36" x14ac:dyDescent="0.35">
      <c r="A98" s="3" t="s">
        <v>103</v>
      </c>
      <c r="B98" s="4" t="s">
        <v>99</v>
      </c>
      <c r="C98" s="3" t="s">
        <v>110</v>
      </c>
      <c r="D98" s="3">
        <v>0</v>
      </c>
      <c r="E98" s="26">
        <v>8500</v>
      </c>
      <c r="F98" s="26">
        <f t="shared" si="3"/>
        <v>0</v>
      </c>
    </row>
    <row r="99" spans="1:6" ht="36" x14ac:dyDescent="0.35">
      <c r="A99" s="3" t="s">
        <v>104</v>
      </c>
      <c r="B99" s="4" t="s">
        <v>138</v>
      </c>
      <c r="C99" s="3" t="s">
        <v>110</v>
      </c>
      <c r="D99" s="3">
        <v>0</v>
      </c>
      <c r="E99" s="26">
        <v>285</v>
      </c>
      <c r="F99" s="26">
        <f>+D99*E99</f>
        <v>0</v>
      </c>
    </row>
    <row r="100" spans="1:6" ht="18.600000000000001" thickBot="1" x14ac:dyDescent="0.4">
      <c r="A100" s="14"/>
      <c r="B100" s="15" t="s">
        <v>100</v>
      </c>
      <c r="C100" s="16"/>
      <c r="D100" s="16"/>
      <c r="E100" s="31"/>
      <c r="F100" s="33">
        <f>SUM(F94:F99)</f>
        <v>0</v>
      </c>
    </row>
    <row r="102" spans="1:6" s="2" customFormat="1" ht="16.8" customHeight="1" x14ac:dyDescent="0.35">
      <c r="A102" s="13" t="s">
        <v>105</v>
      </c>
      <c r="B102" s="13" t="s">
        <v>106</v>
      </c>
      <c r="C102" s="13"/>
      <c r="D102" s="13"/>
      <c r="E102" s="24"/>
      <c r="F102" s="24"/>
    </row>
    <row r="104" spans="1:6" x14ac:dyDescent="0.35">
      <c r="A104" s="11" t="s">
        <v>2</v>
      </c>
      <c r="B104" s="11" t="s">
        <v>3</v>
      </c>
      <c r="C104" s="11" t="s">
        <v>4</v>
      </c>
      <c r="D104" s="11" t="s">
        <v>5</v>
      </c>
      <c r="E104" s="25" t="s">
        <v>133</v>
      </c>
      <c r="F104" s="25" t="s">
        <v>134</v>
      </c>
    </row>
    <row r="105" spans="1:6" ht="54" x14ac:dyDescent="0.35">
      <c r="A105" s="3" t="s">
        <v>107</v>
      </c>
      <c r="B105" s="4" t="s">
        <v>108</v>
      </c>
      <c r="C105" s="3" t="s">
        <v>17</v>
      </c>
      <c r="D105" s="3">
        <v>0</v>
      </c>
      <c r="E105" s="26">
        <v>12.5</v>
      </c>
      <c r="F105" s="26">
        <f>+D105*E105</f>
        <v>0</v>
      </c>
    </row>
    <row r="106" spans="1:6" ht="54" x14ac:dyDescent="0.35">
      <c r="A106" s="3" t="s">
        <v>128</v>
      </c>
      <c r="B106" s="4" t="s">
        <v>109</v>
      </c>
      <c r="C106" s="3" t="s">
        <v>17</v>
      </c>
      <c r="D106" s="3">
        <v>0</v>
      </c>
      <c r="E106" s="26">
        <v>5.5</v>
      </c>
      <c r="F106" s="26">
        <f t="shared" ref="F106:F108" si="4">+D106*E106</f>
        <v>0</v>
      </c>
    </row>
    <row r="107" spans="1:6" ht="55.8" x14ac:dyDescent="0.35">
      <c r="A107" s="3" t="s">
        <v>129</v>
      </c>
      <c r="B107" s="4" t="s">
        <v>142</v>
      </c>
      <c r="C107" s="3" t="s">
        <v>110</v>
      </c>
      <c r="D107" s="3">
        <v>0</v>
      </c>
      <c r="E107" s="26">
        <v>6500</v>
      </c>
      <c r="F107" s="26">
        <f t="shared" si="4"/>
        <v>0</v>
      </c>
    </row>
    <row r="108" spans="1:6" ht="54" x14ac:dyDescent="0.35">
      <c r="A108" s="3" t="s">
        <v>130</v>
      </c>
      <c r="B108" s="4" t="s">
        <v>111</v>
      </c>
      <c r="C108" s="3" t="s">
        <v>110</v>
      </c>
      <c r="D108" s="3">
        <v>0</v>
      </c>
      <c r="E108" s="26">
        <v>55.5</v>
      </c>
      <c r="F108" s="26">
        <f t="shared" si="4"/>
        <v>0</v>
      </c>
    </row>
    <row r="109" spans="1:6" ht="18.600000000000001" thickBot="1" x14ac:dyDescent="0.4">
      <c r="A109" s="14"/>
      <c r="B109" s="15" t="s">
        <v>114</v>
      </c>
      <c r="C109" s="16"/>
      <c r="D109" s="16"/>
      <c r="E109" s="31"/>
      <c r="F109" s="33">
        <f>SUM(F105:F108)</f>
        <v>0</v>
      </c>
    </row>
    <row r="111" spans="1:6" s="2" customFormat="1" ht="16.8" customHeight="1" x14ac:dyDescent="0.35">
      <c r="A111" s="13" t="s">
        <v>112</v>
      </c>
      <c r="B111" s="13" t="s">
        <v>113</v>
      </c>
      <c r="C111" s="13"/>
      <c r="D111" s="13"/>
      <c r="E111" s="24"/>
      <c r="F111" s="24"/>
    </row>
    <row r="113" spans="1:8" x14ac:dyDescent="0.35">
      <c r="A113" s="11" t="s">
        <v>2</v>
      </c>
      <c r="B113" s="11" t="s">
        <v>3</v>
      </c>
      <c r="C113" s="11" t="s">
        <v>4</v>
      </c>
      <c r="D113" s="11" t="s">
        <v>5</v>
      </c>
      <c r="E113" s="25" t="s">
        <v>133</v>
      </c>
      <c r="F113" s="25" t="s">
        <v>134</v>
      </c>
    </row>
    <row r="114" spans="1:8" ht="73.8" x14ac:dyDescent="0.35">
      <c r="A114" s="3" t="s">
        <v>131</v>
      </c>
      <c r="B114" s="4" t="s">
        <v>146</v>
      </c>
      <c r="C114" s="3" t="s">
        <v>110</v>
      </c>
      <c r="D114" s="3">
        <v>0</v>
      </c>
      <c r="E114" s="26">
        <v>2250</v>
      </c>
      <c r="F114" s="26">
        <f>+D114*E114</f>
        <v>0</v>
      </c>
      <c r="H114" s="1">
        <f>5000000/3050</f>
        <v>1639.344262295082</v>
      </c>
    </row>
    <row r="115" spans="1:8" ht="18.600000000000001" thickBot="1" x14ac:dyDescent="0.4">
      <c r="A115" s="14"/>
      <c r="B115" s="15" t="s">
        <v>117</v>
      </c>
      <c r="C115" s="16"/>
      <c r="D115" s="16"/>
      <c r="E115" s="31"/>
      <c r="F115" s="33">
        <f>SUM(F114)</f>
        <v>0</v>
      </c>
    </row>
    <row r="116" spans="1:8" x14ac:dyDescent="0.35">
      <c r="A116" s="3"/>
      <c r="B116" s="3"/>
      <c r="C116" s="3"/>
      <c r="D116" s="3"/>
      <c r="E116" s="26"/>
      <c r="F116" s="26"/>
    </row>
    <row r="117" spans="1:8" s="2" customFormat="1" ht="16.8" customHeight="1" x14ac:dyDescent="0.35">
      <c r="A117" s="13" t="s">
        <v>115</v>
      </c>
      <c r="B117" s="13" t="s">
        <v>116</v>
      </c>
      <c r="C117" s="13"/>
      <c r="D117" s="13"/>
      <c r="E117" s="24"/>
      <c r="F117" s="24"/>
    </row>
    <row r="118" spans="1:8" x14ac:dyDescent="0.35">
      <c r="A118" s="3"/>
      <c r="B118" s="3"/>
      <c r="C118" s="3"/>
      <c r="D118" s="3"/>
      <c r="E118" s="26"/>
      <c r="F118" s="26"/>
    </row>
    <row r="119" spans="1:8" x14ac:dyDescent="0.35">
      <c r="A119" s="11" t="s">
        <v>2</v>
      </c>
      <c r="B119" s="11" t="s">
        <v>3</v>
      </c>
      <c r="C119" s="11" t="s">
        <v>4</v>
      </c>
      <c r="D119" s="11" t="s">
        <v>5</v>
      </c>
      <c r="E119" s="25" t="s">
        <v>133</v>
      </c>
      <c r="F119" s="25" t="s">
        <v>134</v>
      </c>
    </row>
    <row r="120" spans="1:8" ht="19.8" x14ac:dyDescent="0.35">
      <c r="A120" s="3" t="s">
        <v>119</v>
      </c>
      <c r="B120" s="4" t="s">
        <v>118</v>
      </c>
      <c r="C120" s="3" t="s">
        <v>7</v>
      </c>
      <c r="D120" s="3">
        <v>0</v>
      </c>
      <c r="E120" s="26">
        <v>280</v>
      </c>
      <c r="F120" s="26">
        <f>+D120*E120</f>
        <v>0</v>
      </c>
    </row>
    <row r="121" spans="1:8" ht="18.600000000000001" thickBot="1" x14ac:dyDescent="0.4">
      <c r="A121" s="14"/>
      <c r="B121" s="15" t="s">
        <v>120</v>
      </c>
      <c r="C121" s="16"/>
      <c r="D121" s="16"/>
      <c r="E121" s="31"/>
      <c r="F121" s="33">
        <f>SUM(F120)</f>
        <v>0</v>
      </c>
    </row>
    <row r="122" spans="1:8" x14ac:dyDescent="0.35">
      <c r="A122" s="3"/>
      <c r="B122" s="3"/>
      <c r="C122" s="3"/>
      <c r="D122" s="3"/>
      <c r="E122" s="26"/>
      <c r="F122" s="26"/>
    </row>
    <row r="123" spans="1:8" s="2" customFormat="1" ht="16.8" customHeight="1" x14ac:dyDescent="0.35">
      <c r="A123" s="13" t="s">
        <v>121</v>
      </c>
      <c r="B123" s="13" t="s">
        <v>122</v>
      </c>
      <c r="C123" s="13"/>
      <c r="D123" s="13"/>
      <c r="E123" s="24"/>
      <c r="F123" s="24"/>
    </row>
    <row r="124" spans="1:8" x14ac:dyDescent="0.35">
      <c r="A124" s="3"/>
      <c r="B124" s="3"/>
      <c r="C124" s="3"/>
      <c r="D124" s="3"/>
      <c r="E124" s="26"/>
      <c r="F124" s="26"/>
    </row>
    <row r="125" spans="1:8" x14ac:dyDescent="0.35">
      <c r="A125" s="11" t="s">
        <v>2</v>
      </c>
      <c r="B125" s="11" t="s">
        <v>3</v>
      </c>
      <c r="C125" s="11" t="s">
        <v>4</v>
      </c>
      <c r="D125" s="11" t="s">
        <v>5</v>
      </c>
      <c r="E125" s="25" t="s">
        <v>133</v>
      </c>
      <c r="F125" s="25" t="s">
        <v>134</v>
      </c>
    </row>
    <row r="126" spans="1:8" ht="54" x14ac:dyDescent="0.35">
      <c r="A126" s="3" t="s">
        <v>123</v>
      </c>
      <c r="B126" s="4" t="s">
        <v>147</v>
      </c>
      <c r="C126" s="3" t="s">
        <v>79</v>
      </c>
      <c r="D126" s="3">
        <v>0</v>
      </c>
      <c r="E126" s="26">
        <v>37000</v>
      </c>
      <c r="F126" s="26">
        <f>+D126*E126</f>
        <v>0</v>
      </c>
      <c r="G126" s="22"/>
      <c r="H126" s="22"/>
    </row>
    <row r="127" spans="1:8" ht="18.600000000000001" thickBot="1" x14ac:dyDescent="0.4">
      <c r="A127" s="14"/>
      <c r="B127" s="15" t="s">
        <v>124</v>
      </c>
      <c r="C127" s="16"/>
      <c r="D127" s="16"/>
      <c r="E127" s="31"/>
      <c r="F127" s="33">
        <f>SUM(F126)</f>
        <v>0</v>
      </c>
    </row>
    <row r="128" spans="1:8" ht="18.600000000000001" thickBot="1" x14ac:dyDescent="0.4"/>
    <row r="129" spans="1:6" s="20" customFormat="1" ht="36.6" thickBot="1" x14ac:dyDescent="0.4">
      <c r="A129" s="17"/>
      <c r="B129" s="18" t="s">
        <v>132</v>
      </c>
      <c r="C129" s="19"/>
      <c r="D129" s="19"/>
      <c r="E129" s="30"/>
      <c r="F129" s="23">
        <f>+F127+F121+F115+F109+F100+F89+F82</f>
        <v>0</v>
      </c>
    </row>
    <row r="130" spans="1:6" ht="18.600000000000001" thickBot="1" x14ac:dyDescent="0.4"/>
    <row r="131" spans="1:6" s="20" customFormat="1" ht="18.600000000000001" thickBot="1" x14ac:dyDescent="0.4">
      <c r="A131" s="17"/>
      <c r="B131" s="21" t="s">
        <v>149</v>
      </c>
      <c r="C131" s="19"/>
      <c r="D131" s="19"/>
      <c r="E131" s="30"/>
      <c r="F131" s="34">
        <f>+F129+F71+F32</f>
        <v>0</v>
      </c>
    </row>
    <row r="133" spans="1:6" x14ac:dyDescent="0.35">
      <c r="B133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B224-E057-4DD5-8F89-07C52D58ADC6}">
  <sheetPr>
    <pageSetUpPr fitToPage="1"/>
  </sheetPr>
  <dimension ref="A4:V962"/>
  <sheetViews>
    <sheetView view="pageLayout" topLeftCell="A530" zoomScaleNormal="145" workbookViewId="0">
      <selection activeCell="B672" sqref="B672"/>
    </sheetView>
  </sheetViews>
  <sheetFormatPr baseColWidth="10" defaultColWidth="10.90625" defaultRowHeight="14.4" x14ac:dyDescent="0.3"/>
  <cols>
    <col min="1" max="1" width="8.6328125" style="47" customWidth="1"/>
    <col min="2" max="2" width="40.36328125" style="47" customWidth="1"/>
    <col min="3" max="3" width="8" style="47" customWidth="1"/>
    <col min="4" max="4" width="8.54296875" style="85" customWidth="1"/>
    <col min="5" max="5" width="9.90625" style="55" customWidth="1"/>
    <col min="6" max="6" width="25.1796875" style="47" customWidth="1"/>
    <col min="7" max="7" width="13.36328125" style="47" bestFit="1" customWidth="1"/>
    <col min="8" max="8" width="12.6328125" style="47" bestFit="1" customWidth="1"/>
    <col min="9" max="16384" width="10.90625" style="47"/>
  </cols>
  <sheetData>
    <row r="4" spans="1:22" ht="31.8" customHeight="1" x14ac:dyDescent="0.3">
      <c r="A4" s="155" t="s">
        <v>155</v>
      </c>
      <c r="B4" s="156"/>
      <c r="C4" s="156"/>
      <c r="D4" s="156"/>
      <c r="E4" s="156"/>
      <c r="F4" s="157"/>
    </row>
    <row r="5" spans="1:22" ht="13.8" customHeight="1" x14ac:dyDescent="0.3">
      <c r="A5" s="45"/>
      <c r="B5" s="57"/>
      <c r="C5" s="45"/>
      <c r="D5" s="84"/>
      <c r="E5" s="76"/>
      <c r="F5" s="45"/>
    </row>
    <row r="6" spans="1:22" x14ac:dyDescent="0.3">
      <c r="B6" s="58" t="s">
        <v>1279</v>
      </c>
      <c r="C6" s="73" t="s">
        <v>1274</v>
      </c>
      <c r="D6" s="92"/>
      <c r="E6" s="93"/>
      <c r="F6" s="73"/>
    </row>
    <row r="7" spans="1:22" x14ac:dyDescent="0.3">
      <c r="C7" s="73" t="s">
        <v>1275</v>
      </c>
      <c r="D7" s="92"/>
      <c r="E7" s="93"/>
      <c r="F7" s="73"/>
    </row>
    <row r="8" spans="1:22" s="58" customFormat="1" ht="16.8" customHeight="1" x14ac:dyDescent="0.3">
      <c r="A8" s="69">
        <v>0</v>
      </c>
      <c r="B8" s="59" t="s">
        <v>294</v>
      </c>
      <c r="C8" s="59"/>
      <c r="D8" s="86"/>
      <c r="E8" s="77"/>
      <c r="F8" s="59"/>
    </row>
    <row r="9" spans="1:22" ht="43.2" x14ac:dyDescent="0.3">
      <c r="A9" s="60" t="s">
        <v>2</v>
      </c>
      <c r="B9" s="60" t="s">
        <v>3</v>
      </c>
      <c r="C9" s="60" t="s">
        <v>4</v>
      </c>
      <c r="D9" s="41" t="s">
        <v>152</v>
      </c>
      <c r="E9" s="78" t="s">
        <v>153</v>
      </c>
      <c r="F9" s="42" t="s">
        <v>154</v>
      </c>
    </row>
    <row r="10" spans="1:22" s="58" customFormat="1" ht="16.8" customHeight="1" x14ac:dyDescent="0.3">
      <c r="A10" s="70" t="s">
        <v>156</v>
      </c>
      <c r="B10" s="70" t="s">
        <v>195</v>
      </c>
      <c r="C10" s="52"/>
      <c r="D10" s="87"/>
      <c r="E10" s="49"/>
      <c r="F10" s="52"/>
    </row>
    <row r="11" spans="1:22" s="48" customFormat="1" x14ac:dyDescent="0.3">
      <c r="A11" s="149" t="s">
        <v>407</v>
      </c>
      <c r="B11" s="50" t="s">
        <v>157</v>
      </c>
      <c r="C11" s="51" t="s">
        <v>79</v>
      </c>
      <c r="D11" s="51" t="s">
        <v>158</v>
      </c>
      <c r="E11" s="79">
        <v>0</v>
      </c>
      <c r="F11" s="62" t="str">
        <f>IF(E11&lt;&gt;" ",([1]!convnumberletter(E11)&amp; "Euros"),1)</f>
        <v xml:space="preserve"> Euros</v>
      </c>
      <c r="I11" s="63"/>
      <c r="J11" s="75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44"/>
      <c r="V11" s="44"/>
    </row>
    <row r="12" spans="1:22" s="48" customFormat="1" x14ac:dyDescent="0.3">
      <c r="A12" s="149" t="s">
        <v>408</v>
      </c>
      <c r="B12" s="50" t="s">
        <v>160</v>
      </c>
      <c r="C12" s="51" t="s">
        <v>79</v>
      </c>
      <c r="D12" s="51" t="s">
        <v>158</v>
      </c>
      <c r="E12" s="79">
        <v>0</v>
      </c>
      <c r="F12" s="62" t="str">
        <f>IF(E12&lt;&gt;" ",([1]!convnumberletter(E12)&amp; "Euros"),1)</f>
        <v xml:space="preserve"> Euros</v>
      </c>
      <c r="I12" s="63"/>
      <c r="J12" s="75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44"/>
      <c r="V12" s="44"/>
    </row>
    <row r="13" spans="1:22" s="48" customFormat="1" x14ac:dyDescent="0.3">
      <c r="A13" s="50"/>
      <c r="B13" s="50"/>
      <c r="C13" s="51"/>
      <c r="D13" s="51"/>
      <c r="E13" s="79"/>
      <c r="F13" s="62"/>
      <c r="I13" s="63"/>
      <c r="J13" s="75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44"/>
      <c r="V13" s="44"/>
    </row>
    <row r="14" spans="1:22" s="58" customFormat="1" ht="16.8" customHeight="1" x14ac:dyDescent="0.3">
      <c r="A14" s="70" t="s">
        <v>159</v>
      </c>
      <c r="B14" s="70" t="s">
        <v>1280</v>
      </c>
      <c r="C14" s="52"/>
      <c r="D14" s="87"/>
      <c r="E14" s="49"/>
      <c r="F14" s="62" t="str">
        <f>IF(E14&lt;&gt;" ",([1]!convnumberletter(E14)&amp; "Euros")," ")</f>
        <v xml:space="preserve"> Euros</v>
      </c>
    </row>
    <row r="15" spans="1:22" s="48" customFormat="1" ht="16.2" x14ac:dyDescent="0.3">
      <c r="A15" s="149" t="s">
        <v>409</v>
      </c>
      <c r="B15" s="50" t="s">
        <v>165</v>
      </c>
      <c r="C15" s="51" t="s">
        <v>167</v>
      </c>
      <c r="D15" s="51" t="s">
        <v>292</v>
      </c>
      <c r="E15" s="79">
        <v>0</v>
      </c>
      <c r="F15" s="62" t="str">
        <f>IF(E15&lt;&gt;" ",([1]!convnumberletter(E15)&amp; "Euros")," ")</f>
        <v xml:space="preserve"> Euros</v>
      </c>
      <c r="I15" s="63"/>
      <c r="J15" s="75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44"/>
      <c r="V15" s="44"/>
    </row>
    <row r="16" spans="1:22" s="48" customFormat="1" ht="16.2" x14ac:dyDescent="0.3">
      <c r="A16" s="149" t="s">
        <v>410</v>
      </c>
      <c r="B16" s="152" t="s">
        <v>1281</v>
      </c>
      <c r="C16" s="51" t="s">
        <v>162</v>
      </c>
      <c r="D16" s="51" t="s">
        <v>292</v>
      </c>
      <c r="E16" s="79">
        <v>0</v>
      </c>
      <c r="F16" s="62" t="str">
        <f>IF(E16&lt;&gt;" ",([1]!convnumberletter(E16)&amp; "Euros")," ")</f>
        <v xml:space="preserve"> Euros</v>
      </c>
      <c r="I16" s="63"/>
      <c r="J16" s="75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44"/>
      <c r="V16" s="44"/>
    </row>
    <row r="17" spans="1:22" s="48" customFormat="1" ht="16.2" x14ac:dyDescent="0.3">
      <c r="A17" s="149" t="s">
        <v>411</v>
      </c>
      <c r="B17" s="152" t="s">
        <v>1282</v>
      </c>
      <c r="C17" s="51" t="s">
        <v>162</v>
      </c>
      <c r="D17" s="51" t="s">
        <v>292</v>
      </c>
      <c r="E17" s="79">
        <v>0</v>
      </c>
      <c r="F17" s="62" t="str">
        <f>IF(E17&lt;&gt;" ",([1]!convnumberletter(E17)&amp; "Euros")," ")</f>
        <v xml:space="preserve"> Euros</v>
      </c>
      <c r="I17" s="63"/>
      <c r="J17" s="75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44"/>
      <c r="V17" s="44"/>
    </row>
    <row r="18" spans="1:22" s="48" customFormat="1" x14ac:dyDescent="0.3">
      <c r="A18" s="149" t="s">
        <v>412</v>
      </c>
      <c r="B18" s="152" t="s">
        <v>1283</v>
      </c>
      <c r="C18" s="51" t="s">
        <v>79</v>
      </c>
      <c r="D18" s="51" t="s">
        <v>158</v>
      </c>
      <c r="E18" s="79">
        <v>0</v>
      </c>
      <c r="F18" s="62" t="str">
        <f>IF(E18&lt;&gt;" ",([1]!convnumberletter(E18)&amp; "Euros")," ")</f>
        <v xml:space="preserve"> Euros</v>
      </c>
      <c r="I18" s="63"/>
      <c r="J18" s="75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44"/>
      <c r="V18" s="44"/>
    </row>
    <row r="19" spans="1:22" s="48" customFormat="1" x14ac:dyDescent="0.3">
      <c r="A19" s="149" t="s">
        <v>413</v>
      </c>
      <c r="B19" s="152" t="s">
        <v>1285</v>
      </c>
      <c r="C19" s="51" t="s">
        <v>164</v>
      </c>
      <c r="D19" s="51" t="s">
        <v>292</v>
      </c>
      <c r="E19" s="79">
        <v>0</v>
      </c>
      <c r="F19" s="62" t="str">
        <f>IF(E19&lt;&gt;" ",([1]!convnumberletter(E19)&amp; "Euros")," ")</f>
        <v xml:space="preserve"> Euros</v>
      </c>
      <c r="I19" s="63"/>
      <c r="J19" s="75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44"/>
      <c r="V19" s="44"/>
    </row>
    <row r="20" spans="1:22" s="48" customFormat="1" x14ac:dyDescent="0.3">
      <c r="A20" s="149" t="s">
        <v>414</v>
      </c>
      <c r="B20" s="50" t="s">
        <v>163</v>
      </c>
      <c r="C20" s="51" t="s">
        <v>79</v>
      </c>
      <c r="D20" s="51" t="s">
        <v>158</v>
      </c>
      <c r="E20" s="79">
        <v>0</v>
      </c>
      <c r="F20" s="62" t="str">
        <f>IF(E20&lt;&gt;" ",([1]!convnumberletter(E20)&amp; "Euros")," ")</f>
        <v xml:space="preserve"> Euros</v>
      </c>
      <c r="I20" s="63"/>
      <c r="J20" s="75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44"/>
      <c r="V20" s="44"/>
    </row>
    <row r="21" spans="1:22" s="48" customFormat="1" ht="16.2" x14ac:dyDescent="0.3">
      <c r="A21" s="149" t="s">
        <v>415</v>
      </c>
      <c r="B21" s="152" t="s">
        <v>1286</v>
      </c>
      <c r="C21" s="51" t="s">
        <v>167</v>
      </c>
      <c r="D21" s="51" t="s">
        <v>292</v>
      </c>
      <c r="E21" s="79">
        <v>0</v>
      </c>
      <c r="F21" s="62" t="str">
        <f>IF(E21&lt;&gt;" ",([1]!convnumberletter(E21)&amp; "Euros")," ")</f>
        <v xml:space="preserve"> Euros</v>
      </c>
      <c r="I21" s="63"/>
      <c r="J21" s="75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44"/>
      <c r="V21" s="44"/>
    </row>
    <row r="22" spans="1:22" s="48" customFormat="1" x14ac:dyDescent="0.3">
      <c r="A22" s="50"/>
      <c r="B22" s="50"/>
      <c r="C22" s="51"/>
      <c r="D22" s="51"/>
      <c r="E22" s="79"/>
      <c r="F22" s="62"/>
      <c r="I22" s="63"/>
      <c r="J22" s="75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44"/>
      <c r="V22" s="44"/>
    </row>
    <row r="23" spans="1:22" s="48" customFormat="1" x14ac:dyDescent="0.3">
      <c r="A23" s="50"/>
      <c r="B23" s="50"/>
      <c r="C23" s="51"/>
      <c r="D23" s="51"/>
      <c r="E23" s="79"/>
      <c r="F23" s="62"/>
      <c r="I23" s="63"/>
      <c r="J23" s="75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44"/>
      <c r="V23" s="44"/>
    </row>
    <row r="24" spans="1:22" s="48" customFormat="1" x14ac:dyDescent="0.3">
      <c r="A24" s="106"/>
      <c r="B24" s="106"/>
      <c r="C24" s="107"/>
      <c r="D24" s="107"/>
      <c r="E24" s="108"/>
      <c r="F24" s="109"/>
      <c r="I24" s="63"/>
      <c r="J24" s="75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44"/>
      <c r="V24" s="44"/>
    </row>
    <row r="25" spans="1:22" s="58" customFormat="1" ht="16.8" customHeight="1" x14ac:dyDescent="0.3">
      <c r="A25" s="59" t="s">
        <v>13</v>
      </c>
      <c r="B25" s="59" t="s">
        <v>23</v>
      </c>
      <c r="C25" s="59"/>
      <c r="D25" s="86"/>
      <c r="E25" s="77"/>
      <c r="F25" s="59"/>
    </row>
    <row r="26" spans="1:22" ht="43.2" x14ac:dyDescent="0.3">
      <c r="A26" s="60" t="s">
        <v>2</v>
      </c>
      <c r="B26" s="60" t="s">
        <v>3</v>
      </c>
      <c r="C26" s="60" t="s">
        <v>4</v>
      </c>
      <c r="D26" s="41" t="s">
        <v>152</v>
      </c>
      <c r="E26" s="78" t="s">
        <v>153</v>
      </c>
      <c r="F26" s="42" t="s">
        <v>154</v>
      </c>
    </row>
    <row r="27" spans="1:22" s="58" customFormat="1" ht="16.8" customHeight="1" x14ac:dyDescent="0.3">
      <c r="A27" s="70" t="s">
        <v>18</v>
      </c>
      <c r="B27" s="70" t="s">
        <v>151</v>
      </c>
      <c r="C27" s="52"/>
      <c r="D27" s="87"/>
      <c r="E27" s="49"/>
      <c r="F27" s="52"/>
    </row>
    <row r="28" spans="1:22" ht="18.600000000000001" customHeight="1" x14ac:dyDescent="0.3">
      <c r="A28" s="52" t="s">
        <v>24</v>
      </c>
      <c r="B28" s="46" t="s">
        <v>161</v>
      </c>
      <c r="C28" s="52"/>
      <c r="D28" s="87"/>
      <c r="E28" s="49"/>
      <c r="F28" s="52"/>
    </row>
    <row r="29" spans="1:22" ht="28.8" customHeight="1" x14ac:dyDescent="0.3">
      <c r="A29" s="150" t="s">
        <v>416</v>
      </c>
      <c r="B29" s="153" t="s">
        <v>1305</v>
      </c>
      <c r="C29" s="51" t="s">
        <v>181</v>
      </c>
      <c r="D29" s="87" t="s">
        <v>292</v>
      </c>
      <c r="E29" s="49">
        <v>0</v>
      </c>
      <c r="F29" s="52" t="str">
        <f>IF(E29&lt;&gt;" ",[1]!convnumberletter(E29)&amp;" Euros"," ")</f>
        <v xml:space="preserve">  Euros</v>
      </c>
    </row>
    <row r="30" spans="1:22" ht="18.600000000000001" customHeight="1" x14ac:dyDescent="0.3">
      <c r="A30" s="150" t="s">
        <v>417</v>
      </c>
      <c r="B30" s="154" t="s">
        <v>1287</v>
      </c>
      <c r="C30" s="51" t="s">
        <v>17</v>
      </c>
      <c r="D30" s="87" t="s">
        <v>292</v>
      </c>
      <c r="E30" s="49">
        <v>0</v>
      </c>
      <c r="F30" s="52" t="str">
        <f>IF(E30&lt;&gt;" ",[1]!convnumberletter(E30)&amp;" Euros"," ")</f>
        <v xml:space="preserve">  Euros</v>
      </c>
    </row>
    <row r="31" spans="1:22" ht="18.600000000000001" customHeight="1" x14ac:dyDescent="0.3">
      <c r="A31" s="150" t="s">
        <v>418</v>
      </c>
      <c r="B31" s="52" t="s">
        <v>210</v>
      </c>
      <c r="C31" s="51" t="s">
        <v>197</v>
      </c>
      <c r="D31" s="87" t="s">
        <v>292</v>
      </c>
      <c r="E31" s="49">
        <v>0</v>
      </c>
      <c r="F31" s="52" t="str">
        <f>IF(E31&lt;&gt;" ",[1]!convnumberletter(E31)&amp;" Euros"," ")</f>
        <v xml:space="preserve">  Euros</v>
      </c>
    </row>
    <row r="32" spans="1:22" ht="18.600000000000001" customHeight="1" x14ac:dyDescent="0.3">
      <c r="A32" s="150" t="s">
        <v>419</v>
      </c>
      <c r="B32" s="52" t="s">
        <v>209</v>
      </c>
      <c r="C32" s="51" t="s">
        <v>197</v>
      </c>
      <c r="D32" s="87" t="s">
        <v>292</v>
      </c>
      <c r="E32" s="49">
        <v>0</v>
      </c>
      <c r="F32" s="52" t="str">
        <f>IF(E32&lt;&gt;" ",[1]!convnumberletter(E32)&amp;" Euros"," ")</f>
        <v xml:space="preserve">  Euros</v>
      </c>
    </row>
    <row r="33" spans="1:6" ht="18.600000000000001" customHeight="1" x14ac:dyDescent="0.3">
      <c r="A33" s="150" t="s">
        <v>420</v>
      </c>
      <c r="B33" s="154" t="s">
        <v>1288</v>
      </c>
      <c r="C33" s="51" t="s">
        <v>181</v>
      </c>
      <c r="D33" s="87" t="s">
        <v>292</v>
      </c>
      <c r="E33" s="49">
        <v>0</v>
      </c>
      <c r="F33" s="52" t="str">
        <f>IF(E33&lt;&gt;" ",[1]!convnumberletter(E33)&amp;" Euros"," ")</f>
        <v xml:space="preserve">  Euros</v>
      </c>
    </row>
    <row r="34" spans="1:6" ht="18.600000000000001" customHeight="1" x14ac:dyDescent="0.3">
      <c r="A34" s="150" t="s">
        <v>421</v>
      </c>
      <c r="B34" s="154" t="s">
        <v>1289</v>
      </c>
      <c r="C34" s="51" t="s">
        <v>181</v>
      </c>
      <c r="D34" s="87" t="s">
        <v>292</v>
      </c>
      <c r="E34" s="49">
        <v>0</v>
      </c>
      <c r="F34" s="52" t="str">
        <f>IF(E34&lt;&gt;" ",[1]!convnumberletter(E34)&amp;" Euros"," ")</f>
        <v xml:space="preserve">  Euros</v>
      </c>
    </row>
    <row r="35" spans="1:6" ht="28.2" customHeight="1" x14ac:dyDescent="0.3">
      <c r="A35" s="150" t="s">
        <v>422</v>
      </c>
      <c r="B35" s="61" t="s">
        <v>198</v>
      </c>
      <c r="C35" s="51" t="s">
        <v>79</v>
      </c>
      <c r="D35" s="87" t="s">
        <v>158</v>
      </c>
      <c r="E35" s="49">
        <v>0</v>
      </c>
      <c r="F35" s="52" t="str">
        <f>IF(E35&lt;&gt;" ",[1]!convnumberletter(E35)&amp;" Euros"," ")</f>
        <v xml:space="preserve">  Euros</v>
      </c>
    </row>
    <row r="36" spans="1:6" ht="18.600000000000001" customHeight="1" x14ac:dyDescent="0.3">
      <c r="A36" s="52" t="s">
        <v>25</v>
      </c>
      <c r="B36" s="46" t="s">
        <v>208</v>
      </c>
      <c r="C36" s="51"/>
      <c r="D36" s="87"/>
      <c r="E36" s="49"/>
      <c r="F36" s="52" t="str">
        <f>IF(E36&lt;&gt;" ",[1]!convnumberletter(E36)&amp;" Euros"," ")</f>
        <v xml:space="preserve">  Euros</v>
      </c>
    </row>
    <row r="37" spans="1:6" ht="18.600000000000001" customHeight="1" x14ac:dyDescent="0.3">
      <c r="A37" s="150" t="s">
        <v>423</v>
      </c>
      <c r="B37" s="52" t="s">
        <v>211</v>
      </c>
      <c r="C37" s="51" t="s">
        <v>230</v>
      </c>
      <c r="D37" s="87" t="s">
        <v>292</v>
      </c>
      <c r="E37" s="49">
        <v>0</v>
      </c>
      <c r="F37" s="52" t="str">
        <f>IF(E37&lt;&gt;" ",[1]!convnumberletter(E37)&amp;" Euros"," ")</f>
        <v xml:space="preserve">  Euros</v>
      </c>
    </row>
    <row r="38" spans="1:6" ht="18.600000000000001" customHeight="1" x14ac:dyDescent="0.3">
      <c r="A38" s="150" t="s">
        <v>424</v>
      </c>
      <c r="B38" s="52" t="s">
        <v>212</v>
      </c>
      <c r="C38" s="51" t="s">
        <v>230</v>
      </c>
      <c r="D38" s="87" t="s">
        <v>292</v>
      </c>
      <c r="E38" s="49">
        <v>0</v>
      </c>
      <c r="F38" s="52" t="str">
        <f>IF(E38&lt;&gt;" ",[1]!convnumberletter(E38)&amp;" Euros"," ")</f>
        <v xml:space="preserve">  Euros</v>
      </c>
    </row>
    <row r="39" spans="1:6" ht="18.600000000000001" customHeight="1" x14ac:dyDescent="0.3">
      <c r="A39" s="52" t="s">
        <v>26</v>
      </c>
      <c r="B39" s="46" t="s">
        <v>1290</v>
      </c>
      <c r="C39" s="52"/>
      <c r="D39" s="87"/>
      <c r="E39" s="49"/>
      <c r="F39" s="52" t="str">
        <f>IF(E39&lt;&gt;" ",[1]!convnumberletter(E39)&amp;" Euros"," ")</f>
        <v xml:space="preserve">  Euros</v>
      </c>
    </row>
    <row r="40" spans="1:6" s="65" customFormat="1" ht="18.600000000000001" customHeight="1" x14ac:dyDescent="0.3">
      <c r="A40" s="150" t="s">
        <v>425</v>
      </c>
      <c r="B40" s="50" t="s">
        <v>213</v>
      </c>
      <c r="C40" s="51" t="s">
        <v>230</v>
      </c>
      <c r="D40" s="88" t="s">
        <v>292</v>
      </c>
      <c r="E40" s="80">
        <v>0</v>
      </c>
      <c r="F40" s="52" t="str">
        <f>IF(E40&lt;&gt;" ",[1]!convnumberletter(E40)&amp;" Euros"," ")</f>
        <v xml:space="preserve">  Euros</v>
      </c>
    </row>
    <row r="41" spans="1:6" s="65" customFormat="1" ht="18.600000000000001" customHeight="1" x14ac:dyDescent="0.3">
      <c r="A41" s="150" t="s">
        <v>426</v>
      </c>
      <c r="B41" s="50" t="s">
        <v>187</v>
      </c>
      <c r="C41" s="51" t="s">
        <v>230</v>
      </c>
      <c r="D41" s="88" t="s">
        <v>292</v>
      </c>
      <c r="E41" s="80">
        <v>0</v>
      </c>
      <c r="F41" s="52" t="str">
        <f>IF(E41&lt;&gt;" ",[1]!convnumberletter(E41)&amp;" Euros"," ")</f>
        <v xml:space="preserve">  Euros</v>
      </c>
    </row>
    <row r="42" spans="1:6" s="65" customFormat="1" ht="18.600000000000001" customHeight="1" x14ac:dyDescent="0.3">
      <c r="A42" s="150" t="s">
        <v>427</v>
      </c>
      <c r="B42" s="50" t="s">
        <v>214</v>
      </c>
      <c r="C42" s="51" t="s">
        <v>230</v>
      </c>
      <c r="D42" s="88" t="s">
        <v>292</v>
      </c>
      <c r="E42" s="80">
        <v>0</v>
      </c>
      <c r="F42" s="52" t="str">
        <f>IF(E42&lt;&gt;" ",[1]!convnumberletter(E42)&amp;" Euros"," ")</f>
        <v xml:space="preserve">  Euros</v>
      </c>
    </row>
    <row r="43" spans="1:6" s="65" customFormat="1" ht="33" customHeight="1" x14ac:dyDescent="0.3">
      <c r="A43" s="150" t="s">
        <v>428</v>
      </c>
      <c r="B43" s="50" t="s">
        <v>215</v>
      </c>
      <c r="C43" s="51" t="s">
        <v>230</v>
      </c>
      <c r="D43" s="88" t="s">
        <v>292</v>
      </c>
      <c r="E43" s="80">
        <v>0</v>
      </c>
      <c r="F43" s="52" t="str">
        <f>IF(E43&lt;&gt;" ",[1]!convnumberletter(E43)&amp;" Euros"," ")</f>
        <v xml:space="preserve">  Euros</v>
      </c>
    </row>
    <row r="44" spans="1:6" ht="18.600000000000001" customHeight="1" x14ac:dyDescent="0.3">
      <c r="A44" s="52" t="s">
        <v>27</v>
      </c>
      <c r="B44" s="46" t="s">
        <v>169</v>
      </c>
      <c r="C44" s="52"/>
      <c r="D44" s="87"/>
      <c r="E44" s="49"/>
      <c r="F44" s="52" t="str">
        <f>IF(E44&lt;&gt;" ",[1]!convnumberletter(E44)&amp;" Euros"," ")</f>
        <v xml:space="preserve">  Euros</v>
      </c>
    </row>
    <row r="45" spans="1:6" ht="18.600000000000001" customHeight="1" x14ac:dyDescent="0.3">
      <c r="A45" s="150" t="s">
        <v>429</v>
      </c>
      <c r="B45" s="50" t="s">
        <v>216</v>
      </c>
      <c r="C45" s="51" t="s">
        <v>230</v>
      </c>
      <c r="D45" s="87" t="s">
        <v>292</v>
      </c>
      <c r="E45" s="79">
        <v>0</v>
      </c>
      <c r="F45" s="52" t="str">
        <f>IF(E45&lt;&gt;" ",[1]!convnumberletter(E45)&amp;" Euros"," ")</f>
        <v xml:space="preserve">  Euros</v>
      </c>
    </row>
    <row r="46" spans="1:6" ht="18.600000000000001" customHeight="1" x14ac:dyDescent="0.3">
      <c r="A46" s="150" t="s">
        <v>430</v>
      </c>
      <c r="B46" s="50" t="s">
        <v>217</v>
      </c>
      <c r="C46" s="51" t="s">
        <v>230</v>
      </c>
      <c r="D46" s="87" t="s">
        <v>292</v>
      </c>
      <c r="E46" s="79">
        <v>0</v>
      </c>
      <c r="F46" s="52" t="str">
        <f>IF(E46&lt;&gt;" ",[1]!convnumberletter(E46)&amp;" Euros"," ")</f>
        <v xml:space="preserve">  Euros</v>
      </c>
    </row>
    <row r="47" spans="1:6" ht="18.600000000000001" customHeight="1" x14ac:dyDescent="0.3">
      <c r="A47" s="150" t="s">
        <v>431</v>
      </c>
      <c r="B47" s="50" t="s">
        <v>218</v>
      </c>
      <c r="C47" s="51" t="s">
        <v>230</v>
      </c>
      <c r="D47" s="87" t="s">
        <v>292</v>
      </c>
      <c r="E47" s="79">
        <v>0</v>
      </c>
      <c r="F47" s="52" t="str">
        <f>IF(E47&lt;&gt;" ",[1]!convnumberletter(E47)&amp;" Euros"," ")</f>
        <v xml:space="preserve">  Euros</v>
      </c>
    </row>
    <row r="48" spans="1:6" ht="18.600000000000001" customHeight="1" x14ac:dyDescent="0.3">
      <c r="A48" s="150" t="s">
        <v>432</v>
      </c>
      <c r="B48" s="50" t="s">
        <v>219</v>
      </c>
      <c r="C48" s="51" t="s">
        <v>230</v>
      </c>
      <c r="D48" s="87" t="s">
        <v>292</v>
      </c>
      <c r="E48" s="79">
        <v>0</v>
      </c>
      <c r="F48" s="52" t="str">
        <f>IF(E48&lt;&gt;" ",[1]!convnumberletter(E48)&amp;" Euros"," ")</f>
        <v xml:space="preserve">  Euros</v>
      </c>
    </row>
    <row r="49" spans="1:6" ht="18.600000000000001" customHeight="1" x14ac:dyDescent="0.3">
      <c r="A49" s="150" t="s">
        <v>433</v>
      </c>
      <c r="B49" s="50" t="s">
        <v>220</v>
      </c>
      <c r="C49" s="51" t="s">
        <v>230</v>
      </c>
      <c r="D49" s="87" t="s">
        <v>292</v>
      </c>
      <c r="E49" s="79">
        <v>0</v>
      </c>
      <c r="F49" s="52" t="str">
        <f>IF(E49&lt;&gt;" ",[1]!convnumberletter(E49)&amp;" Euros"," ")</f>
        <v xml:space="preserve">  Euros</v>
      </c>
    </row>
    <row r="50" spans="1:6" ht="18.600000000000001" customHeight="1" x14ac:dyDescent="0.3">
      <c r="A50" s="150" t="s">
        <v>434</v>
      </c>
      <c r="B50" s="50" t="s">
        <v>221</v>
      </c>
      <c r="C50" s="51" t="s">
        <v>230</v>
      </c>
      <c r="D50" s="87" t="s">
        <v>292</v>
      </c>
      <c r="E50" s="79">
        <v>0</v>
      </c>
      <c r="F50" s="52" t="str">
        <f>IF(E50&lt;&gt;" ",[1]!convnumberletter(E50)&amp;" Euros"," ")</f>
        <v xml:space="preserve">  Euros</v>
      </c>
    </row>
    <row r="51" spans="1:6" ht="18.600000000000001" customHeight="1" x14ac:dyDescent="0.3">
      <c r="A51" s="150" t="s">
        <v>435</v>
      </c>
      <c r="B51" s="50" t="s">
        <v>222</v>
      </c>
      <c r="C51" s="51" t="s">
        <v>230</v>
      </c>
      <c r="D51" s="87" t="s">
        <v>292</v>
      </c>
      <c r="E51" s="79">
        <v>0</v>
      </c>
      <c r="F51" s="52" t="str">
        <f>IF(E51&lt;&gt;" ",[1]!convnumberletter(E51)&amp;" Euros"," ")</f>
        <v xml:space="preserve">  Euros</v>
      </c>
    </row>
    <row r="52" spans="1:6" ht="18.600000000000001" customHeight="1" x14ac:dyDescent="0.3">
      <c r="A52" s="52" t="s">
        <v>28</v>
      </c>
      <c r="B52" s="46" t="s">
        <v>170</v>
      </c>
      <c r="C52" s="52"/>
      <c r="D52" s="87"/>
      <c r="E52" s="49"/>
      <c r="F52" s="52" t="str">
        <f>IF(E52&lt;&gt;" ",[1]!convnumberletter(E52)&amp;" Euros"," ")</f>
        <v xml:space="preserve">  Euros</v>
      </c>
    </row>
    <row r="53" spans="1:6" ht="18.600000000000001" customHeight="1" x14ac:dyDescent="0.3">
      <c r="A53" s="150" t="s">
        <v>436</v>
      </c>
      <c r="B53" s="152" t="s">
        <v>1291</v>
      </c>
      <c r="C53" s="51" t="s">
        <v>230</v>
      </c>
      <c r="D53" s="87" t="s">
        <v>292</v>
      </c>
      <c r="E53" s="79">
        <v>0</v>
      </c>
      <c r="F53" s="52" t="str">
        <f>IF(E53&lt;&gt;" ",[1]!convnumberletter(E53)&amp;" Euros"," ")</f>
        <v xml:space="preserve">  Euros</v>
      </c>
    </row>
    <row r="54" spans="1:6" ht="18.600000000000001" customHeight="1" x14ac:dyDescent="0.3">
      <c r="A54" s="150" t="s">
        <v>437</v>
      </c>
      <c r="B54" s="50" t="s">
        <v>224</v>
      </c>
      <c r="C54" s="51" t="s">
        <v>230</v>
      </c>
      <c r="D54" s="87" t="s">
        <v>292</v>
      </c>
      <c r="E54" s="79">
        <v>0</v>
      </c>
      <c r="F54" s="52" t="str">
        <f>IF(E54&lt;&gt;" ",[1]!convnumberletter(E54)&amp;" Euros"," ")</f>
        <v xml:space="preserve">  Euros</v>
      </c>
    </row>
    <row r="55" spans="1:6" ht="18.600000000000001" customHeight="1" x14ac:dyDescent="0.3">
      <c r="A55" s="150" t="s">
        <v>438</v>
      </c>
      <c r="B55" s="50" t="s">
        <v>178</v>
      </c>
      <c r="C55" s="51" t="s">
        <v>230</v>
      </c>
      <c r="D55" s="87" t="s">
        <v>292</v>
      </c>
      <c r="E55" s="79">
        <v>0</v>
      </c>
      <c r="F55" s="52" t="str">
        <f>IF(E55&lt;&gt;" ",[1]!convnumberletter(E55)&amp;" Euros"," ")</f>
        <v xml:space="preserve">  Euros</v>
      </c>
    </row>
    <row r="56" spans="1:6" ht="18.600000000000001" customHeight="1" x14ac:dyDescent="0.3">
      <c r="A56" s="52" t="s">
        <v>29</v>
      </c>
      <c r="B56" s="46" t="s">
        <v>1292</v>
      </c>
      <c r="C56" s="52"/>
      <c r="D56" s="87"/>
      <c r="E56" s="49"/>
      <c r="F56" s="52" t="str">
        <f>IF(E56&lt;&gt;" ",[1]!convnumberletter(E56)&amp;" Euros"," ")</f>
        <v xml:space="preserve">  Euros</v>
      </c>
    </row>
    <row r="57" spans="1:6" ht="31.5" customHeight="1" x14ac:dyDescent="0.3">
      <c r="A57" s="150" t="s">
        <v>439</v>
      </c>
      <c r="B57" s="50" t="s">
        <v>229</v>
      </c>
      <c r="C57" s="51" t="s">
        <v>181</v>
      </c>
      <c r="D57" s="87" t="s">
        <v>292</v>
      </c>
      <c r="E57" s="79">
        <v>0</v>
      </c>
      <c r="F57" s="52" t="str">
        <f>IF(E57&lt;&gt;" ",[1]!convnumberletter(E57)&amp;" Euros"," ")</f>
        <v xml:space="preserve">  Euros</v>
      </c>
    </row>
    <row r="58" spans="1:6" ht="25.5" customHeight="1" x14ac:dyDescent="0.3">
      <c r="A58" s="150" t="s">
        <v>440</v>
      </c>
      <c r="B58" s="50" t="s">
        <v>368</v>
      </c>
      <c r="C58" s="51" t="s">
        <v>181</v>
      </c>
      <c r="D58" s="87" t="s">
        <v>292</v>
      </c>
      <c r="E58" s="79">
        <v>0</v>
      </c>
      <c r="F58" s="52" t="str">
        <f>IF(E58&lt;&gt;" ",[1]!convnumberletter(E58)&amp;" Euros"," ")</f>
        <v xml:space="preserve">  Euros</v>
      </c>
    </row>
    <row r="59" spans="1:6" ht="18.600000000000001" customHeight="1" x14ac:dyDescent="0.3">
      <c r="A59" s="150" t="s">
        <v>441</v>
      </c>
      <c r="B59" s="50" t="s">
        <v>366</v>
      </c>
      <c r="C59" s="51" t="s">
        <v>181</v>
      </c>
      <c r="D59" s="87" t="s">
        <v>292</v>
      </c>
      <c r="E59" s="79">
        <v>0</v>
      </c>
      <c r="F59" s="52" t="str">
        <f>IF(E59&lt;&gt;" ",[1]!convnumberletter(E59)&amp;" Euros"," ")</f>
        <v xml:space="preserve">  Euros</v>
      </c>
    </row>
    <row r="60" spans="1:6" ht="18.600000000000001" customHeight="1" x14ac:dyDescent="0.3">
      <c r="A60" s="150" t="s">
        <v>442</v>
      </c>
      <c r="B60" s="50" t="s">
        <v>225</v>
      </c>
      <c r="C60" s="51" t="s">
        <v>181</v>
      </c>
      <c r="D60" s="87" t="s">
        <v>292</v>
      </c>
      <c r="E60" s="79">
        <v>0</v>
      </c>
      <c r="F60" s="52" t="str">
        <f>IF(E60&lt;&gt;" ",[1]!convnumberletter(E60)&amp;" Euros"," ")</f>
        <v xml:space="preserve">  Euros</v>
      </c>
    </row>
    <row r="61" spans="1:6" ht="18.600000000000001" customHeight="1" x14ac:dyDescent="0.3">
      <c r="A61" s="150" t="s">
        <v>443</v>
      </c>
      <c r="B61" s="50" t="s">
        <v>226</v>
      </c>
      <c r="C61" s="51" t="s">
        <v>181</v>
      </c>
      <c r="D61" s="87" t="s">
        <v>292</v>
      </c>
      <c r="E61" s="79">
        <v>0</v>
      </c>
      <c r="F61" s="52" t="str">
        <f>IF(E61&lt;&gt;" ",[1]!convnumberletter(E61)&amp;" Euros"," ")</f>
        <v xml:space="preserve">  Euros</v>
      </c>
    </row>
    <row r="62" spans="1:6" ht="18.600000000000001" customHeight="1" x14ac:dyDescent="0.3">
      <c r="A62" s="150" t="s">
        <v>444</v>
      </c>
      <c r="B62" s="152" t="s">
        <v>1293</v>
      </c>
      <c r="C62" s="51" t="s">
        <v>181</v>
      </c>
      <c r="D62" s="87" t="s">
        <v>292</v>
      </c>
      <c r="E62" s="79">
        <v>0</v>
      </c>
      <c r="F62" s="52" t="str">
        <f>IF(E62&lt;&gt;" ",[1]!convnumberletter(E62)&amp;" Euros"," ")</f>
        <v xml:space="preserve">  Euros</v>
      </c>
    </row>
    <row r="63" spans="1:6" ht="18.600000000000001" customHeight="1" x14ac:dyDescent="0.3">
      <c r="A63" s="150" t="s">
        <v>445</v>
      </c>
      <c r="B63" s="152" t="s">
        <v>228</v>
      </c>
      <c r="C63" s="51" t="s">
        <v>181</v>
      </c>
      <c r="D63" s="87" t="s">
        <v>292</v>
      </c>
      <c r="E63" s="79">
        <v>0</v>
      </c>
      <c r="F63" s="52" t="str">
        <f>IF(E63&lt;&gt;" ",[1]!convnumberletter(E63)&amp;" Euros"," ")</f>
        <v xml:space="preserve">  Euros</v>
      </c>
    </row>
    <row r="64" spans="1:6" ht="18.600000000000001" customHeight="1" x14ac:dyDescent="0.3">
      <c r="A64" s="52" t="s">
        <v>30</v>
      </c>
      <c r="B64" s="46" t="s">
        <v>172</v>
      </c>
      <c r="C64" s="52"/>
      <c r="D64" s="87"/>
      <c r="E64" s="49"/>
      <c r="F64" s="52" t="str">
        <f>IF(E64&lt;&gt;" ",[1]!convnumberletter(E64)&amp;" Euros"," ")</f>
        <v xml:space="preserve">  Euros</v>
      </c>
    </row>
    <row r="65" spans="1:6" ht="18.600000000000001" customHeight="1" x14ac:dyDescent="0.3">
      <c r="A65" s="150" t="s">
        <v>446</v>
      </c>
      <c r="B65" s="50" t="s">
        <v>231</v>
      </c>
      <c r="C65" s="51" t="s">
        <v>181</v>
      </c>
      <c r="D65" s="87" t="s">
        <v>292</v>
      </c>
      <c r="E65" s="79">
        <v>0</v>
      </c>
      <c r="F65" s="52" t="str">
        <f>IF(E65&lt;&gt;" ",[1]!convnumberletter(E65)&amp;" Euros"," ")</f>
        <v xml:space="preserve">  Euros</v>
      </c>
    </row>
    <row r="66" spans="1:6" ht="18.600000000000001" customHeight="1" x14ac:dyDescent="0.3">
      <c r="A66" s="150" t="s">
        <v>447</v>
      </c>
      <c r="B66" s="50" t="s">
        <v>232</v>
      </c>
      <c r="C66" s="51" t="s">
        <v>181</v>
      </c>
      <c r="D66" s="87" t="s">
        <v>292</v>
      </c>
      <c r="E66" s="79">
        <v>0</v>
      </c>
      <c r="F66" s="52" t="str">
        <f>IF(E66&lt;&gt;" ",[1]!convnumberletter(E66)&amp;" Euros"," ")</f>
        <v xml:space="preserve">  Euros</v>
      </c>
    </row>
    <row r="67" spans="1:6" ht="28.2" customHeight="1" x14ac:dyDescent="0.3">
      <c r="A67" s="150" t="s">
        <v>448</v>
      </c>
      <c r="B67" s="50" t="s">
        <v>233</v>
      </c>
      <c r="C67" s="51" t="s">
        <v>181</v>
      </c>
      <c r="D67" s="87" t="s">
        <v>292</v>
      </c>
      <c r="E67" s="79">
        <v>0</v>
      </c>
      <c r="F67" s="52" t="str">
        <f>IF(E67&lt;&gt;" ",[1]!convnumberletter(E67)&amp;" Euros"," ")</f>
        <v xml:space="preserve">  Euros</v>
      </c>
    </row>
    <row r="68" spans="1:6" ht="18.600000000000001" customHeight="1" x14ac:dyDescent="0.3">
      <c r="A68" s="150" t="s">
        <v>449</v>
      </c>
      <c r="B68" s="50" t="s">
        <v>234</v>
      </c>
      <c r="C68" s="51" t="s">
        <v>181</v>
      </c>
      <c r="D68" s="87" t="s">
        <v>292</v>
      </c>
      <c r="E68" s="79">
        <v>0</v>
      </c>
      <c r="F68" s="52" t="str">
        <f>IF(E68&lt;&gt;" ",[1]!convnumberletter(E68)&amp;" Euros"," ")</f>
        <v xml:space="preserve">  Euros</v>
      </c>
    </row>
    <row r="69" spans="1:6" ht="18.600000000000001" customHeight="1" x14ac:dyDescent="0.3">
      <c r="A69" s="52" t="s">
        <v>450</v>
      </c>
      <c r="B69" s="46" t="s">
        <v>173</v>
      </c>
      <c r="C69" s="52"/>
      <c r="D69" s="87"/>
      <c r="E69" s="49"/>
      <c r="F69" s="52" t="str">
        <f>IF(E69&lt;&gt;" ",[1]!convnumberletter(E69)&amp;" Euros"," ")</f>
        <v xml:space="preserve">  Euros</v>
      </c>
    </row>
    <row r="70" spans="1:6" ht="18.600000000000001" customHeight="1" x14ac:dyDescent="0.3">
      <c r="A70" s="150" t="s">
        <v>451</v>
      </c>
      <c r="B70" s="152" t="s">
        <v>1295</v>
      </c>
      <c r="C70" s="51" t="s">
        <v>181</v>
      </c>
      <c r="D70" s="87" t="s">
        <v>292</v>
      </c>
      <c r="E70" s="79">
        <v>0</v>
      </c>
      <c r="F70" s="52" t="str">
        <f>IF(E70&lt;&gt;" ",[1]!convnumberletter(E70)&amp;" Euros"," ")</f>
        <v xml:space="preserve">  Euros</v>
      </c>
    </row>
    <row r="71" spans="1:6" ht="18.600000000000001" customHeight="1" x14ac:dyDescent="0.3">
      <c r="A71" s="150" t="s">
        <v>452</v>
      </c>
      <c r="B71" s="152" t="s">
        <v>1296</v>
      </c>
      <c r="C71" s="51" t="s">
        <v>181</v>
      </c>
      <c r="D71" s="87" t="s">
        <v>292</v>
      </c>
      <c r="E71" s="79">
        <v>0</v>
      </c>
      <c r="F71" s="52" t="str">
        <f>IF(E71&lt;&gt;" ",[1]!convnumberletter(E71)&amp;" Euros"," ")</f>
        <v xml:space="preserve">  Euros</v>
      </c>
    </row>
    <row r="72" spans="1:6" ht="18.600000000000001" customHeight="1" x14ac:dyDescent="0.3">
      <c r="A72" s="150" t="s">
        <v>453</v>
      </c>
      <c r="B72" s="152" t="s">
        <v>1297</v>
      </c>
      <c r="C72" s="51" t="s">
        <v>181</v>
      </c>
      <c r="D72" s="87" t="s">
        <v>292</v>
      </c>
      <c r="E72" s="79">
        <v>0</v>
      </c>
      <c r="F72" s="52" t="str">
        <f>IF(E72&lt;&gt;" ",[1]!convnumberletter(E72)&amp;" Euros"," ")</f>
        <v xml:space="preserve">  Euros</v>
      </c>
    </row>
    <row r="73" spans="1:6" ht="18.600000000000001" customHeight="1" x14ac:dyDescent="0.3">
      <c r="A73" s="150" t="s">
        <v>454</v>
      </c>
      <c r="B73" s="152" t="s">
        <v>1298</v>
      </c>
      <c r="C73" s="51" t="s">
        <v>181</v>
      </c>
      <c r="D73" s="87" t="s">
        <v>292</v>
      </c>
      <c r="E73" s="79">
        <v>0</v>
      </c>
      <c r="F73" s="52" t="str">
        <f>IF(E73&lt;&gt;" ",[1]!convnumberletter(E73)&amp;" Euros"," ")</f>
        <v xml:space="preserve">  Euros</v>
      </c>
    </row>
    <row r="74" spans="1:6" ht="18.600000000000001" customHeight="1" x14ac:dyDescent="0.3">
      <c r="A74" s="150" t="s">
        <v>455</v>
      </c>
      <c r="B74" s="50" t="s">
        <v>238</v>
      </c>
      <c r="C74" s="51" t="s">
        <v>181</v>
      </c>
      <c r="D74" s="87" t="s">
        <v>292</v>
      </c>
      <c r="E74" s="79">
        <v>0</v>
      </c>
      <c r="F74" s="52" t="str">
        <f>IF(E74&lt;&gt;" ",[1]!convnumberletter(E74)&amp;" Euros"," ")</f>
        <v xml:space="preserve">  Euros</v>
      </c>
    </row>
    <row r="75" spans="1:6" ht="18.600000000000001" customHeight="1" x14ac:dyDescent="0.3">
      <c r="A75" s="150" t="s">
        <v>456</v>
      </c>
      <c r="B75" s="50" t="s">
        <v>179</v>
      </c>
      <c r="C75" s="51" t="s">
        <v>181</v>
      </c>
      <c r="D75" s="87" t="s">
        <v>292</v>
      </c>
      <c r="E75" s="79">
        <v>0</v>
      </c>
      <c r="F75" s="52" t="str">
        <f>IF(E75&lt;&gt;" ",[1]!convnumberletter(E75)&amp;" Euros"," ")</f>
        <v xml:space="preserve">  Euros</v>
      </c>
    </row>
    <row r="76" spans="1:6" ht="18.600000000000001" customHeight="1" x14ac:dyDescent="0.3">
      <c r="A76" s="150" t="s">
        <v>457</v>
      </c>
      <c r="B76" s="50" t="s">
        <v>239</v>
      </c>
      <c r="C76" s="51" t="s">
        <v>181</v>
      </c>
      <c r="D76" s="87" t="s">
        <v>292</v>
      </c>
      <c r="E76" s="79">
        <v>0</v>
      </c>
      <c r="F76" s="52" t="str">
        <f>IF(E76&lt;&gt;" ",[1]!convnumberletter(E76)&amp;" Euros"," ")</f>
        <v xml:space="preserve">  Euros</v>
      </c>
    </row>
    <row r="77" spans="1:6" ht="18.600000000000001" customHeight="1" x14ac:dyDescent="0.3">
      <c r="A77" s="52" t="s">
        <v>458</v>
      </c>
      <c r="B77" s="46" t="s">
        <v>1299</v>
      </c>
      <c r="C77" s="52"/>
      <c r="D77" s="87"/>
      <c r="E77" s="49"/>
      <c r="F77" s="52" t="str">
        <f>IF(E77&lt;&gt;" ",[1]!convnumberletter(E77)&amp;" Euros"," ")</f>
        <v xml:space="preserve">  Euros</v>
      </c>
    </row>
    <row r="78" spans="1:6" ht="18.600000000000001" customHeight="1" x14ac:dyDescent="0.3">
      <c r="A78" s="150" t="s">
        <v>459</v>
      </c>
      <c r="B78" s="50" t="s">
        <v>367</v>
      </c>
      <c r="C78" s="51" t="s">
        <v>181</v>
      </c>
      <c r="D78" s="87" t="s">
        <v>292</v>
      </c>
      <c r="E78" s="79">
        <v>0</v>
      </c>
      <c r="F78" s="52" t="str">
        <f>IF(E78&lt;&gt;" ",[1]!convnumberletter(E78)&amp;" Euros"," ")</f>
        <v xml:space="preserve">  Euros</v>
      </c>
    </row>
    <row r="79" spans="1:6" ht="18.600000000000001" customHeight="1" x14ac:dyDescent="0.3">
      <c r="A79" s="150" t="s">
        <v>460</v>
      </c>
      <c r="B79" s="50" t="s">
        <v>240</v>
      </c>
      <c r="C79" s="51" t="s">
        <v>181</v>
      </c>
      <c r="D79" s="87" t="s">
        <v>292</v>
      </c>
      <c r="E79" s="79">
        <v>0</v>
      </c>
      <c r="F79" s="52" t="str">
        <f>IF(E79&lt;&gt;" ",[1]!convnumberletter(E79)&amp;" Euros"," ")</f>
        <v xml:space="preserve">  Euros</v>
      </c>
    </row>
    <row r="80" spans="1:6" ht="18.600000000000001" customHeight="1" x14ac:dyDescent="0.3">
      <c r="A80" s="150" t="s">
        <v>461</v>
      </c>
      <c r="B80" s="50" t="s">
        <v>241</v>
      </c>
      <c r="C80" s="51" t="s">
        <v>181</v>
      </c>
      <c r="D80" s="87" t="s">
        <v>292</v>
      </c>
      <c r="E80" s="79">
        <v>0</v>
      </c>
      <c r="F80" s="52" t="str">
        <f>IF(E80&lt;&gt;" ",[1]!convnumberletter(E80)&amp;" Euros"," ")</f>
        <v xml:space="preserve">  Euros</v>
      </c>
    </row>
    <row r="81" spans="1:6" ht="18.600000000000001" customHeight="1" x14ac:dyDescent="0.3">
      <c r="A81" s="150" t="s">
        <v>462</v>
      </c>
      <c r="B81" s="50" t="s">
        <v>242</v>
      </c>
      <c r="C81" s="51" t="s">
        <v>181</v>
      </c>
      <c r="D81" s="87" t="s">
        <v>292</v>
      </c>
      <c r="E81" s="79">
        <v>0</v>
      </c>
      <c r="F81" s="52" t="str">
        <f>IF(E81&lt;&gt;" ",[1]!convnumberletter(E81)&amp;" Euros"," ")</f>
        <v xml:space="preserve">  Euros</v>
      </c>
    </row>
    <row r="82" spans="1:6" ht="18.600000000000001" customHeight="1" x14ac:dyDescent="0.3">
      <c r="A82" s="150" t="s">
        <v>463</v>
      </c>
      <c r="B82" s="50" t="s">
        <v>243</v>
      </c>
      <c r="C82" s="51" t="s">
        <v>181</v>
      </c>
      <c r="D82" s="87" t="s">
        <v>292</v>
      </c>
      <c r="E82" s="79">
        <v>0</v>
      </c>
      <c r="F82" s="52" t="str">
        <f>IF(E82&lt;&gt;" ",[1]!convnumberletter(E82)&amp;" Euros"," ")</f>
        <v xml:space="preserve">  Euros</v>
      </c>
    </row>
    <row r="83" spans="1:6" ht="18.600000000000001" customHeight="1" x14ac:dyDescent="0.3">
      <c r="A83" s="150" t="s">
        <v>464</v>
      </c>
      <c r="B83" s="50" t="s">
        <v>244</v>
      </c>
      <c r="C83" s="51" t="s">
        <v>181</v>
      </c>
      <c r="D83" s="87" t="s">
        <v>292</v>
      </c>
      <c r="E83" s="79">
        <v>0</v>
      </c>
      <c r="F83" s="52" t="str">
        <f>IF(E83&lt;&gt;" ",[1]!convnumberletter(E83)&amp;" Euros"," ")</f>
        <v xml:space="preserve">  Euros</v>
      </c>
    </row>
    <row r="84" spans="1:6" ht="18.600000000000001" customHeight="1" x14ac:dyDescent="0.3">
      <c r="A84" s="150" t="s">
        <v>465</v>
      </c>
      <c r="B84" s="152" t="s">
        <v>1300</v>
      </c>
      <c r="C84" s="51" t="s">
        <v>181</v>
      </c>
      <c r="D84" s="87" t="s">
        <v>292</v>
      </c>
      <c r="E84" s="79">
        <v>0</v>
      </c>
      <c r="F84" s="52" t="str">
        <f>IF(E84&lt;&gt;" ",[1]!convnumberletter(E84)&amp;" Euros"," ")</f>
        <v xml:space="preserve">  Euros</v>
      </c>
    </row>
    <row r="85" spans="1:6" ht="18.600000000000001" customHeight="1" x14ac:dyDescent="0.3">
      <c r="A85" s="150" t="s">
        <v>466</v>
      </c>
      <c r="B85" s="152" t="s">
        <v>1301</v>
      </c>
      <c r="C85" s="51" t="s">
        <v>181</v>
      </c>
      <c r="D85" s="87" t="s">
        <v>292</v>
      </c>
      <c r="E85" s="79">
        <v>0</v>
      </c>
      <c r="F85" s="52" t="str">
        <f>IF(E85&lt;&gt;" ",[1]!convnumberletter(E85)&amp;" Euros"," ")</f>
        <v xml:space="preserve">  Euros</v>
      </c>
    </row>
    <row r="86" spans="1:6" ht="18.600000000000001" customHeight="1" x14ac:dyDescent="0.3">
      <c r="A86" s="150" t="s">
        <v>467</v>
      </c>
      <c r="B86" s="152" t="s">
        <v>1302</v>
      </c>
      <c r="C86" s="51" t="s">
        <v>181</v>
      </c>
      <c r="D86" s="87" t="s">
        <v>292</v>
      </c>
      <c r="E86" s="79">
        <v>0</v>
      </c>
      <c r="F86" s="52" t="str">
        <f>IF(E86&lt;&gt;" ",[1]!convnumberletter(E86)&amp;" Euros"," ")</f>
        <v xml:space="preserve">  Euros</v>
      </c>
    </row>
    <row r="87" spans="1:6" ht="18.600000000000001" customHeight="1" x14ac:dyDescent="0.3">
      <c r="A87" s="150" t="s">
        <v>468</v>
      </c>
      <c r="B87" s="152" t="s">
        <v>1303</v>
      </c>
      <c r="C87" s="51" t="s">
        <v>181</v>
      </c>
      <c r="D87" s="87" t="s">
        <v>292</v>
      </c>
      <c r="E87" s="79">
        <v>0</v>
      </c>
      <c r="F87" s="52" t="str">
        <f>IF(E87&lt;&gt;" ",[1]!convnumberletter(E87)&amp;" Euros"," ")</f>
        <v xml:space="preserve">  Euros</v>
      </c>
    </row>
    <row r="88" spans="1:6" ht="18.600000000000001" customHeight="1" x14ac:dyDescent="0.3">
      <c r="A88" s="52" t="s">
        <v>469</v>
      </c>
      <c r="B88" s="46" t="s">
        <v>175</v>
      </c>
      <c r="C88" s="52"/>
      <c r="D88" s="87"/>
      <c r="E88" s="49"/>
      <c r="F88" s="52" t="str">
        <f>IF(E88&lt;&gt;" ",[1]!convnumberletter(E88)&amp;" Euros"," ")</f>
        <v xml:space="preserve">  Euros</v>
      </c>
    </row>
    <row r="89" spans="1:6" ht="18.600000000000001" customHeight="1" x14ac:dyDescent="0.3">
      <c r="A89" s="150" t="s">
        <v>470</v>
      </c>
      <c r="B89" s="50" t="s">
        <v>180</v>
      </c>
      <c r="C89" s="51" t="s">
        <v>181</v>
      </c>
      <c r="D89" s="87" t="s">
        <v>292</v>
      </c>
      <c r="E89" s="49">
        <v>0</v>
      </c>
      <c r="F89" s="52" t="str">
        <f>IF(E89&lt;&gt;" ",[1]!convnumberletter(E89)&amp;" Euros"," ")</f>
        <v xml:space="preserve">  Euros</v>
      </c>
    </row>
    <row r="90" spans="1:6" ht="18.600000000000001" customHeight="1" x14ac:dyDescent="0.3">
      <c r="A90" s="52" t="s">
        <v>471</v>
      </c>
      <c r="B90" s="46" t="s">
        <v>176</v>
      </c>
      <c r="C90" s="52"/>
      <c r="D90" s="87"/>
      <c r="E90" s="49"/>
      <c r="F90" s="52" t="str">
        <f>IF(E90&lt;&gt;" ",[1]!convnumberletter(E90)&amp;" Euros"," ")</f>
        <v xml:space="preserve">  Euros</v>
      </c>
    </row>
    <row r="91" spans="1:6" ht="18.600000000000001" customHeight="1" x14ac:dyDescent="0.3">
      <c r="A91" s="150" t="s">
        <v>472</v>
      </c>
      <c r="B91" s="50" t="s">
        <v>257</v>
      </c>
      <c r="C91" s="51" t="s">
        <v>181</v>
      </c>
      <c r="D91" s="87" t="s">
        <v>292</v>
      </c>
      <c r="E91" s="49">
        <v>0</v>
      </c>
      <c r="F91" s="52" t="str">
        <f>IF(E91&lt;&gt;" ",[1]!convnumberletter(E91)&amp;" Euros"," ")</f>
        <v xml:space="preserve">  Euros</v>
      </c>
    </row>
    <row r="92" spans="1:6" ht="18.600000000000001" customHeight="1" x14ac:dyDescent="0.3">
      <c r="A92" s="150" t="s">
        <v>473</v>
      </c>
      <c r="B92" s="50" t="s">
        <v>253</v>
      </c>
      <c r="C92" s="51" t="s">
        <v>17</v>
      </c>
      <c r="D92" s="87" t="s">
        <v>292</v>
      </c>
      <c r="E92" s="49">
        <v>0</v>
      </c>
      <c r="F92" s="52" t="str">
        <f>IF(E92&lt;&gt;" ",[1]!convnumberletter(E92)&amp;" Euros"," ")</f>
        <v xml:space="preserve">  Euros</v>
      </c>
    </row>
    <row r="93" spans="1:6" ht="18.600000000000001" customHeight="1" x14ac:dyDescent="0.3">
      <c r="A93" s="150" t="s">
        <v>474</v>
      </c>
      <c r="B93" s="50" t="s">
        <v>252</v>
      </c>
      <c r="C93" s="51" t="s">
        <v>17</v>
      </c>
      <c r="D93" s="87" t="s">
        <v>292</v>
      </c>
      <c r="E93" s="49">
        <v>0</v>
      </c>
      <c r="F93" s="52" t="str">
        <f>IF(E93&lt;&gt;" ",[1]!convnumberletter(E93)&amp;" Euros"," ")</f>
        <v xml:space="preserve">  Euros</v>
      </c>
    </row>
    <row r="94" spans="1:6" ht="18.600000000000001" customHeight="1" x14ac:dyDescent="0.3">
      <c r="A94" s="150" t="s">
        <v>475</v>
      </c>
      <c r="B94" s="50" t="s">
        <v>254</v>
      </c>
      <c r="C94" s="51" t="s">
        <v>17</v>
      </c>
      <c r="D94" s="87" t="s">
        <v>292</v>
      </c>
      <c r="E94" s="49">
        <v>0</v>
      </c>
      <c r="F94" s="52" t="str">
        <f>IF(E94&lt;&gt;" ",[1]!convnumberletter(E94)&amp;" Euros"," ")</f>
        <v xml:space="preserve">  Euros</v>
      </c>
    </row>
    <row r="95" spans="1:6" ht="18.600000000000001" customHeight="1" x14ac:dyDescent="0.3">
      <c r="A95" s="150" t="s">
        <v>476</v>
      </c>
      <c r="B95" s="50" t="s">
        <v>255</v>
      </c>
      <c r="C95" s="51" t="s">
        <v>17</v>
      </c>
      <c r="D95" s="87" t="s">
        <v>292</v>
      </c>
      <c r="E95" s="49">
        <v>0</v>
      </c>
      <c r="F95" s="52" t="str">
        <f>IF(E95&lt;&gt;" ",[1]!convnumberletter(E95)&amp;" Euros"," ")</f>
        <v xml:space="preserve">  Euros</v>
      </c>
    </row>
    <row r="96" spans="1:6" ht="28.8" customHeight="1" x14ac:dyDescent="0.3">
      <c r="A96" s="150" t="s">
        <v>477</v>
      </c>
      <c r="B96" s="50" t="s">
        <v>251</v>
      </c>
      <c r="C96" s="51" t="s">
        <v>17</v>
      </c>
      <c r="D96" s="87" t="s">
        <v>292</v>
      </c>
      <c r="E96" s="49">
        <v>0</v>
      </c>
      <c r="F96" s="52" t="str">
        <f>IF(E96&lt;&gt;" ",[1]!convnumberletter(E96)&amp;" Euros"," ")</f>
        <v xml:space="preserve">  Euros</v>
      </c>
    </row>
    <row r="97" spans="1:6" x14ac:dyDescent="0.3">
      <c r="A97" s="150" t="s">
        <v>478</v>
      </c>
      <c r="B97" s="50" t="s">
        <v>256</v>
      </c>
      <c r="C97" s="51" t="s">
        <v>181</v>
      </c>
      <c r="D97" s="87" t="s">
        <v>292</v>
      </c>
      <c r="E97" s="49">
        <v>0</v>
      </c>
      <c r="F97" s="52" t="str">
        <f>IF(E97&lt;&gt;" ",[1]!convnumberletter(E97)&amp;" Euros"," ")</f>
        <v xml:space="preserve">  Euros</v>
      </c>
    </row>
    <row r="98" spans="1:6" x14ac:dyDescent="0.3">
      <c r="A98" s="150" t="s">
        <v>479</v>
      </c>
      <c r="B98" s="50" t="s">
        <v>258</v>
      </c>
      <c r="C98" s="51" t="s">
        <v>17</v>
      </c>
      <c r="D98" s="87" t="s">
        <v>292</v>
      </c>
      <c r="E98" s="49">
        <v>0</v>
      </c>
      <c r="F98" s="52" t="str">
        <f>IF(E98&lt;&gt;" ",[1]!convnumberletter(E98)&amp;" Euros"," ")</f>
        <v xml:space="preserve">  Euros</v>
      </c>
    </row>
    <row r="99" spans="1:6" ht="18.600000000000001" customHeight="1" x14ac:dyDescent="0.3">
      <c r="A99" s="150" t="s">
        <v>480</v>
      </c>
      <c r="B99" s="50" t="s">
        <v>193</v>
      </c>
      <c r="C99" s="51" t="s">
        <v>181</v>
      </c>
      <c r="D99" s="87" t="s">
        <v>292</v>
      </c>
      <c r="E99" s="49">
        <v>0</v>
      </c>
      <c r="F99" s="52" t="str">
        <f>IF(E99&lt;&gt;" ",[1]!convnumberletter(E99)&amp;" Euros"," ")</f>
        <v xml:space="preserve">  Euros</v>
      </c>
    </row>
    <row r="100" spans="1:6" x14ac:dyDescent="0.3">
      <c r="A100" s="150" t="s">
        <v>481</v>
      </c>
      <c r="B100" s="50" t="s">
        <v>192</v>
      </c>
      <c r="C100" s="51" t="s">
        <v>181</v>
      </c>
      <c r="D100" s="87" t="s">
        <v>292</v>
      </c>
      <c r="E100" s="49">
        <v>0</v>
      </c>
      <c r="F100" s="52" t="str">
        <f>IF(E100&lt;&gt;" ",[1]!convnumberletter(E100)&amp;" Euros"," ")</f>
        <v xml:space="preserve">  Euros</v>
      </c>
    </row>
    <row r="101" spans="1:6" ht="28.8" x14ac:dyDescent="0.3">
      <c r="A101" s="150" t="s">
        <v>482</v>
      </c>
      <c r="B101" s="50" t="s">
        <v>260</v>
      </c>
      <c r="C101" s="51" t="s">
        <v>181</v>
      </c>
      <c r="D101" s="87" t="s">
        <v>292</v>
      </c>
      <c r="E101" s="49">
        <v>0</v>
      </c>
      <c r="F101" s="52" t="str">
        <f>IF(E101&lt;&gt;" ",[1]!convnumberletter(E101)&amp;" Euros"," ")</f>
        <v xml:space="preserve">  Euros</v>
      </c>
    </row>
    <row r="102" spans="1:6" ht="18.600000000000001" customHeight="1" x14ac:dyDescent="0.3">
      <c r="A102" s="52" t="s">
        <v>483</v>
      </c>
      <c r="B102" s="46" t="s">
        <v>177</v>
      </c>
      <c r="C102" s="52"/>
      <c r="D102" s="87"/>
      <c r="E102" s="49"/>
      <c r="F102" s="52" t="str">
        <f>IF(E102&lt;&gt;" ",[1]!convnumberletter(E102)&amp;" Euros"," ")</f>
        <v xml:space="preserve">  Euros</v>
      </c>
    </row>
    <row r="103" spans="1:6" ht="18.600000000000001" customHeight="1" x14ac:dyDescent="0.3">
      <c r="A103" s="150" t="s">
        <v>484</v>
      </c>
      <c r="B103" s="50" t="s">
        <v>182</v>
      </c>
      <c r="C103" s="51" t="s">
        <v>181</v>
      </c>
      <c r="D103" s="87" t="s">
        <v>292</v>
      </c>
      <c r="E103" s="49">
        <v>0</v>
      </c>
      <c r="F103" s="52" t="str">
        <f>IF(E103&lt;&gt;" ",[1]!convnumberletter(E103)&amp;" Euros"," ")</f>
        <v xml:space="preserve">  Euros</v>
      </c>
    </row>
    <row r="104" spans="1:6" x14ac:dyDescent="0.3">
      <c r="A104" s="150" t="s">
        <v>485</v>
      </c>
      <c r="B104" s="50" t="s">
        <v>1273</v>
      </c>
      <c r="C104" s="51" t="s">
        <v>181</v>
      </c>
      <c r="D104" s="87" t="s">
        <v>292</v>
      </c>
      <c r="E104" s="49">
        <v>0</v>
      </c>
      <c r="F104" s="52" t="str">
        <f>IF(E104&lt;&gt;" ",[1]!convnumberletter(E104)&amp;" Euros"," ")</f>
        <v xml:space="preserve">  Euros</v>
      </c>
    </row>
    <row r="105" spans="1:6" x14ac:dyDescent="0.3">
      <c r="A105" s="150" t="s">
        <v>486</v>
      </c>
      <c r="B105" s="50" t="s">
        <v>183</v>
      </c>
      <c r="C105" s="51" t="s">
        <v>181</v>
      </c>
      <c r="D105" s="87" t="s">
        <v>292</v>
      </c>
      <c r="E105" s="49">
        <v>0</v>
      </c>
      <c r="F105" s="52" t="str">
        <f>IF(E105&lt;&gt;" ",[1]!convnumberletter(E105)&amp;" Euros"," ")</f>
        <v xml:space="preserve">  Euros</v>
      </c>
    </row>
    <row r="106" spans="1:6" ht="26.4" customHeight="1" x14ac:dyDescent="0.3">
      <c r="A106" s="150" t="s">
        <v>487</v>
      </c>
      <c r="B106" s="50" t="s">
        <v>184</v>
      </c>
      <c r="C106" s="51" t="s">
        <v>181</v>
      </c>
      <c r="D106" s="87" t="s">
        <v>292</v>
      </c>
      <c r="E106" s="49">
        <v>0</v>
      </c>
      <c r="F106" s="52" t="str">
        <f>IF(E106&lt;&gt;" ",[1]!convnumberletter(E106)&amp;" Euros"," ")</f>
        <v xml:space="preserve">  Euros</v>
      </c>
    </row>
    <row r="107" spans="1:6" ht="26.4" customHeight="1" x14ac:dyDescent="0.3">
      <c r="A107" s="150" t="s">
        <v>488</v>
      </c>
      <c r="B107" s="50" t="s">
        <v>185</v>
      </c>
      <c r="C107" s="51" t="s">
        <v>181</v>
      </c>
      <c r="D107" s="87" t="s">
        <v>292</v>
      </c>
      <c r="E107" s="49">
        <v>0</v>
      </c>
      <c r="F107" s="52" t="str">
        <f>IF(E107&lt;&gt;" ",[1]!convnumberletter(E107)&amp;" Euros"," ")</f>
        <v xml:space="preserve">  Euros</v>
      </c>
    </row>
    <row r="108" spans="1:6" ht="19.8" customHeight="1" x14ac:dyDescent="0.3">
      <c r="A108" s="52"/>
      <c r="B108" s="50"/>
      <c r="C108" s="51"/>
      <c r="D108" s="87"/>
      <c r="E108" s="49"/>
      <c r="F108" s="52"/>
    </row>
    <row r="109" spans="1:6" s="58" customFormat="1" ht="16.8" customHeight="1" x14ac:dyDescent="0.3">
      <c r="A109" s="70" t="s">
        <v>19</v>
      </c>
      <c r="B109" s="70" t="s">
        <v>1304</v>
      </c>
      <c r="C109" s="52"/>
      <c r="D109" s="87"/>
      <c r="E109" s="49"/>
      <c r="F109" s="52" t="str">
        <f>IF(E109&lt;&gt;" ",[1]!convnumberletter(E109)&amp;" Euros"," ")</f>
        <v xml:space="preserve">  Euros</v>
      </c>
    </row>
    <row r="110" spans="1:6" ht="18.600000000000001" customHeight="1" x14ac:dyDescent="0.3">
      <c r="A110" s="52" t="s">
        <v>32</v>
      </c>
      <c r="B110" s="46" t="s">
        <v>161</v>
      </c>
      <c r="C110" s="52"/>
      <c r="D110" s="87"/>
      <c r="E110" s="49"/>
      <c r="F110" s="52" t="str">
        <f>IF(E110&lt;&gt;" ",[1]!convnumberletter(E110)&amp;" Euros"," ")</f>
        <v xml:space="preserve">  Euros</v>
      </c>
    </row>
    <row r="111" spans="1:6" ht="28.8" customHeight="1" x14ac:dyDescent="0.3">
      <c r="A111" s="150" t="s">
        <v>489</v>
      </c>
      <c r="B111" s="153" t="s">
        <v>1305</v>
      </c>
      <c r="C111" s="51" t="s">
        <v>181</v>
      </c>
      <c r="D111" s="87" t="s">
        <v>292</v>
      </c>
      <c r="E111" s="49">
        <v>0</v>
      </c>
      <c r="F111" s="52" t="str">
        <f>IF(E111&lt;&gt;" ",[1]!convnumberletter(E111)&amp;" Euros"," ")</f>
        <v xml:space="preserve">  Euros</v>
      </c>
    </row>
    <row r="112" spans="1:6" ht="18.600000000000001" customHeight="1" x14ac:dyDescent="0.3">
      <c r="A112" s="150" t="s">
        <v>490</v>
      </c>
      <c r="B112" s="154" t="s">
        <v>1287</v>
      </c>
      <c r="C112" s="51" t="s">
        <v>17</v>
      </c>
      <c r="D112" s="87" t="s">
        <v>292</v>
      </c>
      <c r="E112" s="49">
        <v>0</v>
      </c>
      <c r="F112" s="52" t="str">
        <f>IF(E112&lt;&gt;" ",[1]!convnumberletter(E112)&amp;" Euros"," ")</f>
        <v xml:space="preserve">  Euros</v>
      </c>
    </row>
    <row r="113" spans="1:6" ht="18.600000000000001" customHeight="1" x14ac:dyDescent="0.3">
      <c r="A113" s="150" t="s">
        <v>491</v>
      </c>
      <c r="B113" s="52" t="s">
        <v>210</v>
      </c>
      <c r="C113" s="51" t="s">
        <v>197</v>
      </c>
      <c r="D113" s="87" t="s">
        <v>292</v>
      </c>
      <c r="E113" s="49">
        <v>0</v>
      </c>
      <c r="F113" s="52" t="str">
        <f>IF(E113&lt;&gt;" ",[1]!convnumberletter(E113)&amp;" Euros"," ")</f>
        <v xml:space="preserve">  Euros</v>
      </c>
    </row>
    <row r="114" spans="1:6" ht="18.600000000000001" customHeight="1" x14ac:dyDescent="0.3">
      <c r="A114" s="150" t="s">
        <v>492</v>
      </c>
      <c r="B114" s="52" t="s">
        <v>209</v>
      </c>
      <c r="C114" s="51" t="s">
        <v>197</v>
      </c>
      <c r="D114" s="87" t="s">
        <v>292</v>
      </c>
      <c r="E114" s="49">
        <v>0</v>
      </c>
      <c r="F114" s="52" t="str">
        <f>IF(E114&lt;&gt;" ",[1]!convnumberletter(E114)&amp;" Euros"," ")</f>
        <v xml:space="preserve">  Euros</v>
      </c>
    </row>
    <row r="115" spans="1:6" ht="18.600000000000001" customHeight="1" x14ac:dyDescent="0.3">
      <c r="A115" s="150" t="s">
        <v>493</v>
      </c>
      <c r="B115" s="52" t="s">
        <v>199</v>
      </c>
      <c r="C115" s="51" t="s">
        <v>181</v>
      </c>
      <c r="D115" s="87" t="s">
        <v>292</v>
      </c>
      <c r="E115" s="49">
        <v>0</v>
      </c>
      <c r="F115" s="52" t="str">
        <f>IF(E115&lt;&gt;" ",[1]!convnumberletter(E115)&amp;" Euros"," ")</f>
        <v xml:space="preserve">  Euros</v>
      </c>
    </row>
    <row r="116" spans="1:6" ht="18.600000000000001" customHeight="1" x14ac:dyDescent="0.3">
      <c r="A116" s="150" t="s">
        <v>494</v>
      </c>
      <c r="B116" s="52" t="s">
        <v>293</v>
      </c>
      <c r="C116" s="51" t="s">
        <v>181</v>
      </c>
      <c r="D116" s="87" t="s">
        <v>292</v>
      </c>
      <c r="E116" s="49">
        <v>0</v>
      </c>
      <c r="F116" s="52" t="str">
        <f>IF(E116&lt;&gt;" ",[1]!convnumberletter(E116)&amp;" Euros"," ")</f>
        <v xml:space="preserve">  Euros</v>
      </c>
    </row>
    <row r="117" spans="1:6" ht="28.2" customHeight="1" x14ac:dyDescent="0.3">
      <c r="A117" s="150" t="s">
        <v>495</v>
      </c>
      <c r="B117" s="61" t="s">
        <v>198</v>
      </c>
      <c r="C117" s="51" t="s">
        <v>79</v>
      </c>
      <c r="D117" s="87" t="s">
        <v>158</v>
      </c>
      <c r="E117" s="49">
        <v>0</v>
      </c>
      <c r="F117" s="52" t="str">
        <f>IF(E117&lt;&gt;" ",[1]!convnumberletter(E117)&amp;" Euros"," ")</f>
        <v xml:space="preserve">  Euros</v>
      </c>
    </row>
    <row r="118" spans="1:6" ht="18.600000000000001" customHeight="1" x14ac:dyDescent="0.3">
      <c r="A118" s="52" t="s">
        <v>33</v>
      </c>
      <c r="B118" s="46" t="s">
        <v>208</v>
      </c>
      <c r="C118" s="51"/>
      <c r="D118" s="87"/>
      <c r="E118" s="49"/>
      <c r="F118" s="52" t="str">
        <f>IF(E118&lt;&gt;" ",[1]!convnumberletter(E118)&amp;" Euros"," ")</f>
        <v xml:space="preserve">  Euros</v>
      </c>
    </row>
    <row r="119" spans="1:6" ht="18.600000000000001" customHeight="1" x14ac:dyDescent="0.3">
      <c r="A119" s="150" t="s">
        <v>496</v>
      </c>
      <c r="B119" s="52" t="s">
        <v>211</v>
      </c>
      <c r="C119" s="51" t="s">
        <v>230</v>
      </c>
      <c r="D119" s="87" t="s">
        <v>292</v>
      </c>
      <c r="E119" s="49">
        <v>0</v>
      </c>
      <c r="F119" s="52" t="str">
        <f>IF(E119&lt;&gt;" ",[1]!convnumberletter(E119)&amp;" Euros"," ")</f>
        <v xml:space="preserve">  Euros</v>
      </c>
    </row>
    <row r="120" spans="1:6" ht="18.600000000000001" customHeight="1" x14ac:dyDescent="0.3">
      <c r="A120" s="150" t="s">
        <v>497</v>
      </c>
      <c r="B120" s="52" t="s">
        <v>212</v>
      </c>
      <c r="C120" s="51" t="s">
        <v>230</v>
      </c>
      <c r="D120" s="87" t="s">
        <v>292</v>
      </c>
      <c r="E120" s="49">
        <v>0</v>
      </c>
      <c r="F120" s="52" t="str">
        <f>IF(E120&lt;&gt;" ",[1]!convnumberletter(E120)&amp;" Euros"," ")</f>
        <v xml:space="preserve">  Euros</v>
      </c>
    </row>
    <row r="121" spans="1:6" ht="18.600000000000001" customHeight="1" x14ac:dyDescent="0.3">
      <c r="A121" s="52" t="s">
        <v>498</v>
      </c>
      <c r="B121" s="46" t="s">
        <v>168</v>
      </c>
      <c r="C121" s="52"/>
      <c r="D121" s="87"/>
      <c r="E121" s="49"/>
      <c r="F121" s="52" t="str">
        <f>IF(E121&lt;&gt;" ",[1]!convnumberletter(E121)&amp;" Euros"," ")</f>
        <v xml:space="preserve">  Euros</v>
      </c>
    </row>
    <row r="122" spans="1:6" s="65" customFormat="1" ht="18.600000000000001" customHeight="1" x14ac:dyDescent="0.3">
      <c r="A122" s="150" t="s">
        <v>499</v>
      </c>
      <c r="B122" s="50" t="s">
        <v>213</v>
      </c>
      <c r="C122" s="51" t="s">
        <v>230</v>
      </c>
      <c r="D122" s="88" t="s">
        <v>292</v>
      </c>
      <c r="E122" s="80">
        <v>0</v>
      </c>
      <c r="F122" s="52" t="str">
        <f>IF(E122&lt;&gt;" ",[1]!convnumberletter(E122)&amp;" Euros"," ")</f>
        <v xml:space="preserve">  Euros</v>
      </c>
    </row>
    <row r="123" spans="1:6" s="65" customFormat="1" ht="18.600000000000001" customHeight="1" x14ac:dyDescent="0.3">
      <c r="A123" s="150" t="s">
        <v>500</v>
      </c>
      <c r="B123" s="50" t="s">
        <v>187</v>
      </c>
      <c r="C123" s="51" t="s">
        <v>230</v>
      </c>
      <c r="D123" s="88" t="s">
        <v>292</v>
      </c>
      <c r="E123" s="80">
        <v>0</v>
      </c>
      <c r="F123" s="52" t="str">
        <f>IF(E123&lt;&gt;" ",[1]!convnumberletter(E123)&amp;" Euros"," ")</f>
        <v xml:space="preserve">  Euros</v>
      </c>
    </row>
    <row r="124" spans="1:6" s="65" customFormat="1" ht="18.600000000000001" customHeight="1" x14ac:dyDescent="0.3">
      <c r="A124" s="150" t="s">
        <v>501</v>
      </c>
      <c r="B124" s="50" t="s">
        <v>214</v>
      </c>
      <c r="C124" s="51" t="s">
        <v>230</v>
      </c>
      <c r="D124" s="88" t="s">
        <v>292</v>
      </c>
      <c r="E124" s="80">
        <v>0</v>
      </c>
      <c r="F124" s="52" t="str">
        <f>IF(E124&lt;&gt;" ",[1]!convnumberletter(E124)&amp;" Euros"," ")</f>
        <v xml:space="preserve">  Euros</v>
      </c>
    </row>
    <row r="125" spans="1:6" s="65" customFormat="1" ht="33" customHeight="1" x14ac:dyDescent="0.3">
      <c r="A125" s="150" t="s">
        <v>502</v>
      </c>
      <c r="B125" s="50" t="s">
        <v>215</v>
      </c>
      <c r="C125" s="51" t="s">
        <v>230</v>
      </c>
      <c r="D125" s="88" t="s">
        <v>292</v>
      </c>
      <c r="E125" s="80">
        <v>0</v>
      </c>
      <c r="F125" s="52" t="str">
        <f>IF(E125&lt;&gt;" ",[1]!convnumberletter(E125)&amp;" Euros"," ")</f>
        <v xml:space="preserve">  Euros</v>
      </c>
    </row>
    <row r="126" spans="1:6" ht="18.600000000000001" customHeight="1" x14ac:dyDescent="0.3">
      <c r="A126" s="52" t="s">
        <v>503</v>
      </c>
      <c r="B126" s="46" t="s">
        <v>169</v>
      </c>
      <c r="C126" s="52"/>
      <c r="D126" s="87"/>
      <c r="E126" s="49"/>
      <c r="F126" s="52" t="str">
        <f>IF(E126&lt;&gt;" ",[1]!convnumberletter(E126)&amp;" Euros"," ")</f>
        <v xml:space="preserve">  Euros</v>
      </c>
    </row>
    <row r="127" spans="1:6" ht="18.600000000000001" customHeight="1" x14ac:dyDescent="0.3">
      <c r="A127" s="150" t="s">
        <v>504</v>
      </c>
      <c r="B127" s="50" t="s">
        <v>216</v>
      </c>
      <c r="C127" s="51" t="s">
        <v>230</v>
      </c>
      <c r="D127" s="87" t="s">
        <v>292</v>
      </c>
      <c r="E127" s="79">
        <v>0</v>
      </c>
      <c r="F127" s="52" t="str">
        <f>IF(E127&lt;&gt;" ",[1]!convnumberletter(E127)&amp;" Euros"," ")</f>
        <v xml:space="preserve">  Euros</v>
      </c>
    </row>
    <row r="128" spans="1:6" ht="18.600000000000001" customHeight="1" x14ac:dyDescent="0.3">
      <c r="A128" s="150" t="s">
        <v>505</v>
      </c>
      <c r="B128" s="50" t="s">
        <v>217</v>
      </c>
      <c r="C128" s="51" t="s">
        <v>230</v>
      </c>
      <c r="D128" s="87" t="s">
        <v>292</v>
      </c>
      <c r="E128" s="79">
        <v>0</v>
      </c>
      <c r="F128" s="52" t="str">
        <f>IF(E128&lt;&gt;" ",[1]!convnumberletter(E128)&amp;" Euros"," ")</f>
        <v xml:space="preserve">  Euros</v>
      </c>
    </row>
    <row r="129" spans="1:6" ht="18.600000000000001" customHeight="1" x14ac:dyDescent="0.3">
      <c r="A129" s="150" t="s">
        <v>506</v>
      </c>
      <c r="B129" s="50" t="s">
        <v>218</v>
      </c>
      <c r="C129" s="51" t="s">
        <v>230</v>
      </c>
      <c r="D129" s="87" t="s">
        <v>292</v>
      </c>
      <c r="E129" s="79">
        <v>0</v>
      </c>
      <c r="F129" s="52" t="str">
        <f>IF(E129&lt;&gt;" ",[1]!convnumberletter(E129)&amp;" Euros"," ")</f>
        <v xml:space="preserve">  Euros</v>
      </c>
    </row>
    <row r="130" spans="1:6" ht="18.600000000000001" customHeight="1" x14ac:dyDescent="0.3">
      <c r="A130" s="150" t="s">
        <v>507</v>
      </c>
      <c r="B130" s="50" t="s">
        <v>219</v>
      </c>
      <c r="C130" s="51" t="s">
        <v>230</v>
      </c>
      <c r="D130" s="87" t="s">
        <v>292</v>
      </c>
      <c r="E130" s="79">
        <v>0</v>
      </c>
      <c r="F130" s="52" t="str">
        <f>IF(E130&lt;&gt;" ",[1]!convnumberletter(E130)&amp;" Euros"," ")</f>
        <v xml:space="preserve">  Euros</v>
      </c>
    </row>
    <row r="131" spans="1:6" ht="18.600000000000001" customHeight="1" x14ac:dyDescent="0.3">
      <c r="A131" s="150" t="s">
        <v>508</v>
      </c>
      <c r="B131" s="50" t="s">
        <v>220</v>
      </c>
      <c r="C131" s="51" t="s">
        <v>230</v>
      </c>
      <c r="D131" s="87" t="s">
        <v>292</v>
      </c>
      <c r="E131" s="79">
        <v>0</v>
      </c>
      <c r="F131" s="52" t="str">
        <f>IF(E131&lt;&gt;" ",[1]!convnumberletter(E131)&amp;" Euros"," ")</f>
        <v xml:space="preserve">  Euros</v>
      </c>
    </row>
    <row r="132" spans="1:6" ht="18.600000000000001" customHeight="1" x14ac:dyDescent="0.3">
      <c r="A132" s="150" t="s">
        <v>509</v>
      </c>
      <c r="B132" s="50" t="s">
        <v>221</v>
      </c>
      <c r="C132" s="51" t="s">
        <v>230</v>
      </c>
      <c r="D132" s="87" t="s">
        <v>292</v>
      </c>
      <c r="E132" s="79">
        <v>0</v>
      </c>
      <c r="F132" s="52" t="str">
        <f>IF(E132&lt;&gt;" ",[1]!convnumberletter(E132)&amp;" Euros"," ")</f>
        <v xml:space="preserve">  Euros</v>
      </c>
    </row>
    <row r="133" spans="1:6" ht="18.600000000000001" customHeight="1" x14ac:dyDescent="0.3">
      <c r="A133" s="150" t="s">
        <v>510</v>
      </c>
      <c r="B133" s="50" t="s">
        <v>222</v>
      </c>
      <c r="C133" s="51" t="s">
        <v>230</v>
      </c>
      <c r="D133" s="87" t="s">
        <v>292</v>
      </c>
      <c r="E133" s="79">
        <v>0</v>
      </c>
      <c r="F133" s="52" t="str">
        <f>IF(E133&lt;&gt;" ",[1]!convnumberletter(E133)&amp;" Euros"," ")</f>
        <v xml:space="preserve">  Euros</v>
      </c>
    </row>
    <row r="134" spans="1:6" ht="18.600000000000001" customHeight="1" x14ac:dyDescent="0.3">
      <c r="A134" s="52" t="s">
        <v>511</v>
      </c>
      <c r="B134" s="46" t="s">
        <v>170</v>
      </c>
      <c r="C134" s="52"/>
      <c r="D134" s="87"/>
      <c r="E134" s="49"/>
      <c r="F134" s="52" t="str">
        <f>IF(E134&lt;&gt;" ",[1]!convnumberletter(E134)&amp;" Euros"," ")</f>
        <v xml:space="preserve">  Euros</v>
      </c>
    </row>
    <row r="135" spans="1:6" ht="18.600000000000001" customHeight="1" x14ac:dyDescent="0.3">
      <c r="A135" s="150" t="s">
        <v>512</v>
      </c>
      <c r="B135" s="50" t="s">
        <v>223</v>
      </c>
      <c r="C135" s="51" t="s">
        <v>230</v>
      </c>
      <c r="D135" s="87" t="s">
        <v>292</v>
      </c>
      <c r="E135" s="79">
        <v>0</v>
      </c>
      <c r="F135" s="52" t="str">
        <f>IF(E135&lt;&gt;" ",[1]!convnumberletter(E135)&amp;" Euros"," ")</f>
        <v xml:space="preserve">  Euros</v>
      </c>
    </row>
    <row r="136" spans="1:6" ht="18.600000000000001" customHeight="1" x14ac:dyDescent="0.3">
      <c r="A136" s="150" t="s">
        <v>513</v>
      </c>
      <c r="B136" s="50" t="s">
        <v>224</v>
      </c>
      <c r="C136" s="51" t="s">
        <v>230</v>
      </c>
      <c r="D136" s="87" t="s">
        <v>292</v>
      </c>
      <c r="E136" s="79">
        <v>0</v>
      </c>
      <c r="F136" s="52" t="str">
        <f>IF(E136&lt;&gt;" ",[1]!convnumberletter(E136)&amp;" Euros"," ")</f>
        <v xml:space="preserve">  Euros</v>
      </c>
    </row>
    <row r="137" spans="1:6" ht="18.600000000000001" customHeight="1" x14ac:dyDescent="0.3">
      <c r="A137" s="150" t="s">
        <v>514</v>
      </c>
      <c r="B137" s="50" t="s">
        <v>178</v>
      </c>
      <c r="C137" s="51" t="s">
        <v>230</v>
      </c>
      <c r="D137" s="87" t="s">
        <v>292</v>
      </c>
      <c r="E137" s="79">
        <v>0</v>
      </c>
      <c r="F137" s="52" t="str">
        <f>IF(E137&lt;&gt;" ",[1]!convnumberletter(E137)&amp;" Euros"," ")</f>
        <v xml:space="preserve">  Euros</v>
      </c>
    </row>
    <row r="138" spans="1:6" ht="18.600000000000001" customHeight="1" x14ac:dyDescent="0.3">
      <c r="A138" s="52" t="s">
        <v>515</v>
      </c>
      <c r="B138" s="46" t="s">
        <v>171</v>
      </c>
      <c r="C138" s="52"/>
      <c r="D138" s="87"/>
      <c r="E138" s="49"/>
      <c r="F138" s="52" t="str">
        <f>IF(E138&lt;&gt;" ",[1]!convnumberletter(E138)&amp;" Euros"," ")</f>
        <v xml:space="preserve">  Euros</v>
      </c>
    </row>
    <row r="139" spans="1:6" ht="24.6" customHeight="1" x14ac:dyDescent="0.3">
      <c r="A139" s="150" t="s">
        <v>516</v>
      </c>
      <c r="B139" s="50" t="s">
        <v>229</v>
      </c>
      <c r="C139" s="51" t="s">
        <v>181</v>
      </c>
      <c r="D139" s="87" t="s">
        <v>292</v>
      </c>
      <c r="E139" s="79">
        <v>0</v>
      </c>
      <c r="F139" s="52" t="str">
        <f>IF(E139&lt;&gt;" ",[1]!convnumberletter(E139)&amp;" Euros"," ")</f>
        <v xml:space="preserve">  Euros</v>
      </c>
    </row>
    <row r="140" spans="1:6" ht="18.600000000000001" customHeight="1" x14ac:dyDescent="0.3">
      <c r="A140" s="150" t="s">
        <v>517</v>
      </c>
      <c r="B140" s="50" t="s">
        <v>225</v>
      </c>
      <c r="C140" s="51" t="s">
        <v>181</v>
      </c>
      <c r="D140" s="87" t="s">
        <v>292</v>
      </c>
      <c r="E140" s="79">
        <v>0</v>
      </c>
      <c r="F140" s="52" t="str">
        <f>IF(E140&lt;&gt;" ",[1]!convnumberletter(E140)&amp;" Euros"," ")</f>
        <v xml:space="preserve">  Euros</v>
      </c>
    </row>
    <row r="141" spans="1:6" ht="18.600000000000001" customHeight="1" x14ac:dyDescent="0.3">
      <c r="A141" s="150" t="s">
        <v>518</v>
      </c>
      <c r="B141" s="50" t="s">
        <v>226</v>
      </c>
      <c r="C141" s="51" t="s">
        <v>181</v>
      </c>
      <c r="D141" s="87" t="s">
        <v>292</v>
      </c>
      <c r="E141" s="79">
        <v>0</v>
      </c>
      <c r="F141" s="52" t="str">
        <f>IF(E141&lt;&gt;" ",[1]!convnumberletter(E141)&amp;" Euros"," ")</f>
        <v xml:space="preserve">  Euros</v>
      </c>
    </row>
    <row r="142" spans="1:6" ht="18.600000000000001" customHeight="1" x14ac:dyDescent="0.3">
      <c r="A142" s="150" t="s">
        <v>519</v>
      </c>
      <c r="B142" s="50" t="s">
        <v>227</v>
      </c>
      <c r="C142" s="51" t="s">
        <v>181</v>
      </c>
      <c r="D142" s="87" t="s">
        <v>292</v>
      </c>
      <c r="E142" s="79">
        <v>0</v>
      </c>
      <c r="F142" s="52" t="str">
        <f>IF(E142&lt;&gt;" ",[1]!convnumberletter(E142)&amp;" Euros"," ")</f>
        <v xml:space="preserve">  Euros</v>
      </c>
    </row>
    <row r="143" spans="1:6" ht="18.600000000000001" customHeight="1" x14ac:dyDescent="0.3">
      <c r="A143" s="150" t="s">
        <v>520</v>
      </c>
      <c r="B143" s="50" t="s">
        <v>228</v>
      </c>
      <c r="C143" s="51" t="s">
        <v>181</v>
      </c>
      <c r="D143" s="87" t="s">
        <v>292</v>
      </c>
      <c r="E143" s="79">
        <v>0</v>
      </c>
      <c r="F143" s="52" t="str">
        <f>IF(E143&lt;&gt;" ",[1]!convnumberletter(E143)&amp;" Euros"," ")</f>
        <v xml:space="preserve">  Euros</v>
      </c>
    </row>
    <row r="144" spans="1:6" ht="18.600000000000001" customHeight="1" x14ac:dyDescent="0.3">
      <c r="A144" s="52" t="s">
        <v>521</v>
      </c>
      <c r="B144" s="46" t="s">
        <v>172</v>
      </c>
      <c r="C144" s="52"/>
      <c r="D144" s="87"/>
      <c r="E144" s="49"/>
      <c r="F144" s="52" t="str">
        <f>IF(E144&lt;&gt;" ",[1]!convnumberletter(E144)&amp;" Euros"," ")</f>
        <v xml:space="preserve">  Euros</v>
      </c>
    </row>
    <row r="145" spans="1:6" ht="18.600000000000001" customHeight="1" x14ac:dyDescent="0.3">
      <c r="A145" s="150" t="s">
        <v>522</v>
      </c>
      <c r="B145" s="50" t="s">
        <v>231</v>
      </c>
      <c r="C145" s="51" t="s">
        <v>181</v>
      </c>
      <c r="D145" s="87" t="s">
        <v>292</v>
      </c>
      <c r="E145" s="79">
        <v>0</v>
      </c>
      <c r="F145" s="52" t="str">
        <f>IF(E145&lt;&gt;" ",[1]!convnumberletter(E145)&amp;" Euros"," ")</f>
        <v xml:space="preserve">  Euros</v>
      </c>
    </row>
    <row r="146" spans="1:6" ht="18.600000000000001" customHeight="1" x14ac:dyDescent="0.3">
      <c r="A146" s="150" t="s">
        <v>523</v>
      </c>
      <c r="B146" s="50" t="s">
        <v>232</v>
      </c>
      <c r="C146" s="51" t="s">
        <v>181</v>
      </c>
      <c r="D146" s="87" t="s">
        <v>292</v>
      </c>
      <c r="E146" s="79">
        <v>0</v>
      </c>
      <c r="F146" s="52" t="str">
        <f>IF(E146&lt;&gt;" ",[1]!convnumberletter(E146)&amp;" Euros"," ")</f>
        <v xml:space="preserve">  Euros</v>
      </c>
    </row>
    <row r="147" spans="1:6" ht="28.2" customHeight="1" x14ac:dyDescent="0.3">
      <c r="A147" s="150" t="s">
        <v>524</v>
      </c>
      <c r="B147" s="50" t="s">
        <v>369</v>
      </c>
      <c r="C147" s="51" t="s">
        <v>181</v>
      </c>
      <c r="D147" s="87" t="s">
        <v>292</v>
      </c>
      <c r="E147" s="79">
        <v>0</v>
      </c>
      <c r="F147" s="52" t="str">
        <f>IF(E147&lt;&gt;" ",[1]!convnumberletter(E147)&amp;" Euros"," ")</f>
        <v xml:space="preserve">  Euros</v>
      </c>
    </row>
    <row r="148" spans="1:6" ht="18.600000000000001" customHeight="1" x14ac:dyDescent="0.3">
      <c r="A148" s="150" t="s">
        <v>525</v>
      </c>
      <c r="B148" s="50" t="s">
        <v>234</v>
      </c>
      <c r="C148" s="51" t="s">
        <v>181</v>
      </c>
      <c r="D148" s="87" t="s">
        <v>292</v>
      </c>
      <c r="E148" s="79">
        <v>0</v>
      </c>
      <c r="F148" s="52" t="str">
        <f>IF(E148&lt;&gt;" ",[1]!convnumberletter(E148)&amp;" Euros"," ")</f>
        <v xml:space="preserve">  Euros</v>
      </c>
    </row>
    <row r="149" spans="1:6" ht="16.2" customHeight="1" x14ac:dyDescent="0.3">
      <c r="A149" s="52"/>
      <c r="B149" s="50"/>
      <c r="C149" s="51"/>
      <c r="D149" s="87"/>
      <c r="E149" s="79"/>
      <c r="F149" s="52"/>
    </row>
    <row r="150" spans="1:6" s="58" customFormat="1" ht="16.8" customHeight="1" x14ac:dyDescent="0.3">
      <c r="A150" s="70" t="s">
        <v>20</v>
      </c>
      <c r="B150" s="70" t="s">
        <v>127</v>
      </c>
      <c r="C150" s="52"/>
      <c r="D150" s="87"/>
      <c r="E150" s="49"/>
      <c r="F150" s="52"/>
    </row>
    <row r="151" spans="1:6" ht="18.600000000000001" customHeight="1" x14ac:dyDescent="0.3">
      <c r="A151" s="52" t="s">
        <v>34</v>
      </c>
      <c r="B151" s="46" t="s">
        <v>161</v>
      </c>
      <c r="C151" s="52"/>
      <c r="D151" s="87"/>
      <c r="E151" s="49"/>
      <c r="F151" s="52"/>
    </row>
    <row r="152" spans="1:6" ht="28.8" customHeight="1" x14ac:dyDescent="0.3">
      <c r="A152" s="150" t="s">
        <v>526</v>
      </c>
      <c r="B152" s="153" t="s">
        <v>1305</v>
      </c>
      <c r="C152" s="51" t="s">
        <v>181</v>
      </c>
      <c r="D152" s="87" t="s">
        <v>292</v>
      </c>
      <c r="E152" s="49">
        <v>0</v>
      </c>
      <c r="F152" s="52" t="str">
        <f>IF(E152&lt;&gt;" ",[1]!convnumberletter(E152)&amp;" Euros"," ")</f>
        <v xml:space="preserve">  Euros</v>
      </c>
    </row>
    <row r="153" spans="1:6" ht="18.600000000000001" customHeight="1" x14ac:dyDescent="0.3">
      <c r="A153" s="150" t="s">
        <v>527</v>
      </c>
      <c r="B153" s="154" t="s">
        <v>1287</v>
      </c>
      <c r="C153" s="51" t="s">
        <v>17</v>
      </c>
      <c r="D153" s="87" t="s">
        <v>292</v>
      </c>
      <c r="E153" s="49">
        <v>0</v>
      </c>
      <c r="F153" s="52" t="str">
        <f>IF(E153&lt;&gt;" ",[1]!convnumberletter(E153)&amp;" Euros"," ")</f>
        <v xml:space="preserve">  Euros</v>
      </c>
    </row>
    <row r="154" spans="1:6" ht="18.600000000000001" customHeight="1" x14ac:dyDescent="0.3">
      <c r="A154" s="150" t="s">
        <v>528</v>
      </c>
      <c r="B154" s="52" t="s">
        <v>210</v>
      </c>
      <c r="C154" s="51" t="s">
        <v>197</v>
      </c>
      <c r="D154" s="87" t="s">
        <v>292</v>
      </c>
      <c r="E154" s="49">
        <v>0</v>
      </c>
      <c r="F154" s="52" t="str">
        <f>IF(E154&lt;&gt;" ",[1]!convnumberletter(E154)&amp;" Euros"," ")</f>
        <v xml:space="preserve">  Euros</v>
      </c>
    </row>
    <row r="155" spans="1:6" ht="18.600000000000001" customHeight="1" x14ac:dyDescent="0.3">
      <c r="A155" s="150" t="s">
        <v>529</v>
      </c>
      <c r="B155" s="52" t="s">
        <v>209</v>
      </c>
      <c r="C155" s="51" t="s">
        <v>197</v>
      </c>
      <c r="D155" s="87" t="s">
        <v>292</v>
      </c>
      <c r="E155" s="49">
        <v>0</v>
      </c>
      <c r="F155" s="52" t="str">
        <f>IF(E155&lt;&gt;" ",[1]!convnumberletter(E155)&amp;" Euros"," ")</f>
        <v xml:space="preserve">  Euros</v>
      </c>
    </row>
    <row r="156" spans="1:6" ht="18.600000000000001" customHeight="1" x14ac:dyDescent="0.3">
      <c r="A156" s="150" t="s">
        <v>530</v>
      </c>
      <c r="B156" s="154" t="s">
        <v>1288</v>
      </c>
      <c r="C156" s="51" t="s">
        <v>181</v>
      </c>
      <c r="D156" s="87" t="s">
        <v>292</v>
      </c>
      <c r="E156" s="49">
        <v>0</v>
      </c>
      <c r="F156" s="52" t="str">
        <f>IF(E156&lt;&gt;" ",[1]!convnumberletter(E156)&amp;" Euros"," ")</f>
        <v xml:space="preserve">  Euros</v>
      </c>
    </row>
    <row r="157" spans="1:6" ht="18.600000000000001" customHeight="1" x14ac:dyDescent="0.3">
      <c r="A157" s="150" t="s">
        <v>531</v>
      </c>
      <c r="B157" s="52" t="s">
        <v>293</v>
      </c>
      <c r="C157" s="51" t="s">
        <v>181</v>
      </c>
      <c r="D157" s="87" t="s">
        <v>292</v>
      </c>
      <c r="E157" s="49">
        <v>0</v>
      </c>
      <c r="F157" s="52" t="str">
        <f>IF(E157&lt;&gt;" ",[1]!convnumberletter(E157)&amp;" Euros"," ")</f>
        <v xml:space="preserve">  Euros</v>
      </c>
    </row>
    <row r="158" spans="1:6" ht="28.2" customHeight="1" x14ac:dyDescent="0.3">
      <c r="A158" s="150" t="s">
        <v>532</v>
      </c>
      <c r="B158" s="61" t="s">
        <v>198</v>
      </c>
      <c r="C158" s="51" t="s">
        <v>79</v>
      </c>
      <c r="D158" s="87" t="s">
        <v>158</v>
      </c>
      <c r="E158" s="49">
        <v>0</v>
      </c>
      <c r="F158" s="52" t="str">
        <f>IF(E158&lt;&gt;" ",[1]!convnumberletter(E158)&amp;" Euros"," ")</f>
        <v xml:space="preserve">  Euros</v>
      </c>
    </row>
    <row r="159" spans="1:6" ht="18.600000000000001" customHeight="1" x14ac:dyDescent="0.3">
      <c r="A159" s="52" t="s">
        <v>35</v>
      </c>
      <c r="B159" s="46" t="s">
        <v>208</v>
      </c>
      <c r="C159" s="51"/>
      <c r="D159" s="87"/>
      <c r="E159" s="49"/>
      <c r="F159" s="52" t="str">
        <f>IF(E159&lt;&gt;" ",[1]!convnumberletter(E159)&amp;" Euros"," ")</f>
        <v xml:space="preserve">  Euros</v>
      </c>
    </row>
    <row r="160" spans="1:6" ht="18.600000000000001" customHeight="1" x14ac:dyDescent="0.3">
      <c r="A160" s="150" t="s">
        <v>533</v>
      </c>
      <c r="B160" s="52" t="s">
        <v>211</v>
      </c>
      <c r="C160" s="51" t="s">
        <v>230</v>
      </c>
      <c r="D160" s="87" t="s">
        <v>292</v>
      </c>
      <c r="E160" s="49">
        <v>0</v>
      </c>
      <c r="F160" s="52" t="str">
        <f>IF(E160&lt;&gt;" ",[1]!convnumberletter(E160)&amp;" Euros"," ")</f>
        <v xml:space="preserve">  Euros</v>
      </c>
    </row>
    <row r="161" spans="1:6" ht="18.600000000000001" customHeight="1" x14ac:dyDescent="0.3">
      <c r="A161" s="150" t="s">
        <v>534</v>
      </c>
      <c r="B161" s="52" t="s">
        <v>212</v>
      </c>
      <c r="C161" s="51" t="s">
        <v>230</v>
      </c>
      <c r="D161" s="87" t="s">
        <v>292</v>
      </c>
      <c r="E161" s="49">
        <v>0</v>
      </c>
      <c r="F161" s="52" t="str">
        <f>IF(E161&lt;&gt;" ",[1]!convnumberletter(E161)&amp;" Euros"," ")</f>
        <v xml:space="preserve">  Euros</v>
      </c>
    </row>
    <row r="162" spans="1:6" ht="18.600000000000001" customHeight="1" x14ac:dyDescent="0.3">
      <c r="A162" s="52" t="s">
        <v>535</v>
      </c>
      <c r="B162" s="46" t="s">
        <v>168</v>
      </c>
      <c r="C162" s="52"/>
      <c r="D162" s="87"/>
      <c r="E162" s="49"/>
      <c r="F162" s="52" t="str">
        <f>IF(E162&lt;&gt;" ",[1]!convnumberletter(E162)&amp;" Euros"," ")</f>
        <v xml:space="preserve">  Euros</v>
      </c>
    </row>
    <row r="163" spans="1:6" s="65" customFormat="1" ht="18.600000000000001" customHeight="1" x14ac:dyDescent="0.3">
      <c r="A163" s="150" t="s">
        <v>536</v>
      </c>
      <c r="B163" s="50" t="s">
        <v>213</v>
      </c>
      <c r="C163" s="51" t="s">
        <v>230</v>
      </c>
      <c r="D163" s="88" t="s">
        <v>292</v>
      </c>
      <c r="E163" s="80">
        <v>0</v>
      </c>
      <c r="F163" s="52" t="str">
        <f>IF(E163&lt;&gt;" ",[1]!convnumberletter(E163)&amp;" Euros"," ")</f>
        <v xml:space="preserve">  Euros</v>
      </c>
    </row>
    <row r="164" spans="1:6" s="65" customFormat="1" ht="18.600000000000001" customHeight="1" x14ac:dyDescent="0.3">
      <c r="A164" s="150" t="s">
        <v>537</v>
      </c>
      <c r="B164" s="50" t="s">
        <v>187</v>
      </c>
      <c r="C164" s="51" t="s">
        <v>230</v>
      </c>
      <c r="D164" s="88" t="s">
        <v>292</v>
      </c>
      <c r="E164" s="80">
        <v>0</v>
      </c>
      <c r="F164" s="52" t="str">
        <f>IF(E164&lt;&gt;" ",[1]!convnumberletter(E164)&amp;" Euros"," ")</f>
        <v xml:space="preserve">  Euros</v>
      </c>
    </row>
    <row r="165" spans="1:6" s="65" customFormat="1" ht="18.600000000000001" customHeight="1" x14ac:dyDescent="0.3">
      <c r="A165" s="150" t="s">
        <v>538</v>
      </c>
      <c r="B165" s="50" t="s">
        <v>214</v>
      </c>
      <c r="C165" s="51" t="s">
        <v>230</v>
      </c>
      <c r="D165" s="88" t="s">
        <v>292</v>
      </c>
      <c r="E165" s="80">
        <v>0</v>
      </c>
      <c r="F165" s="52" t="str">
        <f>IF(E165&lt;&gt;" ",[1]!convnumberletter(E165)&amp;" Euros"," ")</f>
        <v xml:space="preserve">  Euros</v>
      </c>
    </row>
    <row r="166" spans="1:6" s="65" customFormat="1" ht="33" customHeight="1" x14ac:dyDescent="0.3">
      <c r="A166" s="150" t="s">
        <v>539</v>
      </c>
      <c r="B166" s="50" t="s">
        <v>215</v>
      </c>
      <c r="C166" s="51" t="s">
        <v>230</v>
      </c>
      <c r="D166" s="88" t="s">
        <v>292</v>
      </c>
      <c r="E166" s="80">
        <v>0</v>
      </c>
      <c r="F166" s="52" t="str">
        <f>IF(E166&lt;&gt;" ",[1]!convnumberletter(E166)&amp;" Euros"," ")</f>
        <v xml:space="preserve">  Euros</v>
      </c>
    </row>
    <row r="167" spans="1:6" ht="18.600000000000001" customHeight="1" x14ac:dyDescent="0.3">
      <c r="A167" s="52" t="s">
        <v>540</v>
      </c>
      <c r="B167" s="46" t="s">
        <v>169</v>
      </c>
      <c r="C167" s="52"/>
      <c r="D167" s="87"/>
      <c r="E167" s="49"/>
      <c r="F167" s="52" t="str">
        <f>IF(E167&lt;&gt;" ",[1]!convnumberletter(E167)&amp;" Euros"," ")</f>
        <v xml:space="preserve">  Euros</v>
      </c>
    </row>
    <row r="168" spans="1:6" ht="18.600000000000001" customHeight="1" x14ac:dyDescent="0.3">
      <c r="A168" s="150" t="s">
        <v>541</v>
      </c>
      <c r="B168" s="50" t="s">
        <v>216</v>
      </c>
      <c r="C168" s="51" t="s">
        <v>230</v>
      </c>
      <c r="D168" s="87" t="s">
        <v>292</v>
      </c>
      <c r="E168" s="79">
        <v>0</v>
      </c>
      <c r="F168" s="52" t="str">
        <f>IF(E168&lt;&gt;" ",[1]!convnumberletter(E168)&amp;" Euros"," ")</f>
        <v xml:space="preserve">  Euros</v>
      </c>
    </row>
    <row r="169" spans="1:6" ht="18.600000000000001" customHeight="1" x14ac:dyDescent="0.3">
      <c r="A169" s="150" t="s">
        <v>542</v>
      </c>
      <c r="B169" s="50" t="s">
        <v>217</v>
      </c>
      <c r="C169" s="51" t="s">
        <v>230</v>
      </c>
      <c r="D169" s="87" t="s">
        <v>292</v>
      </c>
      <c r="E169" s="79">
        <v>0</v>
      </c>
      <c r="F169" s="52" t="str">
        <f>IF(E169&lt;&gt;" ",[1]!convnumberletter(E169)&amp;" Euros"," ")</f>
        <v xml:space="preserve">  Euros</v>
      </c>
    </row>
    <row r="170" spans="1:6" ht="18.600000000000001" customHeight="1" x14ac:dyDescent="0.3">
      <c r="A170" s="150" t="s">
        <v>543</v>
      </c>
      <c r="B170" s="50" t="s">
        <v>218</v>
      </c>
      <c r="C170" s="51" t="s">
        <v>230</v>
      </c>
      <c r="D170" s="87" t="s">
        <v>292</v>
      </c>
      <c r="E170" s="79">
        <v>0</v>
      </c>
      <c r="F170" s="52" t="str">
        <f>IF(E170&lt;&gt;" ",[1]!convnumberletter(E170)&amp;" Euros"," ")</f>
        <v xml:space="preserve">  Euros</v>
      </c>
    </row>
    <row r="171" spans="1:6" ht="18.600000000000001" customHeight="1" x14ac:dyDescent="0.3">
      <c r="A171" s="150" t="s">
        <v>544</v>
      </c>
      <c r="B171" s="50" t="s">
        <v>219</v>
      </c>
      <c r="C171" s="51" t="s">
        <v>230</v>
      </c>
      <c r="D171" s="87" t="s">
        <v>292</v>
      </c>
      <c r="E171" s="79">
        <v>0</v>
      </c>
      <c r="F171" s="52" t="str">
        <f>IF(E171&lt;&gt;" ",[1]!convnumberletter(E171)&amp;" Euros"," ")</f>
        <v xml:space="preserve">  Euros</v>
      </c>
    </row>
    <row r="172" spans="1:6" ht="18.600000000000001" customHeight="1" x14ac:dyDescent="0.3">
      <c r="A172" s="150" t="s">
        <v>545</v>
      </c>
      <c r="B172" s="50" t="s">
        <v>220</v>
      </c>
      <c r="C172" s="51" t="s">
        <v>230</v>
      </c>
      <c r="D172" s="87" t="s">
        <v>292</v>
      </c>
      <c r="E172" s="79">
        <v>0</v>
      </c>
      <c r="F172" s="52" t="str">
        <f>IF(E172&lt;&gt;" ",[1]!convnumberletter(E172)&amp;" Euros"," ")</f>
        <v xml:space="preserve">  Euros</v>
      </c>
    </row>
    <row r="173" spans="1:6" ht="18.600000000000001" customHeight="1" x14ac:dyDescent="0.3">
      <c r="A173" s="150" t="s">
        <v>546</v>
      </c>
      <c r="B173" s="50" t="s">
        <v>221</v>
      </c>
      <c r="C173" s="51" t="s">
        <v>230</v>
      </c>
      <c r="D173" s="87" t="s">
        <v>292</v>
      </c>
      <c r="E173" s="79">
        <v>0</v>
      </c>
      <c r="F173" s="52" t="str">
        <f>IF(E173&lt;&gt;" ",[1]!convnumberletter(E173)&amp;" Euros"," ")</f>
        <v xml:space="preserve">  Euros</v>
      </c>
    </row>
    <row r="174" spans="1:6" ht="18.600000000000001" customHeight="1" x14ac:dyDescent="0.3">
      <c r="A174" s="150" t="s">
        <v>547</v>
      </c>
      <c r="B174" s="50" t="s">
        <v>222</v>
      </c>
      <c r="C174" s="51" t="s">
        <v>230</v>
      </c>
      <c r="D174" s="87" t="s">
        <v>292</v>
      </c>
      <c r="E174" s="79">
        <v>0</v>
      </c>
      <c r="F174" s="52" t="str">
        <f>IF(E174&lt;&gt;" ",[1]!convnumberletter(E174)&amp;" Euros"," ")</f>
        <v xml:space="preserve">  Euros</v>
      </c>
    </row>
    <row r="175" spans="1:6" ht="18.600000000000001" customHeight="1" x14ac:dyDescent="0.3">
      <c r="A175" s="52" t="s">
        <v>548</v>
      </c>
      <c r="B175" s="46" t="s">
        <v>170</v>
      </c>
      <c r="C175" s="52"/>
      <c r="D175" s="87"/>
      <c r="E175" s="49"/>
      <c r="F175" s="52" t="str">
        <f>IF(E175&lt;&gt;" ",[1]!convnumberletter(E175)&amp;" Euros"," ")</f>
        <v xml:space="preserve">  Euros</v>
      </c>
    </row>
    <row r="176" spans="1:6" ht="18.600000000000001" customHeight="1" x14ac:dyDescent="0.3">
      <c r="A176" s="150" t="s">
        <v>549</v>
      </c>
      <c r="B176" s="152" t="s">
        <v>1291</v>
      </c>
      <c r="C176" s="51" t="s">
        <v>230</v>
      </c>
      <c r="D176" s="87" t="s">
        <v>292</v>
      </c>
      <c r="E176" s="79">
        <v>0</v>
      </c>
      <c r="F176" s="52" t="str">
        <f>IF(E176&lt;&gt;" ",[1]!convnumberletter(E176)&amp;" Euros"," ")</f>
        <v xml:space="preserve">  Euros</v>
      </c>
    </row>
    <row r="177" spans="1:6" ht="18.600000000000001" customHeight="1" x14ac:dyDescent="0.3">
      <c r="A177" s="150" t="s">
        <v>550</v>
      </c>
      <c r="B177" s="50" t="s">
        <v>224</v>
      </c>
      <c r="C177" s="51" t="s">
        <v>230</v>
      </c>
      <c r="D177" s="87" t="s">
        <v>292</v>
      </c>
      <c r="E177" s="79">
        <v>0</v>
      </c>
      <c r="F177" s="52" t="str">
        <f>IF(E177&lt;&gt;" ",[1]!convnumberletter(E177)&amp;" Euros"," ")</f>
        <v xml:space="preserve">  Euros</v>
      </c>
    </row>
    <row r="178" spans="1:6" ht="18.600000000000001" customHeight="1" x14ac:dyDescent="0.3">
      <c r="A178" s="150" t="s">
        <v>551</v>
      </c>
      <c r="B178" s="50" t="s">
        <v>178</v>
      </c>
      <c r="C178" s="51" t="s">
        <v>230</v>
      </c>
      <c r="D178" s="87" t="s">
        <v>292</v>
      </c>
      <c r="E178" s="79">
        <v>0</v>
      </c>
      <c r="F178" s="52" t="str">
        <f>IF(E178&lt;&gt;" ",[1]!convnumberletter(E178)&amp;" Euros"," ")</f>
        <v xml:space="preserve">  Euros</v>
      </c>
    </row>
    <row r="179" spans="1:6" ht="18.600000000000001" customHeight="1" x14ac:dyDescent="0.3">
      <c r="A179" s="52" t="s">
        <v>552</v>
      </c>
      <c r="B179" s="46" t="s">
        <v>171</v>
      </c>
      <c r="C179" s="52"/>
      <c r="D179" s="87"/>
      <c r="E179" s="49"/>
      <c r="F179" s="52" t="str">
        <f>IF(E179&lt;&gt;" ",[1]!convnumberletter(E179)&amp;" Euros"," ")</f>
        <v xml:space="preserve">  Euros</v>
      </c>
    </row>
    <row r="180" spans="1:6" ht="24.6" customHeight="1" x14ac:dyDescent="0.3">
      <c r="A180" s="150" t="s">
        <v>553</v>
      </c>
      <c r="B180" s="50" t="s">
        <v>229</v>
      </c>
      <c r="C180" s="51" t="s">
        <v>181</v>
      </c>
      <c r="D180" s="87" t="s">
        <v>292</v>
      </c>
      <c r="E180" s="79">
        <v>0</v>
      </c>
      <c r="F180" s="52" t="str">
        <f>IF(E180&lt;&gt;" ",[1]!convnumberletter(E180)&amp;" Euros"," ")</f>
        <v xml:space="preserve">  Euros</v>
      </c>
    </row>
    <row r="181" spans="1:6" ht="18.600000000000001" customHeight="1" x14ac:dyDescent="0.3">
      <c r="A181" s="150" t="s">
        <v>554</v>
      </c>
      <c r="B181" s="50" t="s">
        <v>225</v>
      </c>
      <c r="C181" s="51" t="s">
        <v>181</v>
      </c>
      <c r="D181" s="87" t="s">
        <v>292</v>
      </c>
      <c r="E181" s="79">
        <v>0</v>
      </c>
      <c r="F181" s="52" t="str">
        <f>IF(E181&lt;&gt;" ",[1]!convnumberletter(E181)&amp;" Euros"," ")</f>
        <v xml:space="preserve">  Euros</v>
      </c>
    </row>
    <row r="182" spans="1:6" ht="18.600000000000001" customHeight="1" x14ac:dyDescent="0.3">
      <c r="A182" s="150" t="s">
        <v>555</v>
      </c>
      <c r="B182" s="50" t="s">
        <v>226</v>
      </c>
      <c r="C182" s="51" t="s">
        <v>181</v>
      </c>
      <c r="D182" s="87" t="s">
        <v>292</v>
      </c>
      <c r="E182" s="79">
        <v>0</v>
      </c>
      <c r="F182" s="52" t="str">
        <f>IF(E182&lt;&gt;" ",[1]!convnumberletter(E182)&amp;" Euros"," ")</f>
        <v xml:space="preserve">  Euros</v>
      </c>
    </row>
    <row r="183" spans="1:6" ht="18.600000000000001" customHeight="1" x14ac:dyDescent="0.3">
      <c r="A183" s="150" t="s">
        <v>556</v>
      </c>
      <c r="B183" s="50" t="s">
        <v>227</v>
      </c>
      <c r="C183" s="51" t="s">
        <v>181</v>
      </c>
      <c r="D183" s="87" t="s">
        <v>292</v>
      </c>
      <c r="E183" s="79">
        <v>0</v>
      </c>
      <c r="F183" s="52" t="str">
        <f>IF(E183&lt;&gt;" ",[1]!convnumberletter(E183)&amp;" Euros"," ")</f>
        <v xml:space="preserve">  Euros</v>
      </c>
    </row>
    <row r="184" spans="1:6" ht="18.600000000000001" customHeight="1" x14ac:dyDescent="0.3">
      <c r="A184" s="150" t="s">
        <v>557</v>
      </c>
      <c r="B184" s="50" t="s">
        <v>228</v>
      </c>
      <c r="C184" s="51" t="s">
        <v>181</v>
      </c>
      <c r="D184" s="87" t="s">
        <v>292</v>
      </c>
      <c r="E184" s="79">
        <v>0</v>
      </c>
      <c r="F184" s="52" t="str">
        <f>IF(E184&lt;&gt;" ",[1]!convnumberletter(E184)&amp;" Euros"," ")</f>
        <v xml:space="preserve">  Euros</v>
      </c>
    </row>
    <row r="185" spans="1:6" ht="18.600000000000001" customHeight="1" x14ac:dyDescent="0.3">
      <c r="A185" s="52" t="s">
        <v>558</v>
      </c>
      <c r="B185" s="46" t="s">
        <v>172</v>
      </c>
      <c r="C185" s="52"/>
      <c r="D185" s="87"/>
      <c r="E185" s="49"/>
      <c r="F185" s="52" t="str">
        <f>IF(E185&lt;&gt;" ",[1]!convnumberletter(E185)&amp;" Euros"," ")</f>
        <v xml:space="preserve">  Euros</v>
      </c>
    </row>
    <row r="186" spans="1:6" ht="18.600000000000001" customHeight="1" x14ac:dyDescent="0.3">
      <c r="A186" s="150" t="s">
        <v>559</v>
      </c>
      <c r="B186" s="50" t="s">
        <v>231</v>
      </c>
      <c r="C186" s="51" t="s">
        <v>181</v>
      </c>
      <c r="D186" s="87" t="s">
        <v>292</v>
      </c>
      <c r="E186" s="79">
        <v>0</v>
      </c>
      <c r="F186" s="52" t="str">
        <f>IF(E186&lt;&gt;" ",[1]!convnumberletter(E186)&amp;" Euros"," ")</f>
        <v xml:space="preserve">  Euros</v>
      </c>
    </row>
    <row r="187" spans="1:6" ht="18.600000000000001" customHeight="1" x14ac:dyDescent="0.3">
      <c r="A187" s="150" t="s">
        <v>560</v>
      </c>
      <c r="B187" s="50" t="s">
        <v>232</v>
      </c>
      <c r="C187" s="51" t="s">
        <v>181</v>
      </c>
      <c r="D187" s="87" t="s">
        <v>292</v>
      </c>
      <c r="E187" s="79">
        <v>0</v>
      </c>
      <c r="F187" s="52" t="str">
        <f>IF(E187&lt;&gt;" ",[1]!convnumberletter(E187)&amp;" Euros"," ")</f>
        <v xml:space="preserve">  Euros</v>
      </c>
    </row>
    <row r="188" spans="1:6" ht="28.2" customHeight="1" x14ac:dyDescent="0.3">
      <c r="A188" s="150" t="s">
        <v>561</v>
      </c>
      <c r="B188" s="50" t="s">
        <v>233</v>
      </c>
      <c r="C188" s="51" t="s">
        <v>181</v>
      </c>
      <c r="D188" s="87" t="s">
        <v>292</v>
      </c>
      <c r="E188" s="79">
        <v>0</v>
      </c>
      <c r="F188" s="52" t="str">
        <f>IF(E188&lt;&gt;" ",[1]!convnumberletter(E188)&amp;" Euros"," ")</f>
        <v xml:space="preserve">  Euros</v>
      </c>
    </row>
    <row r="189" spans="1:6" ht="18.600000000000001" customHeight="1" x14ac:dyDescent="0.3">
      <c r="A189" s="150" t="s">
        <v>562</v>
      </c>
      <c r="B189" s="50" t="s">
        <v>234</v>
      </c>
      <c r="C189" s="51" t="s">
        <v>181</v>
      </c>
      <c r="D189" s="87" t="s">
        <v>292</v>
      </c>
      <c r="E189" s="79">
        <v>0</v>
      </c>
      <c r="F189" s="52" t="str">
        <f>IF(E189&lt;&gt;" ",[1]!convnumberletter(E189)&amp;" Euros"," ")</f>
        <v xml:space="preserve">  Euros</v>
      </c>
    </row>
    <row r="190" spans="1:6" ht="18.600000000000001" customHeight="1" x14ac:dyDescent="0.3">
      <c r="A190" s="52" t="s">
        <v>563</v>
      </c>
      <c r="B190" s="46" t="s">
        <v>173</v>
      </c>
      <c r="C190" s="52"/>
      <c r="D190" s="87"/>
      <c r="E190" s="49"/>
      <c r="F190" s="52" t="str">
        <f>IF(E190&lt;&gt;" ",[1]!convnumberletter(E190)&amp;" Euros"," ")</f>
        <v xml:space="preserve">  Euros</v>
      </c>
    </row>
    <row r="191" spans="1:6" ht="18.600000000000001" customHeight="1" x14ac:dyDescent="0.3">
      <c r="A191" s="150" t="s">
        <v>564</v>
      </c>
      <c r="B191" s="152" t="s">
        <v>1295</v>
      </c>
      <c r="C191" s="51" t="s">
        <v>181</v>
      </c>
      <c r="D191" s="87" t="s">
        <v>292</v>
      </c>
      <c r="E191" s="79">
        <v>0</v>
      </c>
      <c r="F191" s="52" t="str">
        <f>IF(E191&lt;&gt;" ",[1]!convnumberletter(E191)&amp;" Euros"," ")</f>
        <v xml:space="preserve">  Euros</v>
      </c>
    </row>
    <row r="192" spans="1:6" ht="18.600000000000001" customHeight="1" x14ac:dyDescent="0.3">
      <c r="A192" s="150" t="s">
        <v>565</v>
      </c>
      <c r="B192" s="152" t="s">
        <v>1296</v>
      </c>
      <c r="C192" s="51" t="s">
        <v>181</v>
      </c>
      <c r="D192" s="87" t="s">
        <v>292</v>
      </c>
      <c r="E192" s="79">
        <v>0</v>
      </c>
      <c r="F192" s="52" t="str">
        <f>IF(E192&lt;&gt;" ",[1]!convnumberletter(E192)&amp;" Euros"," ")</f>
        <v xml:space="preserve">  Euros</v>
      </c>
    </row>
    <row r="193" spans="1:6" ht="18.600000000000001" customHeight="1" x14ac:dyDescent="0.3">
      <c r="A193" s="150" t="s">
        <v>566</v>
      </c>
      <c r="B193" s="152" t="s">
        <v>1297</v>
      </c>
      <c r="C193" s="51" t="s">
        <v>181</v>
      </c>
      <c r="D193" s="87" t="s">
        <v>292</v>
      </c>
      <c r="E193" s="79">
        <v>0</v>
      </c>
      <c r="F193" s="52" t="str">
        <f>IF(E193&lt;&gt;" ",[1]!convnumberletter(E193)&amp;" Euros"," ")</f>
        <v xml:space="preserve">  Euros</v>
      </c>
    </row>
    <row r="194" spans="1:6" ht="18.600000000000001" customHeight="1" x14ac:dyDescent="0.3">
      <c r="A194" s="150" t="s">
        <v>567</v>
      </c>
      <c r="B194" s="152" t="s">
        <v>1298</v>
      </c>
      <c r="C194" s="51" t="s">
        <v>181</v>
      </c>
      <c r="D194" s="87" t="s">
        <v>292</v>
      </c>
      <c r="E194" s="79">
        <v>0</v>
      </c>
      <c r="F194" s="52" t="str">
        <f>IF(E194&lt;&gt;" ",[1]!convnumberletter(E194)&amp;" Euros"," ")</f>
        <v xml:space="preserve">  Euros</v>
      </c>
    </row>
    <row r="195" spans="1:6" ht="18.600000000000001" customHeight="1" x14ac:dyDescent="0.3">
      <c r="A195" s="150" t="s">
        <v>568</v>
      </c>
      <c r="B195" s="152" t="s">
        <v>1306</v>
      </c>
      <c r="C195" s="51" t="s">
        <v>181</v>
      </c>
      <c r="D195" s="87" t="s">
        <v>292</v>
      </c>
      <c r="E195" s="79">
        <v>0</v>
      </c>
      <c r="F195" s="52" t="str">
        <f>IF(E195&lt;&gt;" ",[1]!convnumberletter(E195)&amp;" Euros"," ")</f>
        <v xml:space="preserve">  Euros</v>
      </c>
    </row>
    <row r="196" spans="1:6" ht="18.600000000000001" customHeight="1" x14ac:dyDescent="0.3">
      <c r="A196" s="150" t="s">
        <v>569</v>
      </c>
      <c r="B196" s="50" t="s">
        <v>179</v>
      </c>
      <c r="C196" s="51" t="s">
        <v>181</v>
      </c>
      <c r="D196" s="87" t="s">
        <v>292</v>
      </c>
      <c r="E196" s="79">
        <v>0</v>
      </c>
      <c r="F196" s="52" t="str">
        <f>IF(E196&lt;&gt;" ",[1]!convnumberletter(E196)&amp;" Euros"," ")</f>
        <v xml:space="preserve">  Euros</v>
      </c>
    </row>
    <row r="197" spans="1:6" ht="18.600000000000001" customHeight="1" x14ac:dyDescent="0.3">
      <c r="A197" s="150" t="s">
        <v>570</v>
      </c>
      <c r="B197" s="50" t="s">
        <v>239</v>
      </c>
      <c r="C197" s="51" t="s">
        <v>181</v>
      </c>
      <c r="D197" s="87" t="s">
        <v>292</v>
      </c>
      <c r="E197" s="79">
        <v>0</v>
      </c>
      <c r="F197" s="52" t="str">
        <f>IF(E197&lt;&gt;" ",[1]!convnumberletter(E197)&amp;" Euros"," ")</f>
        <v xml:space="preserve">  Euros</v>
      </c>
    </row>
    <row r="198" spans="1:6" ht="18.600000000000001" customHeight="1" x14ac:dyDescent="0.3">
      <c r="A198" s="52" t="s">
        <v>571</v>
      </c>
      <c r="B198" s="46" t="s">
        <v>174</v>
      </c>
      <c r="C198" s="52"/>
      <c r="D198" s="87"/>
      <c r="E198" s="49"/>
      <c r="F198" s="52" t="str">
        <f>IF(E198&lt;&gt;" ",[1]!convnumberletter(E198)&amp;" Euros"," ")</f>
        <v xml:space="preserve">  Euros</v>
      </c>
    </row>
    <row r="199" spans="1:6" ht="18.600000000000001" customHeight="1" x14ac:dyDescent="0.3">
      <c r="A199" s="150" t="s">
        <v>572</v>
      </c>
      <c r="B199" s="50" t="s">
        <v>240</v>
      </c>
      <c r="C199" s="51" t="s">
        <v>181</v>
      </c>
      <c r="D199" s="87" t="s">
        <v>292</v>
      </c>
      <c r="E199" s="79">
        <v>0</v>
      </c>
      <c r="F199" s="52" t="str">
        <f>IF(E199&lt;&gt;" ",[1]!convnumberletter(E199)&amp;" Euros"," ")</f>
        <v xml:space="preserve">  Euros</v>
      </c>
    </row>
    <row r="200" spans="1:6" ht="18.600000000000001" customHeight="1" x14ac:dyDescent="0.3">
      <c r="A200" s="150" t="s">
        <v>573</v>
      </c>
      <c r="B200" s="50" t="s">
        <v>241</v>
      </c>
      <c r="C200" s="51" t="s">
        <v>181</v>
      </c>
      <c r="D200" s="87" t="s">
        <v>292</v>
      </c>
      <c r="E200" s="79">
        <v>0</v>
      </c>
      <c r="F200" s="52" t="str">
        <f>IF(E200&lt;&gt;" ",[1]!convnumberletter(E200)&amp;" Euros"," ")</f>
        <v xml:space="preserve">  Euros</v>
      </c>
    </row>
    <row r="201" spans="1:6" ht="18.600000000000001" customHeight="1" x14ac:dyDescent="0.3">
      <c r="A201" s="150" t="s">
        <v>574</v>
      </c>
      <c r="B201" s="50" t="s">
        <v>242</v>
      </c>
      <c r="C201" s="51" t="s">
        <v>181</v>
      </c>
      <c r="D201" s="87" t="s">
        <v>292</v>
      </c>
      <c r="E201" s="79">
        <v>0</v>
      </c>
      <c r="F201" s="52" t="str">
        <f>IF(E201&lt;&gt;" ",[1]!convnumberletter(E201)&amp;" Euros"," ")</f>
        <v xml:space="preserve">  Euros</v>
      </c>
    </row>
    <row r="202" spans="1:6" ht="18.600000000000001" customHeight="1" x14ac:dyDescent="0.3">
      <c r="A202" s="150" t="s">
        <v>575</v>
      </c>
      <c r="B202" s="50" t="s">
        <v>243</v>
      </c>
      <c r="C202" s="51" t="s">
        <v>181</v>
      </c>
      <c r="D202" s="87" t="s">
        <v>292</v>
      </c>
      <c r="E202" s="79">
        <v>0</v>
      </c>
      <c r="F202" s="52" t="str">
        <f>IF(E202&lt;&gt;" ",[1]!convnumberletter(E202)&amp;" Euros"," ")</f>
        <v xml:space="preserve">  Euros</v>
      </c>
    </row>
    <row r="203" spans="1:6" ht="18.600000000000001" customHeight="1" x14ac:dyDescent="0.3">
      <c r="A203" s="150" t="s">
        <v>576</v>
      </c>
      <c r="B203" s="50" t="s">
        <v>244</v>
      </c>
      <c r="C203" s="51" t="s">
        <v>181</v>
      </c>
      <c r="D203" s="87" t="s">
        <v>292</v>
      </c>
      <c r="E203" s="79">
        <v>0</v>
      </c>
      <c r="F203" s="52" t="str">
        <f>IF(E203&lt;&gt;" ",[1]!convnumberletter(E203)&amp;" Euros"," ")</f>
        <v xml:space="preserve">  Euros</v>
      </c>
    </row>
    <row r="204" spans="1:6" ht="18.600000000000001" customHeight="1" x14ac:dyDescent="0.3">
      <c r="A204" s="150" t="s">
        <v>577</v>
      </c>
      <c r="B204" s="50" t="s">
        <v>245</v>
      </c>
      <c r="C204" s="51" t="s">
        <v>181</v>
      </c>
      <c r="D204" s="87" t="s">
        <v>292</v>
      </c>
      <c r="E204" s="79">
        <v>0</v>
      </c>
      <c r="F204" s="52" t="str">
        <f>IF(E204&lt;&gt;" ",[1]!convnumberletter(E204)&amp;" Euros"," ")</f>
        <v xml:space="preserve">  Euros</v>
      </c>
    </row>
    <row r="205" spans="1:6" ht="18.600000000000001" customHeight="1" x14ac:dyDescent="0.3">
      <c r="A205" s="150" t="s">
        <v>578</v>
      </c>
      <c r="B205" s="50" t="s">
        <v>246</v>
      </c>
      <c r="C205" s="51" t="s">
        <v>181</v>
      </c>
      <c r="D205" s="87" t="s">
        <v>292</v>
      </c>
      <c r="E205" s="79">
        <v>0</v>
      </c>
      <c r="F205" s="52" t="str">
        <f>IF(E205&lt;&gt;" ",[1]!convnumberletter(E205)&amp;" Euros"," ")</f>
        <v xml:space="preserve">  Euros</v>
      </c>
    </row>
    <row r="206" spans="1:6" ht="18.600000000000001" customHeight="1" x14ac:dyDescent="0.3">
      <c r="A206" s="150" t="s">
        <v>579</v>
      </c>
      <c r="B206" s="50" t="s">
        <v>247</v>
      </c>
      <c r="C206" s="51" t="s">
        <v>181</v>
      </c>
      <c r="D206" s="87" t="s">
        <v>292</v>
      </c>
      <c r="E206" s="79">
        <v>0</v>
      </c>
      <c r="F206" s="52" t="str">
        <f>IF(E206&lt;&gt;" ",[1]!convnumberletter(E206)&amp;" Euros"," ")</f>
        <v xml:space="preserve">  Euros</v>
      </c>
    </row>
    <row r="207" spans="1:6" ht="18.600000000000001" customHeight="1" x14ac:dyDescent="0.3">
      <c r="A207" s="150" t="s">
        <v>580</v>
      </c>
      <c r="B207" s="50" t="s">
        <v>194</v>
      </c>
      <c r="C207" s="51" t="s">
        <v>181</v>
      </c>
      <c r="D207" s="87" t="s">
        <v>292</v>
      </c>
      <c r="E207" s="79">
        <v>0</v>
      </c>
      <c r="F207" s="52" t="str">
        <f>IF(E207&lt;&gt;" ",[1]!convnumberletter(E207)&amp;" Euros"," ")</f>
        <v xml:space="preserve">  Euros</v>
      </c>
    </row>
    <row r="208" spans="1:6" ht="18.600000000000001" customHeight="1" x14ac:dyDescent="0.3">
      <c r="A208" s="52" t="s">
        <v>581</v>
      </c>
      <c r="B208" s="46" t="s">
        <v>175</v>
      </c>
      <c r="C208" s="52"/>
      <c r="D208" s="87"/>
      <c r="E208" s="49"/>
      <c r="F208" s="52" t="str">
        <f>IF(E208&lt;&gt;" ",[1]!convnumberletter(E208)&amp;" Euros"," ")</f>
        <v xml:space="preserve">  Euros</v>
      </c>
    </row>
    <row r="209" spans="1:6" ht="18.600000000000001" customHeight="1" x14ac:dyDescent="0.3">
      <c r="A209" s="150" t="s">
        <v>582</v>
      </c>
      <c r="B209" s="50" t="s">
        <v>180</v>
      </c>
      <c r="C209" s="51" t="s">
        <v>181</v>
      </c>
      <c r="D209" s="87" t="s">
        <v>292</v>
      </c>
      <c r="E209" s="49">
        <v>0</v>
      </c>
      <c r="F209" s="52" t="str">
        <f>IF(E209&lt;&gt;" ",[1]!convnumberletter(E209)&amp;" Euros"," ")</f>
        <v xml:space="preserve">  Euros</v>
      </c>
    </row>
    <row r="210" spans="1:6" ht="18.600000000000001" customHeight="1" x14ac:dyDescent="0.3">
      <c r="A210" s="52" t="s">
        <v>583</v>
      </c>
      <c r="B210" s="46" t="s">
        <v>176</v>
      </c>
      <c r="C210" s="52"/>
      <c r="D210" s="87"/>
      <c r="E210" s="49"/>
      <c r="F210" s="52" t="str">
        <f>IF(E210&lt;&gt;" ",[1]!convnumberletter(E210)&amp;" Euros"," ")</f>
        <v xml:space="preserve">  Euros</v>
      </c>
    </row>
    <row r="211" spans="1:6" ht="18.600000000000001" customHeight="1" x14ac:dyDescent="0.3">
      <c r="A211" s="150" t="s">
        <v>584</v>
      </c>
      <c r="B211" s="50" t="s">
        <v>257</v>
      </c>
      <c r="C211" s="51" t="s">
        <v>181</v>
      </c>
      <c r="D211" s="87" t="s">
        <v>292</v>
      </c>
      <c r="E211" s="49">
        <v>0</v>
      </c>
      <c r="F211" s="52" t="str">
        <f>IF(E211&lt;&gt;" ",[1]!convnumberletter(E211)&amp;" Euros"," ")</f>
        <v xml:space="preserve">  Euros</v>
      </c>
    </row>
    <row r="212" spans="1:6" ht="18.600000000000001" customHeight="1" x14ac:dyDescent="0.3">
      <c r="A212" s="150" t="s">
        <v>585</v>
      </c>
      <c r="B212" s="50" t="s">
        <v>253</v>
      </c>
      <c r="C212" s="51" t="s">
        <v>17</v>
      </c>
      <c r="D212" s="87" t="s">
        <v>292</v>
      </c>
      <c r="E212" s="49">
        <v>0</v>
      </c>
      <c r="F212" s="52" t="str">
        <f>IF(E212&lt;&gt;" ",[1]!convnumberletter(E212)&amp;" Euros"," ")</f>
        <v xml:space="preserve">  Euros</v>
      </c>
    </row>
    <row r="213" spans="1:6" ht="18.600000000000001" customHeight="1" x14ac:dyDescent="0.3">
      <c r="A213" s="150" t="s">
        <v>586</v>
      </c>
      <c r="B213" s="50" t="s">
        <v>252</v>
      </c>
      <c r="C213" s="51" t="s">
        <v>17</v>
      </c>
      <c r="D213" s="87" t="s">
        <v>292</v>
      </c>
      <c r="E213" s="49">
        <v>0</v>
      </c>
      <c r="F213" s="52" t="str">
        <f>IF(E213&lt;&gt;" ",[1]!convnumberletter(E213)&amp;" Euros"," ")</f>
        <v xml:space="preserve">  Euros</v>
      </c>
    </row>
    <row r="214" spans="1:6" ht="18.600000000000001" customHeight="1" x14ac:dyDescent="0.3">
      <c r="A214" s="150" t="s">
        <v>587</v>
      </c>
      <c r="B214" s="50" t="s">
        <v>254</v>
      </c>
      <c r="C214" s="51" t="s">
        <v>17</v>
      </c>
      <c r="D214" s="87" t="s">
        <v>292</v>
      </c>
      <c r="E214" s="49">
        <v>0</v>
      </c>
      <c r="F214" s="52" t="str">
        <f>IF(E214&lt;&gt;" ",[1]!convnumberletter(E214)&amp;" Euros"," ")</f>
        <v xml:space="preserve">  Euros</v>
      </c>
    </row>
    <row r="215" spans="1:6" ht="18.600000000000001" customHeight="1" x14ac:dyDescent="0.3">
      <c r="A215" s="150" t="s">
        <v>588</v>
      </c>
      <c r="B215" s="50" t="s">
        <v>255</v>
      </c>
      <c r="C215" s="51" t="s">
        <v>17</v>
      </c>
      <c r="D215" s="87" t="s">
        <v>292</v>
      </c>
      <c r="E215" s="49">
        <v>0</v>
      </c>
      <c r="F215" s="52" t="str">
        <f>IF(E215&lt;&gt;" ",[1]!convnumberletter(E215)&amp;" Euros"," ")</f>
        <v xml:space="preserve">  Euros</v>
      </c>
    </row>
    <row r="216" spans="1:6" ht="28.8" customHeight="1" x14ac:dyDescent="0.3">
      <c r="A216" s="150" t="s">
        <v>589</v>
      </c>
      <c r="B216" s="50" t="s">
        <v>251</v>
      </c>
      <c r="C216" s="51" t="s">
        <v>17</v>
      </c>
      <c r="D216" s="87" t="s">
        <v>292</v>
      </c>
      <c r="E216" s="49">
        <v>0</v>
      </c>
      <c r="F216" s="52" t="str">
        <f>IF(E216&lt;&gt;" ",[1]!convnumberletter(E216)&amp;" Euros"," ")</f>
        <v xml:space="preserve">  Euros</v>
      </c>
    </row>
    <row r="217" spans="1:6" x14ac:dyDescent="0.3">
      <c r="A217" s="150" t="s">
        <v>590</v>
      </c>
      <c r="B217" s="50" t="s">
        <v>256</v>
      </c>
      <c r="C217" s="51" t="s">
        <v>181</v>
      </c>
      <c r="D217" s="87" t="s">
        <v>292</v>
      </c>
      <c r="E217" s="49">
        <v>0</v>
      </c>
      <c r="F217" s="52" t="str">
        <f>IF(E217&lt;&gt;" ",[1]!convnumberletter(E217)&amp;" Euros"," ")</f>
        <v xml:space="preserve">  Euros</v>
      </c>
    </row>
    <row r="218" spans="1:6" x14ac:dyDescent="0.3">
      <c r="A218" s="150" t="s">
        <v>591</v>
      </c>
      <c r="B218" s="50" t="s">
        <v>258</v>
      </c>
      <c r="C218" s="51" t="s">
        <v>17</v>
      </c>
      <c r="D218" s="87" t="s">
        <v>292</v>
      </c>
      <c r="E218" s="49">
        <v>0</v>
      </c>
      <c r="F218" s="52" t="str">
        <f>IF(E218&lt;&gt;" ",[1]!convnumberletter(E218)&amp;" Euros"," ")</f>
        <v xml:space="preserve">  Euros</v>
      </c>
    </row>
    <row r="219" spans="1:6" ht="18.600000000000001" customHeight="1" x14ac:dyDescent="0.3">
      <c r="A219" s="150" t="s">
        <v>592</v>
      </c>
      <c r="B219" s="50" t="s">
        <v>193</v>
      </c>
      <c r="C219" s="51" t="s">
        <v>181</v>
      </c>
      <c r="D219" s="87" t="s">
        <v>292</v>
      </c>
      <c r="E219" s="49">
        <v>0</v>
      </c>
      <c r="F219" s="52" t="str">
        <f>IF(E219&lt;&gt;" ",[1]!convnumberletter(E219)&amp;" Euros"," ")</f>
        <v xml:space="preserve">  Euros</v>
      </c>
    </row>
    <row r="220" spans="1:6" x14ac:dyDescent="0.3">
      <c r="A220" s="150" t="s">
        <v>593</v>
      </c>
      <c r="B220" s="50" t="s">
        <v>192</v>
      </c>
      <c r="C220" s="51" t="s">
        <v>181</v>
      </c>
      <c r="D220" s="87" t="s">
        <v>292</v>
      </c>
      <c r="E220" s="49">
        <v>0</v>
      </c>
      <c r="F220" s="52" t="str">
        <f>IF(E220&lt;&gt;" ",[1]!convnumberletter(E220)&amp;" Euros"," ")</f>
        <v xml:space="preserve">  Euros</v>
      </c>
    </row>
    <row r="221" spans="1:6" ht="28.8" x14ac:dyDescent="0.3">
      <c r="A221" s="150" t="s">
        <v>594</v>
      </c>
      <c r="B221" s="50" t="s">
        <v>260</v>
      </c>
      <c r="C221" s="51" t="s">
        <v>181</v>
      </c>
      <c r="D221" s="87" t="s">
        <v>292</v>
      </c>
      <c r="E221" s="49">
        <v>0</v>
      </c>
      <c r="F221" s="52" t="str">
        <f>IF(E221&lt;&gt;" ",[1]!convnumberletter(E221)&amp;" Euros"," ")</f>
        <v xml:space="preserve">  Euros</v>
      </c>
    </row>
    <row r="222" spans="1:6" ht="18.600000000000001" customHeight="1" x14ac:dyDescent="0.3">
      <c r="A222" s="52" t="s">
        <v>595</v>
      </c>
      <c r="B222" s="46" t="s">
        <v>177</v>
      </c>
      <c r="C222" s="52"/>
      <c r="D222" s="87"/>
      <c r="E222" s="49"/>
      <c r="F222" s="52" t="str">
        <f>IF(E222&lt;&gt;" ",[1]!convnumberletter(E222)&amp;" Euros"," ")</f>
        <v xml:space="preserve">  Euros</v>
      </c>
    </row>
    <row r="223" spans="1:6" ht="18.600000000000001" customHeight="1" x14ac:dyDescent="0.3">
      <c r="A223" s="150" t="s">
        <v>596</v>
      </c>
      <c r="B223" s="152" t="s">
        <v>1307</v>
      </c>
      <c r="C223" s="51" t="s">
        <v>181</v>
      </c>
      <c r="D223" s="87" t="s">
        <v>292</v>
      </c>
      <c r="E223" s="49">
        <v>0</v>
      </c>
      <c r="F223" s="52" t="str">
        <f>IF(E223&lt;&gt;" ",[1]!convnumberletter(E223)&amp;" Euros"," ")</f>
        <v xml:space="preserve">  Euros</v>
      </c>
    </row>
    <row r="224" spans="1:6" x14ac:dyDescent="0.3">
      <c r="A224" s="150" t="s">
        <v>597</v>
      </c>
      <c r="B224" s="50" t="s">
        <v>1273</v>
      </c>
      <c r="C224" s="51" t="s">
        <v>181</v>
      </c>
      <c r="D224" s="87" t="s">
        <v>292</v>
      </c>
      <c r="E224" s="49">
        <v>0</v>
      </c>
      <c r="F224" s="52" t="str">
        <f>IF(E224&lt;&gt;" ",[1]!convnumberletter(E224)&amp;" Euros"," ")</f>
        <v xml:space="preserve">  Euros</v>
      </c>
    </row>
    <row r="225" spans="1:6" x14ac:dyDescent="0.3">
      <c r="A225" s="150" t="s">
        <v>598</v>
      </c>
      <c r="B225" s="50" t="s">
        <v>183</v>
      </c>
      <c r="C225" s="51" t="s">
        <v>181</v>
      </c>
      <c r="D225" s="87" t="s">
        <v>292</v>
      </c>
      <c r="E225" s="49">
        <v>0</v>
      </c>
      <c r="F225" s="52" t="str">
        <f>IF(E225&lt;&gt;" ",[1]!convnumberletter(E225)&amp;" Euros"," ")</f>
        <v xml:space="preserve">  Euros</v>
      </c>
    </row>
    <row r="226" spans="1:6" x14ac:dyDescent="0.3">
      <c r="A226" s="150" t="s">
        <v>599</v>
      </c>
      <c r="B226" s="50" t="s">
        <v>184</v>
      </c>
      <c r="C226" s="51" t="s">
        <v>181</v>
      </c>
      <c r="D226" s="87" t="s">
        <v>292</v>
      </c>
      <c r="E226" s="49">
        <v>0</v>
      </c>
      <c r="F226" s="52" t="str">
        <f>IF(E226&lt;&gt;" ",[1]!convnumberletter(E226)&amp;" Euros"," ")</f>
        <v xml:space="preserve">  Euros</v>
      </c>
    </row>
    <row r="227" spans="1:6" x14ac:dyDescent="0.3">
      <c r="A227" s="150" t="s">
        <v>600</v>
      </c>
      <c r="B227" s="50" t="s">
        <v>185</v>
      </c>
      <c r="C227" s="51" t="s">
        <v>181</v>
      </c>
      <c r="D227" s="87" t="s">
        <v>292</v>
      </c>
      <c r="E227" s="49">
        <v>0</v>
      </c>
      <c r="F227" s="52" t="str">
        <f>IF(E227&lt;&gt;" ",[1]!convnumberletter(E227)&amp;" Euros"," ")</f>
        <v xml:space="preserve">  Euros</v>
      </c>
    </row>
    <row r="228" spans="1:6" x14ac:dyDescent="0.3">
      <c r="A228" s="52" t="s">
        <v>601</v>
      </c>
      <c r="B228" s="46" t="s">
        <v>304</v>
      </c>
      <c r="C228" s="51"/>
      <c r="D228" s="87"/>
      <c r="E228" s="49"/>
      <c r="F228" s="52" t="str">
        <f>IF(E228&lt;&gt;" ",[1]!convnumberletter(E228)&amp;" Euros"," ")</f>
        <v xml:space="preserve">  Euros</v>
      </c>
    </row>
    <row r="229" spans="1:6" s="65" customFormat="1" x14ac:dyDescent="0.3">
      <c r="A229" s="150" t="s">
        <v>602</v>
      </c>
      <c r="B229" s="53" t="s">
        <v>370</v>
      </c>
      <c r="C229" s="67" t="s">
        <v>197</v>
      </c>
      <c r="D229" s="88" t="s">
        <v>292</v>
      </c>
      <c r="E229" s="80">
        <v>0</v>
      </c>
      <c r="F229" s="52" t="str">
        <f>IF(E229&lt;&gt;" ",[1]!convnumberletter(E229)&amp;" Euros"," ")</f>
        <v xml:space="preserve">  Euros</v>
      </c>
    </row>
    <row r="230" spans="1:6" x14ac:dyDescent="0.3">
      <c r="A230" s="150" t="s">
        <v>603</v>
      </c>
      <c r="B230" s="50" t="s">
        <v>305</v>
      </c>
      <c r="C230" s="51" t="s">
        <v>197</v>
      </c>
      <c r="D230" s="87" t="s">
        <v>292</v>
      </c>
      <c r="E230" s="80">
        <v>0</v>
      </c>
      <c r="F230" s="52" t="str">
        <f>IF(E230&lt;&gt;" ",[1]!convnumberletter(E230)&amp;" Euros"," ")</f>
        <v xml:space="preserve">  Euros</v>
      </c>
    </row>
    <row r="231" spans="1:6" x14ac:dyDescent="0.3">
      <c r="A231" s="150" t="s">
        <v>604</v>
      </c>
      <c r="B231" s="50" t="s">
        <v>306</v>
      </c>
      <c r="C231" s="51" t="s">
        <v>197</v>
      </c>
      <c r="D231" s="87" t="s">
        <v>292</v>
      </c>
      <c r="E231" s="80">
        <v>0</v>
      </c>
      <c r="F231" s="52" t="str">
        <f>IF(E231&lt;&gt;" ",[1]!convnumberletter(E231)&amp;" Euros"," ")</f>
        <v xml:space="preserve">  Euros</v>
      </c>
    </row>
    <row r="232" spans="1:6" x14ac:dyDescent="0.3">
      <c r="A232" s="150" t="s">
        <v>605</v>
      </c>
      <c r="B232" s="50" t="s">
        <v>307</v>
      </c>
      <c r="C232" s="51" t="s">
        <v>197</v>
      </c>
      <c r="D232" s="87" t="s">
        <v>292</v>
      </c>
      <c r="E232" s="80">
        <v>0</v>
      </c>
      <c r="F232" s="52" t="str">
        <f>IF(E232&lt;&gt;" ",[1]!convnumberletter(E232)&amp;" Euros"," ")</f>
        <v xml:space="preserve">  Euros</v>
      </c>
    </row>
    <row r="233" spans="1:6" x14ac:dyDescent="0.3">
      <c r="A233" s="150" t="s">
        <v>606</v>
      </c>
      <c r="B233" s="50" t="s">
        <v>371</v>
      </c>
      <c r="C233" s="51" t="s">
        <v>317</v>
      </c>
      <c r="D233" s="87" t="s">
        <v>292</v>
      </c>
      <c r="E233" s="80">
        <v>0</v>
      </c>
      <c r="F233" s="52" t="str">
        <f>IF(E233&lt;&gt;" ",[1]!convnumberletter(E233)&amp;" Euros"," ")</f>
        <v xml:space="preserve">  Euros</v>
      </c>
    </row>
    <row r="234" spans="1:6" x14ac:dyDescent="0.3">
      <c r="A234" s="150" t="s">
        <v>607</v>
      </c>
      <c r="B234" s="50" t="s">
        <v>308</v>
      </c>
      <c r="C234" s="51" t="s">
        <v>197</v>
      </c>
      <c r="D234" s="87" t="s">
        <v>292</v>
      </c>
      <c r="E234" s="80">
        <v>0</v>
      </c>
      <c r="F234" s="52" t="str">
        <f>IF(E234&lt;&gt;" ",[1]!convnumberletter(E234)&amp;" Euros"," ")</f>
        <v xml:space="preserve">  Euros</v>
      </c>
    </row>
    <row r="235" spans="1:6" x14ac:dyDescent="0.3">
      <c r="A235" s="150" t="s">
        <v>608</v>
      </c>
      <c r="B235" s="50" t="s">
        <v>314</v>
      </c>
      <c r="C235" s="51" t="s">
        <v>197</v>
      </c>
      <c r="D235" s="87" t="s">
        <v>292</v>
      </c>
      <c r="E235" s="80">
        <v>0</v>
      </c>
      <c r="F235" s="52" t="str">
        <f>IF(E235&lt;&gt;" ",[1]!convnumberletter(E235)&amp;" Euros"," ")</f>
        <v xml:space="preserve">  Euros</v>
      </c>
    </row>
    <row r="236" spans="1:6" x14ac:dyDescent="0.3">
      <c r="A236" s="150" t="s">
        <v>609</v>
      </c>
      <c r="B236" s="50" t="s">
        <v>309</v>
      </c>
      <c r="C236" s="51" t="s">
        <v>197</v>
      </c>
      <c r="D236" s="87" t="s">
        <v>292</v>
      </c>
      <c r="E236" s="80">
        <v>0</v>
      </c>
      <c r="F236" s="52" t="str">
        <f>IF(E236&lt;&gt;" ",[1]!convnumberletter(E236)&amp;" Euros"," ")</f>
        <v xml:space="preserve">  Euros</v>
      </c>
    </row>
    <row r="237" spans="1:6" x14ac:dyDescent="0.3">
      <c r="A237" s="150" t="s">
        <v>610</v>
      </c>
      <c r="B237" s="50" t="s">
        <v>310</v>
      </c>
      <c r="C237" s="51" t="s">
        <v>197</v>
      </c>
      <c r="D237" s="87" t="s">
        <v>292</v>
      </c>
      <c r="E237" s="80">
        <v>0</v>
      </c>
      <c r="F237" s="52" t="str">
        <f>IF(E237&lt;&gt;" ",[1]!convnumberletter(E237)&amp;" Euros"," ")</f>
        <v xml:space="preserve">  Euros</v>
      </c>
    </row>
    <row r="238" spans="1:6" x14ac:dyDescent="0.3">
      <c r="A238" s="150" t="s">
        <v>611</v>
      </c>
      <c r="B238" s="50" t="s">
        <v>311</v>
      </c>
      <c r="C238" s="51" t="s">
        <v>197</v>
      </c>
      <c r="D238" s="87" t="s">
        <v>292</v>
      </c>
      <c r="E238" s="80">
        <v>0</v>
      </c>
      <c r="F238" s="52" t="str">
        <f>IF(E238&lt;&gt;" ",[1]!convnumberletter(E238)&amp;" Euros"," ")</f>
        <v xml:space="preserve">  Euros</v>
      </c>
    </row>
    <row r="239" spans="1:6" ht="24.6" customHeight="1" x14ac:dyDescent="0.3">
      <c r="A239" s="150" t="s">
        <v>612</v>
      </c>
      <c r="B239" s="50" t="s">
        <v>313</v>
      </c>
      <c r="C239" s="51" t="s">
        <v>17</v>
      </c>
      <c r="D239" s="87" t="s">
        <v>292</v>
      </c>
      <c r="E239" s="80">
        <v>0</v>
      </c>
      <c r="F239" s="52" t="str">
        <f>IF(E239&lt;&gt;" ",[1]!convnumberletter(E239)&amp;" Euros"," ")</f>
        <v xml:space="preserve">  Euros</v>
      </c>
    </row>
    <row r="240" spans="1:6" ht="28.05" customHeight="1" x14ac:dyDescent="0.3">
      <c r="A240" s="150" t="s">
        <v>613</v>
      </c>
      <c r="B240" s="50" t="s">
        <v>312</v>
      </c>
      <c r="C240" s="51" t="s">
        <v>17</v>
      </c>
      <c r="D240" s="87" t="s">
        <v>292</v>
      </c>
      <c r="E240" s="80">
        <v>0</v>
      </c>
      <c r="F240" s="52" t="str">
        <f>IF(E240&lt;&gt;" ",[1]!convnumberletter(E240)&amp;" Euros"," ")</f>
        <v xml:space="preserve">  Euros</v>
      </c>
    </row>
    <row r="241" spans="1:6" ht="19.2" customHeight="1" x14ac:dyDescent="0.3">
      <c r="A241" s="52"/>
      <c r="B241" s="50"/>
      <c r="C241" s="51"/>
      <c r="D241" s="87"/>
      <c r="E241" s="49"/>
      <c r="F241" s="52"/>
    </row>
    <row r="242" spans="1:6" ht="18" customHeight="1" x14ac:dyDescent="0.3">
      <c r="A242" s="52"/>
      <c r="B242" s="52"/>
      <c r="C242" s="52"/>
      <c r="D242" s="87"/>
      <c r="E242" s="49"/>
      <c r="F242" s="52"/>
    </row>
    <row r="243" spans="1:6" ht="18" customHeight="1" x14ac:dyDescent="0.3">
      <c r="E243" s="113"/>
    </row>
    <row r="244" spans="1:6" s="58" customFormat="1" ht="16.8" customHeight="1" x14ac:dyDescent="0.3">
      <c r="A244" s="59" t="s">
        <v>14</v>
      </c>
      <c r="B244" s="59" t="s">
        <v>71</v>
      </c>
      <c r="C244" s="59"/>
      <c r="D244" s="86"/>
      <c r="E244" s="77"/>
      <c r="F244" s="59"/>
    </row>
    <row r="245" spans="1:6" ht="43.2" x14ac:dyDescent="0.3">
      <c r="A245" s="60" t="s">
        <v>2</v>
      </c>
      <c r="B245" s="60" t="s">
        <v>3</v>
      </c>
      <c r="C245" s="60" t="s">
        <v>4</v>
      </c>
      <c r="D245" s="41" t="s">
        <v>152</v>
      </c>
      <c r="E245" s="78" t="s">
        <v>153</v>
      </c>
      <c r="F245" s="42" t="s">
        <v>154</v>
      </c>
    </row>
    <row r="246" spans="1:6" s="58" customFormat="1" ht="16.8" customHeight="1" x14ac:dyDescent="0.3">
      <c r="A246" s="70" t="s">
        <v>21</v>
      </c>
      <c r="B246" s="70" t="s">
        <v>40</v>
      </c>
      <c r="C246" s="52"/>
      <c r="D246" s="87"/>
      <c r="E246" s="49"/>
      <c r="F246" s="52"/>
    </row>
    <row r="247" spans="1:6" ht="18.600000000000001" customHeight="1" x14ac:dyDescent="0.3">
      <c r="A247" s="52" t="s">
        <v>41</v>
      </c>
      <c r="B247" s="46" t="s">
        <v>161</v>
      </c>
      <c r="C247" s="52"/>
      <c r="D247" s="87"/>
      <c r="E247" s="49"/>
      <c r="F247" s="52"/>
    </row>
    <row r="248" spans="1:6" ht="28.8" customHeight="1" x14ac:dyDescent="0.3">
      <c r="A248" s="150" t="s">
        <v>614</v>
      </c>
      <c r="B248" s="153" t="s">
        <v>1308</v>
      </c>
      <c r="C248" s="51" t="s">
        <v>181</v>
      </c>
      <c r="D248" s="87" t="s">
        <v>292</v>
      </c>
      <c r="E248" s="49">
        <v>0</v>
      </c>
      <c r="F248" s="52" t="str">
        <f>IF(E248&lt;&gt;" ",[1]!convnumberletter(E248)&amp;" Euros"," ")</f>
        <v xml:space="preserve">  Euros</v>
      </c>
    </row>
    <row r="249" spans="1:6" ht="18.600000000000001" customHeight="1" x14ac:dyDescent="0.3">
      <c r="A249" s="150" t="s">
        <v>615</v>
      </c>
      <c r="B249" s="154" t="s">
        <v>1287</v>
      </c>
      <c r="C249" s="51" t="s">
        <v>17</v>
      </c>
      <c r="D249" s="87" t="s">
        <v>292</v>
      </c>
      <c r="E249" s="49">
        <v>0</v>
      </c>
      <c r="F249" s="52" t="str">
        <f>IF(E249&lt;&gt;" ",[1]!convnumberletter(E249)&amp;" Euros"," ")</f>
        <v xml:space="preserve">  Euros</v>
      </c>
    </row>
    <row r="250" spans="1:6" ht="18.600000000000001" customHeight="1" x14ac:dyDescent="0.3">
      <c r="A250" s="150" t="s">
        <v>616</v>
      </c>
      <c r="B250" s="52" t="s">
        <v>210</v>
      </c>
      <c r="C250" s="51" t="s">
        <v>197</v>
      </c>
      <c r="D250" s="87" t="s">
        <v>292</v>
      </c>
      <c r="E250" s="49">
        <v>0</v>
      </c>
      <c r="F250" s="52" t="str">
        <f>IF(E250&lt;&gt;" ",[1]!convnumberletter(E250)&amp;" Euros"," ")</f>
        <v xml:space="preserve">  Euros</v>
      </c>
    </row>
    <row r="251" spans="1:6" ht="18.600000000000001" customHeight="1" x14ac:dyDescent="0.3">
      <c r="A251" s="150" t="s">
        <v>617</v>
      </c>
      <c r="B251" s="52" t="s">
        <v>209</v>
      </c>
      <c r="C251" s="51" t="s">
        <v>197</v>
      </c>
      <c r="D251" s="87" t="s">
        <v>292</v>
      </c>
      <c r="E251" s="49">
        <v>0</v>
      </c>
      <c r="F251" s="52" t="str">
        <f>IF(E251&lt;&gt;" ",[1]!convnumberletter(E251)&amp;" Euros"," ")</f>
        <v xml:space="preserve">  Euros</v>
      </c>
    </row>
    <row r="252" spans="1:6" ht="18.600000000000001" customHeight="1" x14ac:dyDescent="0.3">
      <c r="A252" s="150" t="s">
        <v>618</v>
      </c>
      <c r="B252" s="154" t="s">
        <v>1288</v>
      </c>
      <c r="C252" s="51" t="s">
        <v>181</v>
      </c>
      <c r="D252" s="87" t="s">
        <v>292</v>
      </c>
      <c r="E252" s="49">
        <v>0</v>
      </c>
      <c r="F252" s="52" t="str">
        <f>IF(E252&lt;&gt;" ",[1]!convnumberletter(E252)&amp;" Euros"," ")</f>
        <v xml:space="preserve">  Euros</v>
      </c>
    </row>
    <row r="253" spans="1:6" ht="18.600000000000001" customHeight="1" x14ac:dyDescent="0.3">
      <c r="A253" s="150" t="s">
        <v>619</v>
      </c>
      <c r="B253" s="52" t="s">
        <v>293</v>
      </c>
      <c r="C253" s="51" t="s">
        <v>181</v>
      </c>
      <c r="D253" s="87" t="s">
        <v>292</v>
      </c>
      <c r="E253" s="49">
        <v>0</v>
      </c>
      <c r="F253" s="52" t="str">
        <f>IF(E253&lt;&gt;" ",[1]!convnumberletter(E253)&amp;" Euros"," ")</f>
        <v xml:space="preserve">  Euros</v>
      </c>
    </row>
    <row r="254" spans="1:6" ht="28.2" customHeight="1" x14ac:dyDescent="0.3">
      <c r="A254" s="150" t="s">
        <v>620</v>
      </c>
      <c r="B254" s="61" t="s">
        <v>198</v>
      </c>
      <c r="C254" s="51" t="s">
        <v>79</v>
      </c>
      <c r="D254" s="87" t="s">
        <v>158</v>
      </c>
      <c r="E254" s="49">
        <v>0</v>
      </c>
      <c r="F254" s="52" t="str">
        <f>IF(E254&lt;&gt;" ",[1]!convnumberletter(E254)&amp;" Euros"," ")</f>
        <v xml:space="preserve">  Euros</v>
      </c>
    </row>
    <row r="255" spans="1:6" ht="18.600000000000001" customHeight="1" x14ac:dyDescent="0.3">
      <c r="A255" s="52" t="s">
        <v>621</v>
      </c>
      <c r="B255" s="46" t="s">
        <v>208</v>
      </c>
      <c r="C255" s="51"/>
      <c r="D255" s="87"/>
      <c r="E255" s="49"/>
      <c r="F255" s="52" t="str">
        <f>IF(E255&lt;&gt;" ",[1]!convnumberletter(E255)&amp;" Euros"," ")</f>
        <v xml:space="preserve">  Euros</v>
      </c>
    </row>
    <row r="256" spans="1:6" ht="18.600000000000001" customHeight="1" x14ac:dyDescent="0.3">
      <c r="A256" s="150" t="s">
        <v>622</v>
      </c>
      <c r="B256" s="52" t="s">
        <v>211</v>
      </c>
      <c r="C256" s="51" t="s">
        <v>230</v>
      </c>
      <c r="D256" s="87" t="s">
        <v>292</v>
      </c>
      <c r="E256" s="49">
        <v>0</v>
      </c>
      <c r="F256" s="52" t="str">
        <f>IF(E256&lt;&gt;" ",[1]!convnumberletter(E256)&amp;" Euros"," ")</f>
        <v xml:space="preserve">  Euros</v>
      </c>
    </row>
    <row r="257" spans="1:6" ht="18.600000000000001" customHeight="1" x14ac:dyDescent="0.3">
      <c r="A257" s="150" t="s">
        <v>623</v>
      </c>
      <c r="B257" s="52" t="s">
        <v>212</v>
      </c>
      <c r="C257" s="51" t="s">
        <v>230</v>
      </c>
      <c r="D257" s="87" t="s">
        <v>292</v>
      </c>
      <c r="E257" s="49">
        <v>0</v>
      </c>
      <c r="F257" s="52" t="str">
        <f>IF(E257&lt;&gt;" ",[1]!convnumberletter(E257)&amp;" Euros"," ")</f>
        <v xml:space="preserve">  Euros</v>
      </c>
    </row>
    <row r="258" spans="1:6" ht="18.600000000000001" customHeight="1" x14ac:dyDescent="0.3">
      <c r="A258" s="52" t="s">
        <v>624</v>
      </c>
      <c r="B258" s="46" t="s">
        <v>168</v>
      </c>
      <c r="C258" s="52"/>
      <c r="D258" s="87"/>
      <c r="E258" s="49"/>
      <c r="F258" s="52" t="str">
        <f>IF(E258&lt;&gt;" ",[1]!convnumberletter(E258)&amp;" Euros"," ")</f>
        <v xml:space="preserve">  Euros</v>
      </c>
    </row>
    <row r="259" spans="1:6" s="65" customFormat="1" ht="18.600000000000001" customHeight="1" x14ac:dyDescent="0.3">
      <c r="A259" s="150" t="s">
        <v>625</v>
      </c>
      <c r="B259" s="50" t="s">
        <v>213</v>
      </c>
      <c r="C259" s="51" t="s">
        <v>230</v>
      </c>
      <c r="D259" s="88" t="s">
        <v>292</v>
      </c>
      <c r="E259" s="80">
        <v>0</v>
      </c>
      <c r="F259" s="52" t="str">
        <f>IF(E259&lt;&gt;" ",[1]!convnumberletter(E259)&amp;" Euros"," ")</f>
        <v xml:space="preserve">  Euros</v>
      </c>
    </row>
    <row r="260" spans="1:6" s="65" customFormat="1" ht="18.600000000000001" customHeight="1" x14ac:dyDescent="0.3">
      <c r="A260" s="150" t="s">
        <v>626</v>
      </c>
      <c r="B260" s="50" t="s">
        <v>187</v>
      </c>
      <c r="C260" s="51" t="s">
        <v>230</v>
      </c>
      <c r="D260" s="88" t="s">
        <v>292</v>
      </c>
      <c r="E260" s="80">
        <v>0</v>
      </c>
      <c r="F260" s="52" t="str">
        <f>IF(E260&lt;&gt;" ",[1]!convnumberletter(E260)&amp;" Euros"," ")</f>
        <v xml:space="preserve">  Euros</v>
      </c>
    </row>
    <row r="261" spans="1:6" s="65" customFormat="1" ht="18.600000000000001" customHeight="1" x14ac:dyDescent="0.3">
      <c r="A261" s="150" t="s">
        <v>627</v>
      </c>
      <c r="B261" s="50" t="s">
        <v>214</v>
      </c>
      <c r="C261" s="51" t="s">
        <v>230</v>
      </c>
      <c r="D261" s="88" t="s">
        <v>292</v>
      </c>
      <c r="E261" s="80">
        <v>0</v>
      </c>
      <c r="F261" s="52" t="str">
        <f>IF(E261&lt;&gt;" ",[1]!convnumberletter(E261)&amp;" Euros"," ")</f>
        <v xml:space="preserve">  Euros</v>
      </c>
    </row>
    <row r="262" spans="1:6" s="65" customFormat="1" ht="33" customHeight="1" x14ac:dyDescent="0.3">
      <c r="A262" s="150" t="s">
        <v>628</v>
      </c>
      <c r="B262" s="50" t="s">
        <v>215</v>
      </c>
      <c r="C262" s="51" t="s">
        <v>230</v>
      </c>
      <c r="D262" s="88" t="s">
        <v>292</v>
      </c>
      <c r="E262" s="80">
        <v>0</v>
      </c>
      <c r="F262" s="52" t="str">
        <f>IF(E262&lt;&gt;" ",[1]!convnumberletter(E262)&amp;" Euros"," ")</f>
        <v xml:space="preserve">  Euros</v>
      </c>
    </row>
    <row r="263" spans="1:6" ht="18.600000000000001" customHeight="1" x14ac:dyDescent="0.3">
      <c r="A263" s="52" t="s">
        <v>629</v>
      </c>
      <c r="B263" s="46" t="s">
        <v>169</v>
      </c>
      <c r="C263" s="52"/>
      <c r="D263" s="87"/>
      <c r="E263" s="49"/>
      <c r="F263" s="52" t="str">
        <f>IF(E263&lt;&gt;" ",[1]!convnumberletter(E263)&amp;" Euros"," ")</f>
        <v xml:space="preserve">  Euros</v>
      </c>
    </row>
    <row r="264" spans="1:6" ht="18.600000000000001" customHeight="1" x14ac:dyDescent="0.3">
      <c r="A264" s="150" t="s">
        <v>630</v>
      </c>
      <c r="B264" s="50" t="s">
        <v>216</v>
      </c>
      <c r="C264" s="51" t="s">
        <v>230</v>
      </c>
      <c r="D264" s="87" t="s">
        <v>292</v>
      </c>
      <c r="E264" s="79">
        <v>0</v>
      </c>
      <c r="F264" s="52" t="str">
        <f>IF(E264&lt;&gt;" ",[1]!convnumberletter(E264)&amp;" Euros"," ")</f>
        <v xml:space="preserve">  Euros</v>
      </c>
    </row>
    <row r="265" spans="1:6" ht="18.600000000000001" customHeight="1" x14ac:dyDescent="0.3">
      <c r="A265" s="150" t="s">
        <v>631</v>
      </c>
      <c r="B265" s="50" t="s">
        <v>217</v>
      </c>
      <c r="C265" s="51" t="s">
        <v>230</v>
      </c>
      <c r="D265" s="87" t="s">
        <v>292</v>
      </c>
      <c r="E265" s="79">
        <v>0</v>
      </c>
      <c r="F265" s="52" t="str">
        <f>IF(E265&lt;&gt;" ",[1]!convnumberletter(E265)&amp;" Euros"," ")</f>
        <v xml:space="preserve">  Euros</v>
      </c>
    </row>
    <row r="266" spans="1:6" ht="18.600000000000001" customHeight="1" x14ac:dyDescent="0.3">
      <c r="A266" s="150" t="s">
        <v>632</v>
      </c>
      <c r="B266" s="50" t="s">
        <v>218</v>
      </c>
      <c r="C266" s="51" t="s">
        <v>230</v>
      </c>
      <c r="D266" s="87" t="s">
        <v>292</v>
      </c>
      <c r="E266" s="79">
        <v>0</v>
      </c>
      <c r="F266" s="52" t="str">
        <f>IF(E266&lt;&gt;" ",[1]!convnumberletter(E266)&amp;" Euros"," ")</f>
        <v xml:space="preserve">  Euros</v>
      </c>
    </row>
    <row r="267" spans="1:6" ht="18.600000000000001" customHeight="1" x14ac:dyDescent="0.3">
      <c r="A267" s="150" t="s">
        <v>633</v>
      </c>
      <c r="B267" s="50" t="s">
        <v>219</v>
      </c>
      <c r="C267" s="51" t="s">
        <v>230</v>
      </c>
      <c r="D267" s="87" t="s">
        <v>292</v>
      </c>
      <c r="E267" s="79">
        <v>0</v>
      </c>
      <c r="F267" s="52" t="str">
        <f>IF(E267&lt;&gt;" ",[1]!convnumberletter(E267)&amp;" Euros"," ")</f>
        <v xml:space="preserve">  Euros</v>
      </c>
    </row>
    <row r="268" spans="1:6" ht="18.600000000000001" customHeight="1" x14ac:dyDescent="0.3">
      <c r="A268" s="150" t="s">
        <v>634</v>
      </c>
      <c r="B268" s="50" t="s">
        <v>220</v>
      </c>
      <c r="C268" s="51" t="s">
        <v>230</v>
      </c>
      <c r="D268" s="87" t="s">
        <v>292</v>
      </c>
      <c r="E268" s="79">
        <v>0</v>
      </c>
      <c r="F268" s="52" t="str">
        <f>IF(E268&lt;&gt;" ",[1]!convnumberletter(E268)&amp;" Euros"," ")</f>
        <v xml:space="preserve">  Euros</v>
      </c>
    </row>
    <row r="269" spans="1:6" ht="18.600000000000001" customHeight="1" x14ac:dyDescent="0.3">
      <c r="A269" s="150" t="s">
        <v>635</v>
      </c>
      <c r="B269" s="50" t="s">
        <v>221</v>
      </c>
      <c r="C269" s="51" t="s">
        <v>230</v>
      </c>
      <c r="D269" s="87" t="s">
        <v>292</v>
      </c>
      <c r="E269" s="79">
        <v>0</v>
      </c>
      <c r="F269" s="52" t="str">
        <f>IF(E269&lt;&gt;" ",[1]!convnumberletter(E269)&amp;" Euros"," ")</f>
        <v xml:space="preserve">  Euros</v>
      </c>
    </row>
    <row r="270" spans="1:6" ht="18.600000000000001" customHeight="1" x14ac:dyDescent="0.3">
      <c r="A270" s="150" t="s">
        <v>636</v>
      </c>
      <c r="B270" s="50" t="s">
        <v>222</v>
      </c>
      <c r="C270" s="51" t="s">
        <v>230</v>
      </c>
      <c r="D270" s="87" t="s">
        <v>292</v>
      </c>
      <c r="E270" s="79">
        <v>0</v>
      </c>
      <c r="F270" s="52" t="str">
        <f>IF(E270&lt;&gt;" ",[1]!convnumberletter(E270)&amp;" Euros"," ")</f>
        <v xml:space="preserve">  Euros</v>
      </c>
    </row>
    <row r="271" spans="1:6" ht="18.600000000000001" customHeight="1" x14ac:dyDescent="0.3">
      <c r="A271" s="52" t="s">
        <v>637</v>
      </c>
      <c r="B271" s="46" t="s">
        <v>170</v>
      </c>
      <c r="C271" s="52"/>
      <c r="D271" s="87"/>
      <c r="E271" s="49"/>
      <c r="F271" s="52" t="str">
        <f>IF(E271&lt;&gt;" ",[1]!convnumberletter(E271)&amp;" Euros"," ")</f>
        <v xml:space="preserve">  Euros</v>
      </c>
    </row>
    <row r="272" spans="1:6" ht="18.600000000000001" customHeight="1" x14ac:dyDescent="0.3">
      <c r="A272" s="150" t="s">
        <v>638</v>
      </c>
      <c r="B272" s="152" t="s">
        <v>1291</v>
      </c>
      <c r="C272" s="51" t="s">
        <v>230</v>
      </c>
      <c r="D272" s="87" t="s">
        <v>292</v>
      </c>
      <c r="E272" s="79">
        <v>0</v>
      </c>
      <c r="F272" s="52" t="str">
        <f>IF(E272&lt;&gt;" ",[1]!convnumberletter(E272)&amp;" Euros"," ")</f>
        <v xml:space="preserve">  Euros</v>
      </c>
    </row>
    <row r="273" spans="1:6" ht="18.600000000000001" customHeight="1" x14ac:dyDescent="0.3">
      <c r="A273" s="150" t="s">
        <v>639</v>
      </c>
      <c r="B273" s="50" t="s">
        <v>224</v>
      </c>
      <c r="C273" s="51" t="s">
        <v>230</v>
      </c>
      <c r="D273" s="87" t="s">
        <v>292</v>
      </c>
      <c r="E273" s="79">
        <v>0</v>
      </c>
      <c r="F273" s="52" t="str">
        <f>IF(E273&lt;&gt;" ",[1]!convnumberletter(E273)&amp;" Euros"," ")</f>
        <v xml:space="preserve">  Euros</v>
      </c>
    </row>
    <row r="274" spans="1:6" ht="18.600000000000001" customHeight="1" x14ac:dyDescent="0.3">
      <c r="A274" s="150" t="s">
        <v>640</v>
      </c>
      <c r="B274" s="50" t="s">
        <v>178</v>
      </c>
      <c r="C274" s="51" t="s">
        <v>230</v>
      </c>
      <c r="D274" s="87" t="s">
        <v>292</v>
      </c>
      <c r="E274" s="79">
        <v>0</v>
      </c>
      <c r="F274" s="52" t="str">
        <f>IF(E274&lt;&gt;" ",[1]!convnumberletter(E274)&amp;" Euros"," ")</f>
        <v xml:space="preserve">  Euros</v>
      </c>
    </row>
    <row r="275" spans="1:6" ht="18.600000000000001" customHeight="1" x14ac:dyDescent="0.3">
      <c r="A275" s="52" t="s">
        <v>641</v>
      </c>
      <c r="B275" s="46" t="s">
        <v>171</v>
      </c>
      <c r="C275" s="52"/>
      <c r="D275" s="87"/>
      <c r="E275" s="49"/>
      <c r="F275" s="52" t="str">
        <f>IF(E275&lt;&gt;" ",[1]!convnumberletter(E275)&amp;" Euros"," ")</f>
        <v xml:space="preserve">  Euros</v>
      </c>
    </row>
    <row r="276" spans="1:6" ht="24.6" customHeight="1" x14ac:dyDescent="0.3">
      <c r="A276" s="150" t="s">
        <v>642</v>
      </c>
      <c r="B276" s="50" t="s">
        <v>229</v>
      </c>
      <c r="C276" s="51" t="s">
        <v>181</v>
      </c>
      <c r="D276" s="87" t="s">
        <v>292</v>
      </c>
      <c r="E276" s="79">
        <v>0</v>
      </c>
      <c r="F276" s="52" t="str">
        <f>IF(E276&lt;&gt;" ",[1]!convnumberletter(E276)&amp;" Euros"," ")</f>
        <v xml:space="preserve">  Euros</v>
      </c>
    </row>
    <row r="277" spans="1:6" ht="18.600000000000001" customHeight="1" x14ac:dyDescent="0.3">
      <c r="A277" s="150" t="s">
        <v>643</v>
      </c>
      <c r="B277" s="50" t="s">
        <v>225</v>
      </c>
      <c r="C277" s="51" t="s">
        <v>181</v>
      </c>
      <c r="D277" s="87" t="s">
        <v>292</v>
      </c>
      <c r="E277" s="79">
        <v>0</v>
      </c>
      <c r="F277" s="52" t="str">
        <f>IF(E277&lt;&gt;" ",[1]!convnumberletter(E277)&amp;" Euros"," ")</f>
        <v xml:space="preserve">  Euros</v>
      </c>
    </row>
    <row r="278" spans="1:6" ht="18.600000000000001" customHeight="1" x14ac:dyDescent="0.3">
      <c r="A278" s="150" t="s">
        <v>644</v>
      </c>
      <c r="B278" s="50" t="s">
        <v>226</v>
      </c>
      <c r="C278" s="51" t="s">
        <v>181</v>
      </c>
      <c r="D278" s="87" t="s">
        <v>292</v>
      </c>
      <c r="E278" s="79">
        <v>0</v>
      </c>
      <c r="F278" s="52" t="str">
        <f>IF(E278&lt;&gt;" ",[1]!convnumberletter(E278)&amp;" Euros"," ")</f>
        <v xml:space="preserve">  Euros</v>
      </c>
    </row>
    <row r="279" spans="1:6" ht="18.600000000000001" customHeight="1" x14ac:dyDescent="0.3">
      <c r="A279" s="150" t="s">
        <v>645</v>
      </c>
      <c r="B279" s="50" t="s">
        <v>227</v>
      </c>
      <c r="C279" s="51" t="s">
        <v>181</v>
      </c>
      <c r="D279" s="87" t="s">
        <v>292</v>
      </c>
      <c r="E279" s="79">
        <v>0</v>
      </c>
      <c r="F279" s="52" t="str">
        <f>IF(E279&lt;&gt;" ",[1]!convnumberletter(E279)&amp;" Euros"," ")</f>
        <v xml:space="preserve">  Euros</v>
      </c>
    </row>
    <row r="280" spans="1:6" ht="18.600000000000001" customHeight="1" x14ac:dyDescent="0.3">
      <c r="A280" s="150" t="s">
        <v>646</v>
      </c>
      <c r="B280" s="50" t="s">
        <v>228</v>
      </c>
      <c r="C280" s="51" t="s">
        <v>181</v>
      </c>
      <c r="D280" s="87" t="s">
        <v>292</v>
      </c>
      <c r="E280" s="79">
        <v>0</v>
      </c>
      <c r="F280" s="52" t="str">
        <f>IF(E280&lt;&gt;" ",[1]!convnumberletter(E280)&amp;" Euros"," ")</f>
        <v xml:space="preserve">  Euros</v>
      </c>
    </row>
    <row r="281" spans="1:6" ht="18.600000000000001" customHeight="1" x14ac:dyDescent="0.3">
      <c r="A281" s="52" t="s">
        <v>647</v>
      </c>
      <c r="B281" s="46" t="s">
        <v>172</v>
      </c>
      <c r="C281" s="52"/>
      <c r="D281" s="87"/>
      <c r="E281" s="49"/>
      <c r="F281" s="52" t="str">
        <f>IF(E281&lt;&gt;" ",[1]!convnumberletter(E281)&amp;" Euros"," ")</f>
        <v xml:space="preserve">  Euros</v>
      </c>
    </row>
    <row r="282" spans="1:6" ht="18.600000000000001" customHeight="1" x14ac:dyDescent="0.3">
      <c r="A282" s="150" t="s">
        <v>648</v>
      </c>
      <c r="B282" s="50" t="s">
        <v>231</v>
      </c>
      <c r="C282" s="51" t="s">
        <v>181</v>
      </c>
      <c r="D282" s="87" t="s">
        <v>292</v>
      </c>
      <c r="E282" s="79">
        <v>0</v>
      </c>
      <c r="F282" s="52" t="str">
        <f>IF(E282&lt;&gt;" ",[1]!convnumberletter(E282)&amp;" Euros"," ")</f>
        <v xml:space="preserve">  Euros</v>
      </c>
    </row>
    <row r="283" spans="1:6" ht="18.600000000000001" customHeight="1" x14ac:dyDescent="0.3">
      <c r="A283" s="150" t="s">
        <v>649</v>
      </c>
      <c r="B283" s="50" t="s">
        <v>232</v>
      </c>
      <c r="C283" s="51" t="s">
        <v>181</v>
      </c>
      <c r="D283" s="87" t="s">
        <v>292</v>
      </c>
      <c r="E283" s="79">
        <v>0</v>
      </c>
      <c r="F283" s="52" t="str">
        <f>IF(E283&lt;&gt;" ",[1]!convnumberletter(E283)&amp;" Euros"," ")</f>
        <v xml:space="preserve">  Euros</v>
      </c>
    </row>
    <row r="284" spans="1:6" ht="28.2" customHeight="1" x14ac:dyDescent="0.3">
      <c r="A284" s="150" t="s">
        <v>650</v>
      </c>
      <c r="B284" s="50" t="s">
        <v>233</v>
      </c>
      <c r="C284" s="51" t="s">
        <v>181</v>
      </c>
      <c r="D284" s="87" t="s">
        <v>292</v>
      </c>
      <c r="E284" s="79">
        <v>0</v>
      </c>
      <c r="F284" s="52" t="str">
        <f>IF(E284&lt;&gt;" ",[1]!convnumberletter(E284)&amp;" Euros"," ")</f>
        <v xml:space="preserve">  Euros</v>
      </c>
    </row>
    <row r="285" spans="1:6" ht="18.600000000000001" customHeight="1" x14ac:dyDescent="0.3">
      <c r="A285" s="150" t="s">
        <v>651</v>
      </c>
      <c r="B285" s="50" t="s">
        <v>234</v>
      </c>
      <c r="C285" s="51" t="s">
        <v>181</v>
      </c>
      <c r="D285" s="87" t="s">
        <v>292</v>
      </c>
      <c r="E285" s="79">
        <v>0</v>
      </c>
      <c r="F285" s="52" t="str">
        <f>IF(E285&lt;&gt;" ",[1]!convnumberletter(E285)&amp;" Euros"," ")</f>
        <v xml:space="preserve">  Euros</v>
      </c>
    </row>
    <row r="286" spans="1:6" ht="18.600000000000001" customHeight="1" x14ac:dyDescent="0.3">
      <c r="A286" s="52" t="s">
        <v>652</v>
      </c>
      <c r="B286" s="46" t="s">
        <v>173</v>
      </c>
      <c r="C286" s="52"/>
      <c r="D286" s="87"/>
      <c r="E286" s="49"/>
      <c r="F286" s="52" t="str">
        <f>IF(E286&lt;&gt;" ",[1]!convnumberletter(E286)&amp;" Euros"," ")</f>
        <v xml:space="preserve">  Euros</v>
      </c>
    </row>
    <row r="287" spans="1:6" ht="18.600000000000001" customHeight="1" x14ac:dyDescent="0.3">
      <c r="A287" s="150" t="s">
        <v>653</v>
      </c>
      <c r="B287" s="50" t="s">
        <v>259</v>
      </c>
      <c r="C287" s="51" t="s">
        <v>181</v>
      </c>
      <c r="D287" s="87" t="s">
        <v>292</v>
      </c>
      <c r="E287" s="79">
        <v>0</v>
      </c>
      <c r="F287" s="52" t="str">
        <f>IF(E287&lt;&gt;" ",[1]!convnumberletter(E287)&amp;" Euros"," ")</f>
        <v xml:space="preserve">  Euros</v>
      </c>
    </row>
    <row r="288" spans="1:6" ht="18.600000000000001" customHeight="1" x14ac:dyDescent="0.3">
      <c r="A288" s="150" t="s">
        <v>654</v>
      </c>
      <c r="B288" s="50" t="s">
        <v>235</v>
      </c>
      <c r="C288" s="51" t="s">
        <v>181</v>
      </c>
      <c r="D288" s="87" t="s">
        <v>292</v>
      </c>
      <c r="E288" s="79">
        <v>0</v>
      </c>
      <c r="F288" s="52" t="str">
        <f>IF(E288&lt;&gt;" ",[1]!convnumberletter(E288)&amp;" Euros"," ")</f>
        <v xml:space="preserve">  Euros</v>
      </c>
    </row>
    <row r="289" spans="1:6" ht="18.600000000000001" customHeight="1" x14ac:dyDescent="0.3">
      <c r="A289" s="150" t="s">
        <v>655</v>
      </c>
      <c r="B289" s="50" t="s">
        <v>236</v>
      </c>
      <c r="C289" s="51" t="s">
        <v>181</v>
      </c>
      <c r="D289" s="87" t="s">
        <v>292</v>
      </c>
      <c r="E289" s="79">
        <v>0</v>
      </c>
      <c r="F289" s="52" t="str">
        <f>IF(E289&lt;&gt;" ",[1]!convnumberletter(E289)&amp;" Euros"," ")</f>
        <v xml:space="preserve">  Euros</v>
      </c>
    </row>
    <row r="290" spans="1:6" ht="18.600000000000001" customHeight="1" x14ac:dyDescent="0.3">
      <c r="A290" s="150" t="s">
        <v>656</v>
      </c>
      <c r="B290" s="50" t="s">
        <v>237</v>
      </c>
      <c r="C290" s="51" t="s">
        <v>181</v>
      </c>
      <c r="D290" s="87" t="s">
        <v>292</v>
      </c>
      <c r="E290" s="79">
        <v>0</v>
      </c>
      <c r="F290" s="52" t="str">
        <f>IF(E290&lt;&gt;" ",[1]!convnumberletter(E290)&amp;" Euros"," ")</f>
        <v xml:space="preserve">  Euros</v>
      </c>
    </row>
    <row r="291" spans="1:6" ht="18.600000000000001" customHeight="1" x14ac:dyDescent="0.3">
      <c r="A291" s="150" t="s">
        <v>657</v>
      </c>
      <c r="B291" s="50" t="s">
        <v>238</v>
      </c>
      <c r="C291" s="51" t="s">
        <v>181</v>
      </c>
      <c r="D291" s="87" t="s">
        <v>292</v>
      </c>
      <c r="E291" s="79">
        <v>0</v>
      </c>
      <c r="F291" s="52" t="str">
        <f>IF(E291&lt;&gt;" ",[1]!convnumberletter(E291)&amp;" Euros"," ")</f>
        <v xml:space="preserve">  Euros</v>
      </c>
    </row>
    <row r="292" spans="1:6" ht="18.600000000000001" customHeight="1" x14ac:dyDescent="0.3">
      <c r="A292" s="150" t="s">
        <v>658</v>
      </c>
      <c r="B292" s="50" t="s">
        <v>179</v>
      </c>
      <c r="C292" s="51" t="s">
        <v>181</v>
      </c>
      <c r="D292" s="87" t="s">
        <v>292</v>
      </c>
      <c r="E292" s="79">
        <v>0</v>
      </c>
      <c r="F292" s="52" t="str">
        <f>IF(E292&lt;&gt;" ",[1]!convnumberletter(E292)&amp;" Euros"," ")</f>
        <v xml:space="preserve">  Euros</v>
      </c>
    </row>
    <row r="293" spans="1:6" ht="18.600000000000001" customHeight="1" x14ac:dyDescent="0.3">
      <c r="A293" s="150" t="s">
        <v>659</v>
      </c>
      <c r="B293" s="50" t="s">
        <v>239</v>
      </c>
      <c r="C293" s="51" t="s">
        <v>181</v>
      </c>
      <c r="D293" s="87" t="s">
        <v>292</v>
      </c>
      <c r="E293" s="79">
        <v>0</v>
      </c>
      <c r="F293" s="52" t="str">
        <f>IF(E293&lt;&gt;" ",[1]!convnumberletter(E293)&amp;" Euros"," ")</f>
        <v xml:space="preserve">  Euros</v>
      </c>
    </row>
    <row r="294" spans="1:6" ht="18.600000000000001" customHeight="1" x14ac:dyDescent="0.3">
      <c r="A294" s="52" t="s">
        <v>660</v>
      </c>
      <c r="B294" s="46" t="s">
        <v>174</v>
      </c>
      <c r="C294" s="52"/>
      <c r="D294" s="87"/>
      <c r="E294" s="49"/>
      <c r="F294" s="52" t="str">
        <f>IF(E294&lt;&gt;" ",[1]!convnumberletter(E294)&amp;" Euros"," ")</f>
        <v xml:space="preserve">  Euros</v>
      </c>
    </row>
    <row r="295" spans="1:6" ht="18.600000000000001" customHeight="1" x14ac:dyDescent="0.3">
      <c r="A295" s="150" t="s">
        <v>661</v>
      </c>
      <c r="B295" s="50" t="s">
        <v>240</v>
      </c>
      <c r="C295" s="51" t="s">
        <v>181</v>
      </c>
      <c r="D295" s="87" t="s">
        <v>292</v>
      </c>
      <c r="E295" s="79">
        <v>0</v>
      </c>
      <c r="F295" s="52" t="str">
        <f>IF(E295&lt;&gt;" ",[1]!convnumberletter(E295)&amp;" Euros"," ")</f>
        <v xml:space="preserve">  Euros</v>
      </c>
    </row>
    <row r="296" spans="1:6" ht="18.600000000000001" customHeight="1" x14ac:dyDescent="0.3">
      <c r="A296" s="150" t="s">
        <v>662</v>
      </c>
      <c r="B296" s="50" t="s">
        <v>241</v>
      </c>
      <c r="C296" s="51" t="s">
        <v>181</v>
      </c>
      <c r="D296" s="87" t="s">
        <v>292</v>
      </c>
      <c r="E296" s="79">
        <v>0</v>
      </c>
      <c r="F296" s="52" t="str">
        <f>IF(E296&lt;&gt;" ",[1]!convnumberletter(E296)&amp;" Euros"," ")</f>
        <v xml:space="preserve">  Euros</v>
      </c>
    </row>
    <row r="297" spans="1:6" ht="18.600000000000001" customHeight="1" x14ac:dyDescent="0.3">
      <c r="A297" s="150" t="s">
        <v>663</v>
      </c>
      <c r="B297" s="50" t="s">
        <v>242</v>
      </c>
      <c r="C297" s="51" t="s">
        <v>181</v>
      </c>
      <c r="D297" s="87" t="s">
        <v>292</v>
      </c>
      <c r="E297" s="79">
        <v>0</v>
      </c>
      <c r="F297" s="52" t="str">
        <f>IF(E297&lt;&gt;" ",[1]!convnumberletter(E297)&amp;" Euros"," ")</f>
        <v xml:space="preserve">  Euros</v>
      </c>
    </row>
    <row r="298" spans="1:6" ht="18.600000000000001" customHeight="1" x14ac:dyDescent="0.3">
      <c r="A298" s="150" t="s">
        <v>664</v>
      </c>
      <c r="B298" s="50" t="s">
        <v>243</v>
      </c>
      <c r="C298" s="51" t="s">
        <v>181</v>
      </c>
      <c r="D298" s="87" t="s">
        <v>292</v>
      </c>
      <c r="E298" s="79">
        <v>0</v>
      </c>
      <c r="F298" s="52" t="str">
        <f>IF(E298&lt;&gt;" ",[1]!convnumberletter(E298)&amp;" Euros"," ")</f>
        <v xml:space="preserve">  Euros</v>
      </c>
    </row>
    <row r="299" spans="1:6" ht="18.600000000000001" customHeight="1" x14ac:dyDescent="0.3">
      <c r="A299" s="150" t="s">
        <v>665</v>
      </c>
      <c r="B299" s="50" t="s">
        <v>244</v>
      </c>
      <c r="C299" s="51" t="s">
        <v>181</v>
      </c>
      <c r="D299" s="87" t="s">
        <v>292</v>
      </c>
      <c r="E299" s="79">
        <v>0</v>
      </c>
      <c r="F299" s="52" t="str">
        <f>IF(E299&lt;&gt;" ",[1]!convnumberletter(E299)&amp;" Euros"," ")</f>
        <v xml:space="preserve">  Euros</v>
      </c>
    </row>
    <row r="300" spans="1:6" ht="18.600000000000001" customHeight="1" x14ac:dyDescent="0.3">
      <c r="A300" s="150" t="s">
        <v>666</v>
      </c>
      <c r="B300" s="50" t="s">
        <v>245</v>
      </c>
      <c r="C300" s="51" t="s">
        <v>181</v>
      </c>
      <c r="D300" s="87" t="s">
        <v>292</v>
      </c>
      <c r="E300" s="79">
        <v>0</v>
      </c>
      <c r="F300" s="52" t="str">
        <f>IF(E300&lt;&gt;" ",[1]!convnumberletter(E300)&amp;" Euros"," ")</f>
        <v xml:space="preserve">  Euros</v>
      </c>
    </row>
    <row r="301" spans="1:6" ht="18.600000000000001" customHeight="1" x14ac:dyDescent="0.3">
      <c r="A301" s="150" t="s">
        <v>667</v>
      </c>
      <c r="B301" s="50" t="s">
        <v>246</v>
      </c>
      <c r="C301" s="51" t="s">
        <v>181</v>
      </c>
      <c r="D301" s="87" t="s">
        <v>292</v>
      </c>
      <c r="E301" s="79">
        <v>0</v>
      </c>
      <c r="F301" s="52" t="str">
        <f>IF(E301&lt;&gt;" ",[1]!convnumberletter(E301)&amp;" Euros"," ")</f>
        <v xml:space="preserve">  Euros</v>
      </c>
    </row>
    <row r="302" spans="1:6" ht="18.600000000000001" customHeight="1" x14ac:dyDescent="0.3">
      <c r="A302" s="150" t="s">
        <v>668</v>
      </c>
      <c r="B302" s="50" t="s">
        <v>247</v>
      </c>
      <c r="C302" s="51" t="s">
        <v>181</v>
      </c>
      <c r="D302" s="87" t="s">
        <v>292</v>
      </c>
      <c r="E302" s="79">
        <v>0</v>
      </c>
      <c r="F302" s="52" t="str">
        <f>IF(E302&lt;&gt;" ",[1]!convnumberletter(E302)&amp;" Euros"," ")</f>
        <v xml:space="preserve">  Euros</v>
      </c>
    </row>
    <row r="303" spans="1:6" ht="18.600000000000001" customHeight="1" x14ac:dyDescent="0.3">
      <c r="A303" s="150" t="s">
        <v>669</v>
      </c>
      <c r="B303" s="50" t="s">
        <v>194</v>
      </c>
      <c r="C303" s="51" t="s">
        <v>181</v>
      </c>
      <c r="D303" s="87" t="s">
        <v>292</v>
      </c>
      <c r="E303" s="79">
        <v>0</v>
      </c>
      <c r="F303" s="52" t="str">
        <f>IF(E303&lt;&gt;" ",[1]!convnumberletter(E303)&amp;" Euros"," ")</f>
        <v xml:space="preserve">  Euros</v>
      </c>
    </row>
    <row r="304" spans="1:6" ht="18.600000000000001" customHeight="1" x14ac:dyDescent="0.3">
      <c r="A304" s="52" t="s">
        <v>670</v>
      </c>
      <c r="B304" s="46" t="s">
        <v>175</v>
      </c>
      <c r="C304" s="52"/>
      <c r="D304" s="87"/>
      <c r="E304" s="49"/>
      <c r="F304" s="52" t="str">
        <f>IF(E304&lt;&gt;" ",[1]!convnumberletter(E304)&amp;" Euros"," ")</f>
        <v xml:space="preserve">  Euros</v>
      </c>
    </row>
    <row r="305" spans="1:6" ht="18.600000000000001" customHeight="1" x14ac:dyDescent="0.3">
      <c r="A305" s="150" t="s">
        <v>671</v>
      </c>
      <c r="B305" s="50" t="s">
        <v>180</v>
      </c>
      <c r="C305" s="51" t="s">
        <v>181</v>
      </c>
      <c r="D305" s="87" t="s">
        <v>292</v>
      </c>
      <c r="E305" s="49">
        <v>0</v>
      </c>
      <c r="F305" s="52" t="str">
        <f>IF(E305&lt;&gt;" ",[1]!convnumberletter(E305)&amp;" Euros"," ")</f>
        <v xml:space="preserve">  Euros</v>
      </c>
    </row>
    <row r="306" spans="1:6" ht="18.600000000000001" customHeight="1" x14ac:dyDescent="0.3">
      <c r="A306" s="52" t="s">
        <v>672</v>
      </c>
      <c r="B306" s="46" t="s">
        <v>176</v>
      </c>
      <c r="C306" s="52"/>
      <c r="D306" s="87"/>
      <c r="E306" s="49"/>
      <c r="F306" s="52" t="str">
        <f>IF(E306&lt;&gt;" ",[1]!convnumberletter(E306)&amp;" Euros"," ")</f>
        <v xml:space="preserve">  Euros</v>
      </c>
    </row>
    <row r="307" spans="1:6" ht="18.600000000000001" customHeight="1" x14ac:dyDescent="0.3">
      <c r="A307" s="150" t="s">
        <v>673</v>
      </c>
      <c r="B307" s="50" t="s">
        <v>257</v>
      </c>
      <c r="C307" s="51" t="s">
        <v>181</v>
      </c>
      <c r="D307" s="87" t="s">
        <v>292</v>
      </c>
      <c r="E307" s="49">
        <v>0</v>
      </c>
      <c r="F307" s="52" t="str">
        <f>IF(E307&lt;&gt;" ",[1]!convnumberletter(E307)&amp;" Euros"," ")</f>
        <v xml:space="preserve">  Euros</v>
      </c>
    </row>
    <row r="308" spans="1:6" ht="18.600000000000001" customHeight="1" x14ac:dyDescent="0.3">
      <c r="A308" s="150" t="s">
        <v>674</v>
      </c>
      <c r="B308" s="50" t="s">
        <v>253</v>
      </c>
      <c r="C308" s="51" t="s">
        <v>17</v>
      </c>
      <c r="D308" s="87" t="s">
        <v>292</v>
      </c>
      <c r="E308" s="49">
        <v>0</v>
      </c>
      <c r="F308" s="52" t="str">
        <f>IF(E308&lt;&gt;" ",[1]!convnumberletter(E308)&amp;" Euros"," ")</f>
        <v xml:space="preserve">  Euros</v>
      </c>
    </row>
    <row r="309" spans="1:6" ht="18.600000000000001" customHeight="1" x14ac:dyDescent="0.3">
      <c r="A309" s="150" t="s">
        <v>675</v>
      </c>
      <c r="B309" s="50" t="s">
        <v>252</v>
      </c>
      <c r="C309" s="51" t="s">
        <v>17</v>
      </c>
      <c r="D309" s="87" t="s">
        <v>292</v>
      </c>
      <c r="E309" s="49">
        <v>0</v>
      </c>
      <c r="F309" s="52" t="str">
        <f>IF(E309&lt;&gt;" ",[1]!convnumberletter(E309)&amp;" Euros"," ")</f>
        <v xml:space="preserve">  Euros</v>
      </c>
    </row>
    <row r="310" spans="1:6" ht="18.600000000000001" customHeight="1" x14ac:dyDescent="0.3">
      <c r="A310" s="150" t="s">
        <v>676</v>
      </c>
      <c r="B310" s="50" t="s">
        <v>254</v>
      </c>
      <c r="C310" s="51" t="s">
        <v>17</v>
      </c>
      <c r="D310" s="87" t="s">
        <v>292</v>
      </c>
      <c r="E310" s="49">
        <v>0</v>
      </c>
      <c r="F310" s="52" t="str">
        <f>IF(E310&lt;&gt;" ",[1]!convnumberletter(E310)&amp;" Euros"," ")</f>
        <v xml:space="preserve">  Euros</v>
      </c>
    </row>
    <row r="311" spans="1:6" ht="18.600000000000001" customHeight="1" x14ac:dyDescent="0.3">
      <c r="A311" s="150" t="s">
        <v>677</v>
      </c>
      <c r="B311" s="50" t="s">
        <v>255</v>
      </c>
      <c r="C311" s="51" t="s">
        <v>17</v>
      </c>
      <c r="D311" s="87" t="s">
        <v>292</v>
      </c>
      <c r="E311" s="49">
        <v>0</v>
      </c>
      <c r="F311" s="52" t="str">
        <f>IF(E311&lt;&gt;" ",[1]!convnumberletter(E311)&amp;" Euros"," ")</f>
        <v xml:space="preserve">  Euros</v>
      </c>
    </row>
    <row r="312" spans="1:6" ht="28.8" customHeight="1" x14ac:dyDescent="0.3">
      <c r="A312" s="150" t="s">
        <v>678</v>
      </c>
      <c r="B312" s="50" t="s">
        <v>251</v>
      </c>
      <c r="C312" s="51" t="s">
        <v>17</v>
      </c>
      <c r="D312" s="87" t="s">
        <v>292</v>
      </c>
      <c r="E312" s="49">
        <v>0</v>
      </c>
      <c r="F312" s="52" t="str">
        <f>IF(E312&lt;&gt;" ",[1]!convnumberletter(E312)&amp;" Euros"," ")</f>
        <v xml:space="preserve">  Euros</v>
      </c>
    </row>
    <row r="313" spans="1:6" x14ac:dyDescent="0.3">
      <c r="A313" s="150" t="s">
        <v>679</v>
      </c>
      <c r="B313" s="50" t="s">
        <v>256</v>
      </c>
      <c r="C313" s="51" t="s">
        <v>181</v>
      </c>
      <c r="D313" s="87" t="s">
        <v>292</v>
      </c>
      <c r="E313" s="49">
        <v>0</v>
      </c>
      <c r="F313" s="52" t="str">
        <f>IF(E313&lt;&gt;" ",[1]!convnumberletter(E313)&amp;" Euros"," ")</f>
        <v xml:space="preserve">  Euros</v>
      </c>
    </row>
    <row r="314" spans="1:6" x14ac:dyDescent="0.3">
      <c r="A314" s="150" t="s">
        <v>680</v>
      </c>
      <c r="B314" s="50" t="s">
        <v>258</v>
      </c>
      <c r="C314" s="51" t="s">
        <v>17</v>
      </c>
      <c r="D314" s="87" t="s">
        <v>292</v>
      </c>
      <c r="E314" s="49">
        <v>0</v>
      </c>
      <c r="F314" s="52" t="str">
        <f>IF(E314&lt;&gt;" ",[1]!convnumberletter(E314)&amp;" Euros"," ")</f>
        <v xml:space="preserve">  Euros</v>
      </c>
    </row>
    <row r="315" spans="1:6" ht="18.600000000000001" customHeight="1" x14ac:dyDescent="0.3">
      <c r="A315" s="150" t="s">
        <v>681</v>
      </c>
      <c r="B315" s="50" t="s">
        <v>193</v>
      </c>
      <c r="C315" s="51" t="s">
        <v>181</v>
      </c>
      <c r="D315" s="87" t="s">
        <v>292</v>
      </c>
      <c r="E315" s="49">
        <v>0</v>
      </c>
      <c r="F315" s="52" t="str">
        <f>IF(E315&lt;&gt;" ",[1]!convnumberletter(E315)&amp;" Euros"," ")</f>
        <v xml:space="preserve">  Euros</v>
      </c>
    </row>
    <row r="316" spans="1:6" x14ac:dyDescent="0.3">
      <c r="A316" s="150" t="s">
        <v>682</v>
      </c>
      <c r="B316" s="50" t="s">
        <v>192</v>
      </c>
      <c r="C316" s="51" t="s">
        <v>181</v>
      </c>
      <c r="D316" s="87" t="s">
        <v>292</v>
      </c>
      <c r="E316" s="49">
        <v>0</v>
      </c>
      <c r="F316" s="52" t="str">
        <f>IF(E316&lt;&gt;" ",[1]!convnumberletter(E316)&amp;" Euros"," ")</f>
        <v xml:space="preserve">  Euros</v>
      </c>
    </row>
    <row r="317" spans="1:6" ht="28.8" x14ac:dyDescent="0.3">
      <c r="A317" s="150" t="s">
        <v>683</v>
      </c>
      <c r="B317" s="50" t="s">
        <v>260</v>
      </c>
      <c r="C317" s="51" t="s">
        <v>181</v>
      </c>
      <c r="D317" s="87" t="s">
        <v>292</v>
      </c>
      <c r="E317" s="49">
        <v>0</v>
      </c>
      <c r="F317" s="52" t="str">
        <f>IF(E317&lt;&gt;" ",[1]!convnumberletter(E317)&amp;" Euros"," ")</f>
        <v xml:space="preserve">  Euros</v>
      </c>
    </row>
    <row r="318" spans="1:6" ht="18.600000000000001" customHeight="1" x14ac:dyDescent="0.3">
      <c r="A318" s="52" t="s">
        <v>684</v>
      </c>
      <c r="B318" s="46" t="s">
        <v>177</v>
      </c>
      <c r="C318" s="52"/>
      <c r="D318" s="87"/>
      <c r="E318" s="49"/>
      <c r="F318" s="52" t="str">
        <f>IF(E318&lt;&gt;" ",[1]!convnumberletter(E318)&amp;" Euros"," ")</f>
        <v xml:space="preserve">  Euros</v>
      </c>
    </row>
    <row r="319" spans="1:6" x14ac:dyDescent="0.3">
      <c r="A319" s="150" t="s">
        <v>685</v>
      </c>
      <c r="B319" s="50" t="s">
        <v>182</v>
      </c>
      <c r="C319" s="51" t="s">
        <v>181</v>
      </c>
      <c r="D319" s="87" t="s">
        <v>292</v>
      </c>
      <c r="E319" s="49">
        <v>0</v>
      </c>
      <c r="F319" s="52" t="str">
        <f>IF(E319&lt;&gt;" ",[1]!convnumberletter(E319)&amp;" Euros"," ")</f>
        <v xml:space="preserve">  Euros</v>
      </c>
    </row>
    <row r="320" spans="1:6" x14ac:dyDescent="0.3">
      <c r="A320" s="150" t="s">
        <v>686</v>
      </c>
      <c r="B320" s="50" t="s">
        <v>403</v>
      </c>
      <c r="C320" s="51" t="s">
        <v>181</v>
      </c>
      <c r="D320" s="87" t="s">
        <v>292</v>
      </c>
      <c r="E320" s="49">
        <v>0</v>
      </c>
      <c r="F320" s="52" t="str">
        <f>IF(E320&lt;&gt;" ",[1]!convnumberletter(E320)&amp;" Euros"," ")</f>
        <v xml:space="preserve">  Euros</v>
      </c>
    </row>
    <row r="321" spans="1:6" x14ac:dyDescent="0.3">
      <c r="A321" s="150" t="s">
        <v>687</v>
      </c>
      <c r="B321" s="50" t="s">
        <v>183</v>
      </c>
      <c r="C321" s="51" t="s">
        <v>181</v>
      </c>
      <c r="D321" s="87" t="s">
        <v>292</v>
      </c>
      <c r="E321" s="49">
        <v>0</v>
      </c>
      <c r="F321" s="52" t="str">
        <f>IF(E321&lt;&gt;" ",[1]!convnumberletter(E321)&amp;" Euros"," ")</f>
        <v xml:space="preserve">  Euros</v>
      </c>
    </row>
    <row r="322" spans="1:6" x14ac:dyDescent="0.3">
      <c r="A322" s="150" t="s">
        <v>688</v>
      </c>
      <c r="B322" s="50" t="s">
        <v>184</v>
      </c>
      <c r="C322" s="51" t="s">
        <v>181</v>
      </c>
      <c r="D322" s="87" t="s">
        <v>292</v>
      </c>
      <c r="E322" s="49">
        <v>0</v>
      </c>
      <c r="F322" s="52" t="str">
        <f>IF(E322&lt;&gt;" ",[1]!convnumberletter(E322)&amp;" Euros"," ")</f>
        <v xml:space="preserve">  Euros</v>
      </c>
    </row>
    <row r="323" spans="1:6" x14ac:dyDescent="0.3">
      <c r="A323" s="150" t="s">
        <v>689</v>
      </c>
      <c r="B323" s="50" t="s">
        <v>185</v>
      </c>
      <c r="C323" s="51" t="s">
        <v>181</v>
      </c>
      <c r="D323" s="87" t="s">
        <v>292</v>
      </c>
      <c r="E323" s="49">
        <v>0</v>
      </c>
      <c r="F323" s="52" t="str">
        <f>IF(E323&lt;&gt;" ",[1]!convnumberletter(E323)&amp;" Euros"," ")</f>
        <v xml:space="preserve">  Euros</v>
      </c>
    </row>
    <row r="324" spans="1:6" ht="16.8" customHeight="1" x14ac:dyDescent="0.3">
      <c r="A324" s="52"/>
      <c r="B324" s="50"/>
      <c r="C324" s="51"/>
      <c r="D324" s="87"/>
      <c r="E324" s="49"/>
      <c r="F324" s="52"/>
    </row>
    <row r="325" spans="1:6" s="58" customFormat="1" ht="16.8" customHeight="1" x14ac:dyDescent="0.3">
      <c r="A325" s="70" t="s">
        <v>22</v>
      </c>
      <c r="B325" s="70" t="s">
        <v>44</v>
      </c>
      <c r="C325" s="52"/>
      <c r="D325" s="87"/>
      <c r="E325" s="49"/>
      <c r="F325" s="52" t="str">
        <f>IF(E325&lt;&gt;" ",[1]!convnumberletter(E325)&amp;" Euros"," ")</f>
        <v xml:space="preserve">  Euros</v>
      </c>
    </row>
    <row r="326" spans="1:6" ht="18.600000000000001" customHeight="1" x14ac:dyDescent="0.3">
      <c r="A326" s="52" t="s">
        <v>45</v>
      </c>
      <c r="B326" s="46" t="s">
        <v>161</v>
      </c>
      <c r="C326" s="52"/>
      <c r="D326" s="87"/>
      <c r="E326" s="49"/>
      <c r="F326" s="52" t="str">
        <f>IF(E326&lt;&gt;" ",[1]!convnumberletter(E326)&amp;" Euros"," ")</f>
        <v xml:space="preserve">  Euros</v>
      </c>
    </row>
    <row r="327" spans="1:6" ht="28.8" customHeight="1" x14ac:dyDescent="0.3">
      <c r="A327" s="151" t="s">
        <v>690</v>
      </c>
      <c r="B327" s="153" t="s">
        <v>1308</v>
      </c>
      <c r="C327" s="51" t="s">
        <v>181</v>
      </c>
      <c r="D327" s="87" t="s">
        <v>292</v>
      </c>
      <c r="E327" s="49">
        <v>0</v>
      </c>
      <c r="F327" s="52" t="str">
        <f>IF(E327&lt;&gt;" ",[1]!convnumberletter(E327)&amp;" Euros"," ")</f>
        <v xml:space="preserve">  Euros</v>
      </c>
    </row>
    <row r="328" spans="1:6" ht="18.600000000000001" customHeight="1" x14ac:dyDescent="0.3">
      <c r="A328" s="151" t="s">
        <v>691</v>
      </c>
      <c r="B328" s="154" t="s">
        <v>1287</v>
      </c>
      <c r="C328" s="51" t="s">
        <v>17</v>
      </c>
      <c r="D328" s="87" t="s">
        <v>292</v>
      </c>
      <c r="E328" s="49">
        <v>0</v>
      </c>
      <c r="F328" s="52" t="str">
        <f>IF(E328&lt;&gt;" ",[1]!convnumberletter(E328)&amp;" Euros"," ")</f>
        <v xml:space="preserve">  Euros</v>
      </c>
    </row>
    <row r="329" spans="1:6" ht="18.600000000000001" customHeight="1" x14ac:dyDescent="0.3">
      <c r="A329" s="151" t="s">
        <v>692</v>
      </c>
      <c r="B329" s="52" t="s">
        <v>210</v>
      </c>
      <c r="C329" s="51" t="s">
        <v>197</v>
      </c>
      <c r="D329" s="87" t="s">
        <v>292</v>
      </c>
      <c r="E329" s="49">
        <v>0</v>
      </c>
      <c r="F329" s="52" t="str">
        <f>IF(E329&lt;&gt;" ",[1]!convnumberletter(E329)&amp;" Euros"," ")</f>
        <v xml:space="preserve">  Euros</v>
      </c>
    </row>
    <row r="330" spans="1:6" ht="18.600000000000001" customHeight="1" x14ac:dyDescent="0.3">
      <c r="A330" s="151" t="s">
        <v>693</v>
      </c>
      <c r="B330" s="52" t="s">
        <v>209</v>
      </c>
      <c r="C330" s="51" t="s">
        <v>197</v>
      </c>
      <c r="D330" s="87" t="s">
        <v>292</v>
      </c>
      <c r="E330" s="49">
        <v>0</v>
      </c>
      <c r="F330" s="52" t="str">
        <f>IF(E330&lt;&gt;" ",[1]!convnumberletter(E330)&amp;" Euros"," ")</f>
        <v xml:space="preserve">  Euros</v>
      </c>
    </row>
    <row r="331" spans="1:6" ht="18.600000000000001" customHeight="1" x14ac:dyDescent="0.3">
      <c r="A331" s="151" t="s">
        <v>694</v>
      </c>
      <c r="B331" s="154" t="s">
        <v>1288</v>
      </c>
      <c r="C331" s="51" t="s">
        <v>181</v>
      </c>
      <c r="D331" s="87" t="s">
        <v>292</v>
      </c>
      <c r="E331" s="49">
        <v>0</v>
      </c>
      <c r="F331" s="52" t="str">
        <f>IF(E331&lt;&gt;" ",[1]!convnumberletter(E331)&amp;" Euros"," ")</f>
        <v xml:space="preserve">  Euros</v>
      </c>
    </row>
    <row r="332" spans="1:6" ht="18.600000000000001" customHeight="1" x14ac:dyDescent="0.3">
      <c r="A332" s="151" t="s">
        <v>695</v>
      </c>
      <c r="B332" s="52" t="s">
        <v>293</v>
      </c>
      <c r="C332" s="51" t="s">
        <v>181</v>
      </c>
      <c r="D332" s="87" t="s">
        <v>292</v>
      </c>
      <c r="E332" s="49">
        <v>0</v>
      </c>
      <c r="F332" s="52" t="str">
        <f>IF(E332&lt;&gt;" ",[1]!convnumberletter(E332)&amp;" Euros"," ")</f>
        <v xml:space="preserve">  Euros</v>
      </c>
    </row>
    <row r="333" spans="1:6" ht="28.2" customHeight="1" x14ac:dyDescent="0.3">
      <c r="A333" s="151" t="s">
        <v>696</v>
      </c>
      <c r="B333" s="61" t="s">
        <v>198</v>
      </c>
      <c r="C333" s="51" t="s">
        <v>79</v>
      </c>
      <c r="D333" s="87" t="s">
        <v>158</v>
      </c>
      <c r="E333" s="49">
        <v>0</v>
      </c>
      <c r="F333" s="52" t="str">
        <f>IF(E333&lt;&gt;" ",[1]!convnumberletter(E333)&amp;" Euros"," ")</f>
        <v xml:space="preserve">  Euros</v>
      </c>
    </row>
    <row r="334" spans="1:6" ht="18.600000000000001" customHeight="1" x14ac:dyDescent="0.3">
      <c r="A334" s="52" t="s">
        <v>139</v>
      </c>
      <c r="B334" s="46" t="s">
        <v>208</v>
      </c>
      <c r="C334" s="51"/>
      <c r="D334" s="87"/>
      <c r="E334" s="49"/>
      <c r="F334" s="52" t="str">
        <f>IF(E334&lt;&gt;" ",[1]!convnumberletter(E334)&amp;" Euros"," ")</f>
        <v xml:space="preserve">  Euros</v>
      </c>
    </row>
    <row r="335" spans="1:6" x14ac:dyDescent="0.3">
      <c r="A335" s="150" t="s">
        <v>697</v>
      </c>
      <c r="B335" s="52" t="s">
        <v>211</v>
      </c>
      <c r="C335" s="51" t="s">
        <v>230</v>
      </c>
      <c r="D335" s="87" t="s">
        <v>292</v>
      </c>
      <c r="E335" s="49">
        <v>0</v>
      </c>
      <c r="F335" s="52" t="str">
        <f>IF(E335&lt;&gt;" ",[1]!convnumberletter(E335)&amp;" Euros"," ")</f>
        <v xml:space="preserve">  Euros</v>
      </c>
    </row>
    <row r="336" spans="1:6" x14ac:dyDescent="0.3">
      <c r="A336" s="150" t="s">
        <v>698</v>
      </c>
      <c r="B336" s="52" t="s">
        <v>212</v>
      </c>
      <c r="C336" s="51" t="s">
        <v>230</v>
      </c>
      <c r="D336" s="87" t="s">
        <v>292</v>
      </c>
      <c r="E336" s="49">
        <v>0</v>
      </c>
      <c r="F336" s="52" t="str">
        <f>IF(E336&lt;&gt;" ",[1]!convnumberletter(E336)&amp;" Euros"," ")</f>
        <v xml:space="preserve">  Euros</v>
      </c>
    </row>
    <row r="337" spans="1:6" ht="18.600000000000001" customHeight="1" x14ac:dyDescent="0.3">
      <c r="A337" s="52" t="s">
        <v>699</v>
      </c>
      <c r="B337" s="46" t="s">
        <v>168</v>
      </c>
      <c r="C337" s="52"/>
      <c r="D337" s="87"/>
      <c r="E337" s="49"/>
      <c r="F337" s="52" t="str">
        <f>IF(E337&lt;&gt;" ",[1]!convnumberletter(E337)&amp;" Euros"," ")</f>
        <v xml:space="preserve">  Euros</v>
      </c>
    </row>
    <row r="338" spans="1:6" s="65" customFormat="1" x14ac:dyDescent="0.3">
      <c r="A338" s="150" t="s">
        <v>700</v>
      </c>
      <c r="B338" s="50" t="s">
        <v>213</v>
      </c>
      <c r="C338" s="51" t="s">
        <v>230</v>
      </c>
      <c r="D338" s="88" t="s">
        <v>292</v>
      </c>
      <c r="E338" s="80">
        <v>0</v>
      </c>
      <c r="F338" s="52" t="str">
        <f>IF(E338&lt;&gt;" ",[1]!convnumberletter(E338)&amp;" Euros"," ")</f>
        <v xml:space="preserve">  Euros</v>
      </c>
    </row>
    <row r="339" spans="1:6" s="65" customFormat="1" x14ac:dyDescent="0.3">
      <c r="A339" s="150" t="s">
        <v>701</v>
      </c>
      <c r="B339" s="50" t="s">
        <v>187</v>
      </c>
      <c r="C339" s="51" t="s">
        <v>230</v>
      </c>
      <c r="D339" s="88" t="s">
        <v>292</v>
      </c>
      <c r="E339" s="80">
        <v>0</v>
      </c>
      <c r="F339" s="52" t="str">
        <f>IF(E339&lt;&gt;" ",[1]!convnumberletter(E339)&amp;" Euros"," ")</f>
        <v xml:space="preserve">  Euros</v>
      </c>
    </row>
    <row r="340" spans="1:6" s="65" customFormat="1" x14ac:dyDescent="0.3">
      <c r="A340" s="150" t="s">
        <v>702</v>
      </c>
      <c r="B340" s="50" t="s">
        <v>214</v>
      </c>
      <c r="C340" s="51" t="s">
        <v>230</v>
      </c>
      <c r="D340" s="88" t="s">
        <v>292</v>
      </c>
      <c r="E340" s="80">
        <v>0</v>
      </c>
      <c r="F340" s="52" t="str">
        <f>IF(E340&lt;&gt;" ",[1]!convnumberletter(E340)&amp;" Euros"," ")</f>
        <v xml:space="preserve">  Euros</v>
      </c>
    </row>
    <row r="341" spans="1:6" s="65" customFormat="1" ht="33" customHeight="1" x14ac:dyDescent="0.3">
      <c r="A341" s="150" t="s">
        <v>703</v>
      </c>
      <c r="B341" s="50" t="s">
        <v>215</v>
      </c>
      <c r="C341" s="51" t="s">
        <v>230</v>
      </c>
      <c r="D341" s="88" t="s">
        <v>292</v>
      </c>
      <c r="E341" s="80">
        <v>0</v>
      </c>
      <c r="F341" s="52" t="str">
        <f>IF(E341&lt;&gt;" ",[1]!convnumberletter(E341)&amp;" Euros"," ")</f>
        <v xml:space="preserve">  Euros</v>
      </c>
    </row>
    <row r="342" spans="1:6" ht="18.600000000000001" customHeight="1" x14ac:dyDescent="0.3">
      <c r="A342" s="52" t="s">
        <v>704</v>
      </c>
      <c r="B342" s="46" t="s">
        <v>169</v>
      </c>
      <c r="C342" s="52"/>
      <c r="D342" s="87"/>
      <c r="E342" s="49"/>
      <c r="F342" s="52" t="str">
        <f>IF(E342&lt;&gt;" ",[1]!convnumberletter(E342)&amp;" Euros"," ")</f>
        <v xml:space="preserve">  Euros</v>
      </c>
    </row>
    <row r="343" spans="1:6" ht="18.600000000000001" customHeight="1" x14ac:dyDescent="0.3">
      <c r="A343" s="150" t="s">
        <v>705</v>
      </c>
      <c r="B343" s="50" t="s">
        <v>216</v>
      </c>
      <c r="C343" s="51" t="s">
        <v>230</v>
      </c>
      <c r="D343" s="87" t="s">
        <v>292</v>
      </c>
      <c r="E343" s="79">
        <v>0</v>
      </c>
      <c r="F343" s="52" t="str">
        <f>IF(E343&lt;&gt;" ",[1]!convnumberletter(E343)&amp;" Euros"," ")</f>
        <v xml:space="preserve">  Euros</v>
      </c>
    </row>
    <row r="344" spans="1:6" ht="18.600000000000001" customHeight="1" x14ac:dyDescent="0.3">
      <c r="A344" s="150" t="s">
        <v>706</v>
      </c>
      <c r="B344" s="50" t="s">
        <v>217</v>
      </c>
      <c r="C344" s="51" t="s">
        <v>230</v>
      </c>
      <c r="D344" s="87" t="s">
        <v>292</v>
      </c>
      <c r="E344" s="79">
        <v>0</v>
      </c>
      <c r="F344" s="52" t="str">
        <f>IF(E344&lt;&gt;" ",[1]!convnumberletter(E344)&amp;" Euros"," ")</f>
        <v xml:space="preserve">  Euros</v>
      </c>
    </row>
    <row r="345" spans="1:6" ht="18.600000000000001" customHeight="1" x14ac:dyDescent="0.3">
      <c r="A345" s="150" t="s">
        <v>707</v>
      </c>
      <c r="B345" s="50" t="s">
        <v>218</v>
      </c>
      <c r="C345" s="51" t="s">
        <v>230</v>
      </c>
      <c r="D345" s="87" t="s">
        <v>292</v>
      </c>
      <c r="E345" s="79">
        <v>0</v>
      </c>
      <c r="F345" s="52" t="str">
        <f>IF(E345&lt;&gt;" ",[1]!convnumberletter(E345)&amp;" Euros"," ")</f>
        <v xml:space="preserve">  Euros</v>
      </c>
    </row>
    <row r="346" spans="1:6" ht="18.600000000000001" customHeight="1" x14ac:dyDescent="0.3">
      <c r="A346" s="150" t="s">
        <v>708</v>
      </c>
      <c r="B346" s="50" t="s">
        <v>219</v>
      </c>
      <c r="C346" s="51" t="s">
        <v>230</v>
      </c>
      <c r="D346" s="87" t="s">
        <v>292</v>
      </c>
      <c r="E346" s="79">
        <v>0</v>
      </c>
      <c r="F346" s="52" t="str">
        <f>IF(E346&lt;&gt;" ",[1]!convnumberletter(E346)&amp;" Euros"," ")</f>
        <v xml:space="preserve">  Euros</v>
      </c>
    </row>
    <row r="347" spans="1:6" ht="18.600000000000001" customHeight="1" x14ac:dyDescent="0.3">
      <c r="A347" s="150" t="s">
        <v>709</v>
      </c>
      <c r="B347" s="50" t="s">
        <v>220</v>
      </c>
      <c r="C347" s="51" t="s">
        <v>230</v>
      </c>
      <c r="D347" s="87" t="s">
        <v>292</v>
      </c>
      <c r="E347" s="79">
        <v>0</v>
      </c>
      <c r="F347" s="52" t="str">
        <f>IF(E347&lt;&gt;" ",[1]!convnumberletter(E347)&amp;" Euros"," ")</f>
        <v xml:space="preserve">  Euros</v>
      </c>
    </row>
    <row r="348" spans="1:6" ht="18.600000000000001" customHeight="1" x14ac:dyDescent="0.3">
      <c r="A348" s="150" t="s">
        <v>710</v>
      </c>
      <c r="B348" s="50" t="s">
        <v>221</v>
      </c>
      <c r="C348" s="51" t="s">
        <v>230</v>
      </c>
      <c r="D348" s="87" t="s">
        <v>292</v>
      </c>
      <c r="E348" s="79">
        <v>0</v>
      </c>
      <c r="F348" s="52" t="str">
        <f>IF(E348&lt;&gt;" ",[1]!convnumberletter(E348)&amp;" Euros"," ")</f>
        <v xml:space="preserve">  Euros</v>
      </c>
    </row>
    <row r="349" spans="1:6" ht="18.600000000000001" customHeight="1" x14ac:dyDescent="0.3">
      <c r="A349" s="150" t="s">
        <v>711</v>
      </c>
      <c r="B349" s="50" t="s">
        <v>222</v>
      </c>
      <c r="C349" s="51" t="s">
        <v>230</v>
      </c>
      <c r="D349" s="87" t="s">
        <v>292</v>
      </c>
      <c r="E349" s="79">
        <v>0</v>
      </c>
      <c r="F349" s="52" t="str">
        <f>IF(E349&lt;&gt;" ",[1]!convnumberletter(E349)&amp;" Euros"," ")</f>
        <v xml:space="preserve">  Euros</v>
      </c>
    </row>
    <row r="350" spans="1:6" ht="18.600000000000001" customHeight="1" x14ac:dyDescent="0.3">
      <c r="A350" s="52" t="s">
        <v>712</v>
      </c>
      <c r="B350" s="46" t="s">
        <v>170</v>
      </c>
      <c r="C350" s="52"/>
      <c r="D350" s="87"/>
      <c r="E350" s="49"/>
      <c r="F350" s="52" t="str">
        <f>IF(E350&lt;&gt;" ",[1]!convnumberletter(E350)&amp;" Euros"," ")</f>
        <v xml:space="preserve">  Euros</v>
      </c>
    </row>
    <row r="351" spans="1:6" ht="18.600000000000001" customHeight="1" x14ac:dyDescent="0.3">
      <c r="A351" s="150" t="s">
        <v>713</v>
      </c>
      <c r="B351" s="50" t="s">
        <v>223</v>
      </c>
      <c r="C351" s="51" t="s">
        <v>230</v>
      </c>
      <c r="D351" s="87" t="s">
        <v>292</v>
      </c>
      <c r="E351" s="79">
        <v>0</v>
      </c>
      <c r="F351" s="52" t="str">
        <f>IF(E351&lt;&gt;" ",[1]!convnumberletter(E351)&amp;" Euros"," ")</f>
        <v xml:space="preserve">  Euros</v>
      </c>
    </row>
    <row r="352" spans="1:6" ht="18.600000000000001" customHeight="1" x14ac:dyDescent="0.3">
      <c r="A352" s="150" t="s">
        <v>714</v>
      </c>
      <c r="B352" s="50" t="s">
        <v>224</v>
      </c>
      <c r="C352" s="51" t="s">
        <v>230</v>
      </c>
      <c r="D352" s="87" t="s">
        <v>292</v>
      </c>
      <c r="E352" s="79">
        <v>0</v>
      </c>
      <c r="F352" s="52" t="str">
        <f>IF(E352&lt;&gt;" ",[1]!convnumberletter(E352)&amp;" Euros"," ")</f>
        <v xml:space="preserve">  Euros</v>
      </c>
    </row>
    <row r="353" spans="1:6" ht="18.600000000000001" customHeight="1" x14ac:dyDescent="0.3">
      <c r="A353" s="150" t="s">
        <v>715</v>
      </c>
      <c r="B353" s="50" t="s">
        <v>178</v>
      </c>
      <c r="C353" s="51" t="s">
        <v>230</v>
      </c>
      <c r="D353" s="87" t="s">
        <v>292</v>
      </c>
      <c r="E353" s="79">
        <v>0</v>
      </c>
      <c r="F353" s="52" t="str">
        <f>IF(E353&lt;&gt;" ",[1]!convnumberletter(E353)&amp;" Euros"," ")</f>
        <v xml:space="preserve">  Euros</v>
      </c>
    </row>
    <row r="354" spans="1:6" ht="18.600000000000001" customHeight="1" x14ac:dyDescent="0.3">
      <c r="A354" s="52" t="s">
        <v>716</v>
      </c>
      <c r="B354" s="46" t="s">
        <v>171</v>
      </c>
      <c r="C354" s="52"/>
      <c r="D354" s="87"/>
      <c r="E354" s="49"/>
      <c r="F354" s="52" t="str">
        <f>IF(E354&lt;&gt;" ",[1]!convnumberletter(E354)&amp;" Euros"," ")</f>
        <v xml:space="preserve">  Euros</v>
      </c>
    </row>
    <row r="355" spans="1:6" ht="24.6" customHeight="1" x14ac:dyDescent="0.3">
      <c r="A355" s="150" t="s">
        <v>717</v>
      </c>
      <c r="B355" s="50" t="s">
        <v>229</v>
      </c>
      <c r="C355" s="51" t="s">
        <v>181</v>
      </c>
      <c r="D355" s="87" t="s">
        <v>292</v>
      </c>
      <c r="E355" s="79">
        <v>0</v>
      </c>
      <c r="F355" s="52" t="str">
        <f>IF(E355&lt;&gt;" ",[1]!convnumberletter(E355)&amp;" Euros"," ")</f>
        <v xml:space="preserve">  Euros</v>
      </c>
    </row>
    <row r="356" spans="1:6" ht="18.600000000000001" customHeight="1" x14ac:dyDescent="0.3">
      <c r="A356" s="150" t="s">
        <v>718</v>
      </c>
      <c r="B356" s="50" t="s">
        <v>366</v>
      </c>
      <c r="C356" s="51" t="s">
        <v>181</v>
      </c>
      <c r="D356" s="87" t="s">
        <v>292</v>
      </c>
      <c r="E356" s="79">
        <v>0</v>
      </c>
      <c r="F356" s="52" t="str">
        <f>IF(E356&lt;&gt;" ",[1]!convnumberletter(E356)&amp;" Euros"," ")</f>
        <v xml:space="preserve">  Euros</v>
      </c>
    </row>
    <row r="357" spans="1:6" ht="18.600000000000001" customHeight="1" x14ac:dyDescent="0.3">
      <c r="A357" s="150" t="s">
        <v>719</v>
      </c>
      <c r="B357" s="50" t="s">
        <v>225</v>
      </c>
      <c r="C357" s="51" t="s">
        <v>181</v>
      </c>
      <c r="D357" s="87" t="s">
        <v>292</v>
      </c>
      <c r="E357" s="79">
        <v>0</v>
      </c>
      <c r="F357" s="52" t="str">
        <f>IF(E357&lt;&gt;" ",[1]!convnumberletter(E357)&amp;" Euros"," ")</f>
        <v xml:space="preserve">  Euros</v>
      </c>
    </row>
    <row r="358" spans="1:6" ht="18.600000000000001" customHeight="1" x14ac:dyDescent="0.3">
      <c r="A358" s="150" t="s">
        <v>720</v>
      </c>
      <c r="B358" s="50" t="s">
        <v>226</v>
      </c>
      <c r="C358" s="51" t="s">
        <v>181</v>
      </c>
      <c r="D358" s="87" t="s">
        <v>292</v>
      </c>
      <c r="E358" s="79">
        <v>0</v>
      </c>
      <c r="F358" s="52" t="str">
        <f>IF(E358&lt;&gt;" ",[1]!convnumberletter(E358)&amp;" Euros"," ")</f>
        <v xml:space="preserve">  Euros</v>
      </c>
    </row>
    <row r="359" spans="1:6" ht="18.600000000000001" customHeight="1" x14ac:dyDescent="0.3">
      <c r="A359" s="150" t="s">
        <v>721</v>
      </c>
      <c r="B359" s="50" t="s">
        <v>227</v>
      </c>
      <c r="C359" s="51" t="s">
        <v>181</v>
      </c>
      <c r="D359" s="87" t="s">
        <v>292</v>
      </c>
      <c r="E359" s="79">
        <v>0</v>
      </c>
      <c r="F359" s="52" t="str">
        <f>IF(E359&lt;&gt;" ",[1]!convnumberletter(E359)&amp;" Euros"," ")</f>
        <v xml:space="preserve">  Euros</v>
      </c>
    </row>
    <row r="360" spans="1:6" ht="18.600000000000001" customHeight="1" x14ac:dyDescent="0.3">
      <c r="A360" s="150" t="s">
        <v>722</v>
      </c>
      <c r="B360" s="50" t="s">
        <v>228</v>
      </c>
      <c r="C360" s="51" t="s">
        <v>181</v>
      </c>
      <c r="D360" s="87" t="s">
        <v>292</v>
      </c>
      <c r="E360" s="79">
        <v>0</v>
      </c>
      <c r="F360" s="52" t="str">
        <f>IF(E360&lt;&gt;" ",[1]!convnumberletter(E360)&amp;" Euros"," ")</f>
        <v xml:space="preserve">  Euros</v>
      </c>
    </row>
    <row r="361" spans="1:6" ht="18.600000000000001" customHeight="1" x14ac:dyDescent="0.3">
      <c r="A361" s="52" t="s">
        <v>723</v>
      </c>
      <c r="B361" s="46" t="s">
        <v>172</v>
      </c>
      <c r="C361" s="52"/>
      <c r="D361" s="87"/>
      <c r="E361" s="49"/>
      <c r="F361" s="52" t="str">
        <f>IF(E361&lt;&gt;" ",[1]!convnumberletter(E361)&amp;" Euros"," ")</f>
        <v xml:space="preserve">  Euros</v>
      </c>
    </row>
    <row r="362" spans="1:6" ht="18.600000000000001" customHeight="1" x14ac:dyDescent="0.3">
      <c r="A362" s="150" t="s">
        <v>724</v>
      </c>
      <c r="B362" s="50" t="s">
        <v>231</v>
      </c>
      <c r="C362" s="51" t="s">
        <v>181</v>
      </c>
      <c r="D362" s="87" t="s">
        <v>292</v>
      </c>
      <c r="E362" s="79">
        <v>0</v>
      </c>
      <c r="F362" s="52" t="str">
        <f>IF(E362&lt;&gt;" ",[1]!convnumberletter(E362)&amp;" Euros"," ")</f>
        <v xml:space="preserve">  Euros</v>
      </c>
    </row>
    <row r="363" spans="1:6" ht="18.600000000000001" customHeight="1" x14ac:dyDescent="0.3">
      <c r="A363" s="150" t="s">
        <v>725</v>
      </c>
      <c r="B363" s="50" t="s">
        <v>232</v>
      </c>
      <c r="C363" s="51" t="s">
        <v>181</v>
      </c>
      <c r="D363" s="87" t="s">
        <v>292</v>
      </c>
      <c r="E363" s="79">
        <v>0</v>
      </c>
      <c r="F363" s="52" t="str">
        <f>IF(E363&lt;&gt;" ",[1]!convnumberletter(E363)&amp;" Euros"," ")</f>
        <v xml:space="preserve">  Euros</v>
      </c>
    </row>
    <row r="364" spans="1:6" ht="28.2" customHeight="1" x14ac:dyDescent="0.3">
      <c r="A364" s="150" t="s">
        <v>726</v>
      </c>
      <c r="B364" s="50" t="s">
        <v>233</v>
      </c>
      <c r="C364" s="51" t="s">
        <v>181</v>
      </c>
      <c r="D364" s="87" t="s">
        <v>292</v>
      </c>
      <c r="E364" s="79">
        <v>0</v>
      </c>
      <c r="F364" s="52" t="str">
        <f>IF(E364&lt;&gt;" ",[1]!convnumberletter(E364)&amp;" Euros"," ")</f>
        <v xml:space="preserve">  Euros</v>
      </c>
    </row>
    <row r="365" spans="1:6" ht="18.600000000000001" customHeight="1" x14ac:dyDescent="0.3">
      <c r="A365" s="150" t="s">
        <v>727</v>
      </c>
      <c r="B365" s="50" t="s">
        <v>234</v>
      </c>
      <c r="C365" s="51" t="s">
        <v>181</v>
      </c>
      <c r="D365" s="87" t="s">
        <v>292</v>
      </c>
      <c r="E365" s="79">
        <v>0</v>
      </c>
      <c r="F365" s="52" t="str">
        <f>IF(E365&lt;&gt;" ",[1]!convnumberletter(E365)&amp;" Euros"," ")</f>
        <v xml:space="preserve">  Euros</v>
      </c>
    </row>
    <row r="366" spans="1:6" ht="18.600000000000001" customHeight="1" x14ac:dyDescent="0.3">
      <c r="A366" s="52" t="s">
        <v>728</v>
      </c>
      <c r="B366" s="46" t="s">
        <v>173</v>
      </c>
      <c r="C366" s="52"/>
      <c r="D366" s="87"/>
      <c r="E366" s="49"/>
      <c r="F366" s="52" t="str">
        <f>IF(E366&lt;&gt;" ",[1]!convnumberletter(E366)&amp;" Euros"," ")</f>
        <v xml:space="preserve">  Euros</v>
      </c>
    </row>
    <row r="367" spans="1:6" ht="18.600000000000001" customHeight="1" x14ac:dyDescent="0.3">
      <c r="A367" s="150" t="s">
        <v>729</v>
      </c>
      <c r="B367" s="50" t="s">
        <v>259</v>
      </c>
      <c r="C367" s="51" t="s">
        <v>181</v>
      </c>
      <c r="D367" s="87" t="s">
        <v>292</v>
      </c>
      <c r="E367" s="79">
        <v>0</v>
      </c>
      <c r="F367" s="52" t="str">
        <f>IF(E367&lt;&gt;" ",[1]!convnumberletter(E367)&amp;" Euros"," ")</f>
        <v xml:space="preserve">  Euros</v>
      </c>
    </row>
    <row r="368" spans="1:6" ht="18.600000000000001" customHeight="1" x14ac:dyDescent="0.3">
      <c r="A368" s="150" t="s">
        <v>730</v>
      </c>
      <c r="B368" s="50" t="s">
        <v>235</v>
      </c>
      <c r="C368" s="51" t="s">
        <v>181</v>
      </c>
      <c r="D368" s="87" t="s">
        <v>292</v>
      </c>
      <c r="E368" s="79">
        <v>0</v>
      </c>
      <c r="F368" s="52" t="str">
        <f>IF(E368&lt;&gt;" ",[1]!convnumberletter(E368)&amp;" Euros"," ")</f>
        <v xml:space="preserve">  Euros</v>
      </c>
    </row>
    <row r="369" spans="1:6" ht="18.600000000000001" customHeight="1" x14ac:dyDescent="0.3">
      <c r="A369" s="150" t="s">
        <v>731</v>
      </c>
      <c r="B369" s="50" t="s">
        <v>236</v>
      </c>
      <c r="C369" s="51" t="s">
        <v>181</v>
      </c>
      <c r="D369" s="87" t="s">
        <v>292</v>
      </c>
      <c r="E369" s="79">
        <v>0</v>
      </c>
      <c r="F369" s="52" t="str">
        <f>IF(E369&lt;&gt;" ",[1]!convnumberletter(E369)&amp;" Euros"," ")</f>
        <v xml:space="preserve">  Euros</v>
      </c>
    </row>
    <row r="370" spans="1:6" ht="18.600000000000001" customHeight="1" x14ac:dyDescent="0.3">
      <c r="A370" s="150" t="s">
        <v>732</v>
      </c>
      <c r="B370" s="50" t="s">
        <v>237</v>
      </c>
      <c r="C370" s="51" t="s">
        <v>181</v>
      </c>
      <c r="D370" s="87" t="s">
        <v>292</v>
      </c>
      <c r="E370" s="79">
        <v>0</v>
      </c>
      <c r="F370" s="52" t="str">
        <f>IF(E370&lt;&gt;" ",[1]!convnumberletter(E370)&amp;" Euros"," ")</f>
        <v xml:space="preserve">  Euros</v>
      </c>
    </row>
    <row r="371" spans="1:6" ht="18.600000000000001" customHeight="1" x14ac:dyDescent="0.3">
      <c r="A371" s="150" t="s">
        <v>733</v>
      </c>
      <c r="B371" s="50" t="s">
        <v>238</v>
      </c>
      <c r="C371" s="51" t="s">
        <v>181</v>
      </c>
      <c r="D371" s="87" t="s">
        <v>292</v>
      </c>
      <c r="E371" s="79">
        <v>0</v>
      </c>
      <c r="F371" s="52" t="str">
        <f>IF(E371&lt;&gt;" ",[1]!convnumberletter(E371)&amp;" Euros"," ")</f>
        <v xml:space="preserve">  Euros</v>
      </c>
    </row>
    <row r="372" spans="1:6" ht="18.600000000000001" customHeight="1" x14ac:dyDescent="0.3">
      <c r="A372" s="150" t="s">
        <v>734</v>
      </c>
      <c r="B372" s="50" t="s">
        <v>179</v>
      </c>
      <c r="C372" s="51" t="s">
        <v>181</v>
      </c>
      <c r="D372" s="87" t="s">
        <v>292</v>
      </c>
      <c r="E372" s="79">
        <v>0</v>
      </c>
      <c r="F372" s="52" t="str">
        <f>IF(E372&lt;&gt;" ",[1]!convnumberletter(E372)&amp;" Euros"," ")</f>
        <v xml:space="preserve">  Euros</v>
      </c>
    </row>
    <row r="373" spans="1:6" ht="18.600000000000001" customHeight="1" x14ac:dyDescent="0.3">
      <c r="A373" s="150" t="s">
        <v>735</v>
      </c>
      <c r="B373" s="50" t="s">
        <v>239</v>
      </c>
      <c r="C373" s="51" t="s">
        <v>181</v>
      </c>
      <c r="D373" s="87" t="s">
        <v>292</v>
      </c>
      <c r="E373" s="79">
        <v>0</v>
      </c>
      <c r="F373" s="52" t="str">
        <f>IF(E373&lt;&gt;" ",[1]!convnumberletter(E373)&amp;" Euros"," ")</f>
        <v xml:space="preserve">  Euros</v>
      </c>
    </row>
    <row r="374" spans="1:6" ht="18.600000000000001" customHeight="1" x14ac:dyDescent="0.3">
      <c r="A374" s="52" t="s">
        <v>736</v>
      </c>
      <c r="B374" s="46" t="s">
        <v>174</v>
      </c>
      <c r="C374" s="52"/>
      <c r="D374" s="87"/>
      <c r="E374" s="49"/>
      <c r="F374" s="52" t="str">
        <f>IF(E374&lt;&gt;" ",[1]!convnumberletter(E374)&amp;" Euros"," ")</f>
        <v xml:space="preserve">  Euros</v>
      </c>
    </row>
    <row r="375" spans="1:6" ht="18.600000000000001" customHeight="1" x14ac:dyDescent="0.3">
      <c r="A375" s="150" t="s">
        <v>737</v>
      </c>
      <c r="B375" s="50" t="s">
        <v>367</v>
      </c>
      <c r="C375" s="51" t="s">
        <v>181</v>
      </c>
      <c r="D375" s="87" t="s">
        <v>292</v>
      </c>
      <c r="E375" s="79">
        <v>0</v>
      </c>
      <c r="F375" s="52" t="str">
        <f>IF(E375&lt;&gt;" ",[1]!convnumberletter(E375)&amp;" Euros"," ")</f>
        <v xml:space="preserve">  Euros</v>
      </c>
    </row>
    <row r="376" spans="1:6" ht="18.600000000000001" customHeight="1" x14ac:dyDescent="0.3">
      <c r="A376" s="150" t="s">
        <v>738</v>
      </c>
      <c r="B376" s="50" t="s">
        <v>240</v>
      </c>
      <c r="C376" s="51" t="s">
        <v>181</v>
      </c>
      <c r="D376" s="87" t="s">
        <v>292</v>
      </c>
      <c r="E376" s="79">
        <v>0</v>
      </c>
      <c r="F376" s="52" t="str">
        <f>IF(E376&lt;&gt;" ",[1]!convnumberletter(E376)&amp;" Euros"," ")</f>
        <v xml:space="preserve">  Euros</v>
      </c>
    </row>
    <row r="377" spans="1:6" ht="18.600000000000001" customHeight="1" x14ac:dyDescent="0.3">
      <c r="A377" s="150" t="s">
        <v>739</v>
      </c>
      <c r="B377" s="50" t="s">
        <v>241</v>
      </c>
      <c r="C377" s="51" t="s">
        <v>181</v>
      </c>
      <c r="D377" s="87" t="s">
        <v>292</v>
      </c>
      <c r="E377" s="79">
        <v>0</v>
      </c>
      <c r="F377" s="52" t="str">
        <f>IF(E377&lt;&gt;" ",[1]!convnumberletter(E377)&amp;" Euros"," ")</f>
        <v xml:space="preserve">  Euros</v>
      </c>
    </row>
    <row r="378" spans="1:6" ht="18.600000000000001" customHeight="1" x14ac:dyDescent="0.3">
      <c r="A378" s="150" t="s">
        <v>740</v>
      </c>
      <c r="B378" s="50" t="s">
        <v>242</v>
      </c>
      <c r="C378" s="51" t="s">
        <v>181</v>
      </c>
      <c r="D378" s="87" t="s">
        <v>292</v>
      </c>
      <c r="E378" s="79">
        <v>0</v>
      </c>
      <c r="F378" s="52" t="str">
        <f>IF(E378&lt;&gt;" ",[1]!convnumberletter(E378)&amp;" Euros"," ")</f>
        <v xml:space="preserve">  Euros</v>
      </c>
    </row>
    <row r="379" spans="1:6" ht="18.600000000000001" customHeight="1" x14ac:dyDescent="0.3">
      <c r="A379" s="150" t="s">
        <v>741</v>
      </c>
      <c r="B379" s="50" t="s">
        <v>243</v>
      </c>
      <c r="C379" s="51" t="s">
        <v>181</v>
      </c>
      <c r="D379" s="87" t="s">
        <v>292</v>
      </c>
      <c r="E379" s="79">
        <v>0</v>
      </c>
      <c r="F379" s="52" t="str">
        <f>IF(E379&lt;&gt;" ",[1]!convnumberletter(E379)&amp;" Euros"," ")</f>
        <v xml:space="preserve">  Euros</v>
      </c>
    </row>
    <row r="380" spans="1:6" ht="18.600000000000001" customHeight="1" x14ac:dyDescent="0.3">
      <c r="A380" s="150" t="s">
        <v>742</v>
      </c>
      <c r="B380" s="50" t="s">
        <v>244</v>
      </c>
      <c r="C380" s="51" t="s">
        <v>181</v>
      </c>
      <c r="D380" s="87" t="s">
        <v>292</v>
      </c>
      <c r="E380" s="79">
        <v>0</v>
      </c>
      <c r="F380" s="52" t="str">
        <f>IF(E380&lt;&gt;" ",[1]!convnumberletter(E380)&amp;" Euros"," ")</f>
        <v xml:space="preserve">  Euros</v>
      </c>
    </row>
    <row r="381" spans="1:6" ht="18.600000000000001" customHeight="1" x14ac:dyDescent="0.3">
      <c r="A381" s="150" t="s">
        <v>743</v>
      </c>
      <c r="B381" s="50" t="s">
        <v>245</v>
      </c>
      <c r="C381" s="51" t="s">
        <v>181</v>
      </c>
      <c r="D381" s="87" t="s">
        <v>292</v>
      </c>
      <c r="E381" s="79">
        <v>0</v>
      </c>
      <c r="F381" s="52" t="str">
        <f>IF(E381&lt;&gt;" ",[1]!convnumberletter(E381)&amp;" Euros"," ")</f>
        <v xml:space="preserve">  Euros</v>
      </c>
    </row>
    <row r="382" spans="1:6" ht="18.600000000000001" customHeight="1" x14ac:dyDescent="0.3">
      <c r="A382" s="150" t="s">
        <v>744</v>
      </c>
      <c r="B382" s="50" t="s">
        <v>246</v>
      </c>
      <c r="C382" s="51" t="s">
        <v>181</v>
      </c>
      <c r="D382" s="87" t="s">
        <v>292</v>
      </c>
      <c r="E382" s="79">
        <v>0</v>
      </c>
      <c r="F382" s="52" t="str">
        <f>IF(E382&lt;&gt;" ",[1]!convnumberletter(E382)&amp;" Euros"," ")</f>
        <v xml:space="preserve">  Euros</v>
      </c>
    </row>
    <row r="383" spans="1:6" ht="18.600000000000001" customHeight="1" x14ac:dyDescent="0.3">
      <c r="A383" s="150" t="s">
        <v>745</v>
      </c>
      <c r="B383" s="50" t="s">
        <v>404</v>
      </c>
      <c r="C383" s="51" t="s">
        <v>181</v>
      </c>
      <c r="D383" s="87" t="s">
        <v>292</v>
      </c>
      <c r="E383" s="79">
        <v>0</v>
      </c>
      <c r="F383" s="52" t="str">
        <f>IF(E383&lt;&gt;" ",[1]!convnumberletter(E383)&amp;" Euros"," ")</f>
        <v xml:space="preserve">  Euros</v>
      </c>
    </row>
    <row r="384" spans="1:6" ht="18.600000000000001" customHeight="1" x14ac:dyDescent="0.3">
      <c r="A384" s="150" t="s">
        <v>746</v>
      </c>
      <c r="B384" s="50" t="s">
        <v>194</v>
      </c>
      <c r="C384" s="51" t="s">
        <v>181</v>
      </c>
      <c r="D384" s="87" t="s">
        <v>292</v>
      </c>
      <c r="E384" s="79">
        <v>0</v>
      </c>
      <c r="F384" s="52" t="str">
        <f>IF(E384&lt;&gt;" ",[1]!convnumberletter(E384)&amp;" Euros"," ")</f>
        <v xml:space="preserve">  Euros</v>
      </c>
    </row>
    <row r="385" spans="1:6" ht="18.600000000000001" customHeight="1" x14ac:dyDescent="0.3">
      <c r="A385" s="52" t="s">
        <v>747</v>
      </c>
      <c r="B385" s="46" t="s">
        <v>175</v>
      </c>
      <c r="C385" s="52"/>
      <c r="D385" s="87"/>
      <c r="E385" s="49"/>
      <c r="F385" s="52" t="str">
        <f>IF(E385&lt;&gt;" ",[1]!convnumberletter(E385)&amp;" Euros"," ")</f>
        <v xml:space="preserve">  Euros</v>
      </c>
    </row>
    <row r="386" spans="1:6" ht="18.600000000000001" customHeight="1" x14ac:dyDescent="0.3">
      <c r="A386" s="150" t="s">
        <v>748</v>
      </c>
      <c r="B386" s="50" t="s">
        <v>180</v>
      </c>
      <c r="C386" s="51" t="s">
        <v>181</v>
      </c>
      <c r="D386" s="87" t="s">
        <v>292</v>
      </c>
      <c r="E386" s="49">
        <v>0</v>
      </c>
      <c r="F386" s="52" t="str">
        <f>IF(E386&lt;&gt;" ",[1]!convnumberletter(E386)&amp;" Euros"," ")</f>
        <v xml:space="preserve">  Euros</v>
      </c>
    </row>
    <row r="387" spans="1:6" ht="18.600000000000001" customHeight="1" x14ac:dyDescent="0.3">
      <c r="A387" s="52" t="s">
        <v>749</v>
      </c>
      <c r="B387" s="46" t="s">
        <v>176</v>
      </c>
      <c r="C387" s="52"/>
      <c r="D387" s="87"/>
      <c r="E387" s="49"/>
      <c r="F387" s="52" t="str">
        <f>IF(E387&lt;&gt;" ",[1]!convnumberletter(E387)&amp;" Euros"," ")</f>
        <v xml:space="preserve">  Euros</v>
      </c>
    </row>
    <row r="388" spans="1:6" ht="18.600000000000001" customHeight="1" x14ac:dyDescent="0.3">
      <c r="A388" s="150" t="s">
        <v>750</v>
      </c>
      <c r="B388" s="50" t="s">
        <v>257</v>
      </c>
      <c r="C388" s="51" t="s">
        <v>181</v>
      </c>
      <c r="D388" s="87" t="s">
        <v>292</v>
      </c>
      <c r="E388" s="49">
        <v>0</v>
      </c>
      <c r="F388" s="52" t="str">
        <f>IF(E388&lt;&gt;" ",[1]!convnumberletter(E388)&amp;" Euros"," ")</f>
        <v xml:space="preserve">  Euros</v>
      </c>
    </row>
    <row r="389" spans="1:6" ht="18.600000000000001" customHeight="1" x14ac:dyDescent="0.3">
      <c r="A389" s="150" t="s">
        <v>751</v>
      </c>
      <c r="B389" s="50" t="s">
        <v>253</v>
      </c>
      <c r="C389" s="51" t="s">
        <v>17</v>
      </c>
      <c r="D389" s="87" t="s">
        <v>292</v>
      </c>
      <c r="E389" s="49">
        <v>0</v>
      </c>
      <c r="F389" s="52" t="str">
        <f>IF(E389&lt;&gt;" ",[1]!convnumberletter(E389)&amp;" Euros"," ")</f>
        <v xml:space="preserve">  Euros</v>
      </c>
    </row>
    <row r="390" spans="1:6" ht="18.600000000000001" customHeight="1" x14ac:dyDescent="0.3">
      <c r="A390" s="150" t="s">
        <v>752</v>
      </c>
      <c r="B390" s="50" t="s">
        <v>252</v>
      </c>
      <c r="C390" s="51" t="s">
        <v>17</v>
      </c>
      <c r="D390" s="87" t="s">
        <v>292</v>
      </c>
      <c r="E390" s="49">
        <v>0</v>
      </c>
      <c r="F390" s="52" t="str">
        <f>IF(E390&lt;&gt;" ",[1]!convnumberletter(E390)&amp;" Euros"," ")</f>
        <v xml:space="preserve">  Euros</v>
      </c>
    </row>
    <row r="391" spans="1:6" ht="18.600000000000001" customHeight="1" x14ac:dyDescent="0.3">
      <c r="A391" s="150" t="s">
        <v>753</v>
      </c>
      <c r="B391" s="50" t="s">
        <v>254</v>
      </c>
      <c r="C391" s="51" t="s">
        <v>17</v>
      </c>
      <c r="D391" s="87" t="s">
        <v>292</v>
      </c>
      <c r="E391" s="49">
        <v>0</v>
      </c>
      <c r="F391" s="52" t="str">
        <f>IF(E391&lt;&gt;" ",[1]!convnumberletter(E391)&amp;" Euros"," ")</f>
        <v xml:space="preserve">  Euros</v>
      </c>
    </row>
    <row r="392" spans="1:6" ht="18.600000000000001" customHeight="1" x14ac:dyDescent="0.3">
      <c r="A392" s="150" t="s">
        <v>754</v>
      </c>
      <c r="B392" s="50" t="s">
        <v>255</v>
      </c>
      <c r="C392" s="51" t="s">
        <v>17</v>
      </c>
      <c r="D392" s="87" t="s">
        <v>292</v>
      </c>
      <c r="E392" s="49">
        <v>0</v>
      </c>
      <c r="F392" s="52" t="str">
        <f>IF(E392&lt;&gt;" ",[1]!convnumberletter(E392)&amp;" Euros"," ")</f>
        <v xml:space="preserve">  Euros</v>
      </c>
    </row>
    <row r="393" spans="1:6" ht="28.8" customHeight="1" x14ac:dyDescent="0.3">
      <c r="A393" s="150" t="s">
        <v>755</v>
      </c>
      <c r="B393" s="50" t="s">
        <v>251</v>
      </c>
      <c r="C393" s="51" t="s">
        <v>17</v>
      </c>
      <c r="D393" s="87" t="s">
        <v>292</v>
      </c>
      <c r="E393" s="49">
        <v>0</v>
      </c>
      <c r="F393" s="52" t="str">
        <f>IF(E393&lt;&gt;" ",[1]!convnumberletter(E393)&amp;" Euros"," ")</f>
        <v xml:space="preserve">  Euros</v>
      </c>
    </row>
    <row r="394" spans="1:6" x14ac:dyDescent="0.3">
      <c r="A394" s="150" t="s">
        <v>756</v>
      </c>
      <c r="B394" s="50" t="s">
        <v>256</v>
      </c>
      <c r="C394" s="51" t="s">
        <v>181</v>
      </c>
      <c r="D394" s="87" t="s">
        <v>292</v>
      </c>
      <c r="E394" s="49">
        <v>0</v>
      </c>
      <c r="F394" s="52" t="str">
        <f>IF(E394&lt;&gt;" ",[1]!convnumberletter(E394)&amp;" Euros"," ")</f>
        <v xml:space="preserve">  Euros</v>
      </c>
    </row>
    <row r="395" spans="1:6" x14ac:dyDescent="0.3">
      <c r="A395" s="150" t="s">
        <v>757</v>
      </c>
      <c r="B395" s="50" t="s">
        <v>258</v>
      </c>
      <c r="C395" s="51" t="s">
        <v>17</v>
      </c>
      <c r="D395" s="87" t="s">
        <v>292</v>
      </c>
      <c r="E395" s="49">
        <v>0</v>
      </c>
      <c r="F395" s="52" t="str">
        <f>IF(E395&lt;&gt;" ",[1]!convnumberletter(E395)&amp;" Euros"," ")</f>
        <v xml:space="preserve">  Euros</v>
      </c>
    </row>
    <row r="396" spans="1:6" ht="18.600000000000001" customHeight="1" x14ac:dyDescent="0.3">
      <c r="A396" s="150" t="s">
        <v>758</v>
      </c>
      <c r="B396" s="50" t="s">
        <v>193</v>
      </c>
      <c r="C396" s="51" t="s">
        <v>181</v>
      </c>
      <c r="D396" s="87" t="s">
        <v>292</v>
      </c>
      <c r="E396" s="49">
        <v>0</v>
      </c>
      <c r="F396" s="52" t="str">
        <f>IF(E396&lt;&gt;" ",[1]!convnumberletter(E396)&amp;" Euros"," ")</f>
        <v xml:space="preserve">  Euros</v>
      </c>
    </row>
    <row r="397" spans="1:6" x14ac:dyDescent="0.3">
      <c r="A397" s="150" t="s">
        <v>759</v>
      </c>
      <c r="B397" s="50" t="s">
        <v>192</v>
      </c>
      <c r="C397" s="51" t="s">
        <v>181</v>
      </c>
      <c r="D397" s="87" t="s">
        <v>292</v>
      </c>
      <c r="E397" s="49">
        <v>0</v>
      </c>
      <c r="F397" s="52" t="str">
        <f>IF(E397&lt;&gt;" ",[1]!convnumberletter(E397)&amp;" Euros"," ")</f>
        <v xml:space="preserve">  Euros</v>
      </c>
    </row>
    <row r="398" spans="1:6" ht="28.8" x14ac:dyDescent="0.3">
      <c r="A398" s="150" t="s">
        <v>760</v>
      </c>
      <c r="B398" s="50" t="s">
        <v>260</v>
      </c>
      <c r="C398" s="51" t="s">
        <v>181</v>
      </c>
      <c r="D398" s="87" t="s">
        <v>292</v>
      </c>
      <c r="E398" s="49">
        <v>0</v>
      </c>
      <c r="F398" s="52" t="str">
        <f>IF(E398&lt;&gt;" ",[1]!convnumberletter(E398)&amp;" Euros"," ")</f>
        <v xml:space="preserve">  Euros</v>
      </c>
    </row>
    <row r="399" spans="1:6" ht="18.600000000000001" customHeight="1" x14ac:dyDescent="0.3">
      <c r="A399" s="52" t="s">
        <v>761</v>
      </c>
      <c r="B399" s="46" t="s">
        <v>177</v>
      </c>
      <c r="C399" s="52"/>
      <c r="D399" s="87"/>
      <c r="E399" s="49"/>
      <c r="F399" s="52" t="str">
        <f>IF(E399&lt;&gt;" ",[1]!convnumberletter(E399)&amp;" Euros"," ")</f>
        <v xml:space="preserve">  Euros</v>
      </c>
    </row>
    <row r="400" spans="1:6" ht="18.600000000000001" customHeight="1" x14ac:dyDescent="0.3">
      <c r="A400" s="150" t="s">
        <v>762</v>
      </c>
      <c r="B400" s="50" t="s">
        <v>182</v>
      </c>
      <c r="C400" s="51" t="s">
        <v>181</v>
      </c>
      <c r="D400" s="87" t="s">
        <v>292</v>
      </c>
      <c r="E400" s="49">
        <v>0</v>
      </c>
      <c r="F400" s="52" t="str">
        <f>IF(E400&lt;&gt;" ",[1]!convnumberletter(E400)&amp;" Euros"," ")</f>
        <v xml:space="preserve">  Euros</v>
      </c>
    </row>
    <row r="401" spans="1:6" x14ac:dyDescent="0.3">
      <c r="A401" s="150" t="s">
        <v>763</v>
      </c>
      <c r="B401" s="50" t="s">
        <v>1273</v>
      </c>
      <c r="C401" s="51" t="s">
        <v>181</v>
      </c>
      <c r="D401" s="87" t="s">
        <v>292</v>
      </c>
      <c r="E401" s="49">
        <v>0</v>
      </c>
      <c r="F401" s="52" t="str">
        <f>IF(E401&lt;&gt;" ",[1]!convnumberletter(E401)&amp;" Euros"," ")</f>
        <v xml:space="preserve">  Euros</v>
      </c>
    </row>
    <row r="402" spans="1:6" x14ac:dyDescent="0.3">
      <c r="A402" s="150" t="s">
        <v>764</v>
      </c>
      <c r="B402" s="50" t="s">
        <v>183</v>
      </c>
      <c r="C402" s="51" t="s">
        <v>181</v>
      </c>
      <c r="D402" s="87" t="s">
        <v>292</v>
      </c>
      <c r="E402" s="49">
        <v>0</v>
      </c>
      <c r="F402" s="52" t="str">
        <f>IF(E402&lt;&gt;" ",[1]!convnumberletter(E402)&amp;" Euros"," ")</f>
        <v xml:space="preserve">  Euros</v>
      </c>
    </row>
    <row r="403" spans="1:6" ht="26.4" customHeight="1" x14ac:dyDescent="0.3">
      <c r="A403" s="150" t="s">
        <v>765</v>
      </c>
      <c r="B403" s="50" t="s">
        <v>184</v>
      </c>
      <c r="C403" s="51" t="s">
        <v>181</v>
      </c>
      <c r="D403" s="87" t="s">
        <v>292</v>
      </c>
      <c r="E403" s="49">
        <v>0</v>
      </c>
      <c r="F403" s="52" t="str">
        <f>IF(E403&lt;&gt;" ",[1]!convnumberletter(E403)&amp;" Euros"," ")</f>
        <v xml:space="preserve">  Euros</v>
      </c>
    </row>
    <row r="404" spans="1:6" ht="26.4" customHeight="1" x14ac:dyDescent="0.3">
      <c r="A404" s="150" t="s">
        <v>766</v>
      </c>
      <c r="B404" s="50" t="s">
        <v>185</v>
      </c>
      <c r="C404" s="51" t="s">
        <v>181</v>
      </c>
      <c r="D404" s="87" t="s">
        <v>292</v>
      </c>
      <c r="E404" s="49">
        <v>0</v>
      </c>
      <c r="F404" s="52" t="str">
        <f>IF(E404&lt;&gt;" ",[1]!convnumberletter(E404)&amp;" Euros"," ")</f>
        <v xml:space="preserve">  Euros</v>
      </c>
    </row>
    <row r="405" spans="1:6" ht="18" customHeight="1" x14ac:dyDescent="0.3">
      <c r="A405" s="52" t="s">
        <v>767</v>
      </c>
      <c r="B405" s="46" t="s">
        <v>331</v>
      </c>
      <c r="C405" s="52"/>
      <c r="D405" s="87"/>
      <c r="E405" s="49"/>
      <c r="F405" s="52" t="str">
        <f>IF(E405&lt;&gt;" ",[1]!convnumberletter(E405)&amp;" Euros"," ")</f>
        <v xml:space="preserve">  Euros</v>
      </c>
    </row>
    <row r="406" spans="1:6" ht="18" customHeight="1" x14ac:dyDescent="0.3">
      <c r="A406" s="150" t="s">
        <v>768</v>
      </c>
      <c r="B406" s="50" t="s">
        <v>338</v>
      </c>
      <c r="C406" s="51" t="s">
        <v>181</v>
      </c>
      <c r="D406" s="87" t="s">
        <v>292</v>
      </c>
      <c r="E406" s="49">
        <v>0</v>
      </c>
      <c r="F406" s="52" t="str">
        <f>IF(E406&lt;&gt;" ",[1]!convnumberletter(E406)&amp;" Euros"," ")</f>
        <v xml:space="preserve">  Euros</v>
      </c>
    </row>
    <row r="407" spans="1:6" ht="18" customHeight="1" x14ac:dyDescent="0.3">
      <c r="A407" s="150" t="s">
        <v>769</v>
      </c>
      <c r="B407" s="50" t="s">
        <v>327</v>
      </c>
      <c r="C407" s="51" t="s">
        <v>181</v>
      </c>
      <c r="D407" s="87" t="s">
        <v>292</v>
      </c>
      <c r="E407" s="49">
        <v>0</v>
      </c>
      <c r="F407" s="52" t="str">
        <f>IF(E407&lt;&gt;" ",[1]!convnumberletter(E407)&amp;" Euros"," ")</f>
        <v xml:space="preserve">  Euros</v>
      </c>
    </row>
    <row r="408" spans="1:6" ht="18" customHeight="1" x14ac:dyDescent="0.3">
      <c r="A408" s="150" t="s">
        <v>770</v>
      </c>
      <c r="B408" s="50" t="s">
        <v>328</v>
      </c>
      <c r="C408" s="51" t="s">
        <v>181</v>
      </c>
      <c r="D408" s="87" t="s">
        <v>292</v>
      </c>
      <c r="E408" s="49">
        <v>0</v>
      </c>
      <c r="F408" s="52" t="str">
        <f>IF(E408&lt;&gt;" ",[1]!convnumberletter(E408)&amp;" Euros"," ")</f>
        <v xml:space="preserve">  Euros</v>
      </c>
    </row>
    <row r="409" spans="1:6" ht="26.4" customHeight="1" x14ac:dyDescent="0.3">
      <c r="A409" s="150" t="s">
        <v>771</v>
      </c>
      <c r="B409" s="50" t="s">
        <v>329</v>
      </c>
      <c r="C409" s="51" t="s">
        <v>181</v>
      </c>
      <c r="D409" s="87" t="s">
        <v>292</v>
      </c>
      <c r="E409" s="49">
        <v>0</v>
      </c>
      <c r="F409" s="52" t="str">
        <f>IF(E409&lt;&gt;" ",[1]!convnumberletter(E409)&amp;" Euros"," ")</f>
        <v xml:space="preserve">  Euros</v>
      </c>
    </row>
    <row r="410" spans="1:6" ht="18" customHeight="1" x14ac:dyDescent="0.3">
      <c r="A410" s="150" t="s">
        <v>772</v>
      </c>
      <c r="B410" s="50" t="s">
        <v>330</v>
      </c>
      <c r="C410" s="51" t="s">
        <v>181</v>
      </c>
      <c r="D410" s="87" t="s">
        <v>292</v>
      </c>
      <c r="E410" s="49">
        <v>0</v>
      </c>
      <c r="F410" s="52" t="str">
        <f>IF(E410&lt;&gt;" ",[1]!convnumberletter(E410)&amp;" Euros"," ")</f>
        <v xml:space="preserve">  Euros</v>
      </c>
    </row>
    <row r="411" spans="1:6" s="66" customFormat="1" x14ac:dyDescent="0.3">
      <c r="A411" s="52" t="s">
        <v>773</v>
      </c>
      <c r="B411" s="46" t="s">
        <v>332</v>
      </c>
      <c r="C411" s="71"/>
      <c r="D411" s="89"/>
      <c r="E411" s="56"/>
      <c r="F411" s="52" t="str">
        <f>IF(E411&lt;&gt;" ",[1]!convnumberletter(E411)&amp;" Euros"," ")</f>
        <v xml:space="preserve">  Euros</v>
      </c>
    </row>
    <row r="412" spans="1:6" ht="34.200000000000003" customHeight="1" x14ac:dyDescent="0.3">
      <c r="A412" s="150" t="s">
        <v>774</v>
      </c>
      <c r="B412" s="50" t="s">
        <v>200</v>
      </c>
      <c r="C412" s="51" t="s">
        <v>197</v>
      </c>
      <c r="D412" s="87" t="s">
        <v>292</v>
      </c>
      <c r="E412" s="49">
        <v>0</v>
      </c>
      <c r="F412" s="52" t="str">
        <f>IF(E412&lt;&gt;" ",[1]!convnumberletter(E412)&amp;" Euros"," ")</f>
        <v xml:space="preserve">  Euros</v>
      </c>
    </row>
    <row r="413" spans="1:6" ht="20.399999999999999" customHeight="1" x14ac:dyDescent="0.3">
      <c r="A413" s="52"/>
      <c r="B413" s="50"/>
      <c r="C413" s="51"/>
      <c r="D413" s="87"/>
      <c r="E413" s="49"/>
      <c r="F413" s="52"/>
    </row>
    <row r="414" spans="1:6" s="58" customFormat="1" ht="16.8" customHeight="1" x14ac:dyDescent="0.3">
      <c r="A414" s="70" t="s">
        <v>48</v>
      </c>
      <c r="B414" s="70" t="s">
        <v>49</v>
      </c>
      <c r="C414" s="52"/>
      <c r="D414" s="87"/>
      <c r="E414" s="49"/>
      <c r="F414" s="52" t="str">
        <f>IF(E414&lt;&gt;" ",[1]!convnumberletter(E414)&amp;" Euros"," ")</f>
        <v xml:space="preserve">  Euros</v>
      </c>
    </row>
    <row r="415" spans="1:6" ht="18.600000000000001" customHeight="1" x14ac:dyDescent="0.3">
      <c r="A415" s="52" t="s">
        <v>50</v>
      </c>
      <c r="B415" s="46" t="s">
        <v>161</v>
      </c>
      <c r="C415" s="52"/>
      <c r="D415" s="87"/>
      <c r="E415" s="49"/>
      <c r="F415" s="52" t="str">
        <f>IF(E415&lt;&gt;" ",[1]!convnumberletter(E415)&amp;" Euros"," ")</f>
        <v xml:space="preserve">  Euros</v>
      </c>
    </row>
    <row r="416" spans="1:6" ht="28.8" customHeight="1" x14ac:dyDescent="0.3">
      <c r="A416" s="150" t="s">
        <v>775</v>
      </c>
      <c r="B416" s="153" t="s">
        <v>1308</v>
      </c>
      <c r="C416" s="51" t="s">
        <v>181</v>
      </c>
      <c r="D416" s="87" t="s">
        <v>292</v>
      </c>
      <c r="E416" s="49">
        <v>0</v>
      </c>
      <c r="F416" s="52" t="str">
        <f>IF(E416&lt;&gt;" ",[1]!convnumberletter(E416)&amp;" Euros"," ")</f>
        <v xml:space="preserve">  Euros</v>
      </c>
    </row>
    <row r="417" spans="1:6" ht="18.600000000000001" customHeight="1" x14ac:dyDescent="0.3">
      <c r="A417" s="150" t="s">
        <v>776</v>
      </c>
      <c r="B417" s="154" t="s">
        <v>1287</v>
      </c>
      <c r="C417" s="51" t="s">
        <v>17</v>
      </c>
      <c r="D417" s="87" t="s">
        <v>292</v>
      </c>
      <c r="E417" s="49">
        <v>0</v>
      </c>
      <c r="F417" s="52" t="str">
        <f>IF(E417&lt;&gt;" ",[1]!convnumberletter(E417)&amp;" Euros"," ")</f>
        <v xml:space="preserve">  Euros</v>
      </c>
    </row>
    <row r="418" spans="1:6" ht="18.600000000000001" customHeight="1" x14ac:dyDescent="0.3">
      <c r="A418" s="150" t="s">
        <v>777</v>
      </c>
      <c r="B418" s="52" t="s">
        <v>210</v>
      </c>
      <c r="C418" s="51" t="s">
        <v>197</v>
      </c>
      <c r="D418" s="87" t="s">
        <v>292</v>
      </c>
      <c r="E418" s="49">
        <v>0</v>
      </c>
      <c r="F418" s="52" t="str">
        <f>IF(E418&lt;&gt;" ",[1]!convnumberletter(E418)&amp;" Euros"," ")</f>
        <v xml:space="preserve">  Euros</v>
      </c>
    </row>
    <row r="419" spans="1:6" ht="18.600000000000001" customHeight="1" x14ac:dyDescent="0.3">
      <c r="A419" s="150" t="s">
        <v>778</v>
      </c>
      <c r="B419" s="52" t="s">
        <v>209</v>
      </c>
      <c r="C419" s="51" t="s">
        <v>197</v>
      </c>
      <c r="D419" s="87" t="s">
        <v>292</v>
      </c>
      <c r="E419" s="49">
        <v>0</v>
      </c>
      <c r="F419" s="52" t="str">
        <f>IF(E419&lt;&gt;" ",[1]!convnumberletter(E419)&amp;" Euros"," ")</f>
        <v xml:space="preserve">  Euros</v>
      </c>
    </row>
    <row r="420" spans="1:6" ht="18.600000000000001" customHeight="1" x14ac:dyDescent="0.3">
      <c r="A420" s="150" t="s">
        <v>779</v>
      </c>
      <c r="B420" s="154" t="s">
        <v>1288</v>
      </c>
      <c r="C420" s="51" t="s">
        <v>181</v>
      </c>
      <c r="D420" s="87" t="s">
        <v>292</v>
      </c>
      <c r="E420" s="49">
        <v>0</v>
      </c>
      <c r="F420" s="52" t="str">
        <f>IF(E420&lt;&gt;" ",[1]!convnumberletter(E420)&amp;" Euros"," ")</f>
        <v xml:space="preserve">  Euros</v>
      </c>
    </row>
    <row r="421" spans="1:6" ht="18.600000000000001" customHeight="1" x14ac:dyDescent="0.3">
      <c r="A421" s="150" t="s">
        <v>780</v>
      </c>
      <c r="B421" s="52" t="s">
        <v>293</v>
      </c>
      <c r="C421" s="51" t="s">
        <v>181</v>
      </c>
      <c r="D421" s="87" t="s">
        <v>292</v>
      </c>
      <c r="E421" s="49">
        <v>0</v>
      </c>
      <c r="F421" s="52" t="str">
        <f>IF(E421&lt;&gt;" ",[1]!convnumberletter(E421)&amp;" Euros"," ")</f>
        <v xml:space="preserve">  Euros</v>
      </c>
    </row>
    <row r="422" spans="1:6" ht="28.2" customHeight="1" x14ac:dyDescent="0.3">
      <c r="A422" s="150" t="s">
        <v>781</v>
      </c>
      <c r="B422" s="61" t="s">
        <v>198</v>
      </c>
      <c r="C422" s="51" t="s">
        <v>79</v>
      </c>
      <c r="D422" s="87" t="s">
        <v>158</v>
      </c>
      <c r="E422" s="49">
        <v>0</v>
      </c>
      <c r="F422" s="52" t="str">
        <f>IF(E422&lt;&gt;" ",[1]!convnumberletter(E422)&amp;" Euros"," ")</f>
        <v xml:space="preserve">  Euros</v>
      </c>
    </row>
    <row r="423" spans="1:6" ht="18.600000000000001" customHeight="1" x14ac:dyDescent="0.3">
      <c r="A423" s="52" t="s">
        <v>782</v>
      </c>
      <c r="B423" s="46" t="s">
        <v>208</v>
      </c>
      <c r="C423" s="51"/>
      <c r="D423" s="87"/>
      <c r="E423" s="49"/>
      <c r="F423" s="52" t="str">
        <f>IF(E423&lt;&gt;" ",[1]!convnumberletter(E423)&amp;" Euros"," ")</f>
        <v xml:space="preserve">  Euros</v>
      </c>
    </row>
    <row r="424" spans="1:6" ht="18.600000000000001" customHeight="1" x14ac:dyDescent="0.3">
      <c r="A424" s="150" t="s">
        <v>783</v>
      </c>
      <c r="B424" s="52" t="s">
        <v>211</v>
      </c>
      <c r="C424" s="51" t="s">
        <v>230</v>
      </c>
      <c r="D424" s="87" t="s">
        <v>292</v>
      </c>
      <c r="E424" s="49">
        <v>0</v>
      </c>
      <c r="F424" s="52" t="str">
        <f>IF(E424&lt;&gt;" ",[1]!convnumberletter(E424)&amp;" Euros"," ")</f>
        <v xml:space="preserve">  Euros</v>
      </c>
    </row>
    <row r="425" spans="1:6" ht="18.600000000000001" customHeight="1" x14ac:dyDescent="0.3">
      <c r="A425" s="150" t="s">
        <v>784</v>
      </c>
      <c r="B425" s="52" t="s">
        <v>212</v>
      </c>
      <c r="C425" s="51" t="s">
        <v>230</v>
      </c>
      <c r="D425" s="87" t="s">
        <v>292</v>
      </c>
      <c r="E425" s="49">
        <v>0</v>
      </c>
      <c r="F425" s="52" t="str">
        <f>IF(E425&lt;&gt;" ",[1]!convnumberletter(E425)&amp;" Euros"," ")</f>
        <v xml:space="preserve">  Euros</v>
      </c>
    </row>
    <row r="426" spans="1:6" ht="18.600000000000001" customHeight="1" x14ac:dyDescent="0.3">
      <c r="A426" s="52" t="s">
        <v>785</v>
      </c>
      <c r="B426" s="46" t="s">
        <v>168</v>
      </c>
      <c r="C426" s="52"/>
      <c r="D426" s="87"/>
      <c r="E426" s="49"/>
      <c r="F426" s="52" t="str">
        <f>IF(E426&lt;&gt;" ",[1]!convnumberletter(E426)&amp;" Euros"," ")</f>
        <v xml:space="preserve">  Euros</v>
      </c>
    </row>
    <row r="427" spans="1:6" s="65" customFormat="1" ht="18.600000000000001" customHeight="1" x14ac:dyDescent="0.3">
      <c r="A427" s="150" t="s">
        <v>786</v>
      </c>
      <c r="B427" s="50" t="s">
        <v>213</v>
      </c>
      <c r="C427" s="51" t="s">
        <v>230</v>
      </c>
      <c r="D427" s="88" t="s">
        <v>292</v>
      </c>
      <c r="E427" s="80">
        <v>0</v>
      </c>
      <c r="F427" s="52" t="str">
        <f>IF(E427&lt;&gt;" ",[1]!convnumberletter(E427)&amp;" Euros"," ")</f>
        <v xml:space="preserve">  Euros</v>
      </c>
    </row>
    <row r="428" spans="1:6" s="65" customFormat="1" ht="18.600000000000001" customHeight="1" x14ac:dyDescent="0.3">
      <c r="A428" s="150" t="s">
        <v>787</v>
      </c>
      <c r="B428" s="50" t="s">
        <v>187</v>
      </c>
      <c r="C428" s="51" t="s">
        <v>230</v>
      </c>
      <c r="D428" s="88" t="s">
        <v>292</v>
      </c>
      <c r="E428" s="80">
        <v>0</v>
      </c>
      <c r="F428" s="52" t="str">
        <f>IF(E428&lt;&gt;" ",[1]!convnumberletter(E428)&amp;" Euros"," ")</f>
        <v xml:space="preserve">  Euros</v>
      </c>
    </row>
    <row r="429" spans="1:6" s="65" customFormat="1" ht="18.600000000000001" customHeight="1" x14ac:dyDescent="0.3">
      <c r="A429" s="150" t="s">
        <v>788</v>
      </c>
      <c r="B429" s="50" t="s">
        <v>214</v>
      </c>
      <c r="C429" s="51" t="s">
        <v>230</v>
      </c>
      <c r="D429" s="88" t="s">
        <v>292</v>
      </c>
      <c r="E429" s="80">
        <v>0</v>
      </c>
      <c r="F429" s="52" t="str">
        <f>IF(E429&lt;&gt;" ",[1]!convnumberletter(E429)&amp;" Euros"," ")</f>
        <v xml:space="preserve">  Euros</v>
      </c>
    </row>
    <row r="430" spans="1:6" s="65" customFormat="1" ht="33" customHeight="1" x14ac:dyDescent="0.3">
      <c r="A430" s="150" t="s">
        <v>789</v>
      </c>
      <c r="B430" s="50" t="s">
        <v>215</v>
      </c>
      <c r="C430" s="51" t="s">
        <v>230</v>
      </c>
      <c r="D430" s="88" t="s">
        <v>292</v>
      </c>
      <c r="E430" s="80">
        <v>0</v>
      </c>
      <c r="F430" s="52" t="str">
        <f>IF(E430&lt;&gt;" ",[1]!convnumberletter(E430)&amp;" Euros"," ")</f>
        <v xml:space="preserve">  Euros</v>
      </c>
    </row>
    <row r="431" spans="1:6" ht="18.600000000000001" customHeight="1" x14ac:dyDescent="0.3">
      <c r="A431" s="52" t="s">
        <v>790</v>
      </c>
      <c r="B431" s="46" t="s">
        <v>169</v>
      </c>
      <c r="C431" s="52"/>
      <c r="D431" s="87"/>
      <c r="E431" s="49"/>
      <c r="F431" s="52" t="str">
        <f>IF(E431&lt;&gt;" ",[1]!convnumberletter(E431)&amp;" Euros"," ")</f>
        <v xml:space="preserve">  Euros</v>
      </c>
    </row>
    <row r="432" spans="1:6" ht="18.600000000000001" customHeight="1" x14ac:dyDescent="0.3">
      <c r="A432" s="150" t="s">
        <v>791</v>
      </c>
      <c r="B432" s="50" t="s">
        <v>216</v>
      </c>
      <c r="C432" s="51" t="s">
        <v>230</v>
      </c>
      <c r="D432" s="87" t="s">
        <v>292</v>
      </c>
      <c r="E432" s="79">
        <v>0</v>
      </c>
      <c r="F432" s="52" t="str">
        <f>IF(E432&lt;&gt;" ",[1]!convnumberletter(E432)&amp;" Euros"," ")</f>
        <v xml:space="preserve">  Euros</v>
      </c>
    </row>
    <row r="433" spans="1:6" ht="18.600000000000001" customHeight="1" x14ac:dyDescent="0.3">
      <c r="A433" s="150" t="s">
        <v>792</v>
      </c>
      <c r="B433" s="50" t="s">
        <v>217</v>
      </c>
      <c r="C433" s="51" t="s">
        <v>230</v>
      </c>
      <c r="D433" s="87" t="s">
        <v>292</v>
      </c>
      <c r="E433" s="79">
        <v>0</v>
      </c>
      <c r="F433" s="52" t="str">
        <f>IF(E433&lt;&gt;" ",[1]!convnumberletter(E433)&amp;" Euros"," ")</f>
        <v xml:space="preserve">  Euros</v>
      </c>
    </row>
    <row r="434" spans="1:6" ht="18.600000000000001" customHeight="1" x14ac:dyDescent="0.3">
      <c r="A434" s="150" t="s">
        <v>793</v>
      </c>
      <c r="B434" s="50" t="s">
        <v>218</v>
      </c>
      <c r="C434" s="51" t="s">
        <v>230</v>
      </c>
      <c r="D434" s="87" t="s">
        <v>292</v>
      </c>
      <c r="E434" s="79">
        <v>0</v>
      </c>
      <c r="F434" s="52" t="str">
        <f>IF(E434&lt;&gt;" ",[1]!convnumberletter(E434)&amp;" Euros"," ")</f>
        <v xml:space="preserve">  Euros</v>
      </c>
    </row>
    <row r="435" spans="1:6" ht="18.600000000000001" customHeight="1" x14ac:dyDescent="0.3">
      <c r="A435" s="150" t="s">
        <v>794</v>
      </c>
      <c r="B435" s="50" t="s">
        <v>219</v>
      </c>
      <c r="C435" s="51" t="s">
        <v>230</v>
      </c>
      <c r="D435" s="87" t="s">
        <v>292</v>
      </c>
      <c r="E435" s="79">
        <v>0</v>
      </c>
      <c r="F435" s="52" t="str">
        <f>IF(E435&lt;&gt;" ",[1]!convnumberletter(E435)&amp;" Euros"," ")</f>
        <v xml:space="preserve">  Euros</v>
      </c>
    </row>
    <row r="436" spans="1:6" ht="18.600000000000001" customHeight="1" x14ac:dyDescent="0.3">
      <c r="A436" s="150" t="s">
        <v>795</v>
      </c>
      <c r="B436" s="50" t="s">
        <v>220</v>
      </c>
      <c r="C436" s="51" t="s">
        <v>230</v>
      </c>
      <c r="D436" s="87" t="s">
        <v>292</v>
      </c>
      <c r="E436" s="79">
        <v>0</v>
      </c>
      <c r="F436" s="52" t="str">
        <f>IF(E436&lt;&gt;" ",[1]!convnumberletter(E436)&amp;" Euros"," ")</f>
        <v xml:space="preserve">  Euros</v>
      </c>
    </row>
    <row r="437" spans="1:6" ht="18.600000000000001" customHeight="1" x14ac:dyDescent="0.3">
      <c r="A437" s="150" t="s">
        <v>796</v>
      </c>
      <c r="B437" s="50" t="s">
        <v>221</v>
      </c>
      <c r="C437" s="51" t="s">
        <v>230</v>
      </c>
      <c r="D437" s="87" t="s">
        <v>292</v>
      </c>
      <c r="E437" s="79">
        <v>0</v>
      </c>
      <c r="F437" s="52" t="str">
        <f>IF(E437&lt;&gt;" ",[1]!convnumberletter(E437)&amp;" Euros"," ")</f>
        <v xml:space="preserve">  Euros</v>
      </c>
    </row>
    <row r="438" spans="1:6" ht="18.600000000000001" customHeight="1" x14ac:dyDescent="0.3">
      <c r="A438" s="150" t="s">
        <v>797</v>
      </c>
      <c r="B438" s="50" t="s">
        <v>222</v>
      </c>
      <c r="C438" s="51" t="s">
        <v>230</v>
      </c>
      <c r="D438" s="87" t="s">
        <v>292</v>
      </c>
      <c r="E438" s="79">
        <v>0</v>
      </c>
      <c r="F438" s="52" t="str">
        <f>IF(E438&lt;&gt;" ",[1]!convnumberletter(E438)&amp;" Euros"," ")</f>
        <v xml:space="preserve">  Euros</v>
      </c>
    </row>
    <row r="439" spans="1:6" ht="18.600000000000001" customHeight="1" x14ac:dyDescent="0.3">
      <c r="A439" s="52" t="s">
        <v>798</v>
      </c>
      <c r="B439" s="46" t="s">
        <v>170</v>
      </c>
      <c r="C439" s="52"/>
      <c r="D439" s="87"/>
      <c r="E439" s="49"/>
      <c r="F439" s="52" t="str">
        <f>IF(E439&lt;&gt;" ",[1]!convnumberletter(E439)&amp;" Euros"," ")</f>
        <v xml:space="preserve">  Euros</v>
      </c>
    </row>
    <row r="440" spans="1:6" ht="18.600000000000001" customHeight="1" x14ac:dyDescent="0.3">
      <c r="A440" s="150" t="s">
        <v>799</v>
      </c>
      <c r="B440" s="50" t="s">
        <v>223</v>
      </c>
      <c r="C440" s="51" t="s">
        <v>230</v>
      </c>
      <c r="D440" s="87" t="s">
        <v>292</v>
      </c>
      <c r="E440" s="79">
        <v>0</v>
      </c>
      <c r="F440" s="52" t="str">
        <f>IF(E440&lt;&gt;" ",[1]!convnumberletter(E440)&amp;" Euros"," ")</f>
        <v xml:space="preserve">  Euros</v>
      </c>
    </row>
    <row r="441" spans="1:6" ht="18.600000000000001" customHeight="1" x14ac:dyDescent="0.3">
      <c r="A441" s="150" t="s">
        <v>800</v>
      </c>
      <c r="B441" s="50" t="s">
        <v>224</v>
      </c>
      <c r="C441" s="51" t="s">
        <v>230</v>
      </c>
      <c r="D441" s="87" t="s">
        <v>292</v>
      </c>
      <c r="E441" s="79">
        <v>0</v>
      </c>
      <c r="F441" s="52" t="str">
        <f>IF(E441&lt;&gt;" ",[1]!convnumberletter(E441)&amp;" Euros"," ")</f>
        <v xml:space="preserve">  Euros</v>
      </c>
    </row>
    <row r="442" spans="1:6" ht="18.600000000000001" customHeight="1" x14ac:dyDescent="0.3">
      <c r="A442" s="150" t="s">
        <v>801</v>
      </c>
      <c r="B442" s="50" t="s">
        <v>178</v>
      </c>
      <c r="C442" s="51" t="s">
        <v>230</v>
      </c>
      <c r="D442" s="87" t="s">
        <v>292</v>
      </c>
      <c r="E442" s="79">
        <v>0</v>
      </c>
      <c r="F442" s="52" t="str">
        <f>IF(E442&lt;&gt;" ",[1]!convnumberletter(E442)&amp;" Euros"," ")</f>
        <v xml:space="preserve">  Euros</v>
      </c>
    </row>
    <row r="443" spans="1:6" ht="18.600000000000001" customHeight="1" x14ac:dyDescent="0.3">
      <c r="A443" s="52" t="s">
        <v>802</v>
      </c>
      <c r="B443" s="46" t="s">
        <v>171</v>
      </c>
      <c r="C443" s="52"/>
      <c r="D443" s="87"/>
      <c r="E443" s="49"/>
      <c r="F443" s="52" t="str">
        <f>IF(E443&lt;&gt;" ",[1]!convnumberletter(E443)&amp;" Euros"," ")</f>
        <v xml:space="preserve">  Euros</v>
      </c>
    </row>
    <row r="444" spans="1:6" ht="24.6" customHeight="1" x14ac:dyDescent="0.3">
      <c r="A444" s="150" t="s">
        <v>803</v>
      </c>
      <c r="B444" s="50" t="s">
        <v>229</v>
      </c>
      <c r="C444" s="51" t="s">
        <v>181</v>
      </c>
      <c r="D444" s="87" t="s">
        <v>292</v>
      </c>
      <c r="E444" s="79">
        <v>0</v>
      </c>
      <c r="F444" s="52" t="str">
        <f>IF(E444&lt;&gt;" ",[1]!convnumberletter(E444)&amp;" Euros"," ")</f>
        <v xml:space="preserve">  Euros</v>
      </c>
    </row>
    <row r="445" spans="1:6" ht="18.600000000000001" customHeight="1" x14ac:dyDescent="0.3">
      <c r="A445" s="150" t="s">
        <v>804</v>
      </c>
      <c r="B445" s="50" t="s">
        <v>366</v>
      </c>
      <c r="C445" s="51" t="s">
        <v>181</v>
      </c>
      <c r="D445" s="87" t="s">
        <v>292</v>
      </c>
      <c r="E445" s="79">
        <v>0</v>
      </c>
      <c r="F445" s="52" t="str">
        <f>IF(E445&lt;&gt;" ",[1]!convnumberletter(E445)&amp;" Euros"," ")</f>
        <v xml:space="preserve">  Euros</v>
      </c>
    </row>
    <row r="446" spans="1:6" ht="18.600000000000001" customHeight="1" x14ac:dyDescent="0.3">
      <c r="A446" s="150" t="s">
        <v>805</v>
      </c>
      <c r="B446" s="50" t="s">
        <v>225</v>
      </c>
      <c r="C446" s="51" t="s">
        <v>181</v>
      </c>
      <c r="D446" s="87" t="s">
        <v>292</v>
      </c>
      <c r="E446" s="79">
        <v>0</v>
      </c>
      <c r="F446" s="52" t="str">
        <f>IF(E446&lt;&gt;" ",[1]!convnumberletter(E446)&amp;" Euros"," ")</f>
        <v xml:space="preserve">  Euros</v>
      </c>
    </row>
    <row r="447" spans="1:6" ht="18.600000000000001" customHeight="1" x14ac:dyDescent="0.3">
      <c r="A447" s="150" t="s">
        <v>806</v>
      </c>
      <c r="B447" s="50" t="s">
        <v>226</v>
      </c>
      <c r="C447" s="51" t="s">
        <v>181</v>
      </c>
      <c r="D447" s="87" t="s">
        <v>292</v>
      </c>
      <c r="E447" s="79">
        <v>0</v>
      </c>
      <c r="F447" s="52" t="str">
        <f>IF(E447&lt;&gt;" ",[1]!convnumberletter(E447)&amp;" Euros"," ")</f>
        <v xml:space="preserve">  Euros</v>
      </c>
    </row>
    <row r="448" spans="1:6" ht="18.600000000000001" customHeight="1" x14ac:dyDescent="0.3">
      <c r="A448" s="150" t="s">
        <v>807</v>
      </c>
      <c r="B448" s="50" t="s">
        <v>227</v>
      </c>
      <c r="C448" s="51" t="s">
        <v>181</v>
      </c>
      <c r="D448" s="87" t="s">
        <v>292</v>
      </c>
      <c r="E448" s="79">
        <v>0</v>
      </c>
      <c r="F448" s="52" t="str">
        <f>IF(E448&lt;&gt;" ",[1]!convnumberletter(E448)&amp;" Euros"," ")</f>
        <v xml:space="preserve">  Euros</v>
      </c>
    </row>
    <row r="449" spans="1:6" ht="18.600000000000001" customHeight="1" x14ac:dyDescent="0.3">
      <c r="A449" s="150" t="s">
        <v>808</v>
      </c>
      <c r="B449" s="50" t="s">
        <v>228</v>
      </c>
      <c r="C449" s="51" t="s">
        <v>181</v>
      </c>
      <c r="D449" s="87" t="s">
        <v>292</v>
      </c>
      <c r="E449" s="79">
        <v>0</v>
      </c>
      <c r="F449" s="52" t="str">
        <f>IF(E449&lt;&gt;" ",[1]!convnumberletter(E449)&amp;" Euros"," ")</f>
        <v xml:space="preserve">  Euros</v>
      </c>
    </row>
    <row r="450" spans="1:6" ht="18.600000000000001" customHeight="1" x14ac:dyDescent="0.3">
      <c r="A450" s="52" t="s">
        <v>809</v>
      </c>
      <c r="B450" s="46" t="s">
        <v>172</v>
      </c>
      <c r="C450" s="52"/>
      <c r="D450" s="87"/>
      <c r="E450" s="49"/>
      <c r="F450" s="52" t="str">
        <f>IF(E450&lt;&gt;" ",[1]!convnumberletter(E450)&amp;" Euros"," ")</f>
        <v xml:space="preserve">  Euros</v>
      </c>
    </row>
    <row r="451" spans="1:6" ht="18.600000000000001" customHeight="1" x14ac:dyDescent="0.3">
      <c r="A451" s="150" t="s">
        <v>810</v>
      </c>
      <c r="B451" s="50" t="s">
        <v>231</v>
      </c>
      <c r="C451" s="51" t="s">
        <v>181</v>
      </c>
      <c r="D451" s="87" t="s">
        <v>292</v>
      </c>
      <c r="E451" s="79">
        <v>0</v>
      </c>
      <c r="F451" s="52" t="str">
        <f>IF(E451&lt;&gt;" ",[1]!convnumberletter(E451)&amp;" Euros"," ")</f>
        <v xml:space="preserve">  Euros</v>
      </c>
    </row>
    <row r="452" spans="1:6" ht="18.600000000000001" customHeight="1" x14ac:dyDescent="0.3">
      <c r="A452" s="150" t="s">
        <v>811</v>
      </c>
      <c r="B452" s="50" t="s">
        <v>232</v>
      </c>
      <c r="C452" s="51" t="s">
        <v>181</v>
      </c>
      <c r="D452" s="87" t="s">
        <v>292</v>
      </c>
      <c r="E452" s="79">
        <v>0</v>
      </c>
      <c r="F452" s="52" t="str">
        <f>IF(E452&lt;&gt;" ",[1]!convnumberletter(E452)&amp;" Euros"," ")</f>
        <v xml:space="preserve">  Euros</v>
      </c>
    </row>
    <row r="453" spans="1:6" ht="28.2" customHeight="1" x14ac:dyDescent="0.3">
      <c r="A453" s="150" t="s">
        <v>812</v>
      </c>
      <c r="B453" s="50" t="s">
        <v>233</v>
      </c>
      <c r="C453" s="51" t="s">
        <v>181</v>
      </c>
      <c r="D453" s="87" t="s">
        <v>292</v>
      </c>
      <c r="E453" s="79">
        <v>0</v>
      </c>
      <c r="F453" s="52" t="str">
        <f>IF(E453&lt;&gt;" ",[1]!convnumberletter(E453)&amp;" Euros"," ")</f>
        <v xml:space="preserve">  Euros</v>
      </c>
    </row>
    <row r="454" spans="1:6" ht="18.600000000000001" customHeight="1" x14ac:dyDescent="0.3">
      <c r="A454" s="150" t="s">
        <v>813</v>
      </c>
      <c r="B454" s="50" t="s">
        <v>234</v>
      </c>
      <c r="C454" s="51" t="s">
        <v>181</v>
      </c>
      <c r="D454" s="87" t="s">
        <v>292</v>
      </c>
      <c r="E454" s="79">
        <v>0</v>
      </c>
      <c r="F454" s="52" t="str">
        <f>IF(E454&lt;&gt;" ",[1]!convnumberletter(E454)&amp;" Euros"," ")</f>
        <v xml:space="preserve">  Euros</v>
      </c>
    </row>
    <row r="455" spans="1:6" ht="18.600000000000001" customHeight="1" x14ac:dyDescent="0.3">
      <c r="A455" s="52" t="s">
        <v>814</v>
      </c>
      <c r="B455" s="46" t="s">
        <v>173</v>
      </c>
      <c r="C455" s="52"/>
      <c r="D455" s="87"/>
      <c r="E455" s="49"/>
      <c r="F455" s="52" t="str">
        <f>IF(E455&lt;&gt;" ",[1]!convnumberletter(E455)&amp;" Euros"," ")</f>
        <v xml:space="preserve">  Euros</v>
      </c>
    </row>
    <row r="456" spans="1:6" ht="18.600000000000001" customHeight="1" x14ac:dyDescent="0.3">
      <c r="A456" s="150" t="s">
        <v>815</v>
      </c>
      <c r="B456" s="50" t="s">
        <v>259</v>
      </c>
      <c r="C456" s="51" t="s">
        <v>181</v>
      </c>
      <c r="D456" s="87" t="s">
        <v>292</v>
      </c>
      <c r="E456" s="79">
        <v>0</v>
      </c>
      <c r="F456" s="52" t="str">
        <f>IF(E456&lt;&gt;" ",[1]!convnumberletter(E456)&amp;" Euros"," ")</f>
        <v xml:space="preserve">  Euros</v>
      </c>
    </row>
    <row r="457" spans="1:6" ht="18.600000000000001" customHeight="1" x14ac:dyDescent="0.3">
      <c r="A457" s="150" t="s">
        <v>816</v>
      </c>
      <c r="B457" s="50" t="s">
        <v>235</v>
      </c>
      <c r="C457" s="51" t="s">
        <v>181</v>
      </c>
      <c r="D457" s="87" t="s">
        <v>292</v>
      </c>
      <c r="E457" s="79">
        <v>0</v>
      </c>
      <c r="F457" s="52" t="str">
        <f>IF(E457&lt;&gt;" ",[1]!convnumberletter(E457)&amp;" Euros"," ")</f>
        <v xml:space="preserve">  Euros</v>
      </c>
    </row>
    <row r="458" spans="1:6" ht="18.600000000000001" customHeight="1" x14ac:dyDescent="0.3">
      <c r="A458" s="150" t="s">
        <v>817</v>
      </c>
      <c r="B458" s="50" t="s">
        <v>236</v>
      </c>
      <c r="C458" s="51" t="s">
        <v>181</v>
      </c>
      <c r="D458" s="87" t="s">
        <v>292</v>
      </c>
      <c r="E458" s="79">
        <v>0</v>
      </c>
      <c r="F458" s="52" t="str">
        <f>IF(E458&lt;&gt;" ",[1]!convnumberletter(E458)&amp;" Euros"," ")</f>
        <v xml:space="preserve">  Euros</v>
      </c>
    </row>
    <row r="459" spans="1:6" ht="18.600000000000001" customHeight="1" x14ac:dyDescent="0.3">
      <c r="A459" s="150" t="s">
        <v>818</v>
      </c>
      <c r="B459" s="50" t="s">
        <v>237</v>
      </c>
      <c r="C459" s="51" t="s">
        <v>181</v>
      </c>
      <c r="D459" s="87" t="s">
        <v>292</v>
      </c>
      <c r="E459" s="79">
        <v>0</v>
      </c>
      <c r="F459" s="52" t="str">
        <f>IF(E459&lt;&gt;" ",[1]!convnumberletter(E459)&amp;" Euros"," ")</f>
        <v xml:space="preserve">  Euros</v>
      </c>
    </row>
    <row r="460" spans="1:6" ht="18.600000000000001" customHeight="1" x14ac:dyDescent="0.3">
      <c r="A460" s="150" t="s">
        <v>819</v>
      </c>
      <c r="B460" s="50" t="s">
        <v>238</v>
      </c>
      <c r="C460" s="51" t="s">
        <v>181</v>
      </c>
      <c r="D460" s="87" t="s">
        <v>292</v>
      </c>
      <c r="E460" s="79">
        <v>0</v>
      </c>
      <c r="F460" s="52" t="str">
        <f>IF(E460&lt;&gt;" ",[1]!convnumberletter(E460)&amp;" Euros"," ")</f>
        <v xml:space="preserve">  Euros</v>
      </c>
    </row>
    <row r="461" spans="1:6" ht="18.600000000000001" customHeight="1" x14ac:dyDescent="0.3">
      <c r="A461" s="150" t="s">
        <v>820</v>
      </c>
      <c r="B461" s="50" t="s">
        <v>179</v>
      </c>
      <c r="C461" s="51" t="s">
        <v>181</v>
      </c>
      <c r="D461" s="87" t="s">
        <v>292</v>
      </c>
      <c r="E461" s="79">
        <v>0</v>
      </c>
      <c r="F461" s="52" t="str">
        <f>IF(E461&lt;&gt;" ",[1]!convnumberletter(E461)&amp;" Euros"," ")</f>
        <v xml:space="preserve">  Euros</v>
      </c>
    </row>
    <row r="462" spans="1:6" ht="18.600000000000001" customHeight="1" x14ac:dyDescent="0.3">
      <c r="A462" s="150" t="s">
        <v>821</v>
      </c>
      <c r="B462" s="50" t="s">
        <v>239</v>
      </c>
      <c r="C462" s="51" t="s">
        <v>181</v>
      </c>
      <c r="D462" s="87" t="s">
        <v>292</v>
      </c>
      <c r="E462" s="79">
        <v>0</v>
      </c>
      <c r="F462" s="52" t="str">
        <f>IF(E462&lt;&gt;" ",[1]!convnumberletter(E462)&amp;" Euros"," ")</f>
        <v xml:space="preserve">  Euros</v>
      </c>
    </row>
    <row r="463" spans="1:6" ht="18.600000000000001" customHeight="1" x14ac:dyDescent="0.3">
      <c r="A463" s="52" t="s">
        <v>822</v>
      </c>
      <c r="B463" s="46" t="s">
        <v>174</v>
      </c>
      <c r="C463" s="52"/>
      <c r="D463" s="87"/>
      <c r="E463" s="49"/>
      <c r="F463" s="52" t="str">
        <f>IF(E463&lt;&gt;" ",[1]!convnumberletter(E463)&amp;" Euros"," ")</f>
        <v xml:space="preserve">  Euros</v>
      </c>
    </row>
    <row r="464" spans="1:6" ht="18.600000000000001" customHeight="1" x14ac:dyDescent="0.3">
      <c r="A464" s="150" t="s">
        <v>823</v>
      </c>
      <c r="B464" s="50" t="s">
        <v>373</v>
      </c>
      <c r="C464" s="51" t="s">
        <v>181</v>
      </c>
      <c r="D464" s="87" t="s">
        <v>292</v>
      </c>
      <c r="E464" s="79">
        <v>0</v>
      </c>
      <c r="F464" s="52" t="str">
        <f>IF(E464&lt;&gt;" ",[1]!convnumberletter(E464)&amp;" Euros"," ")</f>
        <v xml:space="preserve">  Euros</v>
      </c>
    </row>
    <row r="465" spans="1:6" ht="18.600000000000001" customHeight="1" x14ac:dyDescent="0.3">
      <c r="A465" s="150" t="s">
        <v>824</v>
      </c>
      <c r="B465" s="50" t="s">
        <v>240</v>
      </c>
      <c r="C465" s="51" t="s">
        <v>181</v>
      </c>
      <c r="D465" s="87" t="s">
        <v>292</v>
      </c>
      <c r="E465" s="79">
        <v>0</v>
      </c>
      <c r="F465" s="52" t="str">
        <f>IF(E465&lt;&gt;" ",[1]!convnumberletter(E465)&amp;" Euros"," ")</f>
        <v xml:space="preserve">  Euros</v>
      </c>
    </row>
    <row r="466" spans="1:6" ht="18.600000000000001" customHeight="1" x14ac:dyDescent="0.3">
      <c r="A466" s="150" t="s">
        <v>825</v>
      </c>
      <c r="B466" s="50" t="s">
        <v>241</v>
      </c>
      <c r="C466" s="51" t="s">
        <v>181</v>
      </c>
      <c r="D466" s="87" t="s">
        <v>292</v>
      </c>
      <c r="E466" s="79">
        <v>0</v>
      </c>
      <c r="F466" s="52" t="str">
        <f>IF(E466&lt;&gt;" ",[1]!convnumberletter(E466)&amp;" Euros"," ")</f>
        <v xml:space="preserve">  Euros</v>
      </c>
    </row>
    <row r="467" spans="1:6" ht="18.600000000000001" customHeight="1" x14ac:dyDescent="0.3">
      <c r="A467" s="150" t="s">
        <v>826</v>
      </c>
      <c r="B467" s="50" t="s">
        <v>242</v>
      </c>
      <c r="C467" s="51" t="s">
        <v>181</v>
      </c>
      <c r="D467" s="87" t="s">
        <v>292</v>
      </c>
      <c r="E467" s="79">
        <v>0</v>
      </c>
      <c r="F467" s="52" t="str">
        <f>IF(E467&lt;&gt;" ",[1]!convnumberletter(E467)&amp;" Euros"," ")</f>
        <v xml:space="preserve">  Euros</v>
      </c>
    </row>
    <row r="468" spans="1:6" ht="18.600000000000001" customHeight="1" x14ac:dyDescent="0.3">
      <c r="A468" s="150" t="s">
        <v>827</v>
      </c>
      <c r="B468" s="50" t="s">
        <v>243</v>
      </c>
      <c r="C468" s="51" t="s">
        <v>181</v>
      </c>
      <c r="D468" s="87" t="s">
        <v>292</v>
      </c>
      <c r="E468" s="79">
        <v>0</v>
      </c>
      <c r="F468" s="52" t="str">
        <f>IF(E468&lt;&gt;" ",[1]!convnumberletter(E468)&amp;" Euros"," ")</f>
        <v xml:space="preserve">  Euros</v>
      </c>
    </row>
    <row r="469" spans="1:6" ht="18.600000000000001" customHeight="1" x14ac:dyDescent="0.3">
      <c r="A469" s="150" t="s">
        <v>828</v>
      </c>
      <c r="B469" s="50" t="s">
        <v>244</v>
      </c>
      <c r="C469" s="51" t="s">
        <v>181</v>
      </c>
      <c r="D469" s="87" t="s">
        <v>292</v>
      </c>
      <c r="E469" s="79">
        <v>0</v>
      </c>
      <c r="F469" s="52" t="str">
        <f>IF(E469&lt;&gt;" ",[1]!convnumberletter(E469)&amp;" Euros"," ")</f>
        <v xml:space="preserve">  Euros</v>
      </c>
    </row>
    <row r="470" spans="1:6" ht="18.600000000000001" customHeight="1" x14ac:dyDescent="0.3">
      <c r="A470" s="150" t="s">
        <v>829</v>
      </c>
      <c r="B470" s="50" t="s">
        <v>245</v>
      </c>
      <c r="C470" s="51" t="s">
        <v>181</v>
      </c>
      <c r="D470" s="87" t="s">
        <v>292</v>
      </c>
      <c r="E470" s="79">
        <v>0</v>
      </c>
      <c r="F470" s="52" t="str">
        <f>IF(E470&lt;&gt;" ",[1]!convnumberletter(E470)&amp;" Euros"," ")</f>
        <v xml:space="preserve">  Euros</v>
      </c>
    </row>
    <row r="471" spans="1:6" ht="18.600000000000001" customHeight="1" x14ac:dyDescent="0.3">
      <c r="A471" s="150" t="s">
        <v>830</v>
      </c>
      <c r="B471" s="50" t="s">
        <v>246</v>
      </c>
      <c r="C471" s="51" t="s">
        <v>181</v>
      </c>
      <c r="D471" s="87" t="s">
        <v>292</v>
      </c>
      <c r="E471" s="79">
        <v>0</v>
      </c>
      <c r="F471" s="52" t="str">
        <f>IF(E471&lt;&gt;" ",[1]!convnumberletter(E471)&amp;" Euros"," ")</f>
        <v xml:space="preserve">  Euros</v>
      </c>
    </row>
    <row r="472" spans="1:6" ht="18.600000000000001" customHeight="1" x14ac:dyDescent="0.3">
      <c r="A472" s="150" t="s">
        <v>831</v>
      </c>
      <c r="B472" s="50" t="s">
        <v>372</v>
      </c>
      <c r="C472" s="51" t="s">
        <v>181</v>
      </c>
      <c r="D472" s="87" t="s">
        <v>292</v>
      </c>
      <c r="E472" s="79">
        <v>0</v>
      </c>
      <c r="F472" s="52" t="str">
        <f>IF(E472&lt;&gt;" ",[1]!convnumberletter(E472)&amp;" Euros"," ")</f>
        <v xml:space="preserve">  Euros</v>
      </c>
    </row>
    <row r="473" spans="1:6" ht="18.600000000000001" customHeight="1" x14ac:dyDescent="0.3">
      <c r="A473" s="150" t="s">
        <v>832</v>
      </c>
      <c r="B473" s="50" t="s">
        <v>247</v>
      </c>
      <c r="C473" s="51" t="s">
        <v>181</v>
      </c>
      <c r="D473" s="87" t="s">
        <v>292</v>
      </c>
      <c r="E473" s="79">
        <v>0</v>
      </c>
      <c r="F473" s="52" t="str">
        <f>IF(E473&lt;&gt;" ",[1]!convnumberletter(E473)&amp;" Euros"," ")</f>
        <v xml:space="preserve">  Euros</v>
      </c>
    </row>
    <row r="474" spans="1:6" ht="18.600000000000001" customHeight="1" x14ac:dyDescent="0.3">
      <c r="A474" s="150" t="s">
        <v>833</v>
      </c>
      <c r="B474" s="50" t="s">
        <v>194</v>
      </c>
      <c r="C474" s="51" t="s">
        <v>181</v>
      </c>
      <c r="D474" s="87" t="s">
        <v>292</v>
      </c>
      <c r="E474" s="79">
        <v>0</v>
      </c>
      <c r="F474" s="52" t="str">
        <f>IF(E474&lt;&gt;" ",[1]!convnumberletter(E474)&amp;" Euros"," ")</f>
        <v xml:space="preserve">  Euros</v>
      </c>
    </row>
    <row r="475" spans="1:6" ht="18.600000000000001" customHeight="1" x14ac:dyDescent="0.3">
      <c r="A475" s="52" t="s">
        <v>834</v>
      </c>
      <c r="B475" s="46" t="s">
        <v>175</v>
      </c>
      <c r="C475" s="52"/>
      <c r="D475" s="87"/>
      <c r="E475" s="49"/>
      <c r="F475" s="52" t="str">
        <f>IF(E475&lt;&gt;" ",[1]!convnumberletter(E475)&amp;" Euros"," ")</f>
        <v xml:space="preserve">  Euros</v>
      </c>
    </row>
    <row r="476" spans="1:6" ht="18.600000000000001" customHeight="1" x14ac:dyDescent="0.3">
      <c r="A476" s="150" t="s">
        <v>835</v>
      </c>
      <c r="B476" s="50" t="s">
        <v>180</v>
      </c>
      <c r="C476" s="51" t="s">
        <v>181</v>
      </c>
      <c r="D476" s="87" t="s">
        <v>292</v>
      </c>
      <c r="E476" s="49">
        <v>0</v>
      </c>
      <c r="F476" s="52" t="str">
        <f>IF(E476&lt;&gt;" ",[1]!convnumberletter(E476)&amp;" Euros"," ")</f>
        <v xml:space="preserve">  Euros</v>
      </c>
    </row>
    <row r="477" spans="1:6" ht="18.600000000000001" customHeight="1" x14ac:dyDescent="0.3">
      <c r="A477" s="52" t="s">
        <v>836</v>
      </c>
      <c r="B477" s="46" t="s">
        <v>176</v>
      </c>
      <c r="C477" s="52"/>
      <c r="D477" s="87"/>
      <c r="E477" s="49"/>
      <c r="F477" s="52" t="str">
        <f>IF(E477&lt;&gt;" ",[1]!convnumberletter(E477)&amp;" Euros"," ")</f>
        <v xml:space="preserve">  Euros</v>
      </c>
    </row>
    <row r="478" spans="1:6" ht="18.600000000000001" customHeight="1" x14ac:dyDescent="0.3">
      <c r="A478" s="150" t="s">
        <v>837</v>
      </c>
      <c r="B478" s="50" t="s">
        <v>257</v>
      </c>
      <c r="C478" s="51" t="s">
        <v>181</v>
      </c>
      <c r="D478" s="87" t="s">
        <v>292</v>
      </c>
      <c r="E478" s="49">
        <v>0</v>
      </c>
      <c r="F478" s="52" t="str">
        <f>IF(E478&lt;&gt;" ",[1]!convnumberletter(E478)&amp;" Euros"," ")</f>
        <v xml:space="preserve">  Euros</v>
      </c>
    </row>
    <row r="479" spans="1:6" ht="18.600000000000001" customHeight="1" x14ac:dyDescent="0.3">
      <c r="A479" s="150" t="s">
        <v>838</v>
      </c>
      <c r="B479" s="50" t="s">
        <v>253</v>
      </c>
      <c r="C479" s="51" t="s">
        <v>17</v>
      </c>
      <c r="D479" s="87" t="s">
        <v>292</v>
      </c>
      <c r="E479" s="49">
        <v>0</v>
      </c>
      <c r="F479" s="52" t="str">
        <f>IF(E479&lt;&gt;" ",[1]!convnumberletter(E479)&amp;" Euros"," ")</f>
        <v xml:space="preserve">  Euros</v>
      </c>
    </row>
    <row r="480" spans="1:6" ht="18.600000000000001" customHeight="1" x14ac:dyDescent="0.3">
      <c r="A480" s="150" t="s">
        <v>839</v>
      </c>
      <c r="B480" s="50" t="s">
        <v>252</v>
      </c>
      <c r="C480" s="51" t="s">
        <v>17</v>
      </c>
      <c r="D480" s="87" t="s">
        <v>292</v>
      </c>
      <c r="E480" s="49">
        <v>0</v>
      </c>
      <c r="F480" s="52" t="str">
        <f>IF(E480&lt;&gt;" ",[1]!convnumberletter(E480)&amp;" Euros"," ")</f>
        <v xml:space="preserve">  Euros</v>
      </c>
    </row>
    <row r="481" spans="1:6" ht="18.600000000000001" customHeight="1" x14ac:dyDescent="0.3">
      <c r="A481" s="150" t="s">
        <v>840</v>
      </c>
      <c r="B481" s="50" t="s">
        <v>254</v>
      </c>
      <c r="C481" s="51" t="s">
        <v>17</v>
      </c>
      <c r="D481" s="87" t="s">
        <v>292</v>
      </c>
      <c r="E481" s="49">
        <v>0</v>
      </c>
      <c r="F481" s="52" t="str">
        <f>IF(E481&lt;&gt;" ",[1]!convnumberletter(E481)&amp;" Euros"," ")</f>
        <v xml:space="preserve">  Euros</v>
      </c>
    </row>
    <row r="482" spans="1:6" ht="18.600000000000001" customHeight="1" x14ac:dyDescent="0.3">
      <c r="A482" s="150" t="s">
        <v>841</v>
      </c>
      <c r="B482" s="50" t="s">
        <v>255</v>
      </c>
      <c r="C482" s="51" t="s">
        <v>17</v>
      </c>
      <c r="D482" s="87" t="s">
        <v>292</v>
      </c>
      <c r="E482" s="49">
        <v>0</v>
      </c>
      <c r="F482" s="52" t="str">
        <f>IF(E482&lt;&gt;" ",[1]!convnumberletter(E482)&amp;" Euros"," ")</f>
        <v xml:space="preserve">  Euros</v>
      </c>
    </row>
    <row r="483" spans="1:6" ht="28.8" customHeight="1" x14ac:dyDescent="0.3">
      <c r="A483" s="150" t="s">
        <v>842</v>
      </c>
      <c r="B483" s="50" t="s">
        <v>251</v>
      </c>
      <c r="C483" s="51" t="s">
        <v>17</v>
      </c>
      <c r="D483" s="87" t="s">
        <v>292</v>
      </c>
      <c r="E483" s="49">
        <v>0</v>
      </c>
      <c r="F483" s="52" t="str">
        <f>IF(E483&lt;&gt;" ",[1]!convnumberletter(E483)&amp;" Euros"," ")</f>
        <v xml:space="preserve">  Euros</v>
      </c>
    </row>
    <row r="484" spans="1:6" x14ac:dyDescent="0.3">
      <c r="A484" s="150" t="s">
        <v>843</v>
      </c>
      <c r="B484" s="50" t="s">
        <v>256</v>
      </c>
      <c r="C484" s="51" t="s">
        <v>181</v>
      </c>
      <c r="D484" s="87" t="s">
        <v>292</v>
      </c>
      <c r="E484" s="49">
        <v>0</v>
      </c>
      <c r="F484" s="52" t="str">
        <f>IF(E484&lt;&gt;" ",[1]!convnumberletter(E484)&amp;" Euros"," ")</f>
        <v xml:space="preserve">  Euros</v>
      </c>
    </row>
    <row r="485" spans="1:6" x14ac:dyDescent="0.3">
      <c r="A485" s="150" t="s">
        <v>844</v>
      </c>
      <c r="B485" s="50" t="s">
        <v>258</v>
      </c>
      <c r="C485" s="51" t="s">
        <v>17</v>
      </c>
      <c r="D485" s="87" t="s">
        <v>292</v>
      </c>
      <c r="E485" s="49">
        <v>0</v>
      </c>
      <c r="F485" s="52" t="str">
        <f>IF(E485&lt;&gt;" ",[1]!convnumberletter(E485)&amp;" Euros"," ")</f>
        <v xml:space="preserve">  Euros</v>
      </c>
    </row>
    <row r="486" spans="1:6" ht="18.600000000000001" customHeight="1" x14ac:dyDescent="0.3">
      <c r="A486" s="150" t="s">
        <v>845</v>
      </c>
      <c r="B486" s="50" t="s">
        <v>193</v>
      </c>
      <c r="C486" s="51" t="s">
        <v>181</v>
      </c>
      <c r="D486" s="87" t="s">
        <v>292</v>
      </c>
      <c r="E486" s="49">
        <v>0</v>
      </c>
      <c r="F486" s="52" t="str">
        <f>IF(E486&lt;&gt;" ",[1]!convnumberletter(E486)&amp;" Euros"," ")</f>
        <v xml:space="preserve">  Euros</v>
      </c>
    </row>
    <row r="487" spans="1:6" x14ac:dyDescent="0.3">
      <c r="A487" s="150" t="s">
        <v>846</v>
      </c>
      <c r="B487" s="50" t="s">
        <v>192</v>
      </c>
      <c r="C487" s="51" t="s">
        <v>181</v>
      </c>
      <c r="D487" s="87" t="s">
        <v>292</v>
      </c>
      <c r="E487" s="49">
        <v>0</v>
      </c>
      <c r="F487" s="52" t="str">
        <f>IF(E487&lt;&gt;" ",[1]!convnumberletter(E487)&amp;" Euros"," ")</f>
        <v xml:space="preserve">  Euros</v>
      </c>
    </row>
    <row r="488" spans="1:6" ht="28.8" x14ac:dyDescent="0.3">
      <c r="A488" s="150" t="s">
        <v>847</v>
      </c>
      <c r="B488" s="50" t="s">
        <v>260</v>
      </c>
      <c r="C488" s="51" t="s">
        <v>181</v>
      </c>
      <c r="D488" s="87" t="s">
        <v>292</v>
      </c>
      <c r="E488" s="49">
        <v>0</v>
      </c>
      <c r="F488" s="52" t="str">
        <f>IF(E488&lt;&gt;" ",[1]!convnumberletter(E488)&amp;" Euros"," ")</f>
        <v xml:space="preserve">  Euros</v>
      </c>
    </row>
    <row r="489" spans="1:6" ht="18.600000000000001" customHeight="1" x14ac:dyDescent="0.3">
      <c r="A489" s="52" t="s">
        <v>848</v>
      </c>
      <c r="B489" s="46" t="s">
        <v>177</v>
      </c>
      <c r="C489" s="52"/>
      <c r="D489" s="87"/>
      <c r="E489" s="49"/>
      <c r="F489" s="52" t="str">
        <f>IF(E489&lt;&gt;" ",[1]!convnumberletter(E489)&amp;" Euros"," ")</f>
        <v xml:space="preserve">  Euros</v>
      </c>
    </row>
    <row r="490" spans="1:6" ht="18.600000000000001" customHeight="1" x14ac:dyDescent="0.3">
      <c r="A490" s="150" t="s">
        <v>849</v>
      </c>
      <c r="B490" s="50" t="s">
        <v>182</v>
      </c>
      <c r="C490" s="51" t="s">
        <v>181</v>
      </c>
      <c r="D490" s="87" t="s">
        <v>292</v>
      </c>
      <c r="E490" s="49">
        <v>0</v>
      </c>
      <c r="F490" s="52" t="str">
        <f>IF(E490&lt;&gt;" ",[1]!convnumberletter(E490)&amp;" Euros"," ")</f>
        <v xml:space="preserve">  Euros</v>
      </c>
    </row>
    <row r="491" spans="1:6" x14ac:dyDescent="0.3">
      <c r="A491" s="150" t="s">
        <v>850</v>
      </c>
      <c r="B491" s="50" t="s">
        <v>1273</v>
      </c>
      <c r="C491" s="51" t="s">
        <v>181</v>
      </c>
      <c r="D491" s="87" t="s">
        <v>292</v>
      </c>
      <c r="E491" s="49">
        <v>0</v>
      </c>
      <c r="F491" s="52" t="str">
        <f>IF(E491&lt;&gt;" ",[1]!convnumberletter(E491)&amp;" Euros"," ")</f>
        <v xml:space="preserve">  Euros</v>
      </c>
    </row>
    <row r="492" spans="1:6" x14ac:dyDescent="0.3">
      <c r="A492" s="150" t="s">
        <v>851</v>
      </c>
      <c r="B492" s="50" t="s">
        <v>183</v>
      </c>
      <c r="C492" s="51" t="s">
        <v>181</v>
      </c>
      <c r="D492" s="87" t="s">
        <v>292</v>
      </c>
      <c r="E492" s="49">
        <v>0</v>
      </c>
      <c r="F492" s="52" t="str">
        <f>IF(E492&lt;&gt;" ",[1]!convnumberletter(E492)&amp;" Euros"," ")</f>
        <v xml:space="preserve">  Euros</v>
      </c>
    </row>
    <row r="493" spans="1:6" ht="26.4" customHeight="1" x14ac:dyDescent="0.3">
      <c r="A493" s="150" t="s">
        <v>852</v>
      </c>
      <c r="B493" s="50" t="s">
        <v>184</v>
      </c>
      <c r="C493" s="51" t="s">
        <v>181</v>
      </c>
      <c r="D493" s="87" t="s">
        <v>292</v>
      </c>
      <c r="E493" s="49">
        <v>0</v>
      </c>
      <c r="F493" s="52" t="str">
        <f>IF(E493&lt;&gt;" ",[1]!convnumberletter(E493)&amp;" Euros"," ")</f>
        <v xml:space="preserve">  Euros</v>
      </c>
    </row>
    <row r="494" spans="1:6" ht="26.4" customHeight="1" x14ac:dyDescent="0.3">
      <c r="A494" s="150" t="s">
        <v>853</v>
      </c>
      <c r="B494" s="50" t="s">
        <v>185</v>
      </c>
      <c r="C494" s="51" t="s">
        <v>181</v>
      </c>
      <c r="D494" s="87" t="s">
        <v>292</v>
      </c>
      <c r="E494" s="49">
        <v>0</v>
      </c>
      <c r="F494" s="52" t="str">
        <f>IF(E494&lt;&gt;" ",[1]!convnumberletter(E494)&amp;" Euros"," ")</f>
        <v xml:space="preserve">  Euros</v>
      </c>
    </row>
    <row r="495" spans="1:6" x14ac:dyDescent="0.3">
      <c r="A495" s="52" t="s">
        <v>854</v>
      </c>
      <c r="B495" s="46" t="s">
        <v>304</v>
      </c>
      <c r="C495" s="51"/>
      <c r="D495" s="87"/>
      <c r="E495" s="49"/>
      <c r="F495" s="52" t="str">
        <f>IF(E495&lt;&gt;" ",[1]!convnumberletter(E495)&amp;" Euros"," ")</f>
        <v xml:space="preserve">  Euros</v>
      </c>
    </row>
    <row r="496" spans="1:6" ht="18.600000000000001" customHeight="1" x14ac:dyDescent="0.3">
      <c r="A496" s="150" t="s">
        <v>855</v>
      </c>
      <c r="B496" s="50" t="s">
        <v>305</v>
      </c>
      <c r="C496" s="51" t="s">
        <v>197</v>
      </c>
      <c r="D496" s="87" t="s">
        <v>292</v>
      </c>
      <c r="E496" s="49">
        <v>0</v>
      </c>
      <c r="F496" s="52" t="str">
        <f>IF(E496&lt;&gt;" ",[1]!convnumberletter(E496)&amp;" Euros"," ")</f>
        <v xml:space="preserve">  Euros</v>
      </c>
    </row>
    <row r="497" spans="1:6" ht="18.600000000000001" customHeight="1" x14ac:dyDescent="0.3">
      <c r="A497" s="150" t="s">
        <v>856</v>
      </c>
      <c r="B497" s="50" t="s">
        <v>306</v>
      </c>
      <c r="C497" s="51" t="s">
        <v>197</v>
      </c>
      <c r="D497" s="87" t="s">
        <v>292</v>
      </c>
      <c r="E497" s="49">
        <v>0</v>
      </c>
      <c r="F497" s="52" t="str">
        <f>IF(E497&lt;&gt;" ",[1]!convnumberletter(E497)&amp;" Euros"," ")</f>
        <v xml:space="preserve">  Euros</v>
      </c>
    </row>
    <row r="498" spans="1:6" ht="18.600000000000001" customHeight="1" x14ac:dyDescent="0.3">
      <c r="A498" s="150" t="s">
        <v>857</v>
      </c>
      <c r="B498" s="50" t="s">
        <v>307</v>
      </c>
      <c r="C498" s="51" t="s">
        <v>197</v>
      </c>
      <c r="D498" s="87" t="s">
        <v>292</v>
      </c>
      <c r="E498" s="49">
        <v>0</v>
      </c>
      <c r="F498" s="52" t="str">
        <f>IF(E498&lt;&gt;" ",[1]!convnumberletter(E498)&amp;" Euros"," ")</f>
        <v xml:space="preserve">  Euros</v>
      </c>
    </row>
    <row r="499" spans="1:6" ht="18.600000000000001" customHeight="1" x14ac:dyDescent="0.3">
      <c r="A499" s="150" t="s">
        <v>858</v>
      </c>
      <c r="B499" s="50" t="s">
        <v>308</v>
      </c>
      <c r="C499" s="51" t="s">
        <v>197</v>
      </c>
      <c r="D499" s="87" t="s">
        <v>292</v>
      </c>
      <c r="E499" s="49">
        <v>0</v>
      </c>
      <c r="F499" s="52" t="str">
        <f>IF(E499&lt;&gt;" ",[1]!convnumberletter(E499)&amp;" Euros"," ")</f>
        <v xml:space="preserve">  Euros</v>
      </c>
    </row>
    <row r="500" spans="1:6" ht="18.600000000000001" customHeight="1" x14ac:dyDescent="0.3">
      <c r="A500" s="150" t="s">
        <v>859</v>
      </c>
      <c r="B500" s="50" t="s">
        <v>309</v>
      </c>
      <c r="C500" s="51" t="s">
        <v>197</v>
      </c>
      <c r="D500" s="87" t="s">
        <v>292</v>
      </c>
      <c r="E500" s="49">
        <v>0</v>
      </c>
      <c r="F500" s="52" t="str">
        <f>IF(E500&lt;&gt;" ",[1]!convnumberletter(E500)&amp;" Euros"," ")</f>
        <v xml:space="preserve">  Euros</v>
      </c>
    </row>
    <row r="501" spans="1:6" ht="18.600000000000001" customHeight="1" x14ac:dyDescent="0.3">
      <c r="A501" s="150" t="s">
        <v>860</v>
      </c>
      <c r="B501" s="50" t="s">
        <v>310</v>
      </c>
      <c r="C501" s="51" t="s">
        <v>197</v>
      </c>
      <c r="D501" s="87" t="s">
        <v>292</v>
      </c>
      <c r="E501" s="49">
        <v>0</v>
      </c>
      <c r="F501" s="52" t="str">
        <f>IF(E501&lt;&gt;" ",[1]!convnumberletter(E501)&amp;" Euros"," ")</f>
        <v xml:space="preserve">  Euros</v>
      </c>
    </row>
    <row r="502" spans="1:6" ht="18.600000000000001" customHeight="1" x14ac:dyDescent="0.3">
      <c r="A502" s="150" t="s">
        <v>861</v>
      </c>
      <c r="B502" s="50" t="s">
        <v>311</v>
      </c>
      <c r="C502" s="51" t="s">
        <v>197</v>
      </c>
      <c r="D502" s="87" t="s">
        <v>292</v>
      </c>
      <c r="E502" s="49">
        <v>0</v>
      </c>
      <c r="F502" s="52" t="str">
        <f>IF(E502&lt;&gt;" ",[1]!convnumberletter(E502)&amp;" Euros"," ")</f>
        <v xml:space="preserve">  Euros</v>
      </c>
    </row>
    <row r="503" spans="1:6" ht="24.6" customHeight="1" x14ac:dyDescent="0.3">
      <c r="A503" s="150" t="s">
        <v>862</v>
      </c>
      <c r="B503" s="50" t="s">
        <v>313</v>
      </c>
      <c r="C503" s="51" t="s">
        <v>17</v>
      </c>
      <c r="D503" s="87" t="s">
        <v>292</v>
      </c>
      <c r="E503" s="49">
        <v>0</v>
      </c>
      <c r="F503" s="52" t="str">
        <f>IF(E503&lt;&gt;" ",[1]!convnumberletter(E503)&amp;" Euros"," ")</f>
        <v xml:space="preserve">  Euros</v>
      </c>
    </row>
    <row r="504" spans="1:6" ht="31.2" customHeight="1" x14ac:dyDescent="0.3">
      <c r="A504" s="150" t="s">
        <v>863</v>
      </c>
      <c r="B504" s="50" t="s">
        <v>312</v>
      </c>
      <c r="C504" s="51" t="s">
        <v>17</v>
      </c>
      <c r="D504" s="87" t="s">
        <v>292</v>
      </c>
      <c r="E504" s="49">
        <v>0</v>
      </c>
      <c r="F504" s="52" t="str">
        <f>IF(E504&lt;&gt;" ",[1]!convnumberletter(E504)&amp;" Euros"," ")</f>
        <v xml:space="preserve">  Euros</v>
      </c>
    </row>
    <row r="505" spans="1:6" s="66" customFormat="1" ht="18.600000000000001" customHeight="1" x14ac:dyDescent="0.3">
      <c r="A505" s="52" t="s">
        <v>864</v>
      </c>
      <c r="B505" s="46" t="s">
        <v>201</v>
      </c>
      <c r="C505" s="71"/>
      <c r="D505" s="89"/>
      <c r="E505" s="56"/>
      <c r="F505" s="52" t="str">
        <f>IF(E505&lt;&gt;" ",[1]!convnumberletter(E505)&amp;" Euros"," ")</f>
        <v xml:space="preserve">  Euros</v>
      </c>
    </row>
    <row r="506" spans="1:6" ht="18.600000000000001" customHeight="1" x14ac:dyDescent="0.3">
      <c r="A506" s="150" t="s">
        <v>865</v>
      </c>
      <c r="B506" s="50" t="s">
        <v>202</v>
      </c>
      <c r="C506" s="51" t="s">
        <v>164</v>
      </c>
      <c r="D506" s="87" t="s">
        <v>292</v>
      </c>
      <c r="E506" s="49">
        <v>0</v>
      </c>
      <c r="F506" s="52" t="str">
        <f>IF(E506&lt;&gt;" ",[1]!convnumberletter(E506)&amp;" Euros"," ")</f>
        <v xml:space="preserve">  Euros</v>
      </c>
    </row>
    <row r="507" spans="1:6" ht="18.600000000000001" customHeight="1" x14ac:dyDescent="0.3">
      <c r="A507" s="150" t="s">
        <v>866</v>
      </c>
      <c r="B507" s="50" t="s">
        <v>203</v>
      </c>
      <c r="C507" s="51" t="s">
        <v>164</v>
      </c>
      <c r="D507" s="87" t="s">
        <v>292</v>
      </c>
      <c r="E507" s="49">
        <v>0</v>
      </c>
      <c r="F507" s="52" t="str">
        <f>IF(E507&lt;&gt;" ",[1]!convnumberletter(E507)&amp;" Euros"," ")</f>
        <v xml:space="preserve">  Euros</v>
      </c>
    </row>
    <row r="508" spans="1:6" ht="18.600000000000001" customHeight="1" x14ac:dyDescent="0.3">
      <c r="A508" s="150" t="s">
        <v>867</v>
      </c>
      <c r="B508" s="50" t="s">
        <v>204</v>
      </c>
      <c r="C508" s="51" t="s">
        <v>164</v>
      </c>
      <c r="D508" s="87" t="s">
        <v>292</v>
      </c>
      <c r="E508" s="49">
        <v>0</v>
      </c>
      <c r="F508" s="52" t="str">
        <f>IF(E508&lt;&gt;" ",[1]!convnumberletter(E508)&amp;" Euros"," ")</f>
        <v xml:space="preserve">  Euros</v>
      </c>
    </row>
    <row r="509" spans="1:6" ht="18.600000000000001" customHeight="1" x14ac:dyDescent="0.3">
      <c r="A509" s="150" t="s">
        <v>868</v>
      </c>
      <c r="B509" s="50" t="s">
        <v>205</v>
      </c>
      <c r="C509" s="51" t="s">
        <v>164</v>
      </c>
      <c r="D509" s="87" t="s">
        <v>292</v>
      </c>
      <c r="E509" s="49">
        <v>0</v>
      </c>
      <c r="F509" s="52" t="str">
        <f>IF(E509&lt;&gt;" ",[1]!convnumberletter(E509)&amp;" Euros"," ")</f>
        <v xml:space="preserve">  Euros</v>
      </c>
    </row>
    <row r="510" spans="1:6" ht="18.600000000000001" customHeight="1" x14ac:dyDescent="0.3">
      <c r="A510" s="150" t="s">
        <v>869</v>
      </c>
      <c r="B510" s="50" t="s">
        <v>206</v>
      </c>
      <c r="C510" s="51" t="s">
        <v>164</v>
      </c>
      <c r="D510" s="87" t="s">
        <v>292</v>
      </c>
      <c r="E510" s="49">
        <v>0</v>
      </c>
      <c r="F510" s="52" t="str">
        <f>IF(E510&lt;&gt;" ",[1]!convnumberletter(E510)&amp;" Euros"," ")</f>
        <v xml:space="preserve">  Euros</v>
      </c>
    </row>
    <row r="511" spans="1:6" ht="25.2" customHeight="1" x14ac:dyDescent="0.3">
      <c r="A511" s="150" t="s">
        <v>870</v>
      </c>
      <c r="B511" s="50" t="s">
        <v>353</v>
      </c>
      <c r="C511" s="67" t="s">
        <v>333</v>
      </c>
      <c r="D511" s="87" t="s">
        <v>292</v>
      </c>
      <c r="E511" s="49">
        <v>0</v>
      </c>
      <c r="F511" s="52" t="str">
        <f>IF(E511&lt;&gt;" ",[1]!convnumberletter(E511)&amp;" Euros"," ")</f>
        <v xml:space="preserve">  Euros</v>
      </c>
    </row>
    <row r="512" spans="1:6" ht="18.600000000000001" customHeight="1" x14ac:dyDescent="0.3">
      <c r="A512" s="150" t="s">
        <v>871</v>
      </c>
      <c r="B512" s="50" t="s">
        <v>207</v>
      </c>
      <c r="C512" s="51" t="s">
        <v>17</v>
      </c>
      <c r="D512" s="87" t="s">
        <v>292</v>
      </c>
      <c r="E512" s="49">
        <v>0</v>
      </c>
      <c r="F512" s="52" t="str">
        <f>IF(E512&lt;&gt;" ",[1]!convnumberletter(E512)&amp;" Euros"," ")</f>
        <v xml:space="preserve">  Euros</v>
      </c>
    </row>
    <row r="513" spans="1:6" ht="16.2" customHeight="1" x14ac:dyDescent="0.3">
      <c r="A513" s="52"/>
      <c r="B513" s="50"/>
      <c r="C513" s="51"/>
      <c r="D513" s="87"/>
      <c r="E513" s="49"/>
      <c r="F513" s="52"/>
    </row>
    <row r="514" spans="1:6" s="58" customFormat="1" ht="16.8" customHeight="1" x14ac:dyDescent="0.3">
      <c r="A514" s="70" t="s">
        <v>52</v>
      </c>
      <c r="B514" s="70" t="s">
        <v>354</v>
      </c>
      <c r="C514" s="52"/>
      <c r="D514" s="87"/>
      <c r="E514" s="49"/>
      <c r="F514" s="52" t="str">
        <f>IF(E514&lt;&gt;" ",[1]!convnumberletter(E514)&amp;" Euros"," ")</f>
        <v xml:space="preserve">  Euros</v>
      </c>
    </row>
    <row r="515" spans="1:6" ht="18.600000000000001" customHeight="1" x14ac:dyDescent="0.3">
      <c r="A515" s="52" t="s">
        <v>53</v>
      </c>
      <c r="B515" s="46" t="s">
        <v>161</v>
      </c>
      <c r="C515" s="52"/>
      <c r="D515" s="87"/>
      <c r="E515" s="49"/>
      <c r="F515" s="52" t="str">
        <f>IF(E515&lt;&gt;" ",[1]!convnumberletter(E515)&amp;" Euros"," ")</f>
        <v xml:space="preserve">  Euros</v>
      </c>
    </row>
    <row r="516" spans="1:6" ht="28.8" customHeight="1" x14ac:dyDescent="0.3">
      <c r="A516" s="150" t="s">
        <v>872</v>
      </c>
      <c r="B516" s="153" t="s">
        <v>1308</v>
      </c>
      <c r="C516" s="51" t="s">
        <v>181</v>
      </c>
      <c r="D516" s="87" t="s">
        <v>292</v>
      </c>
      <c r="E516" s="49">
        <v>0</v>
      </c>
      <c r="F516" s="52" t="str">
        <f>IF(E516&lt;&gt;" ",[1]!convnumberletter(E516)&amp;" Euros"," ")</f>
        <v xml:space="preserve">  Euros</v>
      </c>
    </row>
    <row r="517" spans="1:6" ht="18.600000000000001" customHeight="1" x14ac:dyDescent="0.3">
      <c r="A517" s="150" t="s">
        <v>873</v>
      </c>
      <c r="B517" s="154" t="s">
        <v>1287</v>
      </c>
      <c r="C517" s="51" t="s">
        <v>17</v>
      </c>
      <c r="D517" s="87" t="s">
        <v>292</v>
      </c>
      <c r="E517" s="49">
        <v>0</v>
      </c>
      <c r="F517" s="52" t="str">
        <f>IF(E517&lt;&gt;" ",[1]!convnumberletter(E517)&amp;" Euros"," ")</f>
        <v xml:space="preserve">  Euros</v>
      </c>
    </row>
    <row r="518" spans="1:6" ht="18.600000000000001" customHeight="1" x14ac:dyDescent="0.3">
      <c r="A518" s="150" t="s">
        <v>874</v>
      </c>
      <c r="B518" s="52" t="s">
        <v>210</v>
      </c>
      <c r="C518" s="51" t="s">
        <v>197</v>
      </c>
      <c r="D518" s="87" t="s">
        <v>292</v>
      </c>
      <c r="E518" s="49">
        <v>0</v>
      </c>
      <c r="F518" s="52" t="str">
        <f>IF(E518&lt;&gt;" ",[1]!convnumberletter(E518)&amp;" Euros"," ")</f>
        <v xml:space="preserve">  Euros</v>
      </c>
    </row>
    <row r="519" spans="1:6" ht="18.600000000000001" customHeight="1" x14ac:dyDescent="0.3">
      <c r="A519" s="150" t="s">
        <v>875</v>
      </c>
      <c r="B519" s="52" t="s">
        <v>209</v>
      </c>
      <c r="C519" s="51" t="s">
        <v>197</v>
      </c>
      <c r="D519" s="87" t="s">
        <v>292</v>
      </c>
      <c r="E519" s="49">
        <v>0</v>
      </c>
      <c r="F519" s="52" t="str">
        <f>IF(E519&lt;&gt;" ",[1]!convnumberletter(E519)&amp;" Euros"," ")</f>
        <v xml:space="preserve">  Euros</v>
      </c>
    </row>
    <row r="520" spans="1:6" ht="18.600000000000001" customHeight="1" x14ac:dyDescent="0.3">
      <c r="A520" s="150" t="s">
        <v>876</v>
      </c>
      <c r="B520" s="154" t="s">
        <v>1288</v>
      </c>
      <c r="C520" s="51" t="s">
        <v>181</v>
      </c>
      <c r="D520" s="87" t="s">
        <v>292</v>
      </c>
      <c r="E520" s="49">
        <v>0</v>
      </c>
      <c r="F520" s="52" t="str">
        <f>IF(E520&lt;&gt;" ",[1]!convnumberletter(E520)&amp;" Euros"," ")</f>
        <v xml:space="preserve">  Euros</v>
      </c>
    </row>
    <row r="521" spans="1:6" ht="18.600000000000001" customHeight="1" x14ac:dyDescent="0.3">
      <c r="A521" s="150" t="s">
        <v>877</v>
      </c>
      <c r="B521" s="52" t="s">
        <v>293</v>
      </c>
      <c r="C521" s="51" t="s">
        <v>181</v>
      </c>
      <c r="D521" s="87" t="s">
        <v>292</v>
      </c>
      <c r="E521" s="49">
        <v>0</v>
      </c>
      <c r="F521" s="52" t="str">
        <f>IF(E521&lt;&gt;" ",[1]!convnumberletter(E521)&amp;" Euros"," ")</f>
        <v xml:space="preserve">  Euros</v>
      </c>
    </row>
    <row r="522" spans="1:6" ht="28.2" customHeight="1" x14ac:dyDescent="0.3">
      <c r="A522" s="150" t="s">
        <v>878</v>
      </c>
      <c r="B522" s="61" t="s">
        <v>198</v>
      </c>
      <c r="C522" s="51" t="s">
        <v>79</v>
      </c>
      <c r="D522" s="87" t="s">
        <v>158</v>
      </c>
      <c r="E522" s="49">
        <v>0</v>
      </c>
      <c r="F522" s="52" t="str">
        <f>IF(E522&lt;&gt;" ",[1]!convnumberletter(E522)&amp;" Euros"," ")</f>
        <v xml:space="preserve">  Euros</v>
      </c>
    </row>
    <row r="523" spans="1:6" ht="18.600000000000001" customHeight="1" x14ac:dyDescent="0.3">
      <c r="A523" s="52" t="s">
        <v>59</v>
      </c>
      <c r="B523" s="46" t="s">
        <v>208</v>
      </c>
      <c r="C523" s="51"/>
      <c r="D523" s="87"/>
      <c r="E523" s="49"/>
      <c r="F523" s="52" t="str">
        <f>IF(E523&lt;&gt;" ",[1]!convnumberletter(E523)&amp;" Euros"," ")</f>
        <v xml:space="preserve">  Euros</v>
      </c>
    </row>
    <row r="524" spans="1:6" ht="18.600000000000001" customHeight="1" x14ac:dyDescent="0.3">
      <c r="A524" s="150" t="s">
        <v>879</v>
      </c>
      <c r="B524" s="52" t="s">
        <v>211</v>
      </c>
      <c r="C524" s="51" t="s">
        <v>230</v>
      </c>
      <c r="D524" s="87" t="s">
        <v>292</v>
      </c>
      <c r="E524" s="49">
        <v>0</v>
      </c>
      <c r="F524" s="52" t="str">
        <f>IF(E524&lt;&gt;" ",[1]!convnumberletter(E524)&amp;" Euros"," ")</f>
        <v xml:space="preserve">  Euros</v>
      </c>
    </row>
    <row r="525" spans="1:6" ht="18.600000000000001" customHeight="1" x14ac:dyDescent="0.3">
      <c r="A525" s="150" t="s">
        <v>880</v>
      </c>
      <c r="B525" s="52" t="s">
        <v>212</v>
      </c>
      <c r="C525" s="51" t="s">
        <v>230</v>
      </c>
      <c r="D525" s="87" t="s">
        <v>292</v>
      </c>
      <c r="E525" s="49">
        <v>0</v>
      </c>
      <c r="F525" s="52" t="str">
        <f>IF(E525&lt;&gt;" ",[1]!convnumberletter(E525)&amp;" Euros"," ")</f>
        <v xml:space="preserve">  Euros</v>
      </c>
    </row>
    <row r="526" spans="1:6" ht="18.600000000000001" customHeight="1" x14ac:dyDescent="0.3">
      <c r="A526" s="52" t="s">
        <v>60</v>
      </c>
      <c r="B526" s="46" t="s">
        <v>168</v>
      </c>
      <c r="C526" s="52"/>
      <c r="D526" s="87"/>
      <c r="E526" s="49"/>
      <c r="F526" s="52" t="str">
        <f>IF(E526&lt;&gt;" ",[1]!convnumberletter(E526)&amp;" Euros"," ")</f>
        <v xml:space="preserve">  Euros</v>
      </c>
    </row>
    <row r="527" spans="1:6" s="65" customFormat="1" ht="18.600000000000001" customHeight="1" x14ac:dyDescent="0.3">
      <c r="A527" s="150" t="s">
        <v>881</v>
      </c>
      <c r="B527" s="50" t="s">
        <v>213</v>
      </c>
      <c r="C527" s="51" t="s">
        <v>230</v>
      </c>
      <c r="D527" s="88" t="s">
        <v>292</v>
      </c>
      <c r="E527" s="80">
        <v>0</v>
      </c>
      <c r="F527" s="52" t="str">
        <f>IF(E527&lt;&gt;" ",[1]!convnumberletter(E527)&amp;" Euros"," ")</f>
        <v xml:space="preserve">  Euros</v>
      </c>
    </row>
    <row r="528" spans="1:6" s="65" customFormat="1" ht="18.600000000000001" customHeight="1" x14ac:dyDescent="0.3">
      <c r="A528" s="150" t="s">
        <v>882</v>
      </c>
      <c r="B528" s="50" t="s">
        <v>187</v>
      </c>
      <c r="C528" s="51" t="s">
        <v>230</v>
      </c>
      <c r="D528" s="88" t="s">
        <v>292</v>
      </c>
      <c r="E528" s="80">
        <v>0</v>
      </c>
      <c r="F528" s="52" t="str">
        <f>IF(E528&lt;&gt;" ",[1]!convnumberletter(E528)&amp;" Euros"," ")</f>
        <v xml:space="preserve">  Euros</v>
      </c>
    </row>
    <row r="529" spans="1:6" s="65" customFormat="1" ht="18.600000000000001" customHeight="1" x14ac:dyDescent="0.3">
      <c r="A529" s="150" t="s">
        <v>883</v>
      </c>
      <c r="B529" s="50" t="s">
        <v>214</v>
      </c>
      <c r="C529" s="51" t="s">
        <v>230</v>
      </c>
      <c r="D529" s="88" t="s">
        <v>292</v>
      </c>
      <c r="E529" s="80">
        <v>0</v>
      </c>
      <c r="F529" s="52" t="str">
        <f>IF(E529&lt;&gt;" ",[1]!convnumberletter(E529)&amp;" Euros"," ")</f>
        <v xml:space="preserve">  Euros</v>
      </c>
    </row>
    <row r="530" spans="1:6" s="65" customFormat="1" ht="33" customHeight="1" x14ac:dyDescent="0.3">
      <c r="A530" s="150" t="s">
        <v>884</v>
      </c>
      <c r="B530" s="50" t="s">
        <v>215</v>
      </c>
      <c r="C530" s="51" t="s">
        <v>230</v>
      </c>
      <c r="D530" s="88" t="s">
        <v>292</v>
      </c>
      <c r="E530" s="80">
        <v>0</v>
      </c>
      <c r="F530" s="52" t="str">
        <f>IF(E530&lt;&gt;" ",[1]!convnumberletter(E530)&amp;" Euros"," ")</f>
        <v xml:space="preserve">  Euros</v>
      </c>
    </row>
    <row r="531" spans="1:6" ht="18.600000000000001" customHeight="1" x14ac:dyDescent="0.3">
      <c r="A531" s="52" t="s">
        <v>61</v>
      </c>
      <c r="B531" s="46" t="s">
        <v>169</v>
      </c>
      <c r="C531" s="52"/>
      <c r="D531" s="87"/>
      <c r="E531" s="49"/>
      <c r="F531" s="52" t="str">
        <f>IF(E531&lt;&gt;" ",[1]!convnumberletter(E531)&amp;" Euros"," ")</f>
        <v xml:space="preserve">  Euros</v>
      </c>
    </row>
    <row r="532" spans="1:6" ht="18.600000000000001" customHeight="1" x14ac:dyDescent="0.3">
      <c r="A532" s="150" t="s">
        <v>885</v>
      </c>
      <c r="B532" s="50" t="s">
        <v>216</v>
      </c>
      <c r="C532" s="51" t="s">
        <v>230</v>
      </c>
      <c r="D532" s="87" t="s">
        <v>292</v>
      </c>
      <c r="E532" s="79">
        <v>0</v>
      </c>
      <c r="F532" s="52" t="str">
        <f>IF(E532&lt;&gt;" ",[1]!convnumberletter(E532)&amp;" Euros"," ")</f>
        <v xml:space="preserve">  Euros</v>
      </c>
    </row>
    <row r="533" spans="1:6" ht="18.600000000000001" customHeight="1" x14ac:dyDescent="0.3">
      <c r="A533" s="150" t="s">
        <v>886</v>
      </c>
      <c r="B533" s="50" t="s">
        <v>217</v>
      </c>
      <c r="C533" s="51" t="s">
        <v>230</v>
      </c>
      <c r="D533" s="87" t="s">
        <v>292</v>
      </c>
      <c r="E533" s="79">
        <v>0</v>
      </c>
      <c r="F533" s="52" t="str">
        <f>IF(E533&lt;&gt;" ",[1]!convnumberletter(E533)&amp;" Euros"," ")</f>
        <v xml:space="preserve">  Euros</v>
      </c>
    </row>
    <row r="534" spans="1:6" ht="18.600000000000001" customHeight="1" x14ac:dyDescent="0.3">
      <c r="A534" s="150" t="s">
        <v>887</v>
      </c>
      <c r="B534" s="50" t="s">
        <v>218</v>
      </c>
      <c r="C534" s="51" t="s">
        <v>230</v>
      </c>
      <c r="D534" s="87" t="s">
        <v>292</v>
      </c>
      <c r="E534" s="79">
        <v>0</v>
      </c>
      <c r="F534" s="52" t="str">
        <f>IF(E534&lt;&gt;" ",[1]!convnumberletter(E534)&amp;" Euros"," ")</f>
        <v xml:space="preserve">  Euros</v>
      </c>
    </row>
    <row r="535" spans="1:6" ht="18.600000000000001" customHeight="1" x14ac:dyDescent="0.3">
      <c r="A535" s="150" t="s">
        <v>888</v>
      </c>
      <c r="B535" s="50" t="s">
        <v>219</v>
      </c>
      <c r="C535" s="51" t="s">
        <v>230</v>
      </c>
      <c r="D535" s="87" t="s">
        <v>292</v>
      </c>
      <c r="E535" s="79">
        <v>0</v>
      </c>
      <c r="F535" s="52" t="str">
        <f>IF(E535&lt;&gt;" ",[1]!convnumberletter(E535)&amp;" Euros"," ")</f>
        <v xml:space="preserve">  Euros</v>
      </c>
    </row>
    <row r="536" spans="1:6" ht="18.600000000000001" customHeight="1" x14ac:dyDescent="0.3">
      <c r="A536" s="150" t="s">
        <v>889</v>
      </c>
      <c r="B536" s="50" t="s">
        <v>220</v>
      </c>
      <c r="C536" s="51" t="s">
        <v>230</v>
      </c>
      <c r="D536" s="87" t="s">
        <v>292</v>
      </c>
      <c r="E536" s="79">
        <v>0</v>
      </c>
      <c r="F536" s="52" t="str">
        <f>IF(E536&lt;&gt;" ",[1]!convnumberletter(E536)&amp;" Euros"," ")</f>
        <v xml:space="preserve">  Euros</v>
      </c>
    </row>
    <row r="537" spans="1:6" ht="18.600000000000001" customHeight="1" x14ac:dyDescent="0.3">
      <c r="A537" s="150" t="s">
        <v>890</v>
      </c>
      <c r="B537" s="50" t="s">
        <v>221</v>
      </c>
      <c r="C537" s="51" t="s">
        <v>230</v>
      </c>
      <c r="D537" s="87" t="s">
        <v>292</v>
      </c>
      <c r="E537" s="79">
        <v>0</v>
      </c>
      <c r="F537" s="52" t="str">
        <f>IF(E537&lt;&gt;" ",[1]!convnumberletter(E537)&amp;" Euros"," ")</f>
        <v xml:space="preserve">  Euros</v>
      </c>
    </row>
    <row r="538" spans="1:6" ht="18.600000000000001" customHeight="1" x14ac:dyDescent="0.3">
      <c r="A538" s="150" t="s">
        <v>891</v>
      </c>
      <c r="B538" s="50" t="s">
        <v>222</v>
      </c>
      <c r="C538" s="51" t="s">
        <v>230</v>
      </c>
      <c r="D538" s="87" t="s">
        <v>292</v>
      </c>
      <c r="E538" s="79">
        <v>0</v>
      </c>
      <c r="F538" s="52" t="str">
        <f>IF(E538&lt;&gt;" ",[1]!convnumberletter(E538)&amp;" Euros"," ")</f>
        <v xml:space="preserve">  Euros</v>
      </c>
    </row>
    <row r="539" spans="1:6" ht="18.600000000000001" customHeight="1" x14ac:dyDescent="0.3">
      <c r="A539" s="52" t="s">
        <v>62</v>
      </c>
      <c r="B539" s="46" t="s">
        <v>170</v>
      </c>
      <c r="C539" s="52"/>
      <c r="D539" s="87"/>
      <c r="E539" s="49"/>
      <c r="F539" s="52" t="str">
        <f>IF(E539&lt;&gt;" ",[1]!convnumberletter(E539)&amp;" Euros"," ")</f>
        <v xml:space="preserve">  Euros</v>
      </c>
    </row>
    <row r="540" spans="1:6" ht="18.600000000000001" customHeight="1" x14ac:dyDescent="0.3">
      <c r="A540" s="150" t="s">
        <v>892</v>
      </c>
      <c r="B540" s="50" t="s">
        <v>223</v>
      </c>
      <c r="C540" s="51" t="s">
        <v>230</v>
      </c>
      <c r="D540" s="87" t="s">
        <v>292</v>
      </c>
      <c r="E540" s="79">
        <v>0</v>
      </c>
      <c r="F540" s="52" t="str">
        <f>IF(E540&lt;&gt;" ",[1]!convnumberletter(E540)&amp;" Euros"," ")</f>
        <v xml:space="preserve">  Euros</v>
      </c>
    </row>
    <row r="541" spans="1:6" ht="18.600000000000001" customHeight="1" x14ac:dyDescent="0.3">
      <c r="A541" s="150" t="s">
        <v>893</v>
      </c>
      <c r="B541" s="50" t="s">
        <v>224</v>
      </c>
      <c r="C541" s="51" t="s">
        <v>230</v>
      </c>
      <c r="D541" s="87" t="s">
        <v>292</v>
      </c>
      <c r="E541" s="79">
        <v>0</v>
      </c>
      <c r="F541" s="52" t="str">
        <f>IF(E541&lt;&gt;" ",[1]!convnumberletter(E541)&amp;" Euros"," ")</f>
        <v xml:space="preserve">  Euros</v>
      </c>
    </row>
    <row r="542" spans="1:6" ht="18.600000000000001" customHeight="1" x14ac:dyDescent="0.3">
      <c r="A542" s="150" t="s">
        <v>894</v>
      </c>
      <c r="B542" s="50" t="s">
        <v>178</v>
      </c>
      <c r="C542" s="51" t="s">
        <v>230</v>
      </c>
      <c r="D542" s="87" t="s">
        <v>292</v>
      </c>
      <c r="E542" s="79">
        <v>0</v>
      </c>
      <c r="F542" s="52" t="str">
        <f>IF(E542&lt;&gt;" ",[1]!convnumberletter(E542)&amp;" Euros"," ")</f>
        <v xml:space="preserve">  Euros</v>
      </c>
    </row>
    <row r="543" spans="1:6" ht="18.600000000000001" customHeight="1" x14ac:dyDescent="0.3">
      <c r="A543" s="52" t="s">
        <v>895</v>
      </c>
      <c r="B543" s="46" t="s">
        <v>171</v>
      </c>
      <c r="C543" s="52"/>
      <c r="D543" s="87"/>
      <c r="E543" s="49"/>
      <c r="F543" s="52" t="str">
        <f>IF(E543&lt;&gt;" ",[1]!convnumberletter(E543)&amp;" Euros"," ")</f>
        <v xml:space="preserve">  Euros</v>
      </c>
    </row>
    <row r="544" spans="1:6" ht="26.4" customHeight="1" x14ac:dyDescent="0.3">
      <c r="A544" s="150" t="s">
        <v>896</v>
      </c>
      <c r="B544" s="50" t="s">
        <v>229</v>
      </c>
      <c r="C544" s="51" t="s">
        <v>181</v>
      </c>
      <c r="D544" s="87" t="s">
        <v>292</v>
      </c>
      <c r="E544" s="79">
        <v>0</v>
      </c>
      <c r="F544" s="52" t="str">
        <f>IF(E544&lt;&gt;" ",[1]!convnumberletter(E544)&amp;" Euros"," ")</f>
        <v xml:space="preserve">  Euros</v>
      </c>
    </row>
    <row r="545" spans="1:6" ht="18.600000000000001" customHeight="1" x14ac:dyDescent="0.3">
      <c r="A545" s="150" t="s">
        <v>897</v>
      </c>
      <c r="B545" s="50" t="s">
        <v>225</v>
      </c>
      <c r="C545" s="51" t="s">
        <v>181</v>
      </c>
      <c r="D545" s="87" t="s">
        <v>292</v>
      </c>
      <c r="E545" s="79">
        <v>0</v>
      </c>
      <c r="F545" s="52" t="str">
        <f>IF(E545&lt;&gt;" ",[1]!convnumberletter(E545)&amp;" Euros"," ")</f>
        <v xml:space="preserve">  Euros</v>
      </c>
    </row>
    <row r="546" spans="1:6" ht="18.600000000000001" customHeight="1" x14ac:dyDescent="0.3">
      <c r="A546" s="150" t="s">
        <v>898</v>
      </c>
      <c r="B546" s="50" t="s">
        <v>226</v>
      </c>
      <c r="C546" s="51" t="s">
        <v>181</v>
      </c>
      <c r="D546" s="87" t="s">
        <v>292</v>
      </c>
      <c r="E546" s="79">
        <v>0</v>
      </c>
      <c r="F546" s="52" t="str">
        <f>IF(E546&lt;&gt;" ",[1]!convnumberletter(E546)&amp;" Euros"," ")</f>
        <v xml:space="preserve">  Euros</v>
      </c>
    </row>
    <row r="547" spans="1:6" ht="18.600000000000001" customHeight="1" x14ac:dyDescent="0.3">
      <c r="A547" s="150" t="s">
        <v>899</v>
      </c>
      <c r="B547" s="50" t="s">
        <v>227</v>
      </c>
      <c r="C547" s="51" t="s">
        <v>181</v>
      </c>
      <c r="D547" s="87" t="s">
        <v>292</v>
      </c>
      <c r="E547" s="79">
        <v>0</v>
      </c>
      <c r="F547" s="52" t="str">
        <f>IF(E547&lt;&gt;" ",[1]!convnumberletter(E547)&amp;" Euros"," ")</f>
        <v xml:space="preserve">  Euros</v>
      </c>
    </row>
    <row r="548" spans="1:6" ht="18.600000000000001" customHeight="1" x14ac:dyDescent="0.3">
      <c r="A548" s="150" t="s">
        <v>900</v>
      </c>
      <c r="B548" s="50" t="s">
        <v>228</v>
      </c>
      <c r="C548" s="51" t="s">
        <v>181</v>
      </c>
      <c r="D548" s="87" t="s">
        <v>292</v>
      </c>
      <c r="E548" s="79">
        <v>0</v>
      </c>
      <c r="F548" s="52" t="str">
        <f>IF(E548&lt;&gt;" ",[1]!convnumberletter(E548)&amp;" Euros"," ")</f>
        <v xml:space="preserve">  Euros</v>
      </c>
    </row>
    <row r="549" spans="1:6" ht="18.600000000000001" customHeight="1" x14ac:dyDescent="0.3">
      <c r="A549" s="52" t="s">
        <v>901</v>
      </c>
      <c r="B549" s="46" t="s">
        <v>172</v>
      </c>
      <c r="C549" s="52"/>
      <c r="D549" s="87"/>
      <c r="E549" s="49"/>
      <c r="F549" s="52" t="str">
        <f>IF(E549&lt;&gt;" ",[1]!convnumberletter(E549)&amp;" Euros"," ")</f>
        <v xml:space="preserve">  Euros</v>
      </c>
    </row>
    <row r="550" spans="1:6" ht="18.600000000000001" customHeight="1" x14ac:dyDescent="0.3">
      <c r="A550" s="150" t="s">
        <v>902</v>
      </c>
      <c r="B550" s="50" t="s">
        <v>231</v>
      </c>
      <c r="C550" s="51" t="s">
        <v>181</v>
      </c>
      <c r="D550" s="87" t="s">
        <v>292</v>
      </c>
      <c r="E550" s="79">
        <v>0</v>
      </c>
      <c r="F550" s="52" t="str">
        <f>IF(E550&lt;&gt;" ",[1]!convnumberletter(E550)&amp;" Euros"," ")</f>
        <v xml:space="preserve">  Euros</v>
      </c>
    </row>
    <row r="551" spans="1:6" ht="18.600000000000001" customHeight="1" x14ac:dyDescent="0.3">
      <c r="A551" s="150" t="s">
        <v>903</v>
      </c>
      <c r="B551" s="50" t="s">
        <v>232</v>
      </c>
      <c r="C551" s="51" t="s">
        <v>181</v>
      </c>
      <c r="D551" s="87" t="s">
        <v>292</v>
      </c>
      <c r="E551" s="79">
        <v>0</v>
      </c>
      <c r="F551" s="52" t="str">
        <f>IF(E551&lt;&gt;" ",[1]!convnumberletter(E551)&amp;" Euros"," ")</f>
        <v xml:space="preserve">  Euros</v>
      </c>
    </row>
    <row r="552" spans="1:6" ht="28.2" customHeight="1" x14ac:dyDescent="0.3">
      <c r="A552" s="150" t="s">
        <v>904</v>
      </c>
      <c r="B552" s="50" t="s">
        <v>233</v>
      </c>
      <c r="C552" s="51" t="s">
        <v>181</v>
      </c>
      <c r="D552" s="87" t="s">
        <v>292</v>
      </c>
      <c r="E552" s="79">
        <v>0</v>
      </c>
      <c r="F552" s="52" t="str">
        <f>IF(E552&lt;&gt;" ",[1]!convnumberletter(E552)&amp;" Euros"," ")</f>
        <v xml:space="preserve">  Euros</v>
      </c>
    </row>
    <row r="553" spans="1:6" ht="18.600000000000001" customHeight="1" x14ac:dyDescent="0.3">
      <c r="A553" s="150" t="s">
        <v>905</v>
      </c>
      <c r="B553" s="50" t="s">
        <v>234</v>
      </c>
      <c r="C553" s="51" t="s">
        <v>181</v>
      </c>
      <c r="D553" s="87" t="s">
        <v>292</v>
      </c>
      <c r="E553" s="79">
        <v>0</v>
      </c>
      <c r="F553" s="52" t="str">
        <f>IF(E553&lt;&gt;" ",[1]!convnumberletter(E553)&amp;" Euros"," ")</f>
        <v xml:space="preserve">  Euros</v>
      </c>
    </row>
    <row r="554" spans="1:6" ht="18.600000000000001" customHeight="1" x14ac:dyDescent="0.3">
      <c r="A554" s="52" t="s">
        <v>906</v>
      </c>
      <c r="B554" s="46" t="s">
        <v>173</v>
      </c>
      <c r="C554" s="52"/>
      <c r="D554" s="87"/>
      <c r="E554" s="49"/>
      <c r="F554" s="52" t="str">
        <f>IF(E554&lt;&gt;" ",[1]!convnumberletter(E554)&amp;" Euros"," ")</f>
        <v xml:space="preserve">  Euros</v>
      </c>
    </row>
    <row r="555" spans="1:6" ht="18.600000000000001" customHeight="1" x14ac:dyDescent="0.3">
      <c r="A555" s="150" t="s">
        <v>907</v>
      </c>
      <c r="B555" s="50" t="s">
        <v>259</v>
      </c>
      <c r="C555" s="51" t="s">
        <v>181</v>
      </c>
      <c r="D555" s="87" t="s">
        <v>292</v>
      </c>
      <c r="E555" s="79">
        <v>0</v>
      </c>
      <c r="F555" s="52" t="str">
        <f>IF(E555&lt;&gt;" ",[1]!convnumberletter(E555)&amp;" Euros"," ")</f>
        <v xml:space="preserve">  Euros</v>
      </c>
    </row>
    <row r="556" spans="1:6" ht="18.600000000000001" customHeight="1" x14ac:dyDescent="0.3">
      <c r="A556" s="150" t="s">
        <v>908</v>
      </c>
      <c r="B556" s="50" t="s">
        <v>235</v>
      </c>
      <c r="C556" s="51" t="s">
        <v>181</v>
      </c>
      <c r="D556" s="87" t="s">
        <v>292</v>
      </c>
      <c r="E556" s="79">
        <v>0</v>
      </c>
      <c r="F556" s="52" t="str">
        <f>IF(E556&lt;&gt;" ",[1]!convnumberletter(E556)&amp;" Euros"," ")</f>
        <v xml:space="preserve">  Euros</v>
      </c>
    </row>
    <row r="557" spans="1:6" ht="18.600000000000001" customHeight="1" x14ac:dyDescent="0.3">
      <c r="A557" s="150" t="s">
        <v>909</v>
      </c>
      <c r="B557" s="50" t="s">
        <v>236</v>
      </c>
      <c r="C557" s="51" t="s">
        <v>181</v>
      </c>
      <c r="D557" s="87" t="s">
        <v>292</v>
      </c>
      <c r="E557" s="79">
        <v>0</v>
      </c>
      <c r="F557" s="52" t="str">
        <f>IF(E557&lt;&gt;" ",[1]!convnumberletter(E557)&amp;" Euros"," ")</f>
        <v xml:space="preserve">  Euros</v>
      </c>
    </row>
    <row r="558" spans="1:6" ht="18.600000000000001" customHeight="1" x14ac:dyDescent="0.3">
      <c r="A558" s="150" t="s">
        <v>910</v>
      </c>
      <c r="B558" s="50" t="s">
        <v>237</v>
      </c>
      <c r="C558" s="51" t="s">
        <v>181</v>
      </c>
      <c r="D558" s="87" t="s">
        <v>292</v>
      </c>
      <c r="E558" s="79">
        <v>0</v>
      </c>
      <c r="F558" s="52" t="str">
        <f>IF(E558&lt;&gt;" ",[1]!convnumberletter(E558)&amp;" Euros"," ")</f>
        <v xml:space="preserve">  Euros</v>
      </c>
    </row>
    <row r="559" spans="1:6" ht="18.600000000000001" customHeight="1" x14ac:dyDescent="0.3">
      <c r="A559" s="150" t="s">
        <v>911</v>
      </c>
      <c r="B559" s="50" t="s">
        <v>238</v>
      </c>
      <c r="C559" s="51" t="s">
        <v>181</v>
      </c>
      <c r="D559" s="87" t="s">
        <v>292</v>
      </c>
      <c r="E559" s="79">
        <v>0</v>
      </c>
      <c r="F559" s="52" t="str">
        <f>IF(E559&lt;&gt;" ",[1]!convnumberletter(E559)&amp;" Euros"," ")</f>
        <v xml:space="preserve">  Euros</v>
      </c>
    </row>
    <row r="560" spans="1:6" ht="18.600000000000001" customHeight="1" x14ac:dyDescent="0.3">
      <c r="A560" s="150" t="s">
        <v>912</v>
      </c>
      <c r="B560" s="50" t="s">
        <v>179</v>
      </c>
      <c r="C560" s="51" t="s">
        <v>181</v>
      </c>
      <c r="D560" s="87" t="s">
        <v>292</v>
      </c>
      <c r="E560" s="79">
        <v>0</v>
      </c>
      <c r="F560" s="52" t="str">
        <f>IF(E560&lt;&gt;" ",[1]!convnumberletter(E560)&amp;" Euros"," ")</f>
        <v xml:space="preserve">  Euros</v>
      </c>
    </row>
    <row r="561" spans="1:6" ht="18.600000000000001" customHeight="1" x14ac:dyDescent="0.3">
      <c r="A561" s="150" t="s">
        <v>913</v>
      </c>
      <c r="B561" s="50" t="s">
        <v>239</v>
      </c>
      <c r="C561" s="51" t="s">
        <v>181</v>
      </c>
      <c r="D561" s="87" t="s">
        <v>292</v>
      </c>
      <c r="E561" s="79">
        <v>0</v>
      </c>
      <c r="F561" s="52" t="str">
        <f>IF(E561&lt;&gt;" ",[1]!convnumberletter(E561)&amp;" Euros"," ")</f>
        <v xml:space="preserve">  Euros</v>
      </c>
    </row>
    <row r="562" spans="1:6" ht="18.600000000000001" customHeight="1" x14ac:dyDescent="0.3">
      <c r="A562" s="52" t="s">
        <v>914</v>
      </c>
      <c r="B562" s="46" t="s">
        <v>174</v>
      </c>
      <c r="C562" s="52"/>
      <c r="D562" s="87"/>
      <c r="E562" s="49"/>
      <c r="F562" s="52" t="str">
        <f>IF(E562&lt;&gt;" ",[1]!convnumberletter(E562)&amp;" Euros"," ")</f>
        <v xml:space="preserve">  Euros</v>
      </c>
    </row>
    <row r="563" spans="1:6" ht="18.600000000000001" customHeight="1" x14ac:dyDescent="0.3">
      <c r="A563" s="150" t="s">
        <v>915</v>
      </c>
      <c r="B563" s="50" t="s">
        <v>240</v>
      </c>
      <c r="C563" s="51" t="s">
        <v>181</v>
      </c>
      <c r="D563" s="87" t="s">
        <v>292</v>
      </c>
      <c r="E563" s="79">
        <v>0</v>
      </c>
      <c r="F563" s="52" t="str">
        <f>IF(E563&lt;&gt;" ",[1]!convnumberletter(E563)&amp;" Euros"," ")</f>
        <v xml:space="preserve">  Euros</v>
      </c>
    </row>
    <row r="564" spans="1:6" ht="18.600000000000001" customHeight="1" x14ac:dyDescent="0.3">
      <c r="A564" s="150" t="s">
        <v>916</v>
      </c>
      <c r="B564" s="50" t="s">
        <v>241</v>
      </c>
      <c r="C564" s="51" t="s">
        <v>181</v>
      </c>
      <c r="D564" s="87" t="s">
        <v>292</v>
      </c>
      <c r="E564" s="79">
        <v>0</v>
      </c>
      <c r="F564" s="52" t="str">
        <f>IF(E564&lt;&gt;" ",[1]!convnumberletter(E564)&amp;" Euros"," ")</f>
        <v xml:space="preserve">  Euros</v>
      </c>
    </row>
    <row r="565" spans="1:6" ht="18.600000000000001" customHeight="1" x14ac:dyDescent="0.3">
      <c r="A565" s="150" t="s">
        <v>917</v>
      </c>
      <c r="B565" s="50" t="s">
        <v>242</v>
      </c>
      <c r="C565" s="51" t="s">
        <v>181</v>
      </c>
      <c r="D565" s="87" t="s">
        <v>292</v>
      </c>
      <c r="E565" s="79">
        <v>0</v>
      </c>
      <c r="F565" s="52" t="str">
        <f>IF(E565&lt;&gt;" ",[1]!convnumberletter(E565)&amp;" Euros"," ")</f>
        <v xml:space="preserve">  Euros</v>
      </c>
    </row>
    <row r="566" spans="1:6" ht="18.600000000000001" customHeight="1" x14ac:dyDescent="0.3">
      <c r="A566" s="150" t="s">
        <v>918</v>
      </c>
      <c r="B566" s="50" t="s">
        <v>243</v>
      </c>
      <c r="C566" s="51" t="s">
        <v>181</v>
      </c>
      <c r="D566" s="87" t="s">
        <v>292</v>
      </c>
      <c r="E566" s="79">
        <v>0</v>
      </c>
      <c r="F566" s="52" t="str">
        <f>IF(E566&lt;&gt;" ",[1]!convnumberletter(E566)&amp;" Euros"," ")</f>
        <v xml:space="preserve">  Euros</v>
      </c>
    </row>
    <row r="567" spans="1:6" ht="18.600000000000001" customHeight="1" x14ac:dyDescent="0.3">
      <c r="A567" s="150" t="s">
        <v>919</v>
      </c>
      <c r="B567" s="50" t="s">
        <v>244</v>
      </c>
      <c r="C567" s="51" t="s">
        <v>181</v>
      </c>
      <c r="D567" s="87" t="s">
        <v>292</v>
      </c>
      <c r="E567" s="79">
        <v>0</v>
      </c>
      <c r="F567" s="52" t="str">
        <f>IF(E567&lt;&gt;" ",[1]!convnumberletter(E567)&amp;" Euros"," ")</f>
        <v xml:space="preserve">  Euros</v>
      </c>
    </row>
    <row r="568" spans="1:6" ht="18.600000000000001" customHeight="1" x14ac:dyDescent="0.3">
      <c r="A568" s="150" t="s">
        <v>920</v>
      </c>
      <c r="B568" s="50" t="s">
        <v>245</v>
      </c>
      <c r="C568" s="51" t="s">
        <v>181</v>
      </c>
      <c r="D568" s="87" t="s">
        <v>292</v>
      </c>
      <c r="E568" s="79">
        <v>0</v>
      </c>
      <c r="F568" s="52" t="str">
        <f>IF(E568&lt;&gt;" ",[1]!convnumberletter(E568)&amp;" Euros"," ")</f>
        <v xml:space="preserve">  Euros</v>
      </c>
    </row>
    <row r="569" spans="1:6" ht="18.600000000000001" customHeight="1" x14ac:dyDescent="0.3">
      <c r="A569" s="150" t="s">
        <v>921</v>
      </c>
      <c r="B569" s="50" t="s">
        <v>246</v>
      </c>
      <c r="C569" s="51" t="s">
        <v>181</v>
      </c>
      <c r="D569" s="87" t="s">
        <v>292</v>
      </c>
      <c r="E569" s="79">
        <v>0</v>
      </c>
      <c r="F569" s="52" t="str">
        <f>IF(E569&lt;&gt;" ",[1]!convnumberletter(E569)&amp;" Euros"," ")</f>
        <v xml:space="preserve">  Euros</v>
      </c>
    </row>
    <row r="570" spans="1:6" ht="18.600000000000001" customHeight="1" x14ac:dyDescent="0.3">
      <c r="A570" s="150" t="s">
        <v>922</v>
      </c>
      <c r="B570" s="50" t="s">
        <v>194</v>
      </c>
      <c r="C570" s="51" t="s">
        <v>181</v>
      </c>
      <c r="D570" s="87" t="s">
        <v>292</v>
      </c>
      <c r="E570" s="79">
        <v>0</v>
      </c>
      <c r="F570" s="52" t="str">
        <f>IF(E570&lt;&gt;" ",[1]!convnumberletter(E570)&amp;" Euros"," ")</f>
        <v xml:space="preserve">  Euros</v>
      </c>
    </row>
    <row r="571" spans="1:6" ht="18.600000000000001" customHeight="1" x14ac:dyDescent="0.3">
      <c r="A571" s="52" t="s">
        <v>923</v>
      </c>
      <c r="B571" s="46" t="s">
        <v>175</v>
      </c>
      <c r="C571" s="52"/>
      <c r="D571" s="87"/>
      <c r="E571" s="49"/>
      <c r="F571" s="52" t="str">
        <f>IF(E571&lt;&gt;" ",[1]!convnumberletter(E571)&amp;" Euros"," ")</f>
        <v xml:space="preserve">  Euros</v>
      </c>
    </row>
    <row r="572" spans="1:6" ht="18.600000000000001" customHeight="1" x14ac:dyDescent="0.3">
      <c r="A572" s="150" t="s">
        <v>924</v>
      </c>
      <c r="B572" s="50" t="s">
        <v>180</v>
      </c>
      <c r="C572" s="51" t="s">
        <v>181</v>
      </c>
      <c r="D572" s="87" t="s">
        <v>292</v>
      </c>
      <c r="E572" s="49">
        <v>0</v>
      </c>
      <c r="F572" s="52" t="str">
        <f>IF(E572&lt;&gt;" ",[1]!convnumberletter(E572)&amp;" Euros"," ")</f>
        <v xml:space="preserve">  Euros</v>
      </c>
    </row>
    <row r="573" spans="1:6" ht="18.600000000000001" customHeight="1" x14ac:dyDescent="0.3">
      <c r="A573" s="52" t="s">
        <v>925</v>
      </c>
      <c r="B573" s="46" t="s">
        <v>176</v>
      </c>
      <c r="C573" s="52"/>
      <c r="D573" s="87"/>
      <c r="E573" s="49"/>
      <c r="F573" s="52" t="str">
        <f>IF(E573&lt;&gt;" ",[1]!convnumberletter(E573)&amp;" Euros"," ")</f>
        <v xml:space="preserve">  Euros</v>
      </c>
    </row>
    <row r="574" spans="1:6" ht="18.600000000000001" customHeight="1" x14ac:dyDescent="0.3">
      <c r="A574" s="150" t="s">
        <v>926</v>
      </c>
      <c r="B574" s="50" t="s">
        <v>257</v>
      </c>
      <c r="C574" s="51" t="s">
        <v>181</v>
      </c>
      <c r="D574" s="87" t="s">
        <v>292</v>
      </c>
      <c r="E574" s="49">
        <v>0</v>
      </c>
      <c r="F574" s="52" t="str">
        <f>IF(E574&lt;&gt;" ",[1]!convnumberletter(E574)&amp;" Euros"," ")</f>
        <v xml:space="preserve">  Euros</v>
      </c>
    </row>
    <row r="575" spans="1:6" ht="18.600000000000001" customHeight="1" x14ac:dyDescent="0.3">
      <c r="A575" s="150" t="s">
        <v>927</v>
      </c>
      <c r="B575" s="50" t="s">
        <v>253</v>
      </c>
      <c r="C575" s="51" t="s">
        <v>17</v>
      </c>
      <c r="D575" s="87" t="s">
        <v>292</v>
      </c>
      <c r="E575" s="49">
        <v>0</v>
      </c>
      <c r="F575" s="52" t="str">
        <f>IF(E575&lt;&gt;" ",[1]!convnumberletter(E575)&amp;" Euros"," ")</f>
        <v xml:space="preserve">  Euros</v>
      </c>
    </row>
    <row r="576" spans="1:6" ht="18.600000000000001" customHeight="1" x14ac:dyDescent="0.3">
      <c r="A576" s="150" t="s">
        <v>928</v>
      </c>
      <c r="B576" s="50" t="s">
        <v>252</v>
      </c>
      <c r="C576" s="51" t="s">
        <v>17</v>
      </c>
      <c r="D576" s="87" t="s">
        <v>292</v>
      </c>
      <c r="E576" s="49">
        <v>0</v>
      </c>
      <c r="F576" s="52" t="str">
        <f>IF(E576&lt;&gt;" ",[1]!convnumberletter(E576)&amp;" Euros"," ")</f>
        <v xml:space="preserve">  Euros</v>
      </c>
    </row>
    <row r="577" spans="1:6" ht="18.600000000000001" customHeight="1" x14ac:dyDescent="0.3">
      <c r="A577" s="150" t="s">
        <v>929</v>
      </c>
      <c r="B577" s="50" t="s">
        <v>254</v>
      </c>
      <c r="C577" s="51" t="s">
        <v>17</v>
      </c>
      <c r="D577" s="87" t="s">
        <v>292</v>
      </c>
      <c r="E577" s="49">
        <v>0</v>
      </c>
      <c r="F577" s="52" t="str">
        <f>IF(E577&lt;&gt;" ",[1]!convnumberletter(E577)&amp;" Euros"," ")</f>
        <v xml:space="preserve">  Euros</v>
      </c>
    </row>
    <row r="578" spans="1:6" ht="18.600000000000001" customHeight="1" x14ac:dyDescent="0.3">
      <c r="A578" s="150" t="s">
        <v>930</v>
      </c>
      <c r="B578" s="50" t="s">
        <v>255</v>
      </c>
      <c r="C578" s="51" t="s">
        <v>17</v>
      </c>
      <c r="D578" s="87" t="s">
        <v>292</v>
      </c>
      <c r="E578" s="49">
        <v>0</v>
      </c>
      <c r="F578" s="52" t="str">
        <f>IF(E578&lt;&gt;" ",[1]!convnumberletter(E578)&amp;" Euros"," ")</f>
        <v xml:space="preserve">  Euros</v>
      </c>
    </row>
    <row r="579" spans="1:6" ht="28.8" customHeight="1" x14ac:dyDescent="0.3">
      <c r="A579" s="150" t="s">
        <v>931</v>
      </c>
      <c r="B579" s="50" t="s">
        <v>251</v>
      </c>
      <c r="C579" s="51" t="s">
        <v>17</v>
      </c>
      <c r="D579" s="87" t="s">
        <v>292</v>
      </c>
      <c r="E579" s="49">
        <v>0</v>
      </c>
      <c r="F579" s="52" t="str">
        <f>IF(E579&lt;&gt;" ",[1]!convnumberletter(E579)&amp;" Euros"," ")</f>
        <v xml:space="preserve">  Euros</v>
      </c>
    </row>
    <row r="580" spans="1:6" x14ac:dyDescent="0.3">
      <c r="A580" s="150" t="s">
        <v>932</v>
      </c>
      <c r="B580" s="50" t="s">
        <v>256</v>
      </c>
      <c r="C580" s="51" t="s">
        <v>181</v>
      </c>
      <c r="D580" s="87" t="s">
        <v>292</v>
      </c>
      <c r="E580" s="49">
        <v>0</v>
      </c>
      <c r="F580" s="52" t="str">
        <f>IF(E580&lt;&gt;" ",[1]!convnumberletter(E580)&amp;" Euros"," ")</f>
        <v xml:space="preserve">  Euros</v>
      </c>
    </row>
    <row r="581" spans="1:6" x14ac:dyDescent="0.3">
      <c r="A581" s="150" t="s">
        <v>933</v>
      </c>
      <c r="B581" s="50" t="s">
        <v>258</v>
      </c>
      <c r="C581" s="51" t="s">
        <v>17</v>
      </c>
      <c r="D581" s="87" t="s">
        <v>292</v>
      </c>
      <c r="E581" s="49">
        <v>0</v>
      </c>
      <c r="F581" s="52" t="str">
        <f>IF(E581&lt;&gt;" ",[1]!convnumberletter(E581)&amp;" Euros"," ")</f>
        <v xml:space="preserve">  Euros</v>
      </c>
    </row>
    <row r="582" spans="1:6" ht="18.600000000000001" customHeight="1" x14ac:dyDescent="0.3">
      <c r="A582" s="150" t="s">
        <v>934</v>
      </c>
      <c r="B582" s="50" t="s">
        <v>193</v>
      </c>
      <c r="C582" s="51" t="s">
        <v>181</v>
      </c>
      <c r="D582" s="87" t="s">
        <v>292</v>
      </c>
      <c r="E582" s="49">
        <v>0</v>
      </c>
      <c r="F582" s="52" t="str">
        <f>IF(E582&lt;&gt;" ",[1]!convnumberletter(E582)&amp;" Euros"," ")</f>
        <v xml:space="preserve">  Euros</v>
      </c>
    </row>
    <row r="583" spans="1:6" x14ac:dyDescent="0.3">
      <c r="A583" s="150" t="s">
        <v>935</v>
      </c>
      <c r="B583" s="50" t="s">
        <v>192</v>
      </c>
      <c r="C583" s="51" t="s">
        <v>181</v>
      </c>
      <c r="D583" s="87" t="s">
        <v>292</v>
      </c>
      <c r="E583" s="49">
        <v>0</v>
      </c>
      <c r="F583" s="52" t="str">
        <f>IF(E583&lt;&gt;" ",[1]!convnumberletter(E583)&amp;" Euros"," ")</f>
        <v xml:space="preserve">  Euros</v>
      </c>
    </row>
    <row r="584" spans="1:6" ht="28.8" x14ac:dyDescent="0.3">
      <c r="A584" s="150" t="s">
        <v>936</v>
      </c>
      <c r="B584" s="50" t="s">
        <v>260</v>
      </c>
      <c r="C584" s="51" t="s">
        <v>181</v>
      </c>
      <c r="D584" s="87" t="s">
        <v>292</v>
      </c>
      <c r="E584" s="49">
        <v>0</v>
      </c>
      <c r="F584" s="52" t="str">
        <f>IF(E584&lt;&gt;" ",[1]!convnumberletter(E584)&amp;" Euros"," ")</f>
        <v xml:space="preserve">  Euros</v>
      </c>
    </row>
    <row r="585" spans="1:6" ht="18.600000000000001" customHeight="1" x14ac:dyDescent="0.3">
      <c r="A585" s="52" t="s">
        <v>937</v>
      </c>
      <c r="B585" s="46" t="s">
        <v>177</v>
      </c>
      <c r="C585" s="52"/>
      <c r="D585" s="87"/>
      <c r="E585" s="49"/>
      <c r="F585" s="52" t="str">
        <f>IF(E585&lt;&gt;" ",[1]!convnumberletter(E585)&amp;" Euros"," ")</f>
        <v xml:space="preserve">  Euros</v>
      </c>
    </row>
    <row r="586" spans="1:6" x14ac:dyDescent="0.3">
      <c r="A586" s="150" t="s">
        <v>938</v>
      </c>
      <c r="B586" s="50" t="s">
        <v>182</v>
      </c>
      <c r="C586" s="51" t="s">
        <v>181</v>
      </c>
      <c r="D586" s="87" t="s">
        <v>292</v>
      </c>
      <c r="E586" s="49">
        <v>0</v>
      </c>
      <c r="F586" s="52" t="str">
        <f>IF(E586&lt;&gt;" ",[1]!convnumberletter(E586)&amp;" Euros"," ")</f>
        <v xml:space="preserve">  Euros</v>
      </c>
    </row>
    <row r="587" spans="1:6" x14ac:dyDescent="0.3">
      <c r="A587" s="150" t="s">
        <v>939</v>
      </c>
      <c r="B587" s="50" t="s">
        <v>1273</v>
      </c>
      <c r="C587" s="51" t="s">
        <v>181</v>
      </c>
      <c r="D587" s="87" t="s">
        <v>292</v>
      </c>
      <c r="E587" s="49">
        <v>0</v>
      </c>
      <c r="F587" s="52" t="str">
        <f>IF(E587&lt;&gt;" ",[1]!convnumberletter(E587)&amp;" Euros"," ")</f>
        <v xml:space="preserve">  Euros</v>
      </c>
    </row>
    <row r="588" spans="1:6" x14ac:dyDescent="0.3">
      <c r="A588" s="150" t="s">
        <v>940</v>
      </c>
      <c r="B588" s="50" t="s">
        <v>183</v>
      </c>
      <c r="C588" s="51" t="s">
        <v>181</v>
      </c>
      <c r="D588" s="87" t="s">
        <v>292</v>
      </c>
      <c r="E588" s="49">
        <v>0</v>
      </c>
      <c r="F588" s="52" t="str">
        <f>IF(E588&lt;&gt;" ",[1]!convnumberletter(E588)&amp;" Euros"," ")</f>
        <v xml:space="preserve">  Euros</v>
      </c>
    </row>
    <row r="589" spans="1:6" x14ac:dyDescent="0.3">
      <c r="A589" s="150" t="s">
        <v>941</v>
      </c>
      <c r="B589" s="50" t="s">
        <v>184</v>
      </c>
      <c r="C589" s="51" t="s">
        <v>181</v>
      </c>
      <c r="D589" s="87" t="s">
        <v>292</v>
      </c>
      <c r="E589" s="49">
        <v>0</v>
      </c>
      <c r="F589" s="52" t="str">
        <f>IF(E589&lt;&gt;" ",[1]!convnumberletter(E589)&amp;" Euros"," ")</f>
        <v xml:space="preserve">  Euros</v>
      </c>
    </row>
    <row r="590" spans="1:6" x14ac:dyDescent="0.3">
      <c r="A590" s="150" t="s">
        <v>942</v>
      </c>
      <c r="B590" s="50" t="s">
        <v>185</v>
      </c>
      <c r="C590" s="51" t="s">
        <v>181</v>
      </c>
      <c r="D590" s="87" t="s">
        <v>292</v>
      </c>
      <c r="E590" s="49">
        <v>0</v>
      </c>
      <c r="F590" s="52" t="str">
        <f>IF(E590&lt;&gt;" ",[1]!convnumberletter(E590)&amp;" Euros"," ")</f>
        <v xml:space="preserve">  Euros</v>
      </c>
    </row>
    <row r="591" spans="1:6" ht="20.399999999999999" customHeight="1" x14ac:dyDescent="0.3">
      <c r="A591" s="52"/>
      <c r="B591" s="50"/>
      <c r="C591" s="51"/>
      <c r="D591" s="87"/>
      <c r="E591" s="49"/>
      <c r="F591" s="52"/>
    </row>
    <row r="592" spans="1:6" s="58" customFormat="1" ht="16.8" customHeight="1" x14ac:dyDescent="0.3">
      <c r="A592" s="70" t="s">
        <v>63</v>
      </c>
      <c r="B592" s="70" t="s">
        <v>64</v>
      </c>
      <c r="C592" s="52"/>
      <c r="D592" s="87"/>
      <c r="E592" s="49"/>
      <c r="F592" s="52" t="str">
        <f>IF(E592&lt;&gt;" ",[1]!convnumberletter(E592)&amp;" Euros"," ")</f>
        <v xml:space="preserve">  Euros</v>
      </c>
    </row>
    <row r="593" spans="1:6" ht="18.600000000000001" customHeight="1" x14ac:dyDescent="0.3">
      <c r="A593" s="52" t="s">
        <v>66</v>
      </c>
      <c r="B593" s="46" t="s">
        <v>161</v>
      </c>
      <c r="C593" s="52"/>
      <c r="D593" s="87"/>
      <c r="E593" s="49"/>
      <c r="F593" s="52" t="str">
        <f>IF(E593&lt;&gt;" ",[1]!convnumberletter(E593)&amp;" Euros"," ")</f>
        <v xml:space="preserve">  Euros</v>
      </c>
    </row>
    <row r="594" spans="1:6" ht="28.8" customHeight="1" x14ac:dyDescent="0.3">
      <c r="A594" s="150" t="s">
        <v>943</v>
      </c>
      <c r="B594" s="153" t="s">
        <v>1308</v>
      </c>
      <c r="C594" s="51" t="s">
        <v>181</v>
      </c>
      <c r="D594" s="87" t="s">
        <v>292</v>
      </c>
      <c r="E594" s="49">
        <v>0</v>
      </c>
      <c r="F594" s="52" t="str">
        <f>IF(E594&lt;&gt;" ",[1]!convnumberletter(E594)&amp;" Euros"," ")</f>
        <v xml:space="preserve">  Euros</v>
      </c>
    </row>
    <row r="595" spans="1:6" ht="18.600000000000001" customHeight="1" x14ac:dyDescent="0.3">
      <c r="A595" s="150" t="s">
        <v>944</v>
      </c>
      <c r="B595" s="154" t="s">
        <v>1287</v>
      </c>
      <c r="C595" s="51" t="s">
        <v>17</v>
      </c>
      <c r="D595" s="87" t="s">
        <v>292</v>
      </c>
      <c r="E595" s="49">
        <v>0</v>
      </c>
      <c r="F595" s="52" t="str">
        <f>IF(E595&lt;&gt;" ",[1]!convnumberletter(E595)&amp;" Euros"," ")</f>
        <v xml:space="preserve">  Euros</v>
      </c>
    </row>
    <row r="596" spans="1:6" ht="18.600000000000001" customHeight="1" x14ac:dyDescent="0.3">
      <c r="A596" s="150" t="s">
        <v>945</v>
      </c>
      <c r="B596" s="52" t="s">
        <v>210</v>
      </c>
      <c r="C596" s="51" t="s">
        <v>197</v>
      </c>
      <c r="D596" s="87" t="s">
        <v>292</v>
      </c>
      <c r="E596" s="49">
        <v>0</v>
      </c>
      <c r="F596" s="52" t="str">
        <f>IF(E596&lt;&gt;" ",[1]!convnumberletter(E596)&amp;" Euros"," ")</f>
        <v xml:space="preserve">  Euros</v>
      </c>
    </row>
    <row r="597" spans="1:6" ht="18.600000000000001" customHeight="1" x14ac:dyDescent="0.3">
      <c r="A597" s="150" t="s">
        <v>946</v>
      </c>
      <c r="B597" s="52" t="s">
        <v>209</v>
      </c>
      <c r="C597" s="51" t="s">
        <v>197</v>
      </c>
      <c r="D597" s="87" t="s">
        <v>292</v>
      </c>
      <c r="E597" s="49">
        <v>0</v>
      </c>
      <c r="F597" s="52" t="str">
        <f>IF(E597&lt;&gt;" ",[1]!convnumberletter(E597)&amp;" Euros"," ")</f>
        <v xml:space="preserve">  Euros</v>
      </c>
    </row>
    <row r="598" spans="1:6" ht="18.600000000000001" customHeight="1" x14ac:dyDescent="0.3">
      <c r="A598" s="150" t="s">
        <v>947</v>
      </c>
      <c r="B598" s="154" t="s">
        <v>1309</v>
      </c>
      <c r="C598" s="51" t="s">
        <v>181</v>
      </c>
      <c r="D598" s="87" t="s">
        <v>292</v>
      </c>
      <c r="E598" s="49">
        <v>0</v>
      </c>
      <c r="F598" s="52" t="str">
        <f>IF(E598&lt;&gt;" ",[1]!convnumberletter(E598)&amp;" Euros"," ")</f>
        <v xml:space="preserve">  Euros</v>
      </c>
    </row>
    <row r="599" spans="1:6" ht="18.600000000000001" customHeight="1" x14ac:dyDescent="0.3">
      <c r="A599" s="150" t="s">
        <v>948</v>
      </c>
      <c r="B599" s="52" t="s">
        <v>293</v>
      </c>
      <c r="C599" s="51" t="s">
        <v>181</v>
      </c>
      <c r="D599" s="87" t="s">
        <v>292</v>
      </c>
      <c r="E599" s="49">
        <v>0</v>
      </c>
      <c r="F599" s="52" t="str">
        <f>IF(E599&lt;&gt;" ",[1]!convnumberletter(E599)&amp;" Euros"," ")</f>
        <v xml:space="preserve">  Euros</v>
      </c>
    </row>
    <row r="600" spans="1:6" ht="28.2" customHeight="1" x14ac:dyDescent="0.3">
      <c r="A600" s="150" t="s">
        <v>949</v>
      </c>
      <c r="B600" s="61" t="s">
        <v>198</v>
      </c>
      <c r="C600" s="51" t="s">
        <v>79</v>
      </c>
      <c r="D600" s="87" t="s">
        <v>158</v>
      </c>
      <c r="E600" s="49">
        <v>0</v>
      </c>
      <c r="F600" s="52" t="str">
        <f>IF(E600&lt;&gt;" ",[1]!convnumberletter(E600)&amp;" Euros"," ")</f>
        <v xml:space="preserve">  Euros</v>
      </c>
    </row>
    <row r="601" spans="1:6" ht="18.600000000000001" customHeight="1" x14ac:dyDescent="0.3">
      <c r="A601" s="52" t="s">
        <v>950</v>
      </c>
      <c r="B601" s="46" t="s">
        <v>208</v>
      </c>
      <c r="C601" s="51"/>
      <c r="D601" s="87"/>
      <c r="E601" s="49"/>
      <c r="F601" s="52" t="str">
        <f>IF(E601&lt;&gt;" ",[1]!convnumberletter(E601)&amp;" Euros"," ")</f>
        <v xml:space="preserve">  Euros</v>
      </c>
    </row>
    <row r="602" spans="1:6" ht="18.600000000000001" customHeight="1" x14ac:dyDescent="0.3">
      <c r="A602" s="150" t="s">
        <v>951</v>
      </c>
      <c r="B602" s="52" t="s">
        <v>211</v>
      </c>
      <c r="C602" s="51" t="s">
        <v>230</v>
      </c>
      <c r="D602" s="87" t="s">
        <v>292</v>
      </c>
      <c r="E602" s="49">
        <v>0</v>
      </c>
      <c r="F602" s="52" t="str">
        <f>IF(E602&lt;&gt;" ",[1]!convnumberletter(E602)&amp;" Euros"," ")</f>
        <v xml:space="preserve">  Euros</v>
      </c>
    </row>
    <row r="603" spans="1:6" ht="18.600000000000001" customHeight="1" x14ac:dyDescent="0.3">
      <c r="A603" s="150" t="s">
        <v>952</v>
      </c>
      <c r="B603" s="52" t="s">
        <v>212</v>
      </c>
      <c r="C603" s="51" t="s">
        <v>230</v>
      </c>
      <c r="D603" s="87" t="s">
        <v>292</v>
      </c>
      <c r="E603" s="49">
        <v>0</v>
      </c>
      <c r="F603" s="52" t="str">
        <f>IF(E603&lt;&gt;" ",[1]!convnumberletter(E603)&amp;" Euros"," ")</f>
        <v xml:space="preserve">  Euros</v>
      </c>
    </row>
    <row r="604" spans="1:6" ht="18.600000000000001" customHeight="1" x14ac:dyDescent="0.3">
      <c r="A604" s="150" t="s">
        <v>953</v>
      </c>
      <c r="B604" s="46" t="s">
        <v>168</v>
      </c>
      <c r="C604" s="52"/>
      <c r="D604" s="87"/>
      <c r="E604" s="49"/>
      <c r="F604" s="52" t="str">
        <f>IF(E604&lt;&gt;" ",[1]!convnumberletter(E604)&amp;" Euros"," ")</f>
        <v xml:space="preserve">  Euros</v>
      </c>
    </row>
    <row r="605" spans="1:6" s="65" customFormat="1" ht="18.600000000000001" customHeight="1" x14ac:dyDescent="0.3">
      <c r="A605" s="150" t="s">
        <v>954</v>
      </c>
      <c r="B605" s="50" t="s">
        <v>213</v>
      </c>
      <c r="C605" s="51" t="s">
        <v>230</v>
      </c>
      <c r="D605" s="88" t="s">
        <v>292</v>
      </c>
      <c r="E605" s="80">
        <v>0</v>
      </c>
      <c r="F605" s="52" t="str">
        <f>IF(E605&lt;&gt;" ",[1]!convnumberletter(E605)&amp;" Euros"," ")</f>
        <v xml:space="preserve">  Euros</v>
      </c>
    </row>
    <row r="606" spans="1:6" s="65" customFormat="1" ht="18.600000000000001" customHeight="1" x14ac:dyDescent="0.3">
      <c r="A606" s="150" t="s">
        <v>955</v>
      </c>
      <c r="B606" s="50" t="s">
        <v>187</v>
      </c>
      <c r="C606" s="51" t="s">
        <v>230</v>
      </c>
      <c r="D606" s="88" t="s">
        <v>292</v>
      </c>
      <c r="E606" s="80">
        <v>0</v>
      </c>
      <c r="F606" s="52" t="str">
        <f>IF(E606&lt;&gt;" ",[1]!convnumberletter(E606)&amp;" Euros"," ")</f>
        <v xml:space="preserve">  Euros</v>
      </c>
    </row>
    <row r="607" spans="1:6" s="65" customFormat="1" ht="18.600000000000001" customHeight="1" x14ac:dyDescent="0.3">
      <c r="A607" s="150" t="s">
        <v>956</v>
      </c>
      <c r="B607" s="50" t="s">
        <v>214</v>
      </c>
      <c r="C607" s="51" t="s">
        <v>230</v>
      </c>
      <c r="D607" s="88" t="s">
        <v>292</v>
      </c>
      <c r="E607" s="80">
        <v>0</v>
      </c>
      <c r="F607" s="52" t="str">
        <f>IF(E607&lt;&gt;" ",[1]!convnumberletter(E607)&amp;" Euros"," ")</f>
        <v xml:space="preserve">  Euros</v>
      </c>
    </row>
    <row r="608" spans="1:6" s="65" customFormat="1" ht="33" customHeight="1" x14ac:dyDescent="0.3">
      <c r="A608" s="150" t="s">
        <v>957</v>
      </c>
      <c r="B608" s="50" t="s">
        <v>215</v>
      </c>
      <c r="C608" s="51" t="s">
        <v>230</v>
      </c>
      <c r="D608" s="88" t="s">
        <v>292</v>
      </c>
      <c r="E608" s="80">
        <v>0</v>
      </c>
      <c r="F608" s="52" t="str">
        <f>IF(E608&lt;&gt;" ",[1]!convnumberletter(E608)&amp;" Euros"," ")</f>
        <v xml:space="preserve">  Euros</v>
      </c>
    </row>
    <row r="609" spans="1:6" ht="18.600000000000001" customHeight="1" x14ac:dyDescent="0.3">
      <c r="A609" s="52" t="s">
        <v>958</v>
      </c>
      <c r="B609" s="46" t="s">
        <v>169</v>
      </c>
      <c r="C609" s="52"/>
      <c r="D609" s="87"/>
      <c r="E609" s="49"/>
      <c r="F609" s="52" t="str">
        <f>IF(E609&lt;&gt;" ",[1]!convnumberletter(E609)&amp;" Euros"," ")</f>
        <v xml:space="preserve">  Euros</v>
      </c>
    </row>
    <row r="610" spans="1:6" ht="18.600000000000001" customHeight="1" x14ac:dyDescent="0.3">
      <c r="A610" s="150" t="s">
        <v>959</v>
      </c>
      <c r="B610" s="50" t="s">
        <v>216</v>
      </c>
      <c r="C610" s="51" t="s">
        <v>230</v>
      </c>
      <c r="D610" s="87" t="s">
        <v>292</v>
      </c>
      <c r="E610" s="79">
        <v>0</v>
      </c>
      <c r="F610" s="52" t="str">
        <f>IF(E610&lt;&gt;" ",[1]!convnumberletter(E610)&amp;" Euros"," ")</f>
        <v xml:space="preserve">  Euros</v>
      </c>
    </row>
    <row r="611" spans="1:6" ht="18.600000000000001" customHeight="1" x14ac:dyDescent="0.3">
      <c r="A611" s="150" t="s">
        <v>960</v>
      </c>
      <c r="B611" s="50" t="s">
        <v>217</v>
      </c>
      <c r="C611" s="51" t="s">
        <v>230</v>
      </c>
      <c r="D611" s="87" t="s">
        <v>292</v>
      </c>
      <c r="E611" s="79">
        <v>0</v>
      </c>
      <c r="F611" s="52" t="str">
        <f>IF(E611&lt;&gt;" ",[1]!convnumberletter(E611)&amp;" Euros"," ")</f>
        <v xml:space="preserve">  Euros</v>
      </c>
    </row>
    <row r="612" spans="1:6" ht="18.600000000000001" customHeight="1" x14ac:dyDescent="0.3">
      <c r="A612" s="150" t="s">
        <v>961</v>
      </c>
      <c r="B612" s="50" t="s">
        <v>218</v>
      </c>
      <c r="C612" s="51" t="s">
        <v>230</v>
      </c>
      <c r="D612" s="87" t="s">
        <v>292</v>
      </c>
      <c r="E612" s="79">
        <v>0</v>
      </c>
      <c r="F612" s="52" t="str">
        <f>IF(E612&lt;&gt;" ",[1]!convnumberletter(E612)&amp;" Euros"," ")</f>
        <v xml:space="preserve">  Euros</v>
      </c>
    </row>
    <row r="613" spans="1:6" ht="18.600000000000001" customHeight="1" x14ac:dyDescent="0.3">
      <c r="A613" s="150" t="s">
        <v>962</v>
      </c>
      <c r="B613" s="50" t="s">
        <v>219</v>
      </c>
      <c r="C613" s="51" t="s">
        <v>230</v>
      </c>
      <c r="D613" s="87" t="s">
        <v>292</v>
      </c>
      <c r="E613" s="79">
        <v>0</v>
      </c>
      <c r="F613" s="52" t="str">
        <f>IF(E613&lt;&gt;" ",[1]!convnumberletter(E613)&amp;" Euros"," ")</f>
        <v xml:space="preserve">  Euros</v>
      </c>
    </row>
    <row r="614" spans="1:6" ht="18.600000000000001" customHeight="1" x14ac:dyDescent="0.3">
      <c r="A614" s="150" t="s">
        <v>963</v>
      </c>
      <c r="B614" s="50" t="s">
        <v>220</v>
      </c>
      <c r="C614" s="51" t="s">
        <v>230</v>
      </c>
      <c r="D614" s="87" t="s">
        <v>292</v>
      </c>
      <c r="E614" s="79">
        <v>0</v>
      </c>
      <c r="F614" s="52" t="str">
        <f>IF(E614&lt;&gt;" ",[1]!convnumberletter(E614)&amp;" Euros"," ")</f>
        <v xml:space="preserve">  Euros</v>
      </c>
    </row>
    <row r="615" spans="1:6" ht="18.600000000000001" customHeight="1" x14ac:dyDescent="0.3">
      <c r="A615" s="150" t="s">
        <v>964</v>
      </c>
      <c r="B615" s="50" t="s">
        <v>221</v>
      </c>
      <c r="C615" s="51" t="s">
        <v>230</v>
      </c>
      <c r="D615" s="87" t="s">
        <v>292</v>
      </c>
      <c r="E615" s="79">
        <v>0</v>
      </c>
      <c r="F615" s="52" t="str">
        <f>IF(E615&lt;&gt;" ",[1]!convnumberletter(E615)&amp;" Euros"," ")</f>
        <v xml:space="preserve">  Euros</v>
      </c>
    </row>
    <row r="616" spans="1:6" ht="18.600000000000001" customHeight="1" x14ac:dyDescent="0.3">
      <c r="A616" s="150" t="s">
        <v>965</v>
      </c>
      <c r="B616" s="50" t="s">
        <v>222</v>
      </c>
      <c r="C616" s="51" t="s">
        <v>230</v>
      </c>
      <c r="D616" s="87" t="s">
        <v>292</v>
      </c>
      <c r="E616" s="79">
        <v>0</v>
      </c>
      <c r="F616" s="52" t="str">
        <f>IF(E616&lt;&gt;" ",[1]!convnumberletter(E616)&amp;" Euros"," ")</f>
        <v xml:space="preserve">  Euros</v>
      </c>
    </row>
    <row r="617" spans="1:6" ht="18.600000000000001" customHeight="1" x14ac:dyDescent="0.3">
      <c r="A617" s="52" t="s">
        <v>966</v>
      </c>
      <c r="B617" s="46" t="s">
        <v>170</v>
      </c>
      <c r="C617" s="52"/>
      <c r="D617" s="87"/>
      <c r="E617" s="49"/>
      <c r="F617" s="52" t="str">
        <f>IF(E617&lt;&gt;" ",[1]!convnumberletter(E617)&amp;" Euros"," ")</f>
        <v xml:space="preserve">  Euros</v>
      </c>
    </row>
    <row r="618" spans="1:6" ht="18.600000000000001" customHeight="1" x14ac:dyDescent="0.3">
      <c r="A618" s="150" t="s">
        <v>967</v>
      </c>
      <c r="B618" s="50" t="s">
        <v>223</v>
      </c>
      <c r="C618" s="51" t="s">
        <v>230</v>
      </c>
      <c r="D618" s="87" t="s">
        <v>292</v>
      </c>
      <c r="E618" s="79">
        <v>0</v>
      </c>
      <c r="F618" s="52" t="str">
        <f>IF(E618&lt;&gt;" ",[1]!convnumberletter(E618)&amp;" Euros"," ")</f>
        <v xml:space="preserve">  Euros</v>
      </c>
    </row>
    <row r="619" spans="1:6" ht="18.600000000000001" customHeight="1" x14ac:dyDescent="0.3">
      <c r="A619" s="150" t="s">
        <v>968</v>
      </c>
      <c r="B619" s="50" t="s">
        <v>224</v>
      </c>
      <c r="C619" s="51" t="s">
        <v>230</v>
      </c>
      <c r="D619" s="87" t="s">
        <v>292</v>
      </c>
      <c r="E619" s="79">
        <v>0</v>
      </c>
      <c r="F619" s="52" t="str">
        <f>IF(E619&lt;&gt;" ",[1]!convnumberletter(E619)&amp;" Euros"," ")</f>
        <v xml:space="preserve">  Euros</v>
      </c>
    </row>
    <row r="620" spans="1:6" ht="18.600000000000001" customHeight="1" x14ac:dyDescent="0.3">
      <c r="A620" s="150" t="s">
        <v>969</v>
      </c>
      <c r="B620" s="50" t="s">
        <v>178</v>
      </c>
      <c r="C620" s="51" t="s">
        <v>230</v>
      </c>
      <c r="D620" s="87" t="s">
        <v>292</v>
      </c>
      <c r="E620" s="79">
        <v>0</v>
      </c>
      <c r="F620" s="52" t="str">
        <f>IF(E620&lt;&gt;" ",[1]!convnumberletter(E620)&amp;" Euros"," ")</f>
        <v xml:space="preserve">  Euros</v>
      </c>
    </row>
    <row r="621" spans="1:6" ht="18.600000000000001" customHeight="1" x14ac:dyDescent="0.3">
      <c r="A621" s="52" t="s">
        <v>970</v>
      </c>
      <c r="B621" s="46" t="s">
        <v>171</v>
      </c>
      <c r="C621" s="52"/>
      <c r="D621" s="87"/>
      <c r="E621" s="49"/>
      <c r="F621" s="52" t="str">
        <f>IF(E621&lt;&gt;" ",[1]!convnumberletter(E621)&amp;" Euros"," ")</f>
        <v xml:space="preserve">  Euros</v>
      </c>
    </row>
    <row r="622" spans="1:6" ht="24.6" customHeight="1" x14ac:dyDescent="0.3">
      <c r="A622" s="150" t="s">
        <v>971</v>
      </c>
      <c r="B622" s="50" t="s">
        <v>229</v>
      </c>
      <c r="C622" s="51" t="s">
        <v>181</v>
      </c>
      <c r="D622" s="87" t="s">
        <v>292</v>
      </c>
      <c r="E622" s="79">
        <v>0</v>
      </c>
      <c r="F622" s="52" t="str">
        <f>IF(E622&lt;&gt;" ",[1]!convnumberletter(E622)&amp;" Euros"," ")</f>
        <v xml:space="preserve">  Euros</v>
      </c>
    </row>
    <row r="623" spans="1:6" ht="24.6" customHeight="1" x14ac:dyDescent="0.3">
      <c r="A623" s="150" t="s">
        <v>972</v>
      </c>
      <c r="B623" s="50" t="s">
        <v>366</v>
      </c>
      <c r="C623" s="51" t="s">
        <v>181</v>
      </c>
      <c r="D623" s="87" t="s">
        <v>292</v>
      </c>
      <c r="E623" s="79">
        <v>0</v>
      </c>
      <c r="F623" s="52" t="str">
        <f>IF(E623&lt;&gt;" ",[1]!convnumberletter(E623)&amp;" Euros"," ")</f>
        <v xml:space="preserve">  Euros</v>
      </c>
    </row>
    <row r="624" spans="1:6" ht="18.600000000000001" customHeight="1" x14ac:dyDescent="0.3">
      <c r="A624" s="150" t="s">
        <v>973</v>
      </c>
      <c r="B624" s="50" t="s">
        <v>225</v>
      </c>
      <c r="C624" s="51" t="s">
        <v>181</v>
      </c>
      <c r="D624" s="87" t="s">
        <v>292</v>
      </c>
      <c r="E624" s="79">
        <v>0</v>
      </c>
      <c r="F624" s="52" t="str">
        <f>IF(E624&lt;&gt;" ",[1]!convnumberletter(E624)&amp;" Euros"," ")</f>
        <v xml:space="preserve">  Euros</v>
      </c>
    </row>
    <row r="625" spans="1:6" ht="18.600000000000001" customHeight="1" x14ac:dyDescent="0.3">
      <c r="A625" s="150" t="s">
        <v>974</v>
      </c>
      <c r="B625" s="50" t="s">
        <v>226</v>
      </c>
      <c r="C625" s="51" t="s">
        <v>181</v>
      </c>
      <c r="D625" s="87" t="s">
        <v>292</v>
      </c>
      <c r="E625" s="79">
        <v>0</v>
      </c>
      <c r="F625" s="52" t="str">
        <f>IF(E625&lt;&gt;" ",[1]!convnumberletter(E625)&amp;" Euros"," ")</f>
        <v xml:space="preserve">  Euros</v>
      </c>
    </row>
    <row r="626" spans="1:6" ht="18.600000000000001" customHeight="1" x14ac:dyDescent="0.3">
      <c r="A626" s="150" t="s">
        <v>975</v>
      </c>
      <c r="B626" s="50" t="s">
        <v>227</v>
      </c>
      <c r="C626" s="51" t="s">
        <v>181</v>
      </c>
      <c r="D626" s="87" t="s">
        <v>292</v>
      </c>
      <c r="E626" s="79">
        <v>0</v>
      </c>
      <c r="F626" s="52" t="str">
        <f>IF(E626&lt;&gt;" ",[1]!convnumberletter(E626)&amp;" Euros"," ")</f>
        <v xml:space="preserve">  Euros</v>
      </c>
    </row>
    <row r="627" spans="1:6" ht="18.600000000000001" customHeight="1" x14ac:dyDescent="0.3">
      <c r="A627" s="150" t="s">
        <v>976</v>
      </c>
      <c r="B627" s="50" t="s">
        <v>228</v>
      </c>
      <c r="C627" s="51" t="s">
        <v>181</v>
      </c>
      <c r="D627" s="87" t="s">
        <v>292</v>
      </c>
      <c r="E627" s="79">
        <v>0</v>
      </c>
      <c r="F627" s="52" t="str">
        <f>IF(E627&lt;&gt;" ",[1]!convnumberletter(E627)&amp;" Euros"," ")</f>
        <v xml:space="preserve">  Euros</v>
      </c>
    </row>
    <row r="628" spans="1:6" ht="18.600000000000001" customHeight="1" x14ac:dyDescent="0.3">
      <c r="A628" s="52" t="s">
        <v>977</v>
      </c>
      <c r="B628" s="46" t="s">
        <v>172</v>
      </c>
      <c r="C628" s="52"/>
      <c r="D628" s="87"/>
      <c r="E628" s="49"/>
      <c r="F628" s="52" t="str">
        <f>IF(E628&lt;&gt;" ",[1]!convnumberletter(E628)&amp;" Euros"," ")</f>
        <v xml:space="preserve">  Euros</v>
      </c>
    </row>
    <row r="629" spans="1:6" ht="18.600000000000001" customHeight="1" x14ac:dyDescent="0.3">
      <c r="A629" s="150" t="s">
        <v>978</v>
      </c>
      <c r="B629" s="50" t="s">
        <v>231</v>
      </c>
      <c r="C629" s="51" t="s">
        <v>181</v>
      </c>
      <c r="D629" s="87" t="s">
        <v>292</v>
      </c>
      <c r="E629" s="79">
        <v>0</v>
      </c>
      <c r="F629" s="52" t="str">
        <f>IF(E629&lt;&gt;" ",[1]!convnumberletter(E629)&amp;" Euros"," ")</f>
        <v xml:space="preserve">  Euros</v>
      </c>
    </row>
    <row r="630" spans="1:6" ht="18.600000000000001" customHeight="1" x14ac:dyDescent="0.3">
      <c r="A630" s="150" t="s">
        <v>979</v>
      </c>
      <c r="B630" s="50" t="s">
        <v>232</v>
      </c>
      <c r="C630" s="51" t="s">
        <v>181</v>
      </c>
      <c r="D630" s="87" t="s">
        <v>292</v>
      </c>
      <c r="E630" s="79">
        <v>0</v>
      </c>
      <c r="F630" s="52" t="str">
        <f>IF(E630&lt;&gt;" ",[1]!convnumberletter(E630)&amp;" Euros"," ")</f>
        <v xml:space="preserve">  Euros</v>
      </c>
    </row>
    <row r="631" spans="1:6" ht="28.2" customHeight="1" x14ac:dyDescent="0.3">
      <c r="A631" s="150" t="s">
        <v>980</v>
      </c>
      <c r="B631" s="50" t="s">
        <v>233</v>
      </c>
      <c r="C631" s="51" t="s">
        <v>181</v>
      </c>
      <c r="D631" s="87" t="s">
        <v>292</v>
      </c>
      <c r="E631" s="79">
        <v>0</v>
      </c>
      <c r="F631" s="52" t="str">
        <f>IF(E631&lt;&gt;" ",[1]!convnumberletter(E631)&amp;" Euros"," ")</f>
        <v xml:space="preserve">  Euros</v>
      </c>
    </row>
    <row r="632" spans="1:6" ht="18.600000000000001" customHeight="1" x14ac:dyDescent="0.3">
      <c r="A632" s="150" t="s">
        <v>981</v>
      </c>
      <c r="B632" s="50" t="s">
        <v>234</v>
      </c>
      <c r="C632" s="51" t="s">
        <v>181</v>
      </c>
      <c r="D632" s="87" t="s">
        <v>292</v>
      </c>
      <c r="E632" s="79">
        <v>0</v>
      </c>
      <c r="F632" s="52" t="str">
        <f>IF(E632&lt;&gt;" ",[1]!convnumberletter(E632)&amp;" Euros"," ")</f>
        <v xml:space="preserve">  Euros</v>
      </c>
    </row>
    <row r="633" spans="1:6" ht="18.600000000000001" customHeight="1" x14ac:dyDescent="0.3">
      <c r="A633" s="52" t="s">
        <v>982</v>
      </c>
      <c r="B633" s="46" t="s">
        <v>173</v>
      </c>
      <c r="C633" s="52"/>
      <c r="D633" s="87"/>
      <c r="E633" s="49"/>
      <c r="F633" s="52" t="str">
        <f>IF(E633&lt;&gt;" ",[1]!convnumberletter(E633)&amp;" Euros"," ")</f>
        <v xml:space="preserve">  Euros</v>
      </c>
    </row>
    <row r="634" spans="1:6" ht="18.600000000000001" customHeight="1" x14ac:dyDescent="0.3">
      <c r="A634" s="150" t="s">
        <v>983</v>
      </c>
      <c r="B634" s="50" t="s">
        <v>259</v>
      </c>
      <c r="C634" s="51" t="s">
        <v>181</v>
      </c>
      <c r="D634" s="87" t="s">
        <v>292</v>
      </c>
      <c r="E634" s="79">
        <v>0</v>
      </c>
      <c r="F634" s="52" t="str">
        <f>IF(E634&lt;&gt;" ",[1]!convnumberletter(E634)&amp;" Euros"," ")</f>
        <v xml:space="preserve">  Euros</v>
      </c>
    </row>
    <row r="635" spans="1:6" ht="18.600000000000001" customHeight="1" x14ac:dyDescent="0.3">
      <c r="A635" s="150" t="s">
        <v>984</v>
      </c>
      <c r="B635" s="50" t="s">
        <v>235</v>
      </c>
      <c r="C635" s="51" t="s">
        <v>181</v>
      </c>
      <c r="D635" s="87" t="s">
        <v>292</v>
      </c>
      <c r="E635" s="79">
        <v>0</v>
      </c>
      <c r="F635" s="52" t="str">
        <f>IF(E635&lt;&gt;" ",[1]!convnumberletter(E635)&amp;" Euros"," ")</f>
        <v xml:space="preserve">  Euros</v>
      </c>
    </row>
    <row r="636" spans="1:6" ht="18.600000000000001" customHeight="1" x14ac:dyDescent="0.3">
      <c r="A636" s="150" t="s">
        <v>985</v>
      </c>
      <c r="B636" s="50" t="s">
        <v>236</v>
      </c>
      <c r="C636" s="51" t="s">
        <v>181</v>
      </c>
      <c r="D636" s="87" t="s">
        <v>292</v>
      </c>
      <c r="E636" s="79">
        <v>0</v>
      </c>
      <c r="F636" s="52" t="str">
        <f>IF(E636&lt;&gt;" ",[1]!convnumberletter(E636)&amp;" Euros"," ")</f>
        <v xml:space="preserve">  Euros</v>
      </c>
    </row>
    <row r="637" spans="1:6" ht="18.600000000000001" customHeight="1" x14ac:dyDescent="0.3">
      <c r="A637" s="150" t="s">
        <v>986</v>
      </c>
      <c r="B637" s="50" t="s">
        <v>237</v>
      </c>
      <c r="C637" s="51" t="s">
        <v>181</v>
      </c>
      <c r="D637" s="87" t="s">
        <v>292</v>
      </c>
      <c r="E637" s="79">
        <v>0</v>
      </c>
      <c r="F637" s="52" t="str">
        <f>IF(E637&lt;&gt;" ",[1]!convnumberletter(E637)&amp;" Euros"," ")</f>
        <v xml:space="preserve">  Euros</v>
      </c>
    </row>
    <row r="638" spans="1:6" ht="18.600000000000001" customHeight="1" x14ac:dyDescent="0.3">
      <c r="A638" s="150" t="s">
        <v>987</v>
      </c>
      <c r="B638" s="50" t="s">
        <v>238</v>
      </c>
      <c r="C638" s="51" t="s">
        <v>181</v>
      </c>
      <c r="D638" s="87" t="s">
        <v>292</v>
      </c>
      <c r="E638" s="79">
        <v>0</v>
      </c>
      <c r="F638" s="52" t="str">
        <f>IF(E638&lt;&gt;" ",[1]!convnumberletter(E638)&amp;" Euros"," ")</f>
        <v xml:space="preserve">  Euros</v>
      </c>
    </row>
    <row r="639" spans="1:6" ht="18.600000000000001" customHeight="1" x14ac:dyDescent="0.3">
      <c r="A639" s="150" t="s">
        <v>988</v>
      </c>
      <c r="B639" s="50" t="s">
        <v>179</v>
      </c>
      <c r="C639" s="51" t="s">
        <v>181</v>
      </c>
      <c r="D639" s="87" t="s">
        <v>292</v>
      </c>
      <c r="E639" s="79">
        <v>0</v>
      </c>
      <c r="F639" s="52" t="str">
        <f>IF(E639&lt;&gt;" ",[1]!convnumberletter(E639)&amp;" Euros"," ")</f>
        <v xml:space="preserve">  Euros</v>
      </c>
    </row>
    <row r="640" spans="1:6" ht="18.600000000000001" customHeight="1" x14ac:dyDescent="0.3">
      <c r="A640" s="150" t="s">
        <v>989</v>
      </c>
      <c r="B640" s="50" t="s">
        <v>239</v>
      </c>
      <c r="C640" s="51" t="s">
        <v>181</v>
      </c>
      <c r="D640" s="87" t="s">
        <v>292</v>
      </c>
      <c r="E640" s="79">
        <v>0</v>
      </c>
      <c r="F640" s="52" t="str">
        <f>IF(E640&lt;&gt;" ",[1]!convnumberletter(E640)&amp;" Euros"," ")</f>
        <v xml:space="preserve">  Euros</v>
      </c>
    </row>
    <row r="641" spans="1:6" ht="18.600000000000001" customHeight="1" x14ac:dyDescent="0.3">
      <c r="A641" s="52" t="s">
        <v>990</v>
      </c>
      <c r="B641" s="46" t="s">
        <v>174</v>
      </c>
      <c r="C641" s="52"/>
      <c r="D641" s="87"/>
      <c r="E641" s="49"/>
      <c r="F641" s="52" t="str">
        <f>IF(E641&lt;&gt;" ",[1]!convnumberletter(E641)&amp;" Euros"," ")</f>
        <v xml:space="preserve">  Euros</v>
      </c>
    </row>
    <row r="642" spans="1:6" ht="18.600000000000001" customHeight="1" x14ac:dyDescent="0.3">
      <c r="A642" s="150" t="s">
        <v>991</v>
      </c>
      <c r="B642" s="50" t="s">
        <v>240</v>
      </c>
      <c r="C642" s="51" t="s">
        <v>181</v>
      </c>
      <c r="D642" s="87" t="s">
        <v>292</v>
      </c>
      <c r="E642" s="79">
        <v>0</v>
      </c>
      <c r="F642" s="52" t="str">
        <f>IF(E642&lt;&gt;" ",[1]!convnumberletter(E642)&amp;" Euros"," ")</f>
        <v xml:space="preserve">  Euros</v>
      </c>
    </row>
    <row r="643" spans="1:6" ht="18.600000000000001" customHeight="1" x14ac:dyDescent="0.3">
      <c r="A643" s="150" t="s">
        <v>992</v>
      </c>
      <c r="B643" s="50" t="s">
        <v>241</v>
      </c>
      <c r="C643" s="51" t="s">
        <v>181</v>
      </c>
      <c r="D643" s="87" t="s">
        <v>292</v>
      </c>
      <c r="E643" s="79">
        <v>0</v>
      </c>
      <c r="F643" s="52" t="str">
        <f>IF(E643&lt;&gt;" ",[1]!convnumberletter(E643)&amp;" Euros"," ")</f>
        <v xml:space="preserve">  Euros</v>
      </c>
    </row>
    <row r="644" spans="1:6" ht="18.600000000000001" customHeight="1" x14ac:dyDescent="0.3">
      <c r="A644" s="150" t="s">
        <v>993</v>
      </c>
      <c r="B644" s="50" t="s">
        <v>242</v>
      </c>
      <c r="C644" s="51" t="s">
        <v>181</v>
      </c>
      <c r="D644" s="87" t="s">
        <v>292</v>
      </c>
      <c r="E644" s="79">
        <v>0</v>
      </c>
      <c r="F644" s="52" t="str">
        <f>IF(E644&lt;&gt;" ",[1]!convnumberletter(E644)&amp;" Euros"," ")</f>
        <v xml:space="preserve">  Euros</v>
      </c>
    </row>
    <row r="645" spans="1:6" ht="18.600000000000001" customHeight="1" x14ac:dyDescent="0.3">
      <c r="A645" s="150" t="s">
        <v>994</v>
      </c>
      <c r="B645" s="50" t="s">
        <v>243</v>
      </c>
      <c r="C645" s="51" t="s">
        <v>181</v>
      </c>
      <c r="D645" s="87" t="s">
        <v>292</v>
      </c>
      <c r="E645" s="79">
        <v>0</v>
      </c>
      <c r="F645" s="52" t="str">
        <f>IF(E645&lt;&gt;" ",[1]!convnumberletter(E645)&amp;" Euros"," ")</f>
        <v xml:space="preserve">  Euros</v>
      </c>
    </row>
    <row r="646" spans="1:6" ht="18.600000000000001" customHeight="1" x14ac:dyDescent="0.3">
      <c r="A646" s="150" t="s">
        <v>995</v>
      </c>
      <c r="B646" s="50" t="s">
        <v>244</v>
      </c>
      <c r="C646" s="51" t="s">
        <v>181</v>
      </c>
      <c r="D646" s="87" t="s">
        <v>292</v>
      </c>
      <c r="E646" s="79">
        <v>0</v>
      </c>
      <c r="F646" s="52" t="str">
        <f>IF(E646&lt;&gt;" ",[1]!convnumberletter(E646)&amp;" Euros"," ")</f>
        <v xml:space="preserve">  Euros</v>
      </c>
    </row>
    <row r="647" spans="1:6" ht="18.600000000000001" customHeight="1" x14ac:dyDescent="0.3">
      <c r="A647" s="150" t="s">
        <v>996</v>
      </c>
      <c r="B647" s="50" t="s">
        <v>245</v>
      </c>
      <c r="C647" s="51" t="s">
        <v>181</v>
      </c>
      <c r="D647" s="87" t="s">
        <v>292</v>
      </c>
      <c r="E647" s="79">
        <v>0</v>
      </c>
      <c r="F647" s="52" t="str">
        <f>IF(E647&lt;&gt;" ",[1]!convnumberletter(E647)&amp;" Euros"," ")</f>
        <v xml:space="preserve">  Euros</v>
      </c>
    </row>
    <row r="648" spans="1:6" ht="18.600000000000001" customHeight="1" x14ac:dyDescent="0.3">
      <c r="A648" s="150" t="s">
        <v>997</v>
      </c>
      <c r="B648" s="50" t="s">
        <v>246</v>
      </c>
      <c r="C648" s="51" t="s">
        <v>181</v>
      </c>
      <c r="D648" s="87" t="s">
        <v>292</v>
      </c>
      <c r="E648" s="79">
        <v>0</v>
      </c>
      <c r="F648" s="52" t="str">
        <f>IF(E648&lt;&gt;" ",[1]!convnumberletter(E648)&amp;" Euros"," ")</f>
        <v xml:space="preserve">  Euros</v>
      </c>
    </row>
    <row r="649" spans="1:6" ht="18.600000000000001" customHeight="1" x14ac:dyDescent="0.3">
      <c r="A649" s="150" t="s">
        <v>998</v>
      </c>
      <c r="B649" s="50" t="s">
        <v>194</v>
      </c>
      <c r="C649" s="51" t="s">
        <v>181</v>
      </c>
      <c r="D649" s="87" t="s">
        <v>292</v>
      </c>
      <c r="E649" s="79">
        <v>0</v>
      </c>
      <c r="F649" s="52" t="str">
        <f>IF(E649&lt;&gt;" ",[1]!convnumberletter(E649)&amp;" Euros"," ")</f>
        <v xml:space="preserve">  Euros</v>
      </c>
    </row>
    <row r="650" spans="1:6" ht="18.600000000000001" customHeight="1" x14ac:dyDescent="0.3">
      <c r="A650" s="52" t="s">
        <v>999</v>
      </c>
      <c r="B650" s="46" t="s">
        <v>175</v>
      </c>
      <c r="C650" s="52"/>
      <c r="D650" s="87"/>
      <c r="E650" s="49"/>
      <c r="F650" s="52" t="str">
        <f>IF(E650&lt;&gt;" ",[1]!convnumberletter(E650)&amp;" Euros"," ")</f>
        <v xml:space="preserve">  Euros</v>
      </c>
    </row>
    <row r="651" spans="1:6" ht="18.600000000000001" customHeight="1" x14ac:dyDescent="0.3">
      <c r="A651" s="150" t="s">
        <v>1000</v>
      </c>
      <c r="B651" s="50" t="s">
        <v>180</v>
      </c>
      <c r="C651" s="51" t="s">
        <v>181</v>
      </c>
      <c r="D651" s="87" t="s">
        <v>292</v>
      </c>
      <c r="E651" s="49">
        <v>0</v>
      </c>
      <c r="F651" s="52" t="str">
        <f>IF(E651&lt;&gt;" ",[1]!convnumberletter(E651)&amp;" Euros"," ")</f>
        <v xml:space="preserve">  Euros</v>
      </c>
    </row>
    <row r="652" spans="1:6" ht="18.600000000000001" customHeight="1" x14ac:dyDescent="0.3">
      <c r="A652" s="52" t="s">
        <v>1001</v>
      </c>
      <c r="B652" s="46" t="s">
        <v>176</v>
      </c>
      <c r="C652" s="52"/>
      <c r="D652" s="87"/>
      <c r="E652" s="49"/>
      <c r="F652" s="52" t="str">
        <f>IF(E652&lt;&gt;" ",[1]!convnumberletter(E652)&amp;" Euros"," ")</f>
        <v xml:space="preserve">  Euros</v>
      </c>
    </row>
    <row r="653" spans="1:6" ht="18.600000000000001" customHeight="1" x14ac:dyDescent="0.3">
      <c r="A653" s="150" t="s">
        <v>1002</v>
      </c>
      <c r="B653" s="50" t="s">
        <v>257</v>
      </c>
      <c r="C653" s="51" t="s">
        <v>181</v>
      </c>
      <c r="D653" s="87" t="s">
        <v>292</v>
      </c>
      <c r="E653" s="49">
        <v>0</v>
      </c>
      <c r="F653" s="52" t="str">
        <f>IF(E653&lt;&gt;" ",[1]!convnumberletter(E653)&amp;" Euros"," ")</f>
        <v xml:space="preserve">  Euros</v>
      </c>
    </row>
    <row r="654" spans="1:6" ht="18.600000000000001" customHeight="1" x14ac:dyDescent="0.3">
      <c r="A654" s="150" t="s">
        <v>1003</v>
      </c>
      <c r="B654" s="50" t="s">
        <v>253</v>
      </c>
      <c r="C654" s="51" t="s">
        <v>17</v>
      </c>
      <c r="D654" s="87" t="s">
        <v>292</v>
      </c>
      <c r="E654" s="49">
        <v>0</v>
      </c>
      <c r="F654" s="52" t="str">
        <f>IF(E654&lt;&gt;" ",[1]!convnumberletter(E654)&amp;" Euros"," ")</f>
        <v xml:space="preserve">  Euros</v>
      </c>
    </row>
    <row r="655" spans="1:6" ht="18.600000000000001" customHeight="1" x14ac:dyDescent="0.3">
      <c r="A655" s="150" t="s">
        <v>1004</v>
      </c>
      <c r="B655" s="50" t="s">
        <v>252</v>
      </c>
      <c r="C655" s="51" t="s">
        <v>17</v>
      </c>
      <c r="D655" s="87" t="s">
        <v>292</v>
      </c>
      <c r="E655" s="49">
        <v>0</v>
      </c>
      <c r="F655" s="52" t="str">
        <f>IF(E655&lt;&gt;" ",[1]!convnumberletter(E655)&amp;" Euros"," ")</f>
        <v xml:space="preserve">  Euros</v>
      </c>
    </row>
    <row r="656" spans="1:6" ht="18.600000000000001" customHeight="1" x14ac:dyDescent="0.3">
      <c r="A656" s="150" t="s">
        <v>1005</v>
      </c>
      <c r="B656" s="50" t="s">
        <v>254</v>
      </c>
      <c r="C656" s="51" t="s">
        <v>17</v>
      </c>
      <c r="D656" s="87" t="s">
        <v>292</v>
      </c>
      <c r="E656" s="49">
        <v>0</v>
      </c>
      <c r="F656" s="52" t="str">
        <f>IF(E656&lt;&gt;" ",[1]!convnumberletter(E656)&amp;" Euros"," ")</f>
        <v xml:space="preserve">  Euros</v>
      </c>
    </row>
    <row r="657" spans="1:6" ht="18.600000000000001" customHeight="1" x14ac:dyDescent="0.3">
      <c r="A657" s="150" t="s">
        <v>1006</v>
      </c>
      <c r="B657" s="50" t="s">
        <v>255</v>
      </c>
      <c r="C657" s="51" t="s">
        <v>17</v>
      </c>
      <c r="D657" s="87" t="s">
        <v>292</v>
      </c>
      <c r="E657" s="49">
        <v>0</v>
      </c>
      <c r="F657" s="52" t="str">
        <f>IF(E657&lt;&gt;" ",[1]!convnumberletter(E657)&amp;" Euros"," ")</f>
        <v xml:space="preserve">  Euros</v>
      </c>
    </row>
    <row r="658" spans="1:6" ht="28.8" customHeight="1" x14ac:dyDescent="0.3">
      <c r="A658" s="150" t="s">
        <v>1007</v>
      </c>
      <c r="B658" s="50" t="s">
        <v>251</v>
      </c>
      <c r="C658" s="51" t="s">
        <v>17</v>
      </c>
      <c r="D658" s="87" t="s">
        <v>292</v>
      </c>
      <c r="E658" s="49">
        <v>0</v>
      </c>
      <c r="F658" s="52" t="str">
        <f>IF(E658&lt;&gt;" ",[1]!convnumberletter(E658)&amp;" Euros"," ")</f>
        <v xml:space="preserve">  Euros</v>
      </c>
    </row>
    <row r="659" spans="1:6" x14ac:dyDescent="0.3">
      <c r="A659" s="150" t="s">
        <v>1008</v>
      </c>
      <c r="B659" s="50" t="s">
        <v>256</v>
      </c>
      <c r="C659" s="51" t="s">
        <v>181</v>
      </c>
      <c r="D659" s="87" t="s">
        <v>292</v>
      </c>
      <c r="E659" s="49">
        <v>0</v>
      </c>
      <c r="F659" s="52" t="str">
        <f>IF(E659&lt;&gt;" ",[1]!convnumberletter(E659)&amp;" Euros"," ")</f>
        <v xml:space="preserve">  Euros</v>
      </c>
    </row>
    <row r="660" spans="1:6" x14ac:dyDescent="0.3">
      <c r="A660" s="150" t="s">
        <v>1009</v>
      </c>
      <c r="B660" s="50" t="s">
        <v>258</v>
      </c>
      <c r="C660" s="51" t="s">
        <v>17</v>
      </c>
      <c r="D660" s="87" t="s">
        <v>292</v>
      </c>
      <c r="E660" s="49">
        <v>0</v>
      </c>
      <c r="F660" s="52" t="str">
        <f>IF(E660&lt;&gt;" ",[1]!convnumberletter(E660)&amp;" Euros"," ")</f>
        <v xml:space="preserve">  Euros</v>
      </c>
    </row>
    <row r="661" spans="1:6" ht="18.600000000000001" customHeight="1" x14ac:dyDescent="0.3">
      <c r="A661" s="150" t="s">
        <v>1010</v>
      </c>
      <c r="B661" s="50" t="s">
        <v>193</v>
      </c>
      <c r="C661" s="51" t="s">
        <v>181</v>
      </c>
      <c r="D661" s="87" t="s">
        <v>292</v>
      </c>
      <c r="E661" s="49">
        <v>0</v>
      </c>
      <c r="F661" s="52" t="str">
        <f>IF(E661&lt;&gt;" ",[1]!convnumberletter(E661)&amp;" Euros"," ")</f>
        <v xml:space="preserve">  Euros</v>
      </c>
    </row>
    <row r="662" spans="1:6" x14ac:dyDescent="0.3">
      <c r="A662" s="150" t="s">
        <v>1011</v>
      </c>
      <c r="B662" s="50" t="s">
        <v>192</v>
      </c>
      <c r="C662" s="51" t="s">
        <v>181</v>
      </c>
      <c r="D662" s="87" t="s">
        <v>292</v>
      </c>
      <c r="E662" s="49">
        <v>0</v>
      </c>
      <c r="F662" s="52" t="str">
        <f>IF(E662&lt;&gt;" ",[1]!convnumberletter(E662)&amp;" Euros"," ")</f>
        <v xml:space="preserve">  Euros</v>
      </c>
    </row>
    <row r="663" spans="1:6" ht="28.8" x14ac:dyDescent="0.3">
      <c r="A663" s="150" t="s">
        <v>1012</v>
      </c>
      <c r="B663" s="50" t="s">
        <v>260</v>
      </c>
      <c r="C663" s="51" t="s">
        <v>181</v>
      </c>
      <c r="D663" s="87" t="s">
        <v>292</v>
      </c>
      <c r="E663" s="49">
        <v>0</v>
      </c>
      <c r="F663" s="52" t="str">
        <f>IF(E663&lt;&gt;" ",[1]!convnumberletter(E663)&amp;" Euros"," ")</f>
        <v xml:space="preserve">  Euros</v>
      </c>
    </row>
    <row r="664" spans="1:6" ht="18.600000000000001" customHeight="1" x14ac:dyDescent="0.3">
      <c r="A664" s="52" t="s">
        <v>1013</v>
      </c>
      <c r="B664" s="46" t="s">
        <v>177</v>
      </c>
      <c r="C664" s="52"/>
      <c r="D664" s="87"/>
      <c r="E664" s="49"/>
      <c r="F664" s="52" t="str">
        <f>IF(E664&lt;&gt;" ",[1]!convnumberletter(E664)&amp;" Euros"," ")</f>
        <v xml:space="preserve">  Euros</v>
      </c>
    </row>
    <row r="665" spans="1:6" ht="18.600000000000001" customHeight="1" x14ac:dyDescent="0.3">
      <c r="A665" s="150" t="s">
        <v>1014</v>
      </c>
      <c r="B665" s="50" t="s">
        <v>182</v>
      </c>
      <c r="C665" s="51" t="s">
        <v>181</v>
      </c>
      <c r="D665" s="87" t="s">
        <v>292</v>
      </c>
      <c r="E665" s="49">
        <v>0</v>
      </c>
      <c r="F665" s="52" t="str">
        <f>IF(E665&lt;&gt;" ",[1]!convnumberletter(E665)&amp;" Euros"," ")</f>
        <v xml:space="preserve">  Euros</v>
      </c>
    </row>
    <row r="666" spans="1:6" x14ac:dyDescent="0.3">
      <c r="A666" s="150" t="s">
        <v>1015</v>
      </c>
      <c r="B666" s="50" t="s">
        <v>1273</v>
      </c>
      <c r="C666" s="51" t="s">
        <v>181</v>
      </c>
      <c r="D666" s="87" t="s">
        <v>292</v>
      </c>
      <c r="E666" s="49">
        <v>0</v>
      </c>
      <c r="F666" s="52" t="str">
        <f>IF(E666&lt;&gt;" ",[1]!convnumberletter(E666)&amp;" Euros"," ")</f>
        <v xml:space="preserve">  Euros</v>
      </c>
    </row>
    <row r="667" spans="1:6" x14ac:dyDescent="0.3">
      <c r="A667" s="150" t="s">
        <v>1016</v>
      </c>
      <c r="B667" s="50" t="s">
        <v>183</v>
      </c>
      <c r="C667" s="51" t="s">
        <v>181</v>
      </c>
      <c r="D667" s="87" t="s">
        <v>292</v>
      </c>
      <c r="E667" s="49">
        <v>0</v>
      </c>
      <c r="F667" s="52" t="str">
        <f>IF(E667&lt;&gt;" ",[1]!convnumberletter(E667)&amp;" Euros"," ")</f>
        <v xml:space="preserve">  Euros</v>
      </c>
    </row>
    <row r="668" spans="1:6" x14ac:dyDescent="0.3">
      <c r="A668" s="150" t="s">
        <v>1017</v>
      </c>
      <c r="B668" s="50" t="s">
        <v>184</v>
      </c>
      <c r="C668" s="51" t="s">
        <v>181</v>
      </c>
      <c r="D668" s="87" t="s">
        <v>292</v>
      </c>
      <c r="E668" s="49">
        <v>0</v>
      </c>
      <c r="F668" s="52" t="str">
        <f>IF(E668&lt;&gt;" ",[1]!convnumberletter(E668)&amp;" Euros"," ")</f>
        <v xml:space="preserve">  Euros</v>
      </c>
    </row>
    <row r="669" spans="1:6" x14ac:dyDescent="0.3">
      <c r="A669" s="150" t="s">
        <v>1018</v>
      </c>
      <c r="B669" s="50" t="s">
        <v>185</v>
      </c>
      <c r="C669" s="51" t="s">
        <v>181</v>
      </c>
      <c r="D669" s="87" t="s">
        <v>292</v>
      </c>
      <c r="E669" s="49">
        <v>0</v>
      </c>
      <c r="F669" s="52" t="str">
        <f>IF(E669&lt;&gt;" ",[1]!convnumberletter(E669)&amp;" Euros"," ")</f>
        <v xml:space="preserve">  Euros</v>
      </c>
    </row>
    <row r="670" spans="1:6" x14ac:dyDescent="0.3">
      <c r="A670" s="52"/>
      <c r="B670" s="50"/>
      <c r="C670" s="51"/>
      <c r="D670" s="87"/>
      <c r="E670" s="49"/>
      <c r="F670" s="52"/>
    </row>
    <row r="671" spans="1:6" s="58" customFormat="1" ht="16.8" customHeight="1" x14ac:dyDescent="0.3">
      <c r="A671" s="70" t="s">
        <v>384</v>
      </c>
      <c r="B671" s="70" t="s">
        <v>150</v>
      </c>
      <c r="C671" s="64"/>
      <c r="D671" s="88"/>
      <c r="E671" s="80"/>
      <c r="F671" s="52" t="str">
        <f>IF(E671&lt;&gt;" ",[1]!convnumberletter(E671)&amp;" Euros"," ")</f>
        <v xml:space="preserve">  Euros</v>
      </c>
    </row>
    <row r="672" spans="1:6" s="65" customFormat="1" ht="24" customHeight="1" x14ac:dyDescent="0.3">
      <c r="A672" s="64" t="s">
        <v>1019</v>
      </c>
      <c r="B672" s="53" t="s">
        <v>1316</v>
      </c>
      <c r="C672" s="64" t="s">
        <v>79</v>
      </c>
      <c r="D672" s="88" t="s">
        <v>292</v>
      </c>
      <c r="E672" s="80">
        <v>0</v>
      </c>
      <c r="F672" s="52" t="str">
        <f>IF(E672&lt;&gt;" ",[1]!convnumberletter(E672)&amp;" Euros"," ")</f>
        <v xml:space="preserve">  Euros</v>
      </c>
    </row>
    <row r="673" spans="1:6" s="65" customFormat="1" ht="16.2" x14ac:dyDescent="0.3">
      <c r="A673" s="64" t="s">
        <v>1020</v>
      </c>
      <c r="B673" s="53" t="s">
        <v>261</v>
      </c>
      <c r="C673" s="64" t="s">
        <v>334</v>
      </c>
      <c r="D673" s="88" t="s">
        <v>292</v>
      </c>
      <c r="E673" s="80">
        <v>0</v>
      </c>
      <c r="F673" s="52" t="str">
        <f>IF(E673&lt;&gt;" ",[1]!convnumberletter(E673)&amp;" Euros"," ")</f>
        <v xml:space="preserve">  Euros</v>
      </c>
    </row>
    <row r="674" spans="1:6" s="65" customFormat="1" ht="16.2" x14ac:dyDescent="0.3">
      <c r="A674" s="64" t="s">
        <v>1021</v>
      </c>
      <c r="B674" s="53" t="s">
        <v>339</v>
      </c>
      <c r="C674" s="64" t="s">
        <v>334</v>
      </c>
      <c r="D674" s="88" t="s">
        <v>292</v>
      </c>
      <c r="E674" s="80">
        <v>0</v>
      </c>
      <c r="F674" s="52" t="str">
        <f>IF(E674&lt;&gt;" ",[1]!convnumberletter(E674)&amp;" Euros"," ")</f>
        <v xml:space="preserve">  Euros</v>
      </c>
    </row>
    <row r="675" spans="1:6" s="65" customFormat="1" ht="16.2" x14ac:dyDescent="0.3">
      <c r="A675" s="64" t="s">
        <v>1022</v>
      </c>
      <c r="B675" s="53" t="s">
        <v>262</v>
      </c>
      <c r="C675" s="64" t="s">
        <v>334</v>
      </c>
      <c r="D675" s="88" t="s">
        <v>292</v>
      </c>
      <c r="E675" s="80">
        <v>0</v>
      </c>
      <c r="F675" s="52" t="str">
        <f>IF(E675&lt;&gt;" ",[1]!convnumberletter(E675)&amp;" Euros"," ")</f>
        <v xml:space="preserve">  Euros</v>
      </c>
    </row>
    <row r="676" spans="1:6" s="65" customFormat="1" ht="18.600000000000001" customHeight="1" x14ac:dyDescent="0.3">
      <c r="A676" s="64" t="s">
        <v>1023</v>
      </c>
      <c r="B676" s="53" t="s">
        <v>263</v>
      </c>
      <c r="C676" s="64" t="s">
        <v>333</v>
      </c>
      <c r="D676" s="88" t="s">
        <v>292</v>
      </c>
      <c r="E676" s="80">
        <v>0</v>
      </c>
      <c r="F676" s="52" t="str">
        <f>IF(E676&lt;&gt;" ",[1]!convnumberletter(E676)&amp;" Euros"," ")</f>
        <v xml:space="preserve">  Euros</v>
      </c>
    </row>
    <row r="677" spans="1:6" s="65" customFormat="1" ht="25.8" customHeight="1" x14ac:dyDescent="0.3">
      <c r="A677" s="64" t="s">
        <v>1024</v>
      </c>
      <c r="B677" s="53" t="s">
        <v>383</v>
      </c>
      <c r="C677" s="64" t="s">
        <v>17</v>
      </c>
      <c r="D677" s="88" t="s">
        <v>292</v>
      </c>
      <c r="E677" s="80">
        <v>0</v>
      </c>
      <c r="F677" s="52" t="str">
        <f>IF(E677&lt;&gt;" ",[1]!convnumberletter(E677)&amp;" Euros"," ")</f>
        <v xml:space="preserve">  Euros</v>
      </c>
    </row>
    <row r="678" spans="1:6" s="65" customFormat="1" ht="18.600000000000001" customHeight="1" x14ac:dyDescent="0.3">
      <c r="A678" s="64" t="s">
        <v>1025</v>
      </c>
      <c r="B678" s="53" t="s">
        <v>264</v>
      </c>
      <c r="C678" s="64" t="s">
        <v>333</v>
      </c>
      <c r="D678" s="88" t="s">
        <v>292</v>
      </c>
      <c r="E678" s="80">
        <v>0</v>
      </c>
      <c r="F678" s="52" t="str">
        <f>IF(E678&lt;&gt;" ",[1]!convnumberletter(E678)&amp;" Euros"," ")</f>
        <v xml:space="preserve">  Euros</v>
      </c>
    </row>
    <row r="679" spans="1:6" s="65" customFormat="1" ht="29.4" customHeight="1" x14ac:dyDescent="0.3">
      <c r="A679" s="64" t="s">
        <v>1026</v>
      </c>
      <c r="B679" s="53" t="s">
        <v>265</v>
      </c>
      <c r="C679" s="64" t="s">
        <v>197</v>
      </c>
      <c r="D679" s="88" t="s">
        <v>292</v>
      </c>
      <c r="E679" s="80">
        <v>0</v>
      </c>
      <c r="F679" s="52" t="str">
        <f>IF(E679&lt;&gt;" ",[1]!convnumberletter(E679)&amp;" Euros"," ")</f>
        <v xml:space="preserve">  Euros</v>
      </c>
    </row>
    <row r="680" spans="1:6" s="65" customFormat="1" ht="18.600000000000001" customHeight="1" x14ac:dyDescent="0.3">
      <c r="B680" s="82"/>
      <c r="D680" s="90"/>
      <c r="E680" s="83"/>
      <c r="F680" s="47"/>
    </row>
    <row r="681" spans="1:6" ht="18.600000000000001" customHeight="1" x14ac:dyDescent="0.3"/>
    <row r="682" spans="1:6" ht="18.600000000000001" customHeight="1" x14ac:dyDescent="0.3"/>
    <row r="683" spans="1:6" s="58" customFormat="1" ht="16.8" customHeight="1" x14ac:dyDescent="0.3">
      <c r="A683" s="59" t="s">
        <v>69</v>
      </c>
      <c r="B683" s="59" t="s">
        <v>70</v>
      </c>
      <c r="C683" s="59"/>
      <c r="D683" s="86"/>
      <c r="E683" s="77"/>
      <c r="F683" s="59"/>
    </row>
    <row r="684" spans="1:6" ht="43.2" x14ac:dyDescent="0.3">
      <c r="A684" s="60" t="s">
        <v>2</v>
      </c>
      <c r="B684" s="60" t="s">
        <v>3</v>
      </c>
      <c r="C684" s="60" t="s">
        <v>4</v>
      </c>
      <c r="D684" s="41" t="s">
        <v>152</v>
      </c>
      <c r="E684" s="78" t="s">
        <v>153</v>
      </c>
      <c r="F684" s="42" t="s">
        <v>154</v>
      </c>
    </row>
    <row r="685" spans="1:6" s="58" customFormat="1" ht="16.8" customHeight="1" x14ac:dyDescent="0.3">
      <c r="A685" s="70" t="s">
        <v>72</v>
      </c>
      <c r="B685" s="70" t="s">
        <v>73</v>
      </c>
      <c r="C685" s="52"/>
      <c r="D685" s="87"/>
      <c r="E685" s="49"/>
      <c r="F685" s="52"/>
    </row>
    <row r="686" spans="1:6" ht="18.600000000000001" customHeight="1" x14ac:dyDescent="0.3">
      <c r="A686" s="52" t="s">
        <v>74</v>
      </c>
      <c r="B686" s="54" t="s">
        <v>1310</v>
      </c>
      <c r="C686" s="52"/>
      <c r="D686" s="87"/>
      <c r="E686" s="49"/>
      <c r="F686" s="52"/>
    </row>
    <row r="687" spans="1:6" ht="27" customHeight="1" x14ac:dyDescent="0.3">
      <c r="A687" s="150" t="s">
        <v>1027</v>
      </c>
      <c r="B687" s="152" t="s">
        <v>1311</v>
      </c>
      <c r="C687" s="51" t="s">
        <v>76</v>
      </c>
      <c r="D687" s="87" t="s">
        <v>292</v>
      </c>
      <c r="E687" s="49">
        <v>0</v>
      </c>
      <c r="F687" s="52" t="str">
        <f>IF(E687&lt;&gt;" ",[1]!convnumberletter(E687)&amp;" Euros"," ")</f>
        <v xml:space="preserve">  Euros</v>
      </c>
    </row>
    <row r="688" spans="1:6" ht="18.600000000000001" customHeight="1" x14ac:dyDescent="0.3">
      <c r="A688" s="52" t="s">
        <v>84</v>
      </c>
      <c r="B688" s="43" t="s">
        <v>268</v>
      </c>
      <c r="C688" s="52"/>
      <c r="D688" s="87"/>
      <c r="E688" s="49"/>
      <c r="F688" s="52" t="str">
        <f>IF(E688&lt;&gt;" ",[1]!convnumberletter(E688)&amp;" Euros"," ")</f>
        <v xml:space="preserve">  Euros</v>
      </c>
    </row>
    <row r="689" spans="1:8" ht="18.600000000000001" customHeight="1" x14ac:dyDescent="0.3">
      <c r="A689" s="150" t="s">
        <v>1028</v>
      </c>
      <c r="B689" s="50" t="s">
        <v>186</v>
      </c>
      <c r="C689" s="51" t="s">
        <v>230</v>
      </c>
      <c r="D689" s="87" t="s">
        <v>292</v>
      </c>
      <c r="E689" s="49">
        <v>0</v>
      </c>
      <c r="F689" s="52" t="str">
        <f>IF(E689&lt;&gt;" ",[1]!convnumberletter(E689)&amp;" Euros"," ")</f>
        <v xml:space="preserve">  Euros</v>
      </c>
    </row>
    <row r="690" spans="1:8" ht="18.600000000000001" customHeight="1" x14ac:dyDescent="0.3">
      <c r="A690" s="150" t="s">
        <v>1029</v>
      </c>
      <c r="B690" s="50" t="s">
        <v>188</v>
      </c>
      <c r="C690" s="51" t="s">
        <v>230</v>
      </c>
      <c r="D690" s="87" t="s">
        <v>292</v>
      </c>
      <c r="E690" s="49">
        <v>0</v>
      </c>
      <c r="F690" s="52" t="str">
        <f>IF(E690&lt;&gt;" ",[1]!convnumberletter(E690)&amp;" Euros"," ")</f>
        <v xml:space="preserve">  Euros</v>
      </c>
    </row>
    <row r="691" spans="1:8" ht="18.600000000000001" customHeight="1" x14ac:dyDescent="0.3">
      <c r="A691" s="150" t="s">
        <v>1030</v>
      </c>
      <c r="B691" s="50" t="s">
        <v>189</v>
      </c>
      <c r="C691" s="51" t="s">
        <v>230</v>
      </c>
      <c r="D691" s="87" t="s">
        <v>292</v>
      </c>
      <c r="E691" s="49">
        <v>0</v>
      </c>
      <c r="F691" s="52" t="str">
        <f>IF(E691&lt;&gt;" ",[1]!convnumberletter(E691)&amp;" Euros"," ")</f>
        <v xml:space="preserve">  Euros</v>
      </c>
    </row>
    <row r="692" spans="1:8" ht="18.600000000000001" customHeight="1" x14ac:dyDescent="0.3">
      <c r="A692" s="150" t="s">
        <v>1031</v>
      </c>
      <c r="B692" s="50" t="s">
        <v>190</v>
      </c>
      <c r="C692" s="51" t="s">
        <v>230</v>
      </c>
      <c r="D692" s="87" t="s">
        <v>292</v>
      </c>
      <c r="E692" s="49">
        <v>0</v>
      </c>
      <c r="F692" s="52" t="str">
        <f>IF(E692&lt;&gt;" ",[1]!convnumberletter(E692)&amp;" Euros"," ")</f>
        <v xml:space="preserve">  Euros</v>
      </c>
    </row>
    <row r="693" spans="1:8" ht="19.8" customHeight="1" x14ac:dyDescent="0.3">
      <c r="A693" s="150" t="s">
        <v>1032</v>
      </c>
      <c r="B693" s="50" t="s">
        <v>191</v>
      </c>
      <c r="C693" s="51" t="s">
        <v>167</v>
      </c>
      <c r="D693" s="87" t="s">
        <v>292</v>
      </c>
      <c r="E693" s="49">
        <v>0</v>
      </c>
      <c r="F693" s="52" t="str">
        <f>IF(E693&lt;&gt;" ",[1]!convnumberletter(E693)&amp;" Euros"," ")</f>
        <v xml:space="preserve">  Euros</v>
      </c>
      <c r="H693" s="74"/>
    </row>
    <row r="694" spans="1:8" x14ac:dyDescent="0.3">
      <c r="A694" s="52" t="s">
        <v>85</v>
      </c>
      <c r="B694" s="43" t="s">
        <v>297</v>
      </c>
      <c r="C694" s="52"/>
      <c r="D694" s="87"/>
      <c r="E694" s="49"/>
      <c r="F694" s="52" t="str">
        <f>IF(E694&lt;&gt;" ",[1]!convnumberletter(E694)&amp;" Euros"," ")</f>
        <v xml:space="preserve">  Euros</v>
      </c>
    </row>
    <row r="695" spans="1:8" ht="18.600000000000001" customHeight="1" x14ac:dyDescent="0.3">
      <c r="A695" s="52" t="s">
        <v>1033</v>
      </c>
      <c r="B695" s="46" t="s">
        <v>208</v>
      </c>
      <c r="C695" s="51"/>
      <c r="D695" s="87"/>
      <c r="E695" s="49"/>
      <c r="F695" s="52" t="str">
        <f>IF(E695&lt;&gt;" ",[1]!convnumberletter(E695)&amp;" Euros"," ")</f>
        <v xml:space="preserve">  Euros</v>
      </c>
    </row>
    <row r="696" spans="1:8" ht="18.600000000000001" customHeight="1" x14ac:dyDescent="0.3">
      <c r="A696" s="150" t="s">
        <v>1034</v>
      </c>
      <c r="B696" s="52" t="s">
        <v>211</v>
      </c>
      <c r="C696" s="51" t="s">
        <v>230</v>
      </c>
      <c r="D696" s="87" t="s">
        <v>292</v>
      </c>
      <c r="E696" s="49">
        <v>0</v>
      </c>
      <c r="F696" s="52" t="str">
        <f>IF(E696&lt;&gt;" ",[1]!convnumberletter(E696)&amp;" Euros"," ")</f>
        <v xml:space="preserve">  Euros</v>
      </c>
    </row>
    <row r="697" spans="1:8" ht="18.600000000000001" customHeight="1" x14ac:dyDescent="0.3">
      <c r="A697" s="150" t="s">
        <v>1035</v>
      </c>
      <c r="B697" s="52" t="s">
        <v>326</v>
      </c>
      <c r="C697" s="51" t="s">
        <v>230</v>
      </c>
      <c r="D697" s="87" t="s">
        <v>292</v>
      </c>
      <c r="E697" s="49">
        <v>0</v>
      </c>
      <c r="F697" s="52" t="str">
        <f>IF(E697&lt;&gt;" ",[1]!convnumberletter(E697)&amp;" Euros"," ")</f>
        <v xml:space="preserve">  Euros</v>
      </c>
    </row>
    <row r="698" spans="1:8" ht="18.600000000000001" customHeight="1" x14ac:dyDescent="0.3">
      <c r="A698" s="52" t="s">
        <v>1036</v>
      </c>
      <c r="B698" s="46" t="s">
        <v>168</v>
      </c>
      <c r="C698" s="52"/>
      <c r="D698" s="87"/>
      <c r="E698" s="49"/>
      <c r="F698" s="52" t="str">
        <f>IF(E698&lt;&gt;" ",[1]!convnumberletter(E698)&amp;" Euros"," ")</f>
        <v xml:space="preserve">  Euros</v>
      </c>
    </row>
    <row r="699" spans="1:8" s="65" customFormat="1" ht="18.600000000000001" customHeight="1" x14ac:dyDescent="0.3">
      <c r="A699" s="150" t="s">
        <v>1037</v>
      </c>
      <c r="B699" s="50" t="s">
        <v>213</v>
      </c>
      <c r="C699" s="51" t="s">
        <v>230</v>
      </c>
      <c r="D699" s="88" t="s">
        <v>292</v>
      </c>
      <c r="E699" s="80">
        <v>0</v>
      </c>
      <c r="F699" s="52" t="str">
        <f>IF(E699&lt;&gt;" ",[1]!convnumberletter(E699)&amp;" Euros"," ")</f>
        <v xml:space="preserve">  Euros</v>
      </c>
    </row>
    <row r="700" spans="1:8" s="65" customFormat="1" ht="18.600000000000001" customHeight="1" x14ac:dyDescent="0.3">
      <c r="A700" s="150" t="s">
        <v>1038</v>
      </c>
      <c r="B700" s="50" t="s">
        <v>187</v>
      </c>
      <c r="C700" s="51" t="s">
        <v>230</v>
      </c>
      <c r="D700" s="88" t="s">
        <v>292</v>
      </c>
      <c r="E700" s="80">
        <v>0</v>
      </c>
      <c r="F700" s="52" t="str">
        <f>IF(E700&lt;&gt;" ",[1]!convnumberletter(E700)&amp;" Euros"," ")</f>
        <v xml:space="preserve">  Euros</v>
      </c>
    </row>
    <row r="701" spans="1:8" s="65" customFormat="1" ht="18.600000000000001" customHeight="1" x14ac:dyDescent="0.3">
      <c r="A701" s="150" t="s">
        <v>1039</v>
      </c>
      <c r="B701" s="50" t="s">
        <v>214</v>
      </c>
      <c r="C701" s="51" t="s">
        <v>230</v>
      </c>
      <c r="D701" s="88" t="s">
        <v>292</v>
      </c>
      <c r="E701" s="80">
        <v>0</v>
      </c>
      <c r="F701" s="52" t="str">
        <f>IF(E701&lt;&gt;" ",[1]!convnumberletter(E701)&amp;" Euros"," ")</f>
        <v xml:space="preserve">  Euros</v>
      </c>
    </row>
    <row r="702" spans="1:8" s="65" customFormat="1" ht="33" customHeight="1" x14ac:dyDescent="0.3">
      <c r="A702" s="150" t="s">
        <v>1040</v>
      </c>
      <c r="B702" s="50" t="s">
        <v>215</v>
      </c>
      <c r="C702" s="51" t="s">
        <v>230</v>
      </c>
      <c r="D702" s="88" t="s">
        <v>292</v>
      </c>
      <c r="E702" s="80">
        <v>0</v>
      </c>
      <c r="F702" s="52" t="str">
        <f>IF(E702&lt;&gt;" ",[1]!convnumberletter(E702)&amp;" Euros"," ")</f>
        <v xml:space="preserve">  Euros</v>
      </c>
    </row>
    <row r="703" spans="1:8" ht="18.600000000000001" customHeight="1" x14ac:dyDescent="0.3">
      <c r="A703" s="52" t="s">
        <v>1041</v>
      </c>
      <c r="B703" s="46" t="s">
        <v>169</v>
      </c>
      <c r="C703" s="52"/>
      <c r="D703" s="87"/>
      <c r="E703" s="49"/>
      <c r="F703" s="52" t="str">
        <f>IF(E703&lt;&gt;" ",[1]!convnumberletter(E703)&amp;" Euros"," ")</f>
        <v xml:space="preserve">  Euros</v>
      </c>
    </row>
    <row r="704" spans="1:8" ht="18.600000000000001" customHeight="1" x14ac:dyDescent="0.3">
      <c r="A704" s="150" t="s">
        <v>1042</v>
      </c>
      <c r="B704" s="50" t="s">
        <v>216</v>
      </c>
      <c r="C704" s="51" t="s">
        <v>230</v>
      </c>
      <c r="D704" s="87" t="s">
        <v>292</v>
      </c>
      <c r="E704" s="79">
        <v>0</v>
      </c>
      <c r="F704" s="52" t="str">
        <f>IF(E704&lt;&gt;" ",[1]!convnumberletter(E704)&amp;" Euros"," ")</f>
        <v xml:space="preserve">  Euros</v>
      </c>
    </row>
    <row r="705" spans="1:6" ht="18.600000000000001" customHeight="1" x14ac:dyDescent="0.3">
      <c r="A705" s="150" t="s">
        <v>1043</v>
      </c>
      <c r="B705" s="50" t="s">
        <v>217</v>
      </c>
      <c r="C705" s="51" t="s">
        <v>230</v>
      </c>
      <c r="D705" s="87" t="s">
        <v>292</v>
      </c>
      <c r="E705" s="79">
        <v>0</v>
      </c>
      <c r="F705" s="52" t="str">
        <f>IF(E705&lt;&gt;" ",[1]!convnumberletter(E705)&amp;" Euros"," ")</f>
        <v xml:space="preserve">  Euros</v>
      </c>
    </row>
    <row r="706" spans="1:6" ht="18.600000000000001" customHeight="1" x14ac:dyDescent="0.3">
      <c r="A706" s="150" t="s">
        <v>1044</v>
      </c>
      <c r="B706" s="50" t="s">
        <v>218</v>
      </c>
      <c r="C706" s="51" t="s">
        <v>230</v>
      </c>
      <c r="D706" s="87" t="s">
        <v>292</v>
      </c>
      <c r="E706" s="79">
        <v>0</v>
      </c>
      <c r="F706" s="52" t="str">
        <f>IF(E706&lt;&gt;" ",[1]!convnumberletter(E706)&amp;" Euros"," ")</f>
        <v xml:space="preserve">  Euros</v>
      </c>
    </row>
    <row r="707" spans="1:6" ht="18.600000000000001" customHeight="1" x14ac:dyDescent="0.3">
      <c r="A707" s="150" t="s">
        <v>1045</v>
      </c>
      <c r="B707" s="50" t="s">
        <v>219</v>
      </c>
      <c r="C707" s="51" t="s">
        <v>230</v>
      </c>
      <c r="D707" s="87" t="s">
        <v>292</v>
      </c>
      <c r="E707" s="79">
        <v>0</v>
      </c>
      <c r="F707" s="52" t="str">
        <f>IF(E707&lt;&gt;" ",[1]!convnumberletter(E707)&amp;" Euros"," ")</f>
        <v xml:space="preserve">  Euros</v>
      </c>
    </row>
    <row r="708" spans="1:6" ht="18.600000000000001" customHeight="1" x14ac:dyDescent="0.3">
      <c r="A708" s="150" t="s">
        <v>1046</v>
      </c>
      <c r="B708" s="50" t="s">
        <v>220</v>
      </c>
      <c r="C708" s="51" t="s">
        <v>230</v>
      </c>
      <c r="D708" s="87" t="s">
        <v>292</v>
      </c>
      <c r="E708" s="79">
        <v>0</v>
      </c>
      <c r="F708" s="52" t="str">
        <f>IF(E708&lt;&gt;" ",[1]!convnumberletter(E708)&amp;" Euros"," ")</f>
        <v xml:space="preserve">  Euros</v>
      </c>
    </row>
    <row r="709" spans="1:6" ht="18.600000000000001" customHeight="1" x14ac:dyDescent="0.3">
      <c r="A709" s="150" t="s">
        <v>1047</v>
      </c>
      <c r="B709" s="50" t="s">
        <v>221</v>
      </c>
      <c r="C709" s="51" t="s">
        <v>230</v>
      </c>
      <c r="D709" s="87" t="s">
        <v>292</v>
      </c>
      <c r="E709" s="79">
        <v>0</v>
      </c>
      <c r="F709" s="52" t="str">
        <f>IF(E709&lt;&gt;" ",[1]!convnumberletter(E709)&amp;" Euros"," ")</f>
        <v xml:space="preserve">  Euros</v>
      </c>
    </row>
    <row r="710" spans="1:6" ht="18.600000000000001" customHeight="1" x14ac:dyDescent="0.3">
      <c r="A710" s="150" t="s">
        <v>1048</v>
      </c>
      <c r="B710" s="50" t="s">
        <v>222</v>
      </c>
      <c r="C710" s="51" t="s">
        <v>230</v>
      </c>
      <c r="D710" s="87" t="s">
        <v>292</v>
      </c>
      <c r="E710" s="79">
        <v>0</v>
      </c>
      <c r="F710" s="52" t="str">
        <f>IF(E710&lt;&gt;" ",[1]!convnumberletter(E710)&amp;" Euros"," ")</f>
        <v xml:space="preserve">  Euros</v>
      </c>
    </row>
    <row r="711" spans="1:6" ht="18.600000000000001" customHeight="1" x14ac:dyDescent="0.3">
      <c r="A711" s="52" t="s">
        <v>1049</v>
      </c>
      <c r="B711" s="46" t="s">
        <v>170</v>
      </c>
      <c r="C711" s="52"/>
      <c r="D711" s="87"/>
      <c r="E711" s="49"/>
      <c r="F711" s="52" t="str">
        <f>IF(E711&lt;&gt;" ",[1]!convnumberletter(E711)&amp;" Euros"," ")</f>
        <v xml:space="preserve">  Euros</v>
      </c>
    </row>
    <row r="712" spans="1:6" ht="18.600000000000001" customHeight="1" x14ac:dyDescent="0.3">
      <c r="A712" s="150" t="s">
        <v>1050</v>
      </c>
      <c r="B712" s="50" t="s">
        <v>223</v>
      </c>
      <c r="C712" s="51" t="s">
        <v>230</v>
      </c>
      <c r="D712" s="87" t="s">
        <v>292</v>
      </c>
      <c r="E712" s="79">
        <v>0</v>
      </c>
      <c r="F712" s="52" t="str">
        <f>IF(E712&lt;&gt;" ",[1]!convnumberletter(E712)&amp;" Euros"," ")</f>
        <v xml:space="preserve">  Euros</v>
      </c>
    </row>
    <row r="713" spans="1:6" ht="18.600000000000001" customHeight="1" x14ac:dyDescent="0.3">
      <c r="A713" s="150" t="s">
        <v>1051</v>
      </c>
      <c r="B713" s="50" t="s">
        <v>224</v>
      </c>
      <c r="C713" s="51" t="s">
        <v>230</v>
      </c>
      <c r="D713" s="87" t="s">
        <v>292</v>
      </c>
      <c r="E713" s="79">
        <v>0</v>
      </c>
      <c r="F713" s="52" t="str">
        <f>IF(E713&lt;&gt;" ",[1]!convnumberletter(E713)&amp;" Euros"," ")</f>
        <v xml:space="preserve">  Euros</v>
      </c>
    </row>
    <row r="714" spans="1:6" ht="18.600000000000001" customHeight="1" x14ac:dyDescent="0.3">
      <c r="A714" s="150" t="s">
        <v>1052</v>
      </c>
      <c r="B714" s="50" t="s">
        <v>178</v>
      </c>
      <c r="C714" s="51" t="s">
        <v>230</v>
      </c>
      <c r="D714" s="87" t="s">
        <v>292</v>
      </c>
      <c r="E714" s="79">
        <v>0</v>
      </c>
      <c r="F714" s="52" t="str">
        <f>IF(E714&lt;&gt;" ",[1]!convnumberletter(E714)&amp;" Euros"," ")</f>
        <v xml:space="preserve">  Euros</v>
      </c>
    </row>
    <row r="715" spans="1:6" ht="18.600000000000001" customHeight="1" x14ac:dyDescent="0.3">
      <c r="A715" s="52" t="s">
        <v>1053</v>
      </c>
      <c r="B715" s="46" t="s">
        <v>171</v>
      </c>
      <c r="C715" s="52"/>
      <c r="D715" s="87"/>
      <c r="E715" s="49"/>
      <c r="F715" s="52" t="str">
        <f>IF(E715&lt;&gt;" ",[1]!convnumberletter(E715)&amp;" Euros"," ")</f>
        <v xml:space="preserve">  Euros</v>
      </c>
    </row>
    <row r="716" spans="1:6" ht="24.6" customHeight="1" x14ac:dyDescent="0.3">
      <c r="A716" s="150" t="s">
        <v>1054</v>
      </c>
      <c r="B716" s="50" t="s">
        <v>229</v>
      </c>
      <c r="C716" s="51" t="s">
        <v>181</v>
      </c>
      <c r="D716" s="87" t="s">
        <v>292</v>
      </c>
      <c r="E716" s="79">
        <v>0</v>
      </c>
      <c r="F716" s="52" t="str">
        <f>IF(E716&lt;&gt;" ",[1]!convnumberletter(E716)&amp;" Euros"," ")</f>
        <v xml:space="preserve">  Euros</v>
      </c>
    </row>
    <row r="717" spans="1:6" ht="18.600000000000001" customHeight="1" x14ac:dyDescent="0.3">
      <c r="A717" s="150" t="s">
        <v>1055</v>
      </c>
      <c r="B717" s="50" t="s">
        <v>225</v>
      </c>
      <c r="C717" s="51" t="s">
        <v>181</v>
      </c>
      <c r="D717" s="87" t="s">
        <v>292</v>
      </c>
      <c r="E717" s="79">
        <v>0</v>
      </c>
      <c r="F717" s="52" t="str">
        <f>IF(E717&lt;&gt;" ",[1]!convnumberletter(E717)&amp;" Euros"," ")</f>
        <v xml:space="preserve">  Euros</v>
      </c>
    </row>
    <row r="718" spans="1:6" ht="18.600000000000001" customHeight="1" x14ac:dyDescent="0.3">
      <c r="A718" s="150" t="s">
        <v>1056</v>
      </c>
      <c r="B718" s="50" t="s">
        <v>226</v>
      </c>
      <c r="C718" s="51" t="s">
        <v>181</v>
      </c>
      <c r="D718" s="87" t="s">
        <v>292</v>
      </c>
      <c r="E718" s="79">
        <v>0</v>
      </c>
      <c r="F718" s="52" t="str">
        <f>IF(E718&lt;&gt;" ",[1]!convnumberletter(E718)&amp;" Euros"," ")</f>
        <v xml:space="preserve">  Euros</v>
      </c>
    </row>
    <row r="719" spans="1:6" ht="18.600000000000001" customHeight="1" x14ac:dyDescent="0.3">
      <c r="A719" s="150" t="s">
        <v>1057</v>
      </c>
      <c r="B719" s="50" t="s">
        <v>227</v>
      </c>
      <c r="C719" s="51" t="s">
        <v>181</v>
      </c>
      <c r="D719" s="87" t="s">
        <v>292</v>
      </c>
      <c r="E719" s="79">
        <v>0</v>
      </c>
      <c r="F719" s="52" t="str">
        <f>IF(E719&lt;&gt;" ",[1]!convnumberletter(E719)&amp;" Euros"," ")</f>
        <v xml:space="preserve">  Euros</v>
      </c>
    </row>
    <row r="720" spans="1:6" ht="18.600000000000001" customHeight="1" x14ac:dyDescent="0.3">
      <c r="A720" s="150" t="s">
        <v>1058</v>
      </c>
      <c r="B720" s="50" t="s">
        <v>228</v>
      </c>
      <c r="C720" s="51" t="s">
        <v>181</v>
      </c>
      <c r="D720" s="87" t="s">
        <v>292</v>
      </c>
      <c r="E720" s="79">
        <v>0</v>
      </c>
      <c r="F720" s="52" t="str">
        <f>IF(E720&lt;&gt;" ",[1]!convnumberletter(E720)&amp;" Euros"," ")</f>
        <v xml:space="preserve">  Euros</v>
      </c>
    </row>
    <row r="721" spans="1:6" ht="18.600000000000001" customHeight="1" x14ac:dyDescent="0.3">
      <c r="A721" s="52" t="s">
        <v>1059</v>
      </c>
      <c r="B721" s="46" t="s">
        <v>172</v>
      </c>
      <c r="C721" s="52"/>
      <c r="D721" s="87"/>
      <c r="E721" s="49"/>
      <c r="F721" s="52" t="str">
        <f>IF(E721&lt;&gt;" ",[1]!convnumberletter(E721)&amp;" Euros"," ")</f>
        <v xml:space="preserve">  Euros</v>
      </c>
    </row>
    <row r="722" spans="1:6" ht="18.600000000000001" customHeight="1" x14ac:dyDescent="0.3">
      <c r="A722" s="150" t="s">
        <v>1060</v>
      </c>
      <c r="B722" s="50" t="s">
        <v>231</v>
      </c>
      <c r="C722" s="51" t="s">
        <v>181</v>
      </c>
      <c r="D722" s="87" t="s">
        <v>292</v>
      </c>
      <c r="E722" s="79">
        <v>0</v>
      </c>
      <c r="F722" s="52" t="str">
        <f>IF(E722&lt;&gt;" ",[1]!convnumberletter(E722)&amp;" Euros"," ")</f>
        <v xml:space="preserve">  Euros</v>
      </c>
    </row>
    <row r="723" spans="1:6" ht="18.600000000000001" customHeight="1" x14ac:dyDescent="0.3">
      <c r="A723" s="150" t="s">
        <v>1061</v>
      </c>
      <c r="B723" s="50" t="s">
        <v>232</v>
      </c>
      <c r="C723" s="51" t="s">
        <v>181</v>
      </c>
      <c r="D723" s="87" t="s">
        <v>292</v>
      </c>
      <c r="E723" s="79">
        <v>0</v>
      </c>
      <c r="F723" s="52" t="str">
        <f>IF(E723&lt;&gt;" ",[1]!convnumberletter(E723)&amp;" Euros"," ")</f>
        <v xml:space="preserve">  Euros</v>
      </c>
    </row>
    <row r="724" spans="1:6" ht="28.2" customHeight="1" x14ac:dyDescent="0.3">
      <c r="A724" s="150" t="s">
        <v>1062</v>
      </c>
      <c r="B724" s="50" t="s">
        <v>233</v>
      </c>
      <c r="C724" s="51" t="s">
        <v>181</v>
      </c>
      <c r="D724" s="87" t="s">
        <v>292</v>
      </c>
      <c r="E724" s="79">
        <v>0</v>
      </c>
      <c r="F724" s="52" t="str">
        <f>IF(E724&lt;&gt;" ",[1]!convnumberletter(E724)&amp;" Euros"," ")</f>
        <v xml:space="preserve">  Euros</v>
      </c>
    </row>
    <row r="725" spans="1:6" ht="18.600000000000001" customHeight="1" x14ac:dyDescent="0.3">
      <c r="A725" s="150" t="s">
        <v>1063</v>
      </c>
      <c r="B725" s="50" t="s">
        <v>234</v>
      </c>
      <c r="C725" s="51" t="s">
        <v>181</v>
      </c>
      <c r="D725" s="87" t="s">
        <v>292</v>
      </c>
      <c r="E725" s="79">
        <v>0</v>
      </c>
      <c r="F725" s="52" t="str">
        <f>IF(E725&lt;&gt;" ",[1]!convnumberletter(E725)&amp;" Euros"," ")</f>
        <v xml:space="preserve">  Euros</v>
      </c>
    </row>
    <row r="726" spans="1:6" ht="18.600000000000001" customHeight="1" x14ac:dyDescent="0.3">
      <c r="A726" s="52" t="s">
        <v>1064</v>
      </c>
      <c r="B726" s="46" t="s">
        <v>173</v>
      </c>
      <c r="C726" s="52"/>
      <c r="D726" s="87"/>
      <c r="E726" s="49"/>
      <c r="F726" s="52" t="str">
        <f>IF(E726&lt;&gt;" ",[1]!convnumberletter(E726)&amp;" Euros"," ")</f>
        <v xml:space="preserve">  Euros</v>
      </c>
    </row>
    <row r="727" spans="1:6" ht="18.600000000000001" customHeight="1" x14ac:dyDescent="0.3">
      <c r="A727" s="150" t="s">
        <v>1065</v>
      </c>
      <c r="B727" s="152" t="s">
        <v>1294</v>
      </c>
      <c r="C727" s="51" t="s">
        <v>181</v>
      </c>
      <c r="D727" s="87" t="s">
        <v>292</v>
      </c>
      <c r="E727" s="79">
        <v>0</v>
      </c>
      <c r="F727" s="52" t="str">
        <f>IF(E727&lt;&gt;" ",[1]!convnumberletter(E727)&amp;" Euros"," ")</f>
        <v xml:space="preserve">  Euros</v>
      </c>
    </row>
    <row r="728" spans="1:6" ht="18.600000000000001" customHeight="1" x14ac:dyDescent="0.3">
      <c r="A728" s="150" t="s">
        <v>1066</v>
      </c>
      <c r="B728" s="50" t="s">
        <v>235</v>
      </c>
      <c r="C728" s="51" t="s">
        <v>181</v>
      </c>
      <c r="D728" s="87" t="s">
        <v>292</v>
      </c>
      <c r="E728" s="79">
        <v>0</v>
      </c>
      <c r="F728" s="52" t="str">
        <f>IF(E728&lt;&gt;" ",[1]!convnumberletter(E728)&amp;" Euros"," ")</f>
        <v xml:space="preserve">  Euros</v>
      </c>
    </row>
    <row r="729" spans="1:6" ht="18.600000000000001" customHeight="1" x14ac:dyDescent="0.3">
      <c r="A729" s="150" t="s">
        <v>1067</v>
      </c>
      <c r="B729" s="50" t="s">
        <v>236</v>
      </c>
      <c r="C729" s="51" t="s">
        <v>181</v>
      </c>
      <c r="D729" s="87" t="s">
        <v>292</v>
      </c>
      <c r="E729" s="79">
        <v>0</v>
      </c>
      <c r="F729" s="52" t="str">
        <f>IF(E729&lt;&gt;" ",[1]!convnumberletter(E729)&amp;" Euros"," ")</f>
        <v xml:space="preserve">  Euros</v>
      </c>
    </row>
    <row r="730" spans="1:6" ht="18.600000000000001" customHeight="1" x14ac:dyDescent="0.3">
      <c r="A730" s="150" t="s">
        <v>1068</v>
      </c>
      <c r="B730" s="50" t="s">
        <v>237</v>
      </c>
      <c r="C730" s="51" t="s">
        <v>181</v>
      </c>
      <c r="D730" s="87" t="s">
        <v>292</v>
      </c>
      <c r="E730" s="79">
        <v>0</v>
      </c>
      <c r="F730" s="52" t="str">
        <f>IF(E730&lt;&gt;" ",[1]!convnumberletter(E730)&amp;" Euros"," ")</f>
        <v xml:space="preserve">  Euros</v>
      </c>
    </row>
    <row r="731" spans="1:6" ht="18.600000000000001" customHeight="1" x14ac:dyDescent="0.3">
      <c r="A731" s="150" t="s">
        <v>1069</v>
      </c>
      <c r="B731" s="50" t="s">
        <v>238</v>
      </c>
      <c r="C731" s="51" t="s">
        <v>181</v>
      </c>
      <c r="D731" s="87" t="s">
        <v>292</v>
      </c>
      <c r="E731" s="79">
        <v>0</v>
      </c>
      <c r="F731" s="52" t="str">
        <f>IF(E731&lt;&gt;" ",[1]!convnumberletter(E731)&amp;" Euros"," ")</f>
        <v xml:space="preserve">  Euros</v>
      </c>
    </row>
    <row r="732" spans="1:6" ht="18.600000000000001" customHeight="1" x14ac:dyDescent="0.3">
      <c r="A732" s="150" t="s">
        <v>1070</v>
      </c>
      <c r="B732" s="50" t="s">
        <v>179</v>
      </c>
      <c r="C732" s="51" t="s">
        <v>181</v>
      </c>
      <c r="D732" s="87" t="s">
        <v>292</v>
      </c>
      <c r="E732" s="79">
        <v>0</v>
      </c>
      <c r="F732" s="52" t="str">
        <f>IF(E732&lt;&gt;" ",[1]!convnumberletter(E732)&amp;" Euros"," ")</f>
        <v xml:space="preserve">  Euros</v>
      </c>
    </row>
    <row r="733" spans="1:6" ht="18.600000000000001" customHeight="1" x14ac:dyDescent="0.3">
      <c r="A733" s="150" t="s">
        <v>1071</v>
      </c>
      <c r="B733" s="50" t="s">
        <v>239</v>
      </c>
      <c r="C733" s="51" t="s">
        <v>181</v>
      </c>
      <c r="D733" s="87" t="s">
        <v>292</v>
      </c>
      <c r="E733" s="79">
        <v>0</v>
      </c>
      <c r="F733" s="52" t="str">
        <f>IF(E733&lt;&gt;" ",[1]!convnumberletter(E733)&amp;" Euros"," ")</f>
        <v xml:space="preserve">  Euros</v>
      </c>
    </row>
    <row r="734" spans="1:6" ht="18.600000000000001" customHeight="1" x14ac:dyDescent="0.3">
      <c r="A734" s="52" t="s">
        <v>1072</v>
      </c>
      <c r="B734" s="46" t="s">
        <v>174</v>
      </c>
      <c r="C734" s="52"/>
      <c r="D734" s="87"/>
      <c r="E734" s="49"/>
      <c r="F734" s="52" t="str">
        <f>IF(E734&lt;&gt;" ",[1]!convnumberletter(E734)&amp;" Euros"," ")</f>
        <v xml:space="preserve">  Euros</v>
      </c>
    </row>
    <row r="735" spans="1:6" ht="18.600000000000001" customHeight="1" x14ac:dyDescent="0.3">
      <c r="A735" s="150" t="s">
        <v>1073</v>
      </c>
      <c r="B735" s="50" t="s">
        <v>240</v>
      </c>
      <c r="C735" s="51" t="s">
        <v>181</v>
      </c>
      <c r="D735" s="87" t="s">
        <v>292</v>
      </c>
      <c r="E735" s="79">
        <v>0</v>
      </c>
      <c r="F735" s="52" t="str">
        <f>IF(E735&lt;&gt;" ",[1]!convnumberletter(E735)&amp;" Euros"," ")</f>
        <v xml:space="preserve">  Euros</v>
      </c>
    </row>
    <row r="736" spans="1:6" ht="18.600000000000001" customHeight="1" x14ac:dyDescent="0.3">
      <c r="A736" s="150" t="s">
        <v>1074</v>
      </c>
      <c r="B736" s="50" t="s">
        <v>241</v>
      </c>
      <c r="C736" s="51" t="s">
        <v>181</v>
      </c>
      <c r="D736" s="87" t="s">
        <v>292</v>
      </c>
      <c r="E736" s="79">
        <v>0</v>
      </c>
      <c r="F736" s="52" t="str">
        <f>IF(E736&lt;&gt;" ",[1]!convnumberletter(E736)&amp;" Euros"," ")</f>
        <v xml:space="preserve">  Euros</v>
      </c>
    </row>
    <row r="737" spans="1:6" ht="18.600000000000001" customHeight="1" x14ac:dyDescent="0.3">
      <c r="A737" s="150" t="s">
        <v>1075</v>
      </c>
      <c r="B737" s="50" t="s">
        <v>242</v>
      </c>
      <c r="C737" s="51" t="s">
        <v>181</v>
      </c>
      <c r="D737" s="87" t="s">
        <v>292</v>
      </c>
      <c r="E737" s="79">
        <v>0</v>
      </c>
      <c r="F737" s="52" t="str">
        <f>IF(E737&lt;&gt;" ",[1]!convnumberletter(E737)&amp;" Euros"," ")</f>
        <v xml:space="preserve">  Euros</v>
      </c>
    </row>
    <row r="738" spans="1:6" ht="18.600000000000001" customHeight="1" x14ac:dyDescent="0.3">
      <c r="A738" s="150" t="s">
        <v>1076</v>
      </c>
      <c r="B738" s="50" t="s">
        <v>243</v>
      </c>
      <c r="C738" s="51" t="s">
        <v>181</v>
      </c>
      <c r="D738" s="87" t="s">
        <v>292</v>
      </c>
      <c r="E738" s="79">
        <v>0</v>
      </c>
      <c r="F738" s="52" t="str">
        <f>IF(E738&lt;&gt;" ",[1]!convnumberletter(E738)&amp;" Euros"," ")</f>
        <v xml:space="preserve">  Euros</v>
      </c>
    </row>
    <row r="739" spans="1:6" ht="18.600000000000001" customHeight="1" x14ac:dyDescent="0.3">
      <c r="A739" s="150" t="s">
        <v>1077</v>
      </c>
      <c r="B739" s="50" t="s">
        <v>244</v>
      </c>
      <c r="C739" s="51" t="s">
        <v>181</v>
      </c>
      <c r="D739" s="87" t="s">
        <v>292</v>
      </c>
      <c r="E739" s="79">
        <v>0</v>
      </c>
      <c r="F739" s="52" t="str">
        <f>IF(E739&lt;&gt;" ",[1]!convnumberletter(E739)&amp;" Euros"," ")</f>
        <v xml:space="preserve">  Euros</v>
      </c>
    </row>
    <row r="740" spans="1:6" ht="18.600000000000001" customHeight="1" x14ac:dyDescent="0.3">
      <c r="A740" s="150" t="s">
        <v>1078</v>
      </c>
      <c r="B740" s="50" t="s">
        <v>245</v>
      </c>
      <c r="C740" s="51" t="s">
        <v>181</v>
      </c>
      <c r="D740" s="87" t="s">
        <v>292</v>
      </c>
      <c r="E740" s="79">
        <v>0</v>
      </c>
      <c r="F740" s="52" t="str">
        <f>IF(E740&lt;&gt;" ",[1]!convnumberletter(E740)&amp;" Euros"," ")</f>
        <v xml:space="preserve">  Euros</v>
      </c>
    </row>
    <row r="741" spans="1:6" ht="18.600000000000001" customHeight="1" x14ac:dyDescent="0.3">
      <c r="A741" s="150" t="s">
        <v>1079</v>
      </c>
      <c r="B741" s="50" t="s">
        <v>246</v>
      </c>
      <c r="C741" s="51" t="s">
        <v>181</v>
      </c>
      <c r="D741" s="87" t="s">
        <v>292</v>
      </c>
      <c r="E741" s="79">
        <v>0</v>
      </c>
      <c r="F741" s="52" t="str">
        <f>IF(E741&lt;&gt;" ",[1]!convnumberletter(E741)&amp;" Euros"," ")</f>
        <v xml:space="preserve">  Euros</v>
      </c>
    </row>
    <row r="742" spans="1:6" ht="18.600000000000001" customHeight="1" x14ac:dyDescent="0.3">
      <c r="A742" s="150" t="s">
        <v>1080</v>
      </c>
      <c r="B742" s="50" t="s">
        <v>247</v>
      </c>
      <c r="C742" s="51" t="s">
        <v>181</v>
      </c>
      <c r="D742" s="87" t="s">
        <v>292</v>
      </c>
      <c r="E742" s="79">
        <v>0</v>
      </c>
      <c r="F742" s="52" t="str">
        <f>IF(E742&lt;&gt;" ",[1]!convnumberletter(E742)&amp;" Euros"," ")</f>
        <v xml:space="preserve">  Euros</v>
      </c>
    </row>
    <row r="743" spans="1:6" ht="18.600000000000001" customHeight="1" x14ac:dyDescent="0.3">
      <c r="A743" s="150" t="s">
        <v>1081</v>
      </c>
      <c r="B743" s="50" t="s">
        <v>194</v>
      </c>
      <c r="C743" s="51" t="s">
        <v>181</v>
      </c>
      <c r="D743" s="87" t="s">
        <v>292</v>
      </c>
      <c r="E743" s="79">
        <v>0</v>
      </c>
      <c r="F743" s="52" t="str">
        <f>IF(E743&lt;&gt;" ",[1]!convnumberletter(E743)&amp;" Euros"," ")</f>
        <v xml:space="preserve">  Euros</v>
      </c>
    </row>
    <row r="744" spans="1:6" ht="18.600000000000001" customHeight="1" x14ac:dyDescent="0.3">
      <c r="A744" s="52" t="s">
        <v>1082</v>
      </c>
      <c r="B744" s="46" t="s">
        <v>175</v>
      </c>
      <c r="C744" s="52"/>
      <c r="D744" s="87"/>
      <c r="E744" s="49"/>
      <c r="F744" s="52" t="str">
        <f>IF(E744&lt;&gt;" ",[1]!convnumberletter(E744)&amp;" Euros"," ")</f>
        <v xml:space="preserve">  Euros</v>
      </c>
    </row>
    <row r="745" spans="1:6" ht="18.600000000000001" customHeight="1" x14ac:dyDescent="0.3">
      <c r="A745" s="150" t="s">
        <v>1083</v>
      </c>
      <c r="B745" s="50" t="s">
        <v>180</v>
      </c>
      <c r="C745" s="51" t="s">
        <v>181</v>
      </c>
      <c r="D745" s="87" t="s">
        <v>292</v>
      </c>
      <c r="E745" s="49">
        <v>0</v>
      </c>
      <c r="F745" s="52" t="str">
        <f>IF(E745&lt;&gt;" ",[1]!convnumberletter(E745)&amp;" Euros"," ")</f>
        <v xml:space="preserve">  Euros</v>
      </c>
    </row>
    <row r="746" spans="1:6" ht="18.600000000000001" customHeight="1" x14ac:dyDescent="0.3">
      <c r="A746" s="52" t="s">
        <v>1084</v>
      </c>
      <c r="B746" s="46" t="s">
        <v>176</v>
      </c>
      <c r="C746" s="52"/>
      <c r="D746" s="87"/>
      <c r="E746" s="49"/>
      <c r="F746" s="52" t="str">
        <f>IF(E746&lt;&gt;" ",[1]!convnumberletter(E746)&amp;" Euros"," ")</f>
        <v xml:space="preserve">  Euros</v>
      </c>
    </row>
    <row r="747" spans="1:6" ht="18.600000000000001" customHeight="1" x14ac:dyDescent="0.3">
      <c r="A747" s="150" t="s">
        <v>1085</v>
      </c>
      <c r="B747" s="50" t="s">
        <v>257</v>
      </c>
      <c r="C747" s="51" t="s">
        <v>181</v>
      </c>
      <c r="D747" s="87" t="s">
        <v>292</v>
      </c>
      <c r="E747" s="49">
        <v>0</v>
      </c>
      <c r="F747" s="52" t="str">
        <f>IF(E747&lt;&gt;" ",[1]!convnumberletter(E747)&amp;" Euros"," ")</f>
        <v xml:space="preserve">  Euros</v>
      </c>
    </row>
    <row r="748" spans="1:6" ht="18.600000000000001" customHeight="1" x14ac:dyDescent="0.3">
      <c r="A748" s="150" t="s">
        <v>1086</v>
      </c>
      <c r="B748" s="50" t="s">
        <v>253</v>
      </c>
      <c r="C748" s="51" t="s">
        <v>17</v>
      </c>
      <c r="D748" s="87" t="s">
        <v>292</v>
      </c>
      <c r="E748" s="49">
        <v>0</v>
      </c>
      <c r="F748" s="52" t="str">
        <f>IF(E748&lt;&gt;" ",[1]!convnumberletter(E748)&amp;" Euros"," ")</f>
        <v xml:space="preserve">  Euros</v>
      </c>
    </row>
    <row r="749" spans="1:6" ht="18.600000000000001" customHeight="1" x14ac:dyDescent="0.3">
      <c r="A749" s="150" t="s">
        <v>1087</v>
      </c>
      <c r="B749" s="50" t="s">
        <v>252</v>
      </c>
      <c r="C749" s="51" t="s">
        <v>17</v>
      </c>
      <c r="D749" s="87" t="s">
        <v>292</v>
      </c>
      <c r="E749" s="49">
        <v>0</v>
      </c>
      <c r="F749" s="52" t="str">
        <f>IF(E749&lt;&gt;" ",[1]!convnumberletter(E749)&amp;" Euros"," ")</f>
        <v xml:space="preserve">  Euros</v>
      </c>
    </row>
    <row r="750" spans="1:6" ht="18.600000000000001" customHeight="1" x14ac:dyDescent="0.3">
      <c r="A750" s="150" t="s">
        <v>1088</v>
      </c>
      <c r="B750" s="50" t="s">
        <v>254</v>
      </c>
      <c r="C750" s="51" t="s">
        <v>17</v>
      </c>
      <c r="D750" s="87" t="s">
        <v>292</v>
      </c>
      <c r="E750" s="49">
        <v>0</v>
      </c>
      <c r="F750" s="52" t="str">
        <f>IF(E750&lt;&gt;" ",[1]!convnumberletter(E750)&amp;" Euros"," ")</f>
        <v xml:space="preserve">  Euros</v>
      </c>
    </row>
    <row r="751" spans="1:6" ht="18.600000000000001" customHeight="1" x14ac:dyDescent="0.3">
      <c r="A751" s="150" t="s">
        <v>1089</v>
      </c>
      <c r="B751" s="50" t="s">
        <v>255</v>
      </c>
      <c r="C751" s="51" t="s">
        <v>17</v>
      </c>
      <c r="D751" s="87" t="s">
        <v>292</v>
      </c>
      <c r="E751" s="49">
        <v>0</v>
      </c>
      <c r="F751" s="52" t="str">
        <f>IF(E751&lt;&gt;" ",[1]!convnumberletter(E751)&amp;" Euros"," ")</f>
        <v xml:space="preserve">  Euros</v>
      </c>
    </row>
    <row r="752" spans="1:6" ht="28.8" customHeight="1" x14ac:dyDescent="0.3">
      <c r="A752" s="150" t="s">
        <v>1090</v>
      </c>
      <c r="B752" s="50" t="s">
        <v>251</v>
      </c>
      <c r="C752" s="51" t="s">
        <v>17</v>
      </c>
      <c r="D752" s="87" t="s">
        <v>292</v>
      </c>
      <c r="E752" s="49">
        <v>0</v>
      </c>
      <c r="F752" s="52" t="str">
        <f>IF(E752&lt;&gt;" ",[1]!convnumberletter(E752)&amp;" Euros"," ")</f>
        <v xml:space="preserve">  Euros</v>
      </c>
    </row>
    <row r="753" spans="1:6" x14ac:dyDescent="0.3">
      <c r="A753" s="150" t="s">
        <v>1091</v>
      </c>
      <c r="B753" s="50" t="s">
        <v>256</v>
      </c>
      <c r="C753" s="51" t="s">
        <v>181</v>
      </c>
      <c r="D753" s="87" t="s">
        <v>292</v>
      </c>
      <c r="E753" s="49">
        <v>0</v>
      </c>
      <c r="F753" s="52" t="str">
        <f>IF(E753&lt;&gt;" ",[1]!convnumberletter(E753)&amp;" Euros"," ")</f>
        <v xml:space="preserve">  Euros</v>
      </c>
    </row>
    <row r="754" spans="1:6" x14ac:dyDescent="0.3">
      <c r="A754" s="150" t="s">
        <v>1092</v>
      </c>
      <c r="B754" s="50" t="s">
        <v>258</v>
      </c>
      <c r="C754" s="51" t="s">
        <v>17</v>
      </c>
      <c r="D754" s="87" t="s">
        <v>292</v>
      </c>
      <c r="E754" s="49">
        <v>0</v>
      </c>
      <c r="F754" s="52" t="str">
        <f>IF(E754&lt;&gt;" ",[1]!convnumberletter(E754)&amp;" Euros"," ")</f>
        <v xml:space="preserve">  Euros</v>
      </c>
    </row>
    <row r="755" spans="1:6" ht="18.600000000000001" customHeight="1" x14ac:dyDescent="0.3">
      <c r="A755" s="150" t="s">
        <v>1093</v>
      </c>
      <c r="B755" s="50" t="s">
        <v>193</v>
      </c>
      <c r="C755" s="51" t="s">
        <v>181</v>
      </c>
      <c r="D755" s="87" t="s">
        <v>292</v>
      </c>
      <c r="E755" s="49">
        <v>0</v>
      </c>
      <c r="F755" s="52" t="str">
        <f>IF(E755&lt;&gt;" ",[1]!convnumberletter(E755)&amp;" Euros"," ")</f>
        <v xml:space="preserve">  Euros</v>
      </c>
    </row>
    <row r="756" spans="1:6" x14ac:dyDescent="0.3">
      <c r="A756" s="150" t="s">
        <v>1094</v>
      </c>
      <c r="B756" s="50" t="s">
        <v>192</v>
      </c>
      <c r="C756" s="51" t="s">
        <v>181</v>
      </c>
      <c r="D756" s="87" t="s">
        <v>292</v>
      </c>
      <c r="E756" s="49">
        <v>0</v>
      </c>
      <c r="F756" s="52" t="str">
        <f>IF(E756&lt;&gt;" ",[1]!convnumberletter(E756)&amp;" Euros"," ")</f>
        <v xml:space="preserve">  Euros</v>
      </c>
    </row>
    <row r="757" spans="1:6" ht="28.8" x14ac:dyDescent="0.3">
      <c r="A757" s="150" t="s">
        <v>1095</v>
      </c>
      <c r="B757" s="50" t="s">
        <v>260</v>
      </c>
      <c r="C757" s="51" t="s">
        <v>181</v>
      </c>
      <c r="D757" s="87" t="s">
        <v>292</v>
      </c>
      <c r="E757" s="49">
        <v>0</v>
      </c>
      <c r="F757" s="52" t="str">
        <f>IF(E757&lt;&gt;" ",[1]!convnumberletter(E757)&amp;" Euros"," ")</f>
        <v xml:space="preserve">  Euros</v>
      </c>
    </row>
    <row r="758" spans="1:6" ht="18.600000000000001" customHeight="1" x14ac:dyDescent="0.3">
      <c r="A758" s="52" t="s">
        <v>1096</v>
      </c>
      <c r="B758" s="46" t="s">
        <v>177</v>
      </c>
      <c r="C758" s="52"/>
      <c r="D758" s="87"/>
      <c r="E758" s="49"/>
      <c r="F758" s="52" t="str">
        <f>IF(E758&lt;&gt;" ",[1]!convnumberletter(E758)&amp;" Euros"," ")</f>
        <v xml:space="preserve">  Euros</v>
      </c>
    </row>
    <row r="759" spans="1:6" ht="18.600000000000001" customHeight="1" x14ac:dyDescent="0.3">
      <c r="A759" s="150" t="s">
        <v>1097</v>
      </c>
      <c r="B759" s="152" t="s">
        <v>1307</v>
      </c>
      <c r="C759" s="51" t="s">
        <v>181</v>
      </c>
      <c r="D759" s="87" t="s">
        <v>292</v>
      </c>
      <c r="E759" s="49">
        <v>0</v>
      </c>
      <c r="F759" s="52" t="str">
        <f>IF(E759&lt;&gt;" ",[1]!convnumberletter(E759)&amp;" Euros"," ")</f>
        <v xml:space="preserve">  Euros</v>
      </c>
    </row>
    <row r="760" spans="1:6" x14ac:dyDescent="0.3">
      <c r="A760" s="150" t="s">
        <v>1098</v>
      </c>
      <c r="B760" s="50" t="s">
        <v>1273</v>
      </c>
      <c r="C760" s="51" t="s">
        <v>181</v>
      </c>
      <c r="D760" s="87" t="s">
        <v>292</v>
      </c>
      <c r="E760" s="49">
        <v>0</v>
      </c>
      <c r="F760" s="52" t="str">
        <f>IF(E760&lt;&gt;" ",[1]!convnumberletter(E760)&amp;" Euros"," ")</f>
        <v xml:space="preserve">  Euros</v>
      </c>
    </row>
    <row r="761" spans="1:6" x14ac:dyDescent="0.3">
      <c r="A761" s="150" t="s">
        <v>1099</v>
      </c>
      <c r="B761" s="50" t="s">
        <v>183</v>
      </c>
      <c r="C761" s="51" t="s">
        <v>181</v>
      </c>
      <c r="D761" s="87" t="s">
        <v>292</v>
      </c>
      <c r="E761" s="49">
        <v>0</v>
      </c>
      <c r="F761" s="52" t="str">
        <f>IF(E761&lt;&gt;" ",[1]!convnumberletter(E761)&amp;" Euros"," ")</f>
        <v xml:space="preserve">  Euros</v>
      </c>
    </row>
    <row r="762" spans="1:6" x14ac:dyDescent="0.3">
      <c r="A762" s="150" t="s">
        <v>1100</v>
      </c>
      <c r="B762" s="50" t="s">
        <v>184</v>
      </c>
      <c r="C762" s="51" t="s">
        <v>181</v>
      </c>
      <c r="D762" s="87" t="s">
        <v>292</v>
      </c>
      <c r="E762" s="49">
        <v>0</v>
      </c>
      <c r="F762" s="52" t="str">
        <f>IF(E762&lt;&gt;" ",[1]!convnumberletter(E762)&amp;" Euros"," ")</f>
        <v xml:space="preserve">  Euros</v>
      </c>
    </row>
    <row r="763" spans="1:6" x14ac:dyDescent="0.3">
      <c r="A763" s="150" t="s">
        <v>1101</v>
      </c>
      <c r="B763" s="50" t="s">
        <v>185</v>
      </c>
      <c r="C763" s="51" t="s">
        <v>181</v>
      </c>
      <c r="D763" s="87" t="s">
        <v>292</v>
      </c>
      <c r="E763" s="49">
        <v>0</v>
      </c>
      <c r="F763" s="52" t="str">
        <f>IF(E763&lt;&gt;" ",[1]!convnumberletter(E763)&amp;" Euros"," ")</f>
        <v xml:space="preserve">  Euros</v>
      </c>
    </row>
    <row r="764" spans="1:6" x14ac:dyDescent="0.3">
      <c r="A764" s="52" t="s">
        <v>1102</v>
      </c>
      <c r="B764" s="46" t="s">
        <v>304</v>
      </c>
      <c r="C764" s="51"/>
      <c r="D764" s="87"/>
      <c r="E764" s="49"/>
      <c r="F764" s="52" t="str">
        <f>IF(E764&lt;&gt;" ",[1]!convnumberletter(E764)&amp;" Euros"," ")</f>
        <v xml:space="preserve">  Euros</v>
      </c>
    </row>
    <row r="765" spans="1:6" x14ac:dyDescent="0.3">
      <c r="A765" s="150" t="s">
        <v>1103</v>
      </c>
      <c r="B765" s="50" t="s">
        <v>305</v>
      </c>
      <c r="C765" s="51" t="s">
        <v>197</v>
      </c>
      <c r="D765" s="87" t="s">
        <v>292</v>
      </c>
      <c r="E765" s="49">
        <v>0</v>
      </c>
      <c r="F765" s="52" t="str">
        <f>IF(E765&lt;&gt;" ",[1]!convnumberletter(E765)&amp;" Euros"," ")</f>
        <v xml:space="preserve">  Euros</v>
      </c>
    </row>
    <row r="766" spans="1:6" x14ac:dyDescent="0.3">
      <c r="A766" s="150" t="s">
        <v>1104</v>
      </c>
      <c r="B766" s="50" t="s">
        <v>306</v>
      </c>
      <c r="C766" s="51" t="s">
        <v>197</v>
      </c>
      <c r="D766" s="87" t="s">
        <v>292</v>
      </c>
      <c r="E766" s="49">
        <v>0</v>
      </c>
      <c r="F766" s="52" t="str">
        <f>IF(E766&lt;&gt;" ",[1]!convnumberletter(E766)&amp;" Euros"," ")</f>
        <v xml:space="preserve">  Euros</v>
      </c>
    </row>
    <row r="767" spans="1:6" x14ac:dyDescent="0.3">
      <c r="A767" s="150" t="s">
        <v>1105</v>
      </c>
      <c r="B767" s="50" t="s">
        <v>307</v>
      </c>
      <c r="C767" s="51" t="s">
        <v>197</v>
      </c>
      <c r="D767" s="87" t="s">
        <v>292</v>
      </c>
      <c r="E767" s="49">
        <v>0</v>
      </c>
      <c r="F767" s="52" t="str">
        <f>IF(E767&lt;&gt;" ",[1]!convnumberletter(E767)&amp;" Euros"," ")</f>
        <v xml:space="preserve">  Euros</v>
      </c>
    </row>
    <row r="768" spans="1:6" x14ac:dyDescent="0.3">
      <c r="A768" s="150" t="s">
        <v>1106</v>
      </c>
      <c r="B768" s="50" t="s">
        <v>308</v>
      </c>
      <c r="C768" s="51" t="s">
        <v>197</v>
      </c>
      <c r="D768" s="87" t="s">
        <v>292</v>
      </c>
      <c r="E768" s="49">
        <v>0</v>
      </c>
      <c r="F768" s="52" t="str">
        <f>IF(E768&lt;&gt;" ",[1]!convnumberletter(E768)&amp;" Euros"," ")</f>
        <v xml:space="preserve">  Euros</v>
      </c>
    </row>
    <row r="769" spans="1:6" x14ac:dyDescent="0.3">
      <c r="A769" s="150" t="s">
        <v>1107</v>
      </c>
      <c r="B769" s="50" t="s">
        <v>315</v>
      </c>
      <c r="C769" s="51" t="s">
        <v>197</v>
      </c>
      <c r="D769" s="87" t="s">
        <v>292</v>
      </c>
      <c r="E769" s="49">
        <v>0</v>
      </c>
      <c r="F769" s="52" t="str">
        <f>IF(E769&lt;&gt;" ",[1]!convnumberletter(E769)&amp;" Euros"," ")</f>
        <v xml:space="preserve">  Euros</v>
      </c>
    </row>
    <row r="770" spans="1:6" x14ac:dyDescent="0.3">
      <c r="A770" s="150" t="s">
        <v>1108</v>
      </c>
      <c r="B770" s="50" t="s">
        <v>309</v>
      </c>
      <c r="C770" s="51" t="s">
        <v>197</v>
      </c>
      <c r="D770" s="87" t="s">
        <v>292</v>
      </c>
      <c r="E770" s="49">
        <v>0</v>
      </c>
      <c r="F770" s="52" t="str">
        <f>IF(E770&lt;&gt;" ",[1]!convnumberletter(E770)&amp;" Euros"," ")</f>
        <v xml:space="preserve">  Euros</v>
      </c>
    </row>
    <row r="771" spans="1:6" x14ac:dyDescent="0.3">
      <c r="A771" s="150" t="s">
        <v>1109</v>
      </c>
      <c r="B771" s="50" t="s">
        <v>310</v>
      </c>
      <c r="C771" s="51" t="s">
        <v>197</v>
      </c>
      <c r="D771" s="87" t="s">
        <v>292</v>
      </c>
      <c r="E771" s="49">
        <v>0</v>
      </c>
      <c r="F771" s="52" t="str">
        <f>IF(E771&lt;&gt;" ",[1]!convnumberletter(E771)&amp;" Euros"," ")</f>
        <v xml:space="preserve">  Euros</v>
      </c>
    </row>
    <row r="772" spans="1:6" x14ac:dyDescent="0.3">
      <c r="A772" s="150" t="s">
        <v>1110</v>
      </c>
      <c r="B772" s="50" t="s">
        <v>311</v>
      </c>
      <c r="C772" s="51" t="s">
        <v>197</v>
      </c>
      <c r="D772" s="87" t="s">
        <v>292</v>
      </c>
      <c r="E772" s="49">
        <v>0</v>
      </c>
      <c r="F772" s="52" t="str">
        <f>IF(E772&lt;&gt;" ",[1]!convnumberletter(E772)&amp;" Euros"," ")</f>
        <v xml:space="preserve">  Euros</v>
      </c>
    </row>
    <row r="773" spans="1:6" ht="24.6" customHeight="1" x14ac:dyDescent="0.3">
      <c r="A773" s="150" t="s">
        <v>1111</v>
      </c>
      <c r="B773" s="50" t="s">
        <v>313</v>
      </c>
      <c r="C773" s="51" t="s">
        <v>17</v>
      </c>
      <c r="D773" s="87" t="s">
        <v>292</v>
      </c>
      <c r="E773" s="49">
        <v>0</v>
      </c>
      <c r="F773" s="52" t="str">
        <f>IF(E773&lt;&gt;" ",[1]!convnumberletter(E773)&amp;" Euros"," ")</f>
        <v xml:space="preserve">  Euros</v>
      </c>
    </row>
    <row r="774" spans="1:6" ht="25.8" customHeight="1" x14ac:dyDescent="0.3">
      <c r="A774" s="150" t="s">
        <v>1112</v>
      </c>
      <c r="B774" s="50" t="s">
        <v>312</v>
      </c>
      <c r="C774" s="51" t="s">
        <v>17</v>
      </c>
      <c r="D774" s="87" t="s">
        <v>292</v>
      </c>
      <c r="E774" s="49">
        <v>0</v>
      </c>
      <c r="F774" s="52" t="str">
        <f>IF(E774&lt;&gt;" ",[1]!convnumberletter(E774)&amp;" Euros"," ")</f>
        <v xml:space="preserve">  Euros</v>
      </c>
    </row>
    <row r="775" spans="1:6" ht="18" customHeight="1" x14ac:dyDescent="0.3">
      <c r="A775" s="52"/>
      <c r="B775" s="50"/>
      <c r="C775" s="51"/>
      <c r="D775" s="87"/>
      <c r="E775" s="49"/>
      <c r="F775" s="52"/>
    </row>
    <row r="776" spans="1:6" s="58" customFormat="1" ht="16.8" customHeight="1" x14ac:dyDescent="0.3">
      <c r="A776" s="70" t="s">
        <v>81</v>
      </c>
      <c r="B776" s="70" t="s">
        <v>82</v>
      </c>
      <c r="C776" s="52"/>
      <c r="D776" s="87"/>
      <c r="E776" s="49"/>
      <c r="F776" s="52" t="str">
        <f>IF(E776&lt;&gt;" ",[1]!convnumberletter(E776)&amp;" Euros"," ")</f>
        <v xml:space="preserve">  Euros</v>
      </c>
    </row>
    <row r="777" spans="1:6" ht="18.600000000000001" customHeight="1" x14ac:dyDescent="0.3">
      <c r="A777" s="52" t="s">
        <v>1113</v>
      </c>
      <c r="B777" s="50" t="s">
        <v>405</v>
      </c>
      <c r="C777" s="51" t="s">
        <v>181</v>
      </c>
      <c r="D777" s="87" t="s">
        <v>292</v>
      </c>
      <c r="E777" s="79">
        <v>0</v>
      </c>
      <c r="F777" s="52" t="str">
        <f>IF(E777&lt;&gt;" ",[1]!convnumberletter(E777)&amp;" Euros"," ")</f>
        <v xml:space="preserve">  Euros</v>
      </c>
    </row>
    <row r="778" spans="1:6" ht="18.600000000000001" customHeight="1" x14ac:dyDescent="0.3">
      <c r="A778" s="52" t="s">
        <v>83</v>
      </c>
      <c r="B778" s="46" t="s">
        <v>174</v>
      </c>
      <c r="C778" s="52"/>
      <c r="D778" s="87"/>
      <c r="E778" s="49"/>
      <c r="F778" s="52" t="str">
        <f>IF(E778&lt;&gt;" ",[1]!convnumberletter(E778)&amp;" Euros"," ")</f>
        <v xml:space="preserve">  Euros</v>
      </c>
    </row>
    <row r="779" spans="1:6" ht="50.4" customHeight="1" x14ac:dyDescent="0.3">
      <c r="A779" s="150" t="s">
        <v>1114</v>
      </c>
      <c r="B779" s="50" t="s">
        <v>145</v>
      </c>
      <c r="C779" s="51" t="s">
        <v>181</v>
      </c>
      <c r="D779" s="87" t="s">
        <v>292</v>
      </c>
      <c r="E779" s="79">
        <v>0</v>
      </c>
      <c r="F779" s="52" t="str">
        <f>IF(E779&lt;&gt;" ",[1]!convnumberletter(E779)&amp;" Euros"," ")</f>
        <v xml:space="preserve">  Euros</v>
      </c>
    </row>
    <row r="780" spans="1:6" ht="18.600000000000001" customHeight="1" x14ac:dyDescent="0.3">
      <c r="A780" s="150" t="s">
        <v>1115</v>
      </c>
      <c r="B780" s="50" t="s">
        <v>240</v>
      </c>
      <c r="C780" s="51" t="s">
        <v>181</v>
      </c>
      <c r="D780" s="87" t="s">
        <v>292</v>
      </c>
      <c r="E780" s="79">
        <v>0</v>
      </c>
      <c r="F780" s="52" t="str">
        <f>IF(E780&lt;&gt;" ",[1]!convnumberletter(E780)&amp;" Euros"," ")</f>
        <v xml:space="preserve">  Euros</v>
      </c>
    </row>
    <row r="781" spans="1:6" ht="18.600000000000001" customHeight="1" x14ac:dyDescent="0.3">
      <c r="A781" s="150" t="s">
        <v>1116</v>
      </c>
      <c r="B781" s="50" t="s">
        <v>241</v>
      </c>
      <c r="C781" s="51" t="s">
        <v>181</v>
      </c>
      <c r="D781" s="87" t="s">
        <v>292</v>
      </c>
      <c r="E781" s="79">
        <v>0</v>
      </c>
      <c r="F781" s="52" t="str">
        <f>IF(E781&lt;&gt;" ",[1]!convnumberletter(E781)&amp;" Euros"," ")</f>
        <v xml:space="preserve">  Euros</v>
      </c>
    </row>
    <row r="782" spans="1:6" ht="18.600000000000001" customHeight="1" x14ac:dyDescent="0.3">
      <c r="A782" s="150" t="s">
        <v>1117</v>
      </c>
      <c r="B782" s="50" t="s">
        <v>242</v>
      </c>
      <c r="C782" s="51" t="s">
        <v>181</v>
      </c>
      <c r="D782" s="87" t="s">
        <v>292</v>
      </c>
      <c r="E782" s="79">
        <v>0</v>
      </c>
      <c r="F782" s="52" t="str">
        <f>IF(E782&lt;&gt;" ",[1]!convnumberletter(E782)&amp;" Euros"," ")</f>
        <v xml:space="preserve">  Euros</v>
      </c>
    </row>
    <row r="783" spans="1:6" ht="18.600000000000001" customHeight="1" x14ac:dyDescent="0.3">
      <c r="A783" s="150" t="s">
        <v>1118</v>
      </c>
      <c r="B783" s="50" t="s">
        <v>243</v>
      </c>
      <c r="C783" s="51" t="s">
        <v>181</v>
      </c>
      <c r="D783" s="87" t="s">
        <v>292</v>
      </c>
      <c r="E783" s="79">
        <v>0</v>
      </c>
      <c r="F783" s="52" t="str">
        <f>IF(E783&lt;&gt;" ",[1]!convnumberletter(E783)&amp;" Euros"," ")</f>
        <v xml:space="preserve">  Euros</v>
      </c>
    </row>
    <row r="784" spans="1:6" ht="18.600000000000001" customHeight="1" x14ac:dyDescent="0.3">
      <c r="A784" s="150" t="s">
        <v>1119</v>
      </c>
      <c r="B784" s="50" t="s">
        <v>244</v>
      </c>
      <c r="C784" s="51" t="s">
        <v>181</v>
      </c>
      <c r="D784" s="87" t="s">
        <v>292</v>
      </c>
      <c r="E784" s="79">
        <v>0</v>
      </c>
      <c r="F784" s="52" t="str">
        <f>IF(E784&lt;&gt;" ",[1]!convnumberletter(E784)&amp;" Euros"," ")</f>
        <v xml:space="preserve">  Euros</v>
      </c>
    </row>
    <row r="785" spans="1:6" ht="18.600000000000001" customHeight="1" x14ac:dyDescent="0.3">
      <c r="A785" s="150" t="s">
        <v>1120</v>
      </c>
      <c r="B785" s="50" t="s">
        <v>245</v>
      </c>
      <c r="C785" s="51" t="s">
        <v>181</v>
      </c>
      <c r="D785" s="87" t="s">
        <v>292</v>
      </c>
      <c r="E785" s="79">
        <v>0</v>
      </c>
      <c r="F785" s="52" t="str">
        <f>IF(E785&lt;&gt;" ",[1]!convnumberletter(E785)&amp;" Euros"," ")</f>
        <v xml:space="preserve">  Euros</v>
      </c>
    </row>
    <row r="786" spans="1:6" ht="18.600000000000001" customHeight="1" x14ac:dyDescent="0.3">
      <c r="A786" s="150" t="s">
        <v>1121</v>
      </c>
      <c r="B786" s="50" t="s">
        <v>246</v>
      </c>
      <c r="C786" s="51" t="s">
        <v>181</v>
      </c>
      <c r="D786" s="87" t="s">
        <v>292</v>
      </c>
      <c r="E786" s="79">
        <v>0</v>
      </c>
      <c r="F786" s="52" t="str">
        <f>IF(E786&lt;&gt;" ",[1]!convnumberletter(E786)&amp;" Euros"," ")</f>
        <v xml:space="preserve">  Euros</v>
      </c>
    </row>
    <row r="787" spans="1:6" ht="18.600000000000001" customHeight="1" x14ac:dyDescent="0.3">
      <c r="A787" s="150" t="s">
        <v>1122</v>
      </c>
      <c r="B787" s="50" t="s">
        <v>247</v>
      </c>
      <c r="C787" s="51" t="s">
        <v>181</v>
      </c>
      <c r="D787" s="87" t="s">
        <v>292</v>
      </c>
      <c r="E787" s="79">
        <v>0</v>
      </c>
      <c r="F787" s="52" t="str">
        <f>IF(E787&lt;&gt;" ",[1]!convnumberletter(E787)&amp;" Euros"," ")</f>
        <v xml:space="preserve">  Euros</v>
      </c>
    </row>
    <row r="788" spans="1:6" ht="18.600000000000001" customHeight="1" x14ac:dyDescent="0.3">
      <c r="A788" s="150" t="s">
        <v>1123</v>
      </c>
      <c r="B788" s="50" t="s">
        <v>194</v>
      </c>
      <c r="C788" s="51" t="s">
        <v>181</v>
      </c>
      <c r="D788" s="87" t="s">
        <v>292</v>
      </c>
      <c r="E788" s="79">
        <v>0</v>
      </c>
      <c r="F788" s="52" t="str">
        <f>IF(E788&lt;&gt;" ",[1]!convnumberletter(E788)&amp;" Euros"," ")</f>
        <v xml:space="preserve">  Euros</v>
      </c>
    </row>
    <row r="789" spans="1:6" ht="18.600000000000001" customHeight="1" x14ac:dyDescent="0.3">
      <c r="A789" s="52" t="s">
        <v>89</v>
      </c>
      <c r="B789" s="46" t="s">
        <v>175</v>
      </c>
      <c r="C789" s="52"/>
      <c r="D789" s="87"/>
      <c r="E789" s="49"/>
      <c r="F789" s="52" t="str">
        <f>IF(E789&lt;&gt;" ",[1]!convnumberletter(E789)&amp;" Euros"," ")</f>
        <v xml:space="preserve">  Euros</v>
      </c>
    </row>
    <row r="790" spans="1:6" ht="18.600000000000001" customHeight="1" x14ac:dyDescent="0.3">
      <c r="A790" s="150" t="s">
        <v>1124</v>
      </c>
      <c r="B790" s="50" t="s">
        <v>180</v>
      </c>
      <c r="C790" s="51" t="s">
        <v>181</v>
      </c>
      <c r="D790" s="87" t="s">
        <v>292</v>
      </c>
      <c r="E790" s="49">
        <v>0</v>
      </c>
      <c r="F790" s="52" t="str">
        <f>IF(E790&lt;&gt;" ",[1]!convnumberletter(E790)&amp;" Euros"," ")</f>
        <v xml:space="preserve">  Euros</v>
      </c>
    </row>
    <row r="791" spans="1:6" ht="18.600000000000001" customHeight="1" x14ac:dyDescent="0.3">
      <c r="A791" s="52" t="s">
        <v>1125</v>
      </c>
      <c r="B791" s="46" t="s">
        <v>176</v>
      </c>
      <c r="C791" s="52"/>
      <c r="D791" s="87"/>
      <c r="E791" s="49"/>
      <c r="F791" s="52" t="str">
        <f>IF(E791&lt;&gt;" ",[1]!convnumberletter(E791)&amp;" Euros"," ")</f>
        <v xml:space="preserve">  Euros</v>
      </c>
    </row>
    <row r="792" spans="1:6" ht="18.600000000000001" customHeight="1" x14ac:dyDescent="0.3">
      <c r="A792" s="150" t="s">
        <v>1126</v>
      </c>
      <c r="B792" s="50" t="s">
        <v>257</v>
      </c>
      <c r="C792" s="51" t="s">
        <v>181</v>
      </c>
      <c r="D792" s="87" t="s">
        <v>292</v>
      </c>
      <c r="E792" s="49">
        <v>0</v>
      </c>
      <c r="F792" s="52" t="str">
        <f>IF(E792&lt;&gt;" ",[1]!convnumberletter(E792)&amp;" Euros"," ")</f>
        <v xml:space="preserve">  Euros</v>
      </c>
    </row>
    <row r="793" spans="1:6" ht="18.600000000000001" customHeight="1" x14ac:dyDescent="0.3">
      <c r="A793" s="150" t="s">
        <v>1127</v>
      </c>
      <c r="B793" s="50" t="s">
        <v>253</v>
      </c>
      <c r="C793" s="51" t="s">
        <v>17</v>
      </c>
      <c r="D793" s="87" t="s">
        <v>292</v>
      </c>
      <c r="E793" s="49">
        <v>0</v>
      </c>
      <c r="F793" s="52" t="str">
        <f>IF(E793&lt;&gt;" ",[1]!convnumberletter(E793)&amp;" Euros"," ")</f>
        <v xml:space="preserve">  Euros</v>
      </c>
    </row>
    <row r="794" spans="1:6" ht="18.600000000000001" customHeight="1" x14ac:dyDescent="0.3">
      <c r="A794" s="150" t="s">
        <v>1128</v>
      </c>
      <c r="B794" s="50" t="s">
        <v>252</v>
      </c>
      <c r="C794" s="51" t="s">
        <v>17</v>
      </c>
      <c r="D794" s="87" t="s">
        <v>292</v>
      </c>
      <c r="E794" s="49">
        <v>0</v>
      </c>
      <c r="F794" s="52" t="str">
        <f>IF(E794&lt;&gt;" ",[1]!convnumberletter(E794)&amp;" Euros"," ")</f>
        <v xml:space="preserve">  Euros</v>
      </c>
    </row>
    <row r="795" spans="1:6" ht="18.600000000000001" customHeight="1" x14ac:dyDescent="0.3">
      <c r="A795" s="150" t="s">
        <v>1129</v>
      </c>
      <c r="B795" s="50" t="s">
        <v>254</v>
      </c>
      <c r="C795" s="51" t="s">
        <v>17</v>
      </c>
      <c r="D795" s="87" t="s">
        <v>292</v>
      </c>
      <c r="E795" s="49">
        <v>0</v>
      </c>
      <c r="F795" s="52" t="str">
        <f>IF(E795&lt;&gt;" ",[1]!convnumberletter(E795)&amp;" Euros"," ")</f>
        <v xml:space="preserve">  Euros</v>
      </c>
    </row>
    <row r="796" spans="1:6" ht="18.600000000000001" customHeight="1" x14ac:dyDescent="0.3">
      <c r="A796" s="150" t="s">
        <v>1130</v>
      </c>
      <c r="B796" s="50" t="s">
        <v>255</v>
      </c>
      <c r="C796" s="51" t="s">
        <v>17</v>
      </c>
      <c r="D796" s="87" t="s">
        <v>292</v>
      </c>
      <c r="E796" s="49">
        <v>0</v>
      </c>
      <c r="F796" s="52" t="str">
        <f>IF(E796&lt;&gt;" ",[1]!convnumberletter(E796)&amp;" Euros"," ")</f>
        <v xml:space="preserve">  Euros</v>
      </c>
    </row>
    <row r="797" spans="1:6" ht="28.8" customHeight="1" x14ac:dyDescent="0.3">
      <c r="A797" s="150" t="s">
        <v>1131</v>
      </c>
      <c r="B797" s="50" t="s">
        <v>251</v>
      </c>
      <c r="C797" s="51" t="s">
        <v>17</v>
      </c>
      <c r="D797" s="87" t="s">
        <v>292</v>
      </c>
      <c r="E797" s="49">
        <v>0</v>
      </c>
      <c r="F797" s="52" t="str">
        <f>IF(E797&lt;&gt;" ",[1]!convnumberletter(E797)&amp;" Euros"," ")</f>
        <v xml:space="preserve">  Euros</v>
      </c>
    </row>
    <row r="798" spans="1:6" x14ac:dyDescent="0.3">
      <c r="A798" s="150" t="s">
        <v>1132</v>
      </c>
      <c r="B798" s="50" t="s">
        <v>256</v>
      </c>
      <c r="C798" s="51" t="s">
        <v>181</v>
      </c>
      <c r="D798" s="87" t="s">
        <v>292</v>
      </c>
      <c r="E798" s="49">
        <v>0</v>
      </c>
      <c r="F798" s="52" t="str">
        <f>IF(E798&lt;&gt;" ",[1]!convnumberletter(E798)&amp;" Euros"," ")</f>
        <v xml:space="preserve">  Euros</v>
      </c>
    </row>
    <row r="799" spans="1:6" x14ac:dyDescent="0.3">
      <c r="A799" s="150" t="s">
        <v>1133</v>
      </c>
      <c r="B799" s="50" t="s">
        <v>258</v>
      </c>
      <c r="C799" s="51" t="s">
        <v>17</v>
      </c>
      <c r="D799" s="87" t="s">
        <v>292</v>
      </c>
      <c r="E799" s="49">
        <v>0</v>
      </c>
      <c r="F799" s="52" t="str">
        <f>IF(E799&lt;&gt;" ",[1]!convnumberletter(E799)&amp;" Euros"," ")</f>
        <v xml:space="preserve">  Euros</v>
      </c>
    </row>
    <row r="800" spans="1:6" ht="18.600000000000001" customHeight="1" x14ac:dyDescent="0.3">
      <c r="A800" s="150" t="s">
        <v>1134</v>
      </c>
      <c r="B800" s="50" t="s">
        <v>193</v>
      </c>
      <c r="C800" s="51" t="s">
        <v>181</v>
      </c>
      <c r="D800" s="87" t="s">
        <v>292</v>
      </c>
      <c r="E800" s="49">
        <v>0</v>
      </c>
      <c r="F800" s="52" t="str">
        <f>IF(E800&lt;&gt;" ",[1]!convnumberletter(E800)&amp;" Euros"," ")</f>
        <v xml:space="preserve">  Euros</v>
      </c>
    </row>
    <row r="801" spans="1:6" x14ac:dyDescent="0.3">
      <c r="A801" s="150" t="s">
        <v>1135</v>
      </c>
      <c r="B801" s="50" t="s">
        <v>192</v>
      </c>
      <c r="C801" s="51" t="s">
        <v>181</v>
      </c>
      <c r="D801" s="87" t="s">
        <v>292</v>
      </c>
      <c r="E801" s="49">
        <v>0</v>
      </c>
      <c r="F801" s="52" t="str">
        <f>IF(E801&lt;&gt;" ",[1]!convnumberletter(E801)&amp;" Euros"," ")</f>
        <v xml:space="preserve">  Euros</v>
      </c>
    </row>
    <row r="802" spans="1:6" ht="28.8" x14ac:dyDescent="0.3">
      <c r="A802" s="150" t="s">
        <v>1136</v>
      </c>
      <c r="B802" s="50" t="s">
        <v>260</v>
      </c>
      <c r="C802" s="51" t="s">
        <v>181</v>
      </c>
      <c r="D802" s="87" t="s">
        <v>292</v>
      </c>
      <c r="E802" s="49">
        <v>0</v>
      </c>
      <c r="F802" s="52" t="str">
        <f>IF(E802&lt;&gt;" ",[1]!convnumberletter(E802)&amp;" Euros"," ")</f>
        <v xml:space="preserve">  Euros</v>
      </c>
    </row>
    <row r="803" spans="1:6" ht="18.600000000000001" customHeight="1" x14ac:dyDescent="0.3">
      <c r="A803" s="52" t="s">
        <v>1137</v>
      </c>
      <c r="B803" s="46" t="s">
        <v>177</v>
      </c>
      <c r="C803" s="52"/>
      <c r="D803" s="87"/>
      <c r="E803" s="49"/>
      <c r="F803" s="52" t="str">
        <f>IF(E803&lt;&gt;" ",[1]!convnumberletter(E803)&amp;" Euros"," ")</f>
        <v xml:space="preserve">  Euros</v>
      </c>
    </row>
    <row r="804" spans="1:6" ht="18.600000000000001" customHeight="1" x14ac:dyDescent="0.3">
      <c r="A804" s="150" t="s">
        <v>1138</v>
      </c>
      <c r="B804" s="50" t="s">
        <v>182</v>
      </c>
      <c r="C804" s="51" t="s">
        <v>181</v>
      </c>
      <c r="D804" s="87" t="s">
        <v>292</v>
      </c>
      <c r="E804" s="49">
        <v>0</v>
      </c>
      <c r="F804" s="52" t="str">
        <f>IF(E804&lt;&gt;" ",[1]!convnumberletter(E804)&amp;" Euros"," ")</f>
        <v xml:space="preserve">  Euros</v>
      </c>
    </row>
    <row r="805" spans="1:6" x14ac:dyDescent="0.3">
      <c r="A805" s="150" t="s">
        <v>1139</v>
      </c>
      <c r="B805" s="50" t="s">
        <v>1273</v>
      </c>
      <c r="C805" s="51" t="s">
        <v>181</v>
      </c>
      <c r="D805" s="87" t="s">
        <v>292</v>
      </c>
      <c r="E805" s="49">
        <v>0</v>
      </c>
      <c r="F805" s="52" t="str">
        <f>IF(E805&lt;&gt;" ",[1]!convnumberletter(E805)&amp;" Euros"," ")</f>
        <v xml:space="preserve">  Euros</v>
      </c>
    </row>
    <row r="806" spans="1:6" x14ac:dyDescent="0.3">
      <c r="A806" s="150" t="s">
        <v>1140</v>
      </c>
      <c r="B806" s="50" t="s">
        <v>183</v>
      </c>
      <c r="C806" s="51" t="s">
        <v>181</v>
      </c>
      <c r="D806" s="87" t="s">
        <v>292</v>
      </c>
      <c r="E806" s="49">
        <v>0</v>
      </c>
      <c r="F806" s="52" t="str">
        <f>IF(E806&lt;&gt;" ",[1]!convnumberletter(E806)&amp;" Euros"," ")</f>
        <v xml:space="preserve">  Euros</v>
      </c>
    </row>
    <row r="807" spans="1:6" x14ac:dyDescent="0.3">
      <c r="A807" s="150" t="s">
        <v>1141</v>
      </c>
      <c r="B807" s="50" t="s">
        <v>184</v>
      </c>
      <c r="C807" s="51" t="s">
        <v>181</v>
      </c>
      <c r="D807" s="87" t="s">
        <v>292</v>
      </c>
      <c r="E807" s="49">
        <v>0</v>
      </c>
      <c r="F807" s="52" t="str">
        <f>IF(E807&lt;&gt;" ",[1]!convnumberletter(E807)&amp;" Euros"," ")</f>
        <v xml:space="preserve">  Euros</v>
      </c>
    </row>
    <row r="808" spans="1:6" x14ac:dyDescent="0.3">
      <c r="A808" s="150" t="s">
        <v>1142</v>
      </c>
      <c r="B808" s="50" t="s">
        <v>185</v>
      </c>
      <c r="C808" s="51" t="s">
        <v>181</v>
      </c>
      <c r="D808" s="87" t="s">
        <v>292</v>
      </c>
      <c r="E808" s="49">
        <v>0</v>
      </c>
      <c r="F808" s="52" t="str">
        <f>IF(E808&lt;&gt;" ",[1]!convnumberletter(E808)&amp;" Euros"," ")</f>
        <v xml:space="preserve">  Euros</v>
      </c>
    </row>
    <row r="809" spans="1:6" x14ac:dyDescent="0.3">
      <c r="A809" s="52" t="s">
        <v>1143</v>
      </c>
      <c r="B809" s="46" t="s">
        <v>304</v>
      </c>
      <c r="C809" s="51"/>
      <c r="D809" s="87"/>
      <c r="E809" s="49"/>
      <c r="F809" s="52" t="str">
        <f>IF(E809&lt;&gt;" ",[1]!convnumberletter(E809)&amp;" Euros"," ")</f>
        <v xml:space="preserve">  Euros</v>
      </c>
    </row>
    <row r="810" spans="1:6" x14ac:dyDescent="0.3">
      <c r="A810" s="150" t="s">
        <v>1144</v>
      </c>
      <c r="B810" s="50" t="s">
        <v>305</v>
      </c>
      <c r="C810" s="51" t="s">
        <v>197</v>
      </c>
      <c r="D810" s="87" t="s">
        <v>292</v>
      </c>
      <c r="E810" s="49">
        <v>0</v>
      </c>
      <c r="F810" s="52" t="str">
        <f>IF(E810&lt;&gt;" ",[1]!convnumberletter(E810)&amp;" Euros"," ")</f>
        <v xml:space="preserve">  Euros</v>
      </c>
    </row>
    <row r="811" spans="1:6" x14ac:dyDescent="0.3">
      <c r="A811" s="150" t="s">
        <v>1145</v>
      </c>
      <c r="B811" s="50" t="s">
        <v>306</v>
      </c>
      <c r="C811" s="51" t="s">
        <v>197</v>
      </c>
      <c r="D811" s="87" t="s">
        <v>292</v>
      </c>
      <c r="E811" s="49">
        <v>0</v>
      </c>
      <c r="F811" s="52" t="str">
        <f>IF(E811&lt;&gt;" ",[1]!convnumberletter(E811)&amp;" Euros"," ")</f>
        <v xml:space="preserve">  Euros</v>
      </c>
    </row>
    <row r="812" spans="1:6" x14ac:dyDescent="0.3">
      <c r="A812" s="150" t="s">
        <v>1146</v>
      </c>
      <c r="B812" s="50" t="s">
        <v>307</v>
      </c>
      <c r="C812" s="51" t="s">
        <v>197</v>
      </c>
      <c r="D812" s="87" t="s">
        <v>292</v>
      </c>
      <c r="E812" s="49">
        <v>0</v>
      </c>
      <c r="F812" s="52" t="str">
        <f>IF(E812&lt;&gt;" ",[1]!convnumberletter(E812)&amp;" Euros"," ")</f>
        <v xml:space="preserve">  Euros</v>
      </c>
    </row>
    <row r="813" spans="1:6" x14ac:dyDescent="0.3">
      <c r="A813" s="150" t="s">
        <v>1147</v>
      </c>
      <c r="B813" s="50" t="s">
        <v>308</v>
      </c>
      <c r="C813" s="51" t="s">
        <v>197</v>
      </c>
      <c r="D813" s="87" t="s">
        <v>292</v>
      </c>
      <c r="E813" s="49">
        <v>0</v>
      </c>
      <c r="F813" s="52" t="str">
        <f>IF(E813&lt;&gt;" ",[1]!convnumberletter(E813)&amp;" Euros"," ")</f>
        <v xml:space="preserve">  Euros</v>
      </c>
    </row>
    <row r="814" spans="1:6" x14ac:dyDescent="0.3">
      <c r="A814" s="150" t="s">
        <v>1148</v>
      </c>
      <c r="B814" s="50" t="s">
        <v>309</v>
      </c>
      <c r="C814" s="51" t="s">
        <v>197</v>
      </c>
      <c r="D814" s="87" t="s">
        <v>292</v>
      </c>
      <c r="E814" s="49">
        <v>0</v>
      </c>
      <c r="F814" s="52" t="str">
        <f>IF(E814&lt;&gt;" ",[1]!convnumberletter(E814)&amp;" Euros"," ")</f>
        <v xml:space="preserve">  Euros</v>
      </c>
    </row>
    <row r="815" spans="1:6" x14ac:dyDescent="0.3">
      <c r="A815" s="150" t="s">
        <v>1149</v>
      </c>
      <c r="B815" s="50" t="s">
        <v>310</v>
      </c>
      <c r="C815" s="51" t="s">
        <v>197</v>
      </c>
      <c r="D815" s="87" t="s">
        <v>292</v>
      </c>
      <c r="E815" s="49">
        <v>0</v>
      </c>
      <c r="F815" s="52" t="str">
        <f>IF(E815&lt;&gt;" ",[1]!convnumberletter(E815)&amp;" Euros"," ")</f>
        <v xml:space="preserve">  Euros</v>
      </c>
    </row>
    <row r="816" spans="1:6" x14ac:dyDescent="0.3">
      <c r="A816" s="150" t="s">
        <v>1150</v>
      </c>
      <c r="B816" s="50" t="s">
        <v>311</v>
      </c>
      <c r="C816" s="51" t="s">
        <v>197</v>
      </c>
      <c r="D816" s="87" t="s">
        <v>292</v>
      </c>
      <c r="E816" s="49">
        <v>0</v>
      </c>
      <c r="F816" s="52" t="str">
        <f>IF(E816&lt;&gt;" ",[1]!convnumberletter(E816)&amp;" Euros"," ")</f>
        <v xml:space="preserve">  Euros</v>
      </c>
    </row>
    <row r="817" spans="1:7" ht="25.8" customHeight="1" x14ac:dyDescent="0.3">
      <c r="A817" s="150" t="s">
        <v>1151</v>
      </c>
      <c r="B817" s="50" t="s">
        <v>313</v>
      </c>
      <c r="C817" s="51" t="s">
        <v>17</v>
      </c>
      <c r="D817" s="87" t="s">
        <v>292</v>
      </c>
      <c r="E817" s="49">
        <v>0</v>
      </c>
      <c r="F817" s="52" t="str">
        <f>IF(E817&lt;&gt;" ",[1]!convnumberletter(E817)&amp;" Euros"," ")</f>
        <v xml:space="preserve">  Euros</v>
      </c>
    </row>
    <row r="818" spans="1:7" ht="26.4" customHeight="1" x14ac:dyDescent="0.3">
      <c r="A818" s="150" t="s">
        <v>1152</v>
      </c>
      <c r="B818" s="50" t="s">
        <v>312</v>
      </c>
      <c r="C818" s="51" t="s">
        <v>17</v>
      </c>
      <c r="D818" s="87" t="s">
        <v>292</v>
      </c>
      <c r="E818" s="49">
        <v>0</v>
      </c>
      <c r="F818" s="52" t="str">
        <f>IF(E818&lt;&gt;" ",[1]!convnumberletter(E818)&amp;" Euros"," ")</f>
        <v xml:space="preserve">  Euros</v>
      </c>
    </row>
    <row r="819" spans="1:7" ht="15" customHeight="1" x14ac:dyDescent="0.3">
      <c r="A819" s="52"/>
      <c r="B819" s="50"/>
      <c r="C819" s="51"/>
      <c r="D819" s="87"/>
      <c r="E819" s="49"/>
      <c r="F819" s="52"/>
    </row>
    <row r="820" spans="1:7" s="58" customFormat="1" ht="16.8" customHeight="1" x14ac:dyDescent="0.3">
      <c r="A820" s="70" t="s">
        <v>91</v>
      </c>
      <c r="B820" s="70" t="s">
        <v>303</v>
      </c>
      <c r="C820" s="52"/>
      <c r="D820" s="87"/>
      <c r="E820" s="80"/>
      <c r="F820" s="52" t="str">
        <f>IF(E820&lt;&gt;" ",[1]!convnumberletter(E820)&amp;" Euros"," ")</f>
        <v xml:space="preserve">  Euros</v>
      </c>
    </row>
    <row r="821" spans="1:7" ht="28.8" x14ac:dyDescent="0.3">
      <c r="A821" s="150" t="s">
        <v>93</v>
      </c>
      <c r="B821" s="61" t="s">
        <v>316</v>
      </c>
      <c r="C821" s="52" t="s">
        <v>79</v>
      </c>
      <c r="D821" s="87" t="s">
        <v>158</v>
      </c>
      <c r="E821" s="80">
        <v>0</v>
      </c>
      <c r="F821" s="52" t="str">
        <f>IF(E821&lt;&gt;" ",[1]!convnumberletter(E821)&amp;" Euros"," ")</f>
        <v xml:space="preserve">  Euros</v>
      </c>
      <c r="G821" s="74"/>
    </row>
    <row r="822" spans="1:7" x14ac:dyDescent="0.3">
      <c r="A822" s="150" t="s">
        <v>94</v>
      </c>
      <c r="B822" s="52" t="s">
        <v>346</v>
      </c>
      <c r="C822" s="52" t="s">
        <v>17</v>
      </c>
      <c r="D822" s="87" t="s">
        <v>292</v>
      </c>
      <c r="E822" s="80">
        <v>0</v>
      </c>
      <c r="F822" s="52" t="str">
        <f>IF(E822&lt;&gt;" ",[1]!convnumberletter(E822)&amp;" Euros"," ")</f>
        <v xml:space="preserve">  Euros</v>
      </c>
    </row>
    <row r="823" spans="1:7" x14ac:dyDescent="0.3">
      <c r="A823" s="150" t="s">
        <v>101</v>
      </c>
      <c r="B823" s="52" t="s">
        <v>345</v>
      </c>
      <c r="C823" s="52" t="s">
        <v>17</v>
      </c>
      <c r="D823" s="87" t="s">
        <v>292</v>
      </c>
      <c r="E823" s="80">
        <v>0</v>
      </c>
      <c r="F823" s="52" t="str">
        <f>IF(E823&lt;&gt;" ",[1]!convnumberletter(E823)&amp;" Euros"," ")</f>
        <v xml:space="preserve">  Euros</v>
      </c>
      <c r="G823" s="74"/>
    </row>
    <row r="824" spans="1:7" x14ac:dyDescent="0.3">
      <c r="A824" s="150" t="s">
        <v>102</v>
      </c>
      <c r="B824" s="61" t="s">
        <v>325</v>
      </c>
      <c r="C824" s="52" t="s">
        <v>197</v>
      </c>
      <c r="D824" s="87" t="s">
        <v>292</v>
      </c>
      <c r="E824" s="80">
        <v>0</v>
      </c>
      <c r="F824" s="52" t="str">
        <f>IF(E824&lt;&gt;" ",[1]!convnumberletter(E824)&amp;" Euros"," ")</f>
        <v xml:space="preserve">  Euros</v>
      </c>
    </row>
    <row r="825" spans="1:7" x14ac:dyDescent="0.3">
      <c r="A825" s="150" t="s">
        <v>103</v>
      </c>
      <c r="B825" s="61" t="s">
        <v>340</v>
      </c>
      <c r="C825" s="52" t="s">
        <v>197</v>
      </c>
      <c r="D825" s="87" t="s">
        <v>292</v>
      </c>
      <c r="E825" s="80">
        <v>0</v>
      </c>
      <c r="F825" s="52" t="str">
        <f>IF(E825&lt;&gt;" ",[1]!convnumberletter(E825)&amp;" Euros"," ")</f>
        <v xml:space="preserve">  Euros</v>
      </c>
    </row>
    <row r="826" spans="1:7" ht="28.8" x14ac:dyDescent="0.3">
      <c r="A826" s="150" t="s">
        <v>104</v>
      </c>
      <c r="B826" s="61" t="s">
        <v>341</v>
      </c>
      <c r="C826" s="52" t="s">
        <v>197</v>
      </c>
      <c r="D826" s="87" t="s">
        <v>292</v>
      </c>
      <c r="E826" s="80">
        <v>0</v>
      </c>
      <c r="F826" s="52" t="str">
        <f>IF(E826&lt;&gt;" ",[1]!convnumberletter(E826)&amp;" Euros"," ")</f>
        <v xml:space="preserve">  Euros</v>
      </c>
    </row>
    <row r="827" spans="1:7" ht="28.8" x14ac:dyDescent="0.3">
      <c r="A827" s="150" t="s">
        <v>1153</v>
      </c>
      <c r="B827" s="68" t="s">
        <v>342</v>
      </c>
      <c r="C827" s="52" t="s">
        <v>197</v>
      </c>
      <c r="D827" s="87" t="s">
        <v>292</v>
      </c>
      <c r="E827" s="80">
        <v>0</v>
      </c>
      <c r="F827" s="52" t="str">
        <f>IF(E827&lt;&gt;" ",[1]!convnumberletter(E827)&amp;" Euros"," ")</f>
        <v xml:space="preserve">  Euros</v>
      </c>
    </row>
    <row r="828" spans="1:7" ht="28.8" x14ac:dyDescent="0.3">
      <c r="A828" s="150" t="s">
        <v>1154</v>
      </c>
      <c r="B828" s="68" t="s">
        <v>343</v>
      </c>
      <c r="C828" s="52" t="s">
        <v>197</v>
      </c>
      <c r="D828" s="87" t="s">
        <v>292</v>
      </c>
      <c r="E828" s="80">
        <v>0</v>
      </c>
      <c r="F828" s="52" t="str">
        <f>IF(E828&lt;&gt;" ",[1]!convnumberletter(E828)&amp;" Euros"," ")</f>
        <v xml:space="preserve">  Euros</v>
      </c>
    </row>
    <row r="829" spans="1:7" x14ac:dyDescent="0.3">
      <c r="A829" s="150" t="s">
        <v>1155</v>
      </c>
      <c r="B829" s="61" t="s">
        <v>318</v>
      </c>
      <c r="C829" s="52" t="s">
        <v>317</v>
      </c>
      <c r="D829" s="87" t="s">
        <v>292</v>
      </c>
      <c r="E829" s="80">
        <v>0</v>
      </c>
      <c r="F829" s="52" t="str">
        <f>IF(E829&lt;&gt;" ",[1]!convnumberletter(E829)&amp;" Euros"," ")</f>
        <v xml:space="preserve">  Euros</v>
      </c>
    </row>
    <row r="830" spans="1:7" ht="28.8" x14ac:dyDescent="0.3">
      <c r="A830" s="150" t="s">
        <v>1156</v>
      </c>
      <c r="B830" s="61" t="s">
        <v>344</v>
      </c>
      <c r="C830" s="52" t="s">
        <v>197</v>
      </c>
      <c r="D830" s="87" t="s">
        <v>292</v>
      </c>
      <c r="E830" s="80">
        <v>0</v>
      </c>
      <c r="F830" s="52" t="str">
        <f>IF(E830&lt;&gt;" ",[1]!convnumberletter(E830)&amp;" Euros"," ")</f>
        <v xml:space="preserve">  Euros</v>
      </c>
    </row>
    <row r="831" spans="1:7" x14ac:dyDescent="0.3">
      <c r="A831" s="52"/>
      <c r="B831" s="61"/>
      <c r="C831" s="52"/>
      <c r="D831" s="87"/>
      <c r="E831" s="56"/>
      <c r="F831" s="52"/>
    </row>
    <row r="832" spans="1:7" s="58" customFormat="1" ht="16.8" customHeight="1" x14ac:dyDescent="0.3">
      <c r="A832" s="70" t="s">
        <v>105</v>
      </c>
      <c r="B832" s="70" t="s">
        <v>301</v>
      </c>
      <c r="C832" s="52"/>
      <c r="D832" s="87"/>
      <c r="E832" s="49"/>
      <c r="F832" s="52" t="str">
        <f>IF(E832&lt;&gt;" ",[1]!convnumberletter(E832)&amp;" Euros"," ")</f>
        <v xml:space="preserve">  Euros</v>
      </c>
    </row>
    <row r="833" spans="1:9" x14ac:dyDescent="0.3">
      <c r="A833" s="150" t="s">
        <v>107</v>
      </c>
      <c r="B833" s="61" t="s">
        <v>298</v>
      </c>
      <c r="C833" s="52" t="s">
        <v>79</v>
      </c>
      <c r="D833" s="87" t="s">
        <v>158</v>
      </c>
      <c r="E833" s="49">
        <v>0</v>
      </c>
      <c r="F833" s="52" t="str">
        <f>IF(E833&lt;&gt;" ",[1]!convnumberletter(E833)&amp;" Euros"," ")</f>
        <v xml:space="preserve">  Euros</v>
      </c>
    </row>
    <row r="834" spans="1:9" x14ac:dyDescent="0.3">
      <c r="A834" s="150" t="s">
        <v>128</v>
      </c>
      <c r="B834" s="61" t="s">
        <v>299</v>
      </c>
      <c r="C834" s="52" t="s">
        <v>17</v>
      </c>
      <c r="D834" s="87" t="s">
        <v>292</v>
      </c>
      <c r="E834" s="49">
        <v>0</v>
      </c>
      <c r="F834" s="52" t="str">
        <f>IF(E834&lt;&gt;" ",[1]!convnumberletter(E834)&amp;" Euros"," ")</f>
        <v xml:space="preserve">  Euros</v>
      </c>
    </row>
    <row r="835" spans="1:9" ht="16.2" x14ac:dyDescent="0.3">
      <c r="A835" s="150" t="s">
        <v>129</v>
      </c>
      <c r="B835" s="61" t="s">
        <v>335</v>
      </c>
      <c r="C835" s="52" t="s">
        <v>110</v>
      </c>
      <c r="D835" s="87" t="s">
        <v>292</v>
      </c>
      <c r="E835" s="49">
        <v>0</v>
      </c>
      <c r="F835" s="52" t="str">
        <f>IF(E835&lt;&gt;" ",[1]!convnumberletter(E835)&amp;" Euros"," ")</f>
        <v xml:space="preserve">  Euros</v>
      </c>
    </row>
    <row r="836" spans="1:9" ht="16.2" x14ac:dyDescent="0.3">
      <c r="A836" s="150" t="s">
        <v>130</v>
      </c>
      <c r="B836" s="61" t="s">
        <v>336</v>
      </c>
      <c r="C836" s="52" t="s">
        <v>110</v>
      </c>
      <c r="D836" s="87" t="s">
        <v>292</v>
      </c>
      <c r="E836" s="49">
        <v>0</v>
      </c>
      <c r="F836" s="52" t="str">
        <f>IF(E836&lt;&gt;" ",[1]!convnumberletter(E836)&amp;" Euros"," ")</f>
        <v xml:space="preserve">  Euros</v>
      </c>
    </row>
    <row r="837" spans="1:9" x14ac:dyDescent="0.3">
      <c r="A837" s="150" t="s">
        <v>1157</v>
      </c>
      <c r="B837" s="61" t="s">
        <v>300</v>
      </c>
      <c r="C837" s="52" t="s">
        <v>110</v>
      </c>
      <c r="D837" s="87" t="s">
        <v>292</v>
      </c>
      <c r="E837" s="49">
        <v>0</v>
      </c>
      <c r="F837" s="52" t="str">
        <f>IF(E837&lt;&gt;" ",[1]!convnumberletter(E837)&amp;" Euros"," ")</f>
        <v xml:space="preserve">  Euros</v>
      </c>
      <c r="G837" s="74"/>
    </row>
    <row r="838" spans="1:9" x14ac:dyDescent="0.3">
      <c r="A838" s="52"/>
      <c r="B838" s="61"/>
      <c r="C838" s="52"/>
      <c r="D838" s="87"/>
      <c r="E838" s="49"/>
      <c r="F838" s="52"/>
      <c r="G838" s="74"/>
    </row>
    <row r="839" spans="1:9" s="58" customFormat="1" ht="16.8" customHeight="1" x14ac:dyDescent="0.3">
      <c r="A839" s="70" t="s">
        <v>112</v>
      </c>
      <c r="B839" s="70" t="s">
        <v>302</v>
      </c>
      <c r="C839" s="52"/>
      <c r="D839" s="87"/>
      <c r="E839" s="49"/>
      <c r="F839" s="52" t="str">
        <f>IF(E839&lt;&gt;" ",[1]!convnumberletter(E839)&amp;" Euros"," ")</f>
        <v xml:space="preserve">  Euros</v>
      </c>
    </row>
    <row r="840" spans="1:9" x14ac:dyDescent="0.3">
      <c r="A840" s="150" t="s">
        <v>131</v>
      </c>
      <c r="B840" s="52" t="s">
        <v>319</v>
      </c>
      <c r="C840" s="52" t="s">
        <v>17</v>
      </c>
      <c r="D840" s="87" t="s">
        <v>292</v>
      </c>
      <c r="E840" s="80">
        <v>0</v>
      </c>
      <c r="F840" s="52" t="str">
        <f>IF(E840&lt;&gt;" ",[1]!convnumberletter(E840)&amp;" Euros"," ")</f>
        <v xml:space="preserve">  Euros</v>
      </c>
    </row>
    <row r="841" spans="1:9" x14ac:dyDescent="0.3">
      <c r="A841" s="150" t="s">
        <v>1158</v>
      </c>
      <c r="B841" s="52" t="s">
        <v>324</v>
      </c>
      <c r="C841" s="52" t="s">
        <v>17</v>
      </c>
      <c r="D841" s="87" t="s">
        <v>292</v>
      </c>
      <c r="E841" s="80">
        <v>0</v>
      </c>
      <c r="F841" s="52" t="str">
        <f>IF(E841&lt;&gt;" ",[1]!convnumberletter(E841)&amp;" Euros"," ")</f>
        <v xml:space="preserve">  Euros</v>
      </c>
    </row>
    <row r="842" spans="1:9" x14ac:dyDescent="0.3">
      <c r="A842" s="150" t="s">
        <v>1159</v>
      </c>
      <c r="B842" s="52" t="s">
        <v>323</v>
      </c>
      <c r="C842" s="52" t="s">
        <v>317</v>
      </c>
      <c r="D842" s="87" t="s">
        <v>292</v>
      </c>
      <c r="E842" s="80">
        <v>0</v>
      </c>
      <c r="F842" s="52" t="str">
        <f>IF(E842&lt;&gt;" ",[1]!convnumberletter(E842)&amp;" Euros"," ")</f>
        <v xml:space="preserve">  Euros</v>
      </c>
    </row>
    <row r="843" spans="1:9" x14ac:dyDescent="0.3">
      <c r="A843" s="150" t="s">
        <v>1160</v>
      </c>
      <c r="B843" s="52" t="s">
        <v>320</v>
      </c>
      <c r="C843" s="52" t="s">
        <v>317</v>
      </c>
      <c r="D843" s="87" t="s">
        <v>292</v>
      </c>
      <c r="E843" s="80">
        <v>0</v>
      </c>
      <c r="F843" s="52" t="str">
        <f>IF(E843&lt;&gt;" ",[1]!convnumberletter(E843)&amp;" Euros"," ")</f>
        <v xml:space="preserve">  Euros</v>
      </c>
    </row>
    <row r="844" spans="1:9" x14ac:dyDescent="0.3">
      <c r="A844" s="150" t="s">
        <v>1161</v>
      </c>
      <c r="B844" s="52" t="s">
        <v>321</v>
      </c>
      <c r="C844" s="52" t="s">
        <v>317</v>
      </c>
      <c r="D844" s="87" t="s">
        <v>292</v>
      </c>
      <c r="E844" s="80">
        <v>0</v>
      </c>
      <c r="F844" s="52" t="str">
        <f>IF(E844&lt;&gt;" ",[1]!convnumberletter(E844)&amp;" Euros"," ")</f>
        <v xml:space="preserve">  Euros</v>
      </c>
    </row>
    <row r="845" spans="1:9" x14ac:dyDescent="0.3">
      <c r="A845" s="150" t="s">
        <v>1162</v>
      </c>
      <c r="B845" s="52" t="s">
        <v>322</v>
      </c>
      <c r="C845" s="52" t="s">
        <v>317</v>
      </c>
      <c r="D845" s="87" t="s">
        <v>292</v>
      </c>
      <c r="E845" s="80">
        <v>0</v>
      </c>
      <c r="F845" s="52" t="str">
        <f>IF(E845&lt;&gt;" ",[1]!convnumberletter(E845)&amp;" Euros"," ")</f>
        <v xml:space="preserve">  Euros</v>
      </c>
      <c r="G845" s="66"/>
    </row>
    <row r="846" spans="1:9" ht="30.6" x14ac:dyDescent="0.3">
      <c r="A846" s="150" t="s">
        <v>1163</v>
      </c>
      <c r="B846" s="61" t="s">
        <v>337</v>
      </c>
      <c r="C846" s="52" t="s">
        <v>197</v>
      </c>
      <c r="D846" s="87" t="s">
        <v>292</v>
      </c>
      <c r="E846" s="80">
        <v>0</v>
      </c>
      <c r="F846" s="52" t="str">
        <f>IF(E846&lt;&gt;" ",[1]!convnumberletter(E846)&amp;" Euros"," ")</f>
        <v xml:space="preserve">  Euros</v>
      </c>
      <c r="G846" s="66"/>
      <c r="I846" s="74"/>
    </row>
    <row r="847" spans="1:9" x14ac:dyDescent="0.3">
      <c r="A847" s="52"/>
      <c r="B847" s="61"/>
      <c r="C847" s="52"/>
      <c r="D847" s="87"/>
      <c r="E847" s="49"/>
      <c r="F847" s="52"/>
      <c r="G847" s="66"/>
      <c r="I847" s="74"/>
    </row>
    <row r="848" spans="1:9" s="58" customFormat="1" ht="16.8" customHeight="1" x14ac:dyDescent="0.3">
      <c r="A848" s="70" t="s">
        <v>115</v>
      </c>
      <c r="B848" s="70" t="s">
        <v>116</v>
      </c>
      <c r="C848" s="52"/>
      <c r="D848" s="87"/>
      <c r="E848" s="49"/>
      <c r="F848" s="52" t="str">
        <f>IF(E848&lt;&gt;" ",[1]!convnumberletter(E848)&amp;" Euros"," ")</f>
        <v xml:space="preserve">  Euros</v>
      </c>
    </row>
    <row r="849" spans="1:6" ht="18.600000000000001" customHeight="1" x14ac:dyDescent="0.3">
      <c r="A849" s="52" t="s">
        <v>119</v>
      </c>
      <c r="B849" s="46" t="s">
        <v>208</v>
      </c>
      <c r="C849" s="51"/>
      <c r="D849" s="87"/>
      <c r="E849" s="49"/>
      <c r="F849" s="52" t="str">
        <f>IF(E849&lt;&gt;" ",[1]!convnumberletter(E849)&amp;" Euros"," ")</f>
        <v xml:space="preserve">  Euros</v>
      </c>
    </row>
    <row r="850" spans="1:6" ht="18.600000000000001" customHeight="1" x14ac:dyDescent="0.3">
      <c r="A850" s="150" t="s">
        <v>1164</v>
      </c>
      <c r="B850" s="52" t="s">
        <v>211</v>
      </c>
      <c r="C850" s="51" t="s">
        <v>230</v>
      </c>
      <c r="D850" s="87" t="s">
        <v>292</v>
      </c>
      <c r="E850" s="49">
        <v>0</v>
      </c>
      <c r="F850" s="52" t="str">
        <f>IF(E850&lt;&gt;" ",[1]!convnumberletter(E850)&amp;" Euros"," ")</f>
        <v xml:space="preserve">  Euros</v>
      </c>
    </row>
    <row r="851" spans="1:6" ht="18.600000000000001" customHeight="1" x14ac:dyDescent="0.3">
      <c r="A851" s="150" t="s">
        <v>1165</v>
      </c>
      <c r="B851" s="52" t="s">
        <v>326</v>
      </c>
      <c r="C851" s="51" t="s">
        <v>230</v>
      </c>
      <c r="D851" s="87" t="s">
        <v>292</v>
      </c>
      <c r="E851" s="49">
        <v>0</v>
      </c>
      <c r="F851" s="52" t="str">
        <f>IF(E851&lt;&gt;" ",[1]!convnumberletter(E851)&amp;" Euros"," ")</f>
        <v xml:space="preserve">  Euros</v>
      </c>
    </row>
    <row r="852" spans="1:6" ht="18.600000000000001" customHeight="1" x14ac:dyDescent="0.3">
      <c r="A852" s="52" t="s">
        <v>1166</v>
      </c>
      <c r="B852" s="46" t="s">
        <v>168</v>
      </c>
      <c r="C852" s="52"/>
      <c r="D852" s="87"/>
      <c r="E852" s="49"/>
      <c r="F852" s="52" t="str">
        <f>IF(E852&lt;&gt;" ",[1]!convnumberletter(E852)&amp;" Euros"," ")</f>
        <v xml:space="preserve">  Euros</v>
      </c>
    </row>
    <row r="853" spans="1:6" s="65" customFormat="1" ht="18.600000000000001" customHeight="1" x14ac:dyDescent="0.3">
      <c r="A853" s="150" t="s">
        <v>1167</v>
      </c>
      <c r="B853" s="50" t="s">
        <v>213</v>
      </c>
      <c r="C853" s="51" t="s">
        <v>230</v>
      </c>
      <c r="D853" s="88" t="s">
        <v>292</v>
      </c>
      <c r="E853" s="80">
        <v>0</v>
      </c>
      <c r="F853" s="52" t="str">
        <f>IF(E853&lt;&gt;" ",[1]!convnumberletter(E853)&amp;" Euros"," ")</f>
        <v xml:space="preserve">  Euros</v>
      </c>
    </row>
    <row r="854" spans="1:6" s="65" customFormat="1" ht="18.600000000000001" customHeight="1" x14ac:dyDescent="0.3">
      <c r="A854" s="150" t="s">
        <v>1168</v>
      </c>
      <c r="B854" s="50" t="s">
        <v>187</v>
      </c>
      <c r="C854" s="51" t="s">
        <v>230</v>
      </c>
      <c r="D854" s="88" t="s">
        <v>292</v>
      </c>
      <c r="E854" s="80">
        <v>0</v>
      </c>
      <c r="F854" s="52" t="str">
        <f>IF(E854&lt;&gt;" ",[1]!convnumberletter(E854)&amp;" Euros"," ")</f>
        <v xml:space="preserve">  Euros</v>
      </c>
    </row>
    <row r="855" spans="1:6" s="65" customFormat="1" ht="18.600000000000001" customHeight="1" x14ac:dyDescent="0.3">
      <c r="A855" s="150" t="s">
        <v>1169</v>
      </c>
      <c r="B855" s="50" t="s">
        <v>214</v>
      </c>
      <c r="C855" s="51" t="s">
        <v>230</v>
      </c>
      <c r="D855" s="88" t="s">
        <v>292</v>
      </c>
      <c r="E855" s="80">
        <v>0</v>
      </c>
      <c r="F855" s="52" t="str">
        <f>IF(E855&lt;&gt;" ",[1]!convnumberletter(E855)&amp;" Euros"," ")</f>
        <v xml:space="preserve">  Euros</v>
      </c>
    </row>
    <row r="856" spans="1:6" s="65" customFormat="1" ht="33" customHeight="1" x14ac:dyDescent="0.3">
      <c r="A856" s="150" t="s">
        <v>1170</v>
      </c>
      <c r="B856" s="50" t="s">
        <v>215</v>
      </c>
      <c r="C856" s="51" t="s">
        <v>230</v>
      </c>
      <c r="D856" s="88" t="s">
        <v>292</v>
      </c>
      <c r="E856" s="80">
        <v>0</v>
      </c>
      <c r="F856" s="52" t="str">
        <f>IF(E856&lt;&gt;" ",[1]!convnumberletter(E856)&amp;" Euros"," ")</f>
        <v xml:space="preserve">  Euros</v>
      </c>
    </row>
    <row r="857" spans="1:6" ht="18.600000000000001" customHeight="1" x14ac:dyDescent="0.3">
      <c r="A857" s="52" t="s">
        <v>1171</v>
      </c>
      <c r="B857" s="46" t="s">
        <v>169</v>
      </c>
      <c r="C857" s="52"/>
      <c r="D857" s="87"/>
      <c r="E857" s="49"/>
      <c r="F857" s="52" t="str">
        <f>IF(E857&lt;&gt;" ",[1]!convnumberletter(E857)&amp;" Euros"," ")</f>
        <v xml:space="preserve">  Euros</v>
      </c>
    </row>
    <row r="858" spans="1:6" ht="18.600000000000001" customHeight="1" x14ac:dyDescent="0.3">
      <c r="A858" s="150" t="s">
        <v>1172</v>
      </c>
      <c r="B858" s="50" t="s">
        <v>216</v>
      </c>
      <c r="C858" s="51" t="s">
        <v>230</v>
      </c>
      <c r="D858" s="87" t="s">
        <v>292</v>
      </c>
      <c r="E858" s="79">
        <v>0</v>
      </c>
      <c r="F858" s="52" t="str">
        <f>IF(E858&lt;&gt;" ",[1]!convnumberletter(E858)&amp;" Euros"," ")</f>
        <v xml:space="preserve">  Euros</v>
      </c>
    </row>
    <row r="859" spans="1:6" ht="18.600000000000001" customHeight="1" x14ac:dyDescent="0.3">
      <c r="A859" s="150" t="s">
        <v>1173</v>
      </c>
      <c r="B859" s="50" t="s">
        <v>217</v>
      </c>
      <c r="C859" s="51" t="s">
        <v>230</v>
      </c>
      <c r="D859" s="87" t="s">
        <v>292</v>
      </c>
      <c r="E859" s="79">
        <v>0</v>
      </c>
      <c r="F859" s="52" t="str">
        <f>IF(E859&lt;&gt;" ",[1]!convnumberletter(E859)&amp;" Euros"," ")</f>
        <v xml:space="preserve">  Euros</v>
      </c>
    </row>
    <row r="860" spans="1:6" ht="18.600000000000001" customHeight="1" x14ac:dyDescent="0.3">
      <c r="A860" s="150" t="s">
        <v>1174</v>
      </c>
      <c r="B860" s="50" t="s">
        <v>218</v>
      </c>
      <c r="C860" s="51" t="s">
        <v>230</v>
      </c>
      <c r="D860" s="87" t="s">
        <v>292</v>
      </c>
      <c r="E860" s="79">
        <v>0</v>
      </c>
      <c r="F860" s="52" t="str">
        <f>IF(E860&lt;&gt;" ",[1]!convnumberletter(E860)&amp;" Euros"," ")</f>
        <v xml:space="preserve">  Euros</v>
      </c>
    </row>
    <row r="861" spans="1:6" ht="18.600000000000001" customHeight="1" x14ac:dyDescent="0.3">
      <c r="A861" s="150" t="s">
        <v>1175</v>
      </c>
      <c r="B861" s="50" t="s">
        <v>219</v>
      </c>
      <c r="C861" s="51" t="s">
        <v>230</v>
      </c>
      <c r="D861" s="87" t="s">
        <v>292</v>
      </c>
      <c r="E861" s="79">
        <v>0</v>
      </c>
      <c r="F861" s="52" t="str">
        <f>IF(E861&lt;&gt;" ",[1]!convnumberletter(E861)&amp;" Euros"," ")</f>
        <v xml:space="preserve">  Euros</v>
      </c>
    </row>
    <row r="862" spans="1:6" ht="18.600000000000001" customHeight="1" x14ac:dyDescent="0.3">
      <c r="A862" s="150" t="s">
        <v>1176</v>
      </c>
      <c r="B862" s="50" t="s">
        <v>220</v>
      </c>
      <c r="C862" s="51" t="s">
        <v>230</v>
      </c>
      <c r="D862" s="87" t="s">
        <v>292</v>
      </c>
      <c r="E862" s="79">
        <v>0</v>
      </c>
      <c r="F862" s="52" t="str">
        <f>IF(E862&lt;&gt;" ",[1]!convnumberletter(E862)&amp;" Euros"," ")</f>
        <v xml:space="preserve">  Euros</v>
      </c>
    </row>
    <row r="863" spans="1:6" ht="18.600000000000001" customHeight="1" x14ac:dyDescent="0.3">
      <c r="A863" s="150" t="s">
        <v>1177</v>
      </c>
      <c r="B863" s="50" t="s">
        <v>221</v>
      </c>
      <c r="C863" s="51" t="s">
        <v>230</v>
      </c>
      <c r="D863" s="87" t="s">
        <v>292</v>
      </c>
      <c r="E863" s="79">
        <v>0</v>
      </c>
      <c r="F863" s="52" t="str">
        <f>IF(E863&lt;&gt;" ",[1]!convnumberletter(E863)&amp;" Euros"," ")</f>
        <v xml:space="preserve">  Euros</v>
      </c>
    </row>
    <row r="864" spans="1:6" ht="18.600000000000001" customHeight="1" x14ac:dyDescent="0.3">
      <c r="A864" s="150" t="s">
        <v>1178</v>
      </c>
      <c r="B864" s="50" t="s">
        <v>222</v>
      </c>
      <c r="C864" s="51" t="s">
        <v>230</v>
      </c>
      <c r="D864" s="87" t="s">
        <v>292</v>
      </c>
      <c r="E864" s="79">
        <v>0</v>
      </c>
      <c r="F864" s="52" t="str">
        <f>IF(E864&lt;&gt;" ",[1]!convnumberletter(E864)&amp;" Euros"," ")</f>
        <v xml:space="preserve">  Euros</v>
      </c>
    </row>
    <row r="865" spans="1:6" ht="18.600000000000001" customHeight="1" x14ac:dyDescent="0.3">
      <c r="A865" s="52" t="s">
        <v>1179</v>
      </c>
      <c r="B865" s="46" t="s">
        <v>170</v>
      </c>
      <c r="C865" s="52"/>
      <c r="D865" s="87"/>
      <c r="E865" s="49"/>
      <c r="F865" s="52" t="str">
        <f>IF(E865&lt;&gt;" ",[1]!convnumberletter(E865)&amp;" Euros"," ")</f>
        <v xml:space="preserve">  Euros</v>
      </c>
    </row>
    <row r="866" spans="1:6" ht="18.600000000000001" customHeight="1" x14ac:dyDescent="0.3">
      <c r="A866" s="150" t="s">
        <v>1180</v>
      </c>
      <c r="B866" s="50" t="s">
        <v>223</v>
      </c>
      <c r="C866" s="51" t="s">
        <v>230</v>
      </c>
      <c r="D866" s="87" t="s">
        <v>292</v>
      </c>
      <c r="E866" s="79">
        <v>0</v>
      </c>
      <c r="F866" s="52" t="str">
        <f>IF(E866&lt;&gt;" ",[1]!convnumberletter(E866)&amp;" Euros"," ")</f>
        <v xml:space="preserve">  Euros</v>
      </c>
    </row>
    <row r="867" spans="1:6" ht="18.600000000000001" customHeight="1" x14ac:dyDescent="0.3">
      <c r="A867" s="150" t="s">
        <v>1181</v>
      </c>
      <c r="B867" s="50" t="s">
        <v>224</v>
      </c>
      <c r="C867" s="51" t="s">
        <v>230</v>
      </c>
      <c r="D867" s="87" t="s">
        <v>292</v>
      </c>
      <c r="E867" s="79">
        <v>0</v>
      </c>
      <c r="F867" s="52" t="str">
        <f>IF(E867&lt;&gt;" ",[1]!convnumberletter(E867)&amp;" Euros"," ")</f>
        <v xml:space="preserve">  Euros</v>
      </c>
    </row>
    <row r="868" spans="1:6" ht="18.600000000000001" customHeight="1" x14ac:dyDescent="0.3">
      <c r="A868" s="150" t="s">
        <v>1182</v>
      </c>
      <c r="B868" s="50" t="s">
        <v>178</v>
      </c>
      <c r="C868" s="51" t="s">
        <v>230</v>
      </c>
      <c r="D868" s="87" t="s">
        <v>292</v>
      </c>
      <c r="E868" s="79">
        <v>0</v>
      </c>
      <c r="F868" s="52" t="str">
        <f>IF(E868&lt;&gt;" ",[1]!convnumberletter(E868)&amp;" Euros"," ")</f>
        <v xml:space="preserve">  Euros</v>
      </c>
    </row>
    <row r="869" spans="1:6" ht="18.600000000000001" customHeight="1" x14ac:dyDescent="0.3">
      <c r="A869" s="52" t="s">
        <v>1183</v>
      </c>
      <c r="B869" s="46" t="s">
        <v>171</v>
      </c>
      <c r="C869" s="52"/>
      <c r="D869" s="87"/>
      <c r="E869" s="49"/>
      <c r="F869" s="52" t="str">
        <f>IF(E869&lt;&gt;" ",[1]!convnumberletter(E869)&amp;" Euros"," ")</f>
        <v xml:space="preserve">  Euros</v>
      </c>
    </row>
    <row r="870" spans="1:6" ht="24.6" customHeight="1" x14ac:dyDescent="0.3">
      <c r="A870" s="150" t="s">
        <v>1184</v>
      </c>
      <c r="B870" s="50" t="s">
        <v>229</v>
      </c>
      <c r="C870" s="51" t="s">
        <v>181</v>
      </c>
      <c r="D870" s="87" t="s">
        <v>292</v>
      </c>
      <c r="E870" s="79">
        <v>0</v>
      </c>
      <c r="F870" s="52" t="str">
        <f>IF(E870&lt;&gt;" ",[1]!convnumberletter(E870)&amp;" Euros"," ")</f>
        <v xml:space="preserve">  Euros</v>
      </c>
    </row>
    <row r="871" spans="1:6" ht="24.6" customHeight="1" x14ac:dyDescent="0.3">
      <c r="A871" s="150" t="s">
        <v>1185</v>
      </c>
      <c r="B871" s="50" t="s">
        <v>366</v>
      </c>
      <c r="C871" s="51" t="s">
        <v>181</v>
      </c>
      <c r="D871" s="87" t="s">
        <v>292</v>
      </c>
      <c r="E871" s="79">
        <v>0</v>
      </c>
      <c r="F871" s="52" t="str">
        <f>IF(E871&lt;&gt;" ",[1]!convnumberletter(E871)&amp;" Euros"," ")</f>
        <v xml:space="preserve">  Euros</v>
      </c>
    </row>
    <row r="872" spans="1:6" ht="18.600000000000001" customHeight="1" x14ac:dyDescent="0.3">
      <c r="A872" s="150" t="s">
        <v>1186</v>
      </c>
      <c r="B872" s="50" t="s">
        <v>225</v>
      </c>
      <c r="C872" s="51" t="s">
        <v>181</v>
      </c>
      <c r="D872" s="87" t="s">
        <v>292</v>
      </c>
      <c r="E872" s="79">
        <v>0</v>
      </c>
      <c r="F872" s="52" t="str">
        <f>IF(E872&lt;&gt;" ",[1]!convnumberletter(E872)&amp;" Euros"," ")</f>
        <v xml:space="preserve">  Euros</v>
      </c>
    </row>
    <row r="873" spans="1:6" ht="18.600000000000001" customHeight="1" x14ac:dyDescent="0.3">
      <c r="A873" s="150" t="s">
        <v>1187</v>
      </c>
      <c r="B873" s="50" t="s">
        <v>226</v>
      </c>
      <c r="C873" s="51" t="s">
        <v>181</v>
      </c>
      <c r="D873" s="87" t="s">
        <v>292</v>
      </c>
      <c r="E873" s="79">
        <v>0</v>
      </c>
      <c r="F873" s="52" t="str">
        <f>IF(E873&lt;&gt;" ",[1]!convnumberletter(E873)&amp;" Euros"," ")</f>
        <v xml:space="preserve">  Euros</v>
      </c>
    </row>
    <row r="874" spans="1:6" ht="18.600000000000001" customHeight="1" x14ac:dyDescent="0.3">
      <c r="A874" s="150" t="s">
        <v>1188</v>
      </c>
      <c r="B874" s="50" t="s">
        <v>227</v>
      </c>
      <c r="C874" s="51" t="s">
        <v>181</v>
      </c>
      <c r="D874" s="87" t="s">
        <v>292</v>
      </c>
      <c r="E874" s="79">
        <v>0</v>
      </c>
      <c r="F874" s="52" t="str">
        <f>IF(E874&lt;&gt;" ",[1]!convnumberletter(E874)&amp;" Euros"," ")</f>
        <v xml:space="preserve">  Euros</v>
      </c>
    </row>
    <row r="875" spans="1:6" ht="18.600000000000001" customHeight="1" x14ac:dyDescent="0.3">
      <c r="A875" s="150" t="s">
        <v>1189</v>
      </c>
      <c r="B875" s="50" t="s">
        <v>228</v>
      </c>
      <c r="C875" s="51" t="s">
        <v>181</v>
      </c>
      <c r="D875" s="87" t="s">
        <v>292</v>
      </c>
      <c r="E875" s="79">
        <v>0</v>
      </c>
      <c r="F875" s="52" t="str">
        <f>IF(E875&lt;&gt;" ",[1]!convnumberletter(E875)&amp;" Euros"," ")</f>
        <v xml:space="preserve">  Euros</v>
      </c>
    </row>
    <row r="876" spans="1:6" ht="18.600000000000001" customHeight="1" x14ac:dyDescent="0.3">
      <c r="A876" s="52" t="s">
        <v>1190</v>
      </c>
      <c r="B876" s="46" t="s">
        <v>172</v>
      </c>
      <c r="C876" s="52"/>
      <c r="D876" s="87"/>
      <c r="E876" s="49"/>
      <c r="F876" s="52" t="str">
        <f>IF(E876&lt;&gt;" ",[1]!convnumberletter(E876)&amp;" Euros"," ")</f>
        <v xml:space="preserve">  Euros</v>
      </c>
    </row>
    <row r="877" spans="1:6" ht="18.600000000000001" customHeight="1" x14ac:dyDescent="0.3">
      <c r="A877" s="150" t="s">
        <v>1191</v>
      </c>
      <c r="B877" s="50" t="s">
        <v>231</v>
      </c>
      <c r="C877" s="51" t="s">
        <v>181</v>
      </c>
      <c r="D877" s="87" t="s">
        <v>292</v>
      </c>
      <c r="E877" s="79">
        <v>0</v>
      </c>
      <c r="F877" s="52" t="str">
        <f>IF(E877&lt;&gt;" ",[1]!convnumberletter(E877)&amp;" Euros"," ")</f>
        <v xml:space="preserve">  Euros</v>
      </c>
    </row>
    <row r="878" spans="1:6" ht="18.600000000000001" customHeight="1" x14ac:dyDescent="0.3">
      <c r="A878" s="150" t="s">
        <v>1192</v>
      </c>
      <c r="B878" s="50" t="s">
        <v>232</v>
      </c>
      <c r="C878" s="51" t="s">
        <v>181</v>
      </c>
      <c r="D878" s="87" t="s">
        <v>292</v>
      </c>
      <c r="E878" s="79">
        <v>0</v>
      </c>
      <c r="F878" s="52" t="str">
        <f>IF(E878&lt;&gt;" ",[1]!convnumberletter(E878)&amp;" Euros"," ")</f>
        <v xml:space="preserve">  Euros</v>
      </c>
    </row>
    <row r="879" spans="1:6" ht="28.2" customHeight="1" x14ac:dyDescent="0.3">
      <c r="A879" s="150" t="s">
        <v>1193</v>
      </c>
      <c r="B879" s="50" t="s">
        <v>233</v>
      </c>
      <c r="C879" s="51" t="s">
        <v>181</v>
      </c>
      <c r="D879" s="87" t="s">
        <v>292</v>
      </c>
      <c r="E879" s="79">
        <v>0</v>
      </c>
      <c r="F879" s="52" t="str">
        <f>IF(E879&lt;&gt;" ",[1]!convnumberletter(E879)&amp;" Euros"," ")</f>
        <v xml:space="preserve">  Euros</v>
      </c>
    </row>
    <row r="880" spans="1:6" ht="18.600000000000001" customHeight="1" x14ac:dyDescent="0.3">
      <c r="A880" s="150" t="s">
        <v>1194</v>
      </c>
      <c r="B880" s="50" t="s">
        <v>234</v>
      </c>
      <c r="C880" s="51" t="s">
        <v>181</v>
      </c>
      <c r="D880" s="87" t="s">
        <v>292</v>
      </c>
      <c r="E880" s="79">
        <v>0</v>
      </c>
      <c r="F880" s="52" t="str">
        <f>IF(E880&lt;&gt;" ",[1]!convnumberletter(E880)&amp;" Euros"," ")</f>
        <v xml:space="preserve">  Euros</v>
      </c>
    </row>
    <row r="881" spans="1:6" ht="18.600000000000001" customHeight="1" x14ac:dyDescent="0.3">
      <c r="A881" s="52" t="s">
        <v>1195</v>
      </c>
      <c r="B881" s="46" t="s">
        <v>173</v>
      </c>
      <c r="C881" s="52"/>
      <c r="D881" s="87"/>
      <c r="E881" s="49"/>
      <c r="F881" s="52" t="str">
        <f>IF(E881&lt;&gt;" ",[1]!convnumberletter(E881)&amp;" Euros"," ")</f>
        <v xml:space="preserve">  Euros</v>
      </c>
    </row>
    <row r="882" spans="1:6" ht="18.600000000000001" customHeight="1" x14ac:dyDescent="0.3">
      <c r="A882" s="150" t="s">
        <v>1196</v>
      </c>
      <c r="B882" s="152" t="s">
        <v>1294</v>
      </c>
      <c r="C882" s="51" t="s">
        <v>181</v>
      </c>
      <c r="D882" s="87" t="s">
        <v>292</v>
      </c>
      <c r="E882" s="79">
        <v>0</v>
      </c>
      <c r="F882" s="52" t="str">
        <f>IF(E882&lt;&gt;" ",[1]!convnumberletter(E882)&amp;" Euros"," ")</f>
        <v xml:space="preserve">  Euros</v>
      </c>
    </row>
    <row r="883" spans="1:6" ht="18.600000000000001" customHeight="1" x14ac:dyDescent="0.3">
      <c r="A883" s="150" t="s">
        <v>1197</v>
      </c>
      <c r="B883" s="50" t="s">
        <v>235</v>
      </c>
      <c r="C883" s="51" t="s">
        <v>181</v>
      </c>
      <c r="D883" s="87" t="s">
        <v>292</v>
      </c>
      <c r="E883" s="79">
        <v>0</v>
      </c>
      <c r="F883" s="52" t="str">
        <f>IF(E883&lt;&gt;" ",[1]!convnumberletter(E883)&amp;" Euros"," ")</f>
        <v xml:space="preserve">  Euros</v>
      </c>
    </row>
    <row r="884" spans="1:6" ht="18.600000000000001" customHeight="1" x14ac:dyDescent="0.3">
      <c r="A884" s="150" t="s">
        <v>1198</v>
      </c>
      <c r="B884" s="50" t="s">
        <v>236</v>
      </c>
      <c r="C884" s="51" t="s">
        <v>181</v>
      </c>
      <c r="D884" s="87" t="s">
        <v>292</v>
      </c>
      <c r="E884" s="79">
        <v>0</v>
      </c>
      <c r="F884" s="52" t="str">
        <f>IF(E884&lt;&gt;" ",[1]!convnumberletter(E884)&amp;" Euros"," ")</f>
        <v xml:space="preserve">  Euros</v>
      </c>
    </row>
    <row r="885" spans="1:6" ht="18.600000000000001" customHeight="1" x14ac:dyDescent="0.3">
      <c r="A885" s="150" t="s">
        <v>1199</v>
      </c>
      <c r="B885" s="50" t="s">
        <v>237</v>
      </c>
      <c r="C885" s="51" t="s">
        <v>181</v>
      </c>
      <c r="D885" s="87" t="s">
        <v>292</v>
      </c>
      <c r="E885" s="79">
        <v>0</v>
      </c>
      <c r="F885" s="52" t="str">
        <f>IF(E885&lt;&gt;" ",[1]!convnumberletter(E885)&amp;" Euros"," ")</f>
        <v xml:space="preserve">  Euros</v>
      </c>
    </row>
    <row r="886" spans="1:6" ht="18.600000000000001" customHeight="1" x14ac:dyDescent="0.3">
      <c r="A886" s="150" t="s">
        <v>1200</v>
      </c>
      <c r="B886" s="50" t="s">
        <v>238</v>
      </c>
      <c r="C886" s="51" t="s">
        <v>181</v>
      </c>
      <c r="D886" s="87" t="s">
        <v>292</v>
      </c>
      <c r="E886" s="79">
        <v>0</v>
      </c>
      <c r="F886" s="52" t="str">
        <f>IF(E886&lt;&gt;" ",[1]!convnumberletter(E886)&amp;" Euros"," ")</f>
        <v xml:space="preserve">  Euros</v>
      </c>
    </row>
    <row r="887" spans="1:6" ht="18.600000000000001" customHeight="1" x14ac:dyDescent="0.3">
      <c r="A887" s="150" t="s">
        <v>1201</v>
      </c>
      <c r="B887" s="50" t="s">
        <v>179</v>
      </c>
      <c r="C887" s="51" t="s">
        <v>181</v>
      </c>
      <c r="D887" s="87" t="s">
        <v>292</v>
      </c>
      <c r="E887" s="79">
        <v>0</v>
      </c>
      <c r="F887" s="52" t="str">
        <f>IF(E887&lt;&gt;" ",[1]!convnumberletter(E887)&amp;" Euros"," ")</f>
        <v xml:space="preserve">  Euros</v>
      </c>
    </row>
    <row r="888" spans="1:6" ht="18.600000000000001" customHeight="1" x14ac:dyDescent="0.3">
      <c r="A888" s="150" t="s">
        <v>1202</v>
      </c>
      <c r="B888" s="50" t="s">
        <v>239</v>
      </c>
      <c r="C888" s="51" t="s">
        <v>181</v>
      </c>
      <c r="D888" s="87" t="s">
        <v>292</v>
      </c>
      <c r="E888" s="79">
        <v>0</v>
      </c>
      <c r="F888" s="52" t="str">
        <f>IF(E888&lt;&gt;" ",[1]!convnumberletter(E888)&amp;" Euros"," ")</f>
        <v xml:space="preserve">  Euros</v>
      </c>
    </row>
    <row r="889" spans="1:6" ht="18.600000000000001" customHeight="1" x14ac:dyDescent="0.3">
      <c r="A889" s="52" t="s">
        <v>1203</v>
      </c>
      <c r="B889" s="46" t="s">
        <v>174</v>
      </c>
      <c r="C889" s="52"/>
      <c r="D889" s="87"/>
      <c r="E889" s="49"/>
      <c r="F889" s="52" t="str">
        <f>IF(E889&lt;&gt;" ",[1]!convnumberletter(E889)&amp;" Euros"," ")</f>
        <v xml:space="preserve">  Euros</v>
      </c>
    </row>
    <row r="890" spans="1:6" ht="18.600000000000001" customHeight="1" x14ac:dyDescent="0.3">
      <c r="A890" s="150" t="s">
        <v>1204</v>
      </c>
      <c r="B890" s="50" t="s">
        <v>240</v>
      </c>
      <c r="C890" s="51" t="s">
        <v>181</v>
      </c>
      <c r="D890" s="87" t="s">
        <v>292</v>
      </c>
      <c r="E890" s="79">
        <v>0</v>
      </c>
      <c r="F890" s="52" t="str">
        <f>IF(E890&lt;&gt;" ",[1]!convnumberletter(E890)&amp;" Euros"," ")</f>
        <v xml:space="preserve">  Euros</v>
      </c>
    </row>
    <row r="891" spans="1:6" ht="18.600000000000001" customHeight="1" x14ac:dyDescent="0.3">
      <c r="A891" s="150" t="s">
        <v>1205</v>
      </c>
      <c r="B891" s="50" t="s">
        <v>241</v>
      </c>
      <c r="C891" s="51" t="s">
        <v>181</v>
      </c>
      <c r="D891" s="87" t="s">
        <v>292</v>
      </c>
      <c r="E891" s="79">
        <v>0</v>
      </c>
      <c r="F891" s="52" t="str">
        <f>IF(E891&lt;&gt;" ",[1]!convnumberletter(E891)&amp;" Euros"," ")</f>
        <v xml:space="preserve">  Euros</v>
      </c>
    </row>
    <row r="892" spans="1:6" ht="18.600000000000001" customHeight="1" x14ac:dyDescent="0.3">
      <c r="A892" s="150" t="s">
        <v>1206</v>
      </c>
      <c r="B892" s="50" t="s">
        <v>242</v>
      </c>
      <c r="C892" s="51" t="s">
        <v>181</v>
      </c>
      <c r="D892" s="87" t="s">
        <v>292</v>
      </c>
      <c r="E892" s="79">
        <v>0</v>
      </c>
      <c r="F892" s="52" t="str">
        <f>IF(E892&lt;&gt;" ",[1]!convnumberletter(E892)&amp;" Euros"," ")</f>
        <v xml:space="preserve">  Euros</v>
      </c>
    </row>
    <row r="893" spans="1:6" ht="18.600000000000001" customHeight="1" x14ac:dyDescent="0.3">
      <c r="A893" s="150" t="s">
        <v>1207</v>
      </c>
      <c r="B893" s="50" t="s">
        <v>243</v>
      </c>
      <c r="C893" s="51" t="s">
        <v>181</v>
      </c>
      <c r="D893" s="87" t="s">
        <v>292</v>
      </c>
      <c r="E893" s="79">
        <v>0</v>
      </c>
      <c r="F893" s="52" t="str">
        <f>IF(E893&lt;&gt;" ",[1]!convnumberletter(E893)&amp;" Euros"," ")</f>
        <v xml:space="preserve">  Euros</v>
      </c>
    </row>
    <row r="894" spans="1:6" ht="18.600000000000001" customHeight="1" x14ac:dyDescent="0.3">
      <c r="A894" s="150" t="s">
        <v>1208</v>
      </c>
      <c r="B894" s="50" t="s">
        <v>244</v>
      </c>
      <c r="C894" s="51" t="s">
        <v>181</v>
      </c>
      <c r="D894" s="87" t="s">
        <v>292</v>
      </c>
      <c r="E894" s="79">
        <v>0</v>
      </c>
      <c r="F894" s="52" t="str">
        <f>IF(E894&lt;&gt;" ",[1]!convnumberletter(E894)&amp;" Euros"," ")</f>
        <v xml:space="preserve">  Euros</v>
      </c>
    </row>
    <row r="895" spans="1:6" ht="18.600000000000001" customHeight="1" x14ac:dyDescent="0.3">
      <c r="A895" s="150" t="s">
        <v>1209</v>
      </c>
      <c r="B895" s="50" t="s">
        <v>245</v>
      </c>
      <c r="C895" s="51" t="s">
        <v>181</v>
      </c>
      <c r="D895" s="87" t="s">
        <v>292</v>
      </c>
      <c r="E895" s="79">
        <v>0</v>
      </c>
      <c r="F895" s="52" t="str">
        <f>IF(E895&lt;&gt;" ",[1]!convnumberletter(E895)&amp;" Euros"," ")</f>
        <v xml:space="preserve">  Euros</v>
      </c>
    </row>
    <row r="896" spans="1:6" ht="18.600000000000001" customHeight="1" x14ac:dyDescent="0.3">
      <c r="A896" s="150" t="s">
        <v>1210</v>
      </c>
      <c r="B896" s="50" t="s">
        <v>246</v>
      </c>
      <c r="C896" s="51" t="s">
        <v>181</v>
      </c>
      <c r="D896" s="87" t="s">
        <v>292</v>
      </c>
      <c r="E896" s="79">
        <v>0</v>
      </c>
      <c r="F896" s="52" t="str">
        <f>IF(E896&lt;&gt;" ",[1]!convnumberletter(E896)&amp;" Euros"," ")</f>
        <v xml:space="preserve">  Euros</v>
      </c>
    </row>
    <row r="897" spans="1:6" ht="18.600000000000001" customHeight="1" x14ac:dyDescent="0.3">
      <c r="A897" s="150" t="s">
        <v>1211</v>
      </c>
      <c r="B897" s="50" t="s">
        <v>247</v>
      </c>
      <c r="C897" s="51" t="s">
        <v>181</v>
      </c>
      <c r="D897" s="87" t="s">
        <v>292</v>
      </c>
      <c r="E897" s="79">
        <v>0</v>
      </c>
      <c r="F897" s="52" t="str">
        <f>IF(E897&lt;&gt;" ",[1]!convnumberletter(E897)&amp;" Euros"," ")</f>
        <v xml:space="preserve">  Euros</v>
      </c>
    </row>
    <row r="898" spans="1:6" ht="18.600000000000001" customHeight="1" x14ac:dyDescent="0.3">
      <c r="A898" s="150" t="s">
        <v>1212</v>
      </c>
      <c r="B898" s="50" t="s">
        <v>248</v>
      </c>
      <c r="C898" s="51" t="s">
        <v>181</v>
      </c>
      <c r="D898" s="87" t="s">
        <v>292</v>
      </c>
      <c r="E898" s="79">
        <v>0</v>
      </c>
      <c r="F898" s="52" t="str">
        <f>IF(E898&lt;&gt;" ",[1]!convnumberletter(E898)&amp;" Euros"," ")</f>
        <v xml:space="preserve">  Euros</v>
      </c>
    </row>
    <row r="899" spans="1:6" ht="28.8" customHeight="1" x14ac:dyDescent="0.3">
      <c r="A899" s="150" t="s">
        <v>1213</v>
      </c>
      <c r="B899" s="50" t="s">
        <v>249</v>
      </c>
      <c r="C899" s="51" t="s">
        <v>181</v>
      </c>
      <c r="D899" s="87" t="s">
        <v>292</v>
      </c>
      <c r="E899" s="79">
        <v>0</v>
      </c>
      <c r="F899" s="52" t="str">
        <f>IF(E899&lt;&gt;" ",[1]!convnumberletter(E899)&amp;" Euros"," ")</f>
        <v xml:space="preserve">  Euros</v>
      </c>
    </row>
    <row r="900" spans="1:6" ht="18.600000000000001" customHeight="1" x14ac:dyDescent="0.3">
      <c r="A900" s="150" t="s">
        <v>1214</v>
      </c>
      <c r="B900" s="50" t="s">
        <v>250</v>
      </c>
      <c r="C900" s="51" t="s">
        <v>17</v>
      </c>
      <c r="D900" s="87" t="s">
        <v>292</v>
      </c>
      <c r="E900" s="79">
        <v>0</v>
      </c>
      <c r="F900" s="52" t="str">
        <f>IF(E900&lt;&gt;" ",[1]!convnumberletter(E900)&amp;" Euros"," ")</f>
        <v xml:space="preserve">  Euros</v>
      </c>
    </row>
    <row r="901" spans="1:6" ht="18.600000000000001" customHeight="1" x14ac:dyDescent="0.3">
      <c r="A901" s="150" t="s">
        <v>1215</v>
      </c>
      <c r="B901" s="50" t="s">
        <v>194</v>
      </c>
      <c r="C901" s="51" t="s">
        <v>181</v>
      </c>
      <c r="D901" s="87" t="s">
        <v>292</v>
      </c>
      <c r="E901" s="79">
        <v>0</v>
      </c>
      <c r="F901" s="52" t="str">
        <f>IF(E901&lt;&gt;" ",[1]!convnumberletter(E901)&amp;" Euros"," ")</f>
        <v xml:space="preserve">  Euros</v>
      </c>
    </row>
    <row r="902" spans="1:6" ht="18.600000000000001" customHeight="1" x14ac:dyDescent="0.3">
      <c r="A902" s="52" t="s">
        <v>1216</v>
      </c>
      <c r="B902" s="46" t="s">
        <v>175</v>
      </c>
      <c r="C902" s="52"/>
      <c r="D902" s="87"/>
      <c r="E902" s="49"/>
      <c r="F902" s="52" t="str">
        <f>IF(E902&lt;&gt;" ",[1]!convnumberletter(E902)&amp;" Euros"," ")</f>
        <v xml:space="preserve">  Euros</v>
      </c>
    </row>
    <row r="903" spans="1:6" ht="18.600000000000001" customHeight="1" x14ac:dyDescent="0.3">
      <c r="A903" s="150" t="s">
        <v>1217</v>
      </c>
      <c r="B903" s="50" t="s">
        <v>180</v>
      </c>
      <c r="C903" s="51" t="s">
        <v>181</v>
      </c>
      <c r="D903" s="87" t="s">
        <v>292</v>
      </c>
      <c r="E903" s="49">
        <v>0</v>
      </c>
      <c r="F903" s="52" t="str">
        <f>IF(E903&lt;&gt;" ",[1]!convnumberletter(E903)&amp;" Euros"," ")</f>
        <v xml:space="preserve">  Euros</v>
      </c>
    </row>
    <row r="904" spans="1:6" ht="18.600000000000001" customHeight="1" x14ac:dyDescent="0.3">
      <c r="A904" s="52" t="s">
        <v>1218</v>
      </c>
      <c r="B904" s="46" t="s">
        <v>176</v>
      </c>
      <c r="C904" s="52"/>
      <c r="D904" s="87"/>
      <c r="E904" s="49"/>
      <c r="F904" s="52" t="str">
        <f>IF(E904&lt;&gt;" ",[1]!convnumberletter(E904)&amp;" Euros"," ")</f>
        <v xml:space="preserve">  Euros</v>
      </c>
    </row>
    <row r="905" spans="1:6" ht="18.600000000000001" customHeight="1" x14ac:dyDescent="0.3">
      <c r="A905" s="150" t="s">
        <v>1219</v>
      </c>
      <c r="B905" s="50" t="s">
        <v>257</v>
      </c>
      <c r="C905" s="51" t="s">
        <v>181</v>
      </c>
      <c r="D905" s="87" t="s">
        <v>292</v>
      </c>
      <c r="E905" s="49">
        <v>0</v>
      </c>
      <c r="F905" s="52" t="str">
        <f>IF(E905&lt;&gt;" ",[1]!convnumberletter(E905)&amp;" Euros"," ")</f>
        <v xml:space="preserve">  Euros</v>
      </c>
    </row>
    <row r="906" spans="1:6" ht="18.600000000000001" customHeight="1" x14ac:dyDescent="0.3">
      <c r="A906" s="150" t="s">
        <v>1220</v>
      </c>
      <c r="B906" s="50" t="s">
        <v>253</v>
      </c>
      <c r="C906" s="51" t="s">
        <v>17</v>
      </c>
      <c r="D906" s="87" t="s">
        <v>292</v>
      </c>
      <c r="E906" s="49">
        <v>0</v>
      </c>
      <c r="F906" s="52" t="str">
        <f>IF(E906&lt;&gt;" ",[1]!convnumberletter(E906)&amp;" Euros"," ")</f>
        <v xml:space="preserve">  Euros</v>
      </c>
    </row>
    <row r="907" spans="1:6" ht="18.600000000000001" customHeight="1" x14ac:dyDescent="0.3">
      <c r="A907" s="150" t="s">
        <v>1221</v>
      </c>
      <c r="B907" s="50" t="s">
        <v>252</v>
      </c>
      <c r="C907" s="51" t="s">
        <v>17</v>
      </c>
      <c r="D907" s="87" t="s">
        <v>292</v>
      </c>
      <c r="E907" s="49">
        <v>0</v>
      </c>
      <c r="F907" s="52" t="str">
        <f>IF(E907&lt;&gt;" ",[1]!convnumberletter(E907)&amp;" Euros"," ")</f>
        <v xml:space="preserve">  Euros</v>
      </c>
    </row>
    <row r="908" spans="1:6" ht="18.600000000000001" customHeight="1" x14ac:dyDescent="0.3">
      <c r="A908" s="150" t="s">
        <v>1222</v>
      </c>
      <c r="B908" s="50" t="s">
        <v>254</v>
      </c>
      <c r="C908" s="51" t="s">
        <v>17</v>
      </c>
      <c r="D908" s="87" t="s">
        <v>292</v>
      </c>
      <c r="E908" s="49">
        <v>0</v>
      </c>
      <c r="F908" s="52" t="str">
        <f>IF(E908&lt;&gt;" ",[1]!convnumberletter(E908)&amp;" Euros"," ")</f>
        <v xml:space="preserve">  Euros</v>
      </c>
    </row>
    <row r="909" spans="1:6" ht="18.600000000000001" customHeight="1" x14ac:dyDescent="0.3">
      <c r="A909" s="150" t="s">
        <v>1223</v>
      </c>
      <c r="B909" s="50" t="s">
        <v>255</v>
      </c>
      <c r="C909" s="51" t="s">
        <v>17</v>
      </c>
      <c r="D909" s="87" t="s">
        <v>292</v>
      </c>
      <c r="E909" s="49">
        <v>0</v>
      </c>
      <c r="F909" s="52" t="str">
        <f>IF(E909&lt;&gt;" ",[1]!convnumberletter(E909)&amp;" Euros"," ")</f>
        <v xml:space="preserve">  Euros</v>
      </c>
    </row>
    <row r="910" spans="1:6" ht="28.8" customHeight="1" x14ac:dyDescent="0.3">
      <c r="A910" s="150" t="s">
        <v>1224</v>
      </c>
      <c r="B910" s="50" t="s">
        <v>251</v>
      </c>
      <c r="C910" s="51" t="s">
        <v>17</v>
      </c>
      <c r="D910" s="87" t="s">
        <v>292</v>
      </c>
      <c r="E910" s="49">
        <v>0</v>
      </c>
      <c r="F910" s="52" t="str">
        <f>IF(E910&lt;&gt;" ",[1]!convnumberletter(E910)&amp;" Euros"," ")</f>
        <v xml:space="preserve">  Euros</v>
      </c>
    </row>
    <row r="911" spans="1:6" x14ac:dyDescent="0.3">
      <c r="A911" s="150" t="s">
        <v>1225</v>
      </c>
      <c r="B911" s="50" t="s">
        <v>256</v>
      </c>
      <c r="C911" s="51" t="s">
        <v>181</v>
      </c>
      <c r="D911" s="87" t="s">
        <v>292</v>
      </c>
      <c r="E911" s="49">
        <v>0</v>
      </c>
      <c r="F911" s="52" t="str">
        <f>IF(E911&lt;&gt;" ",[1]!convnumberletter(E911)&amp;" Euros"," ")</f>
        <v xml:space="preserve">  Euros</v>
      </c>
    </row>
    <row r="912" spans="1:6" x14ac:dyDescent="0.3">
      <c r="A912" s="150" t="s">
        <v>1226</v>
      </c>
      <c r="B912" s="50" t="s">
        <v>258</v>
      </c>
      <c r="C912" s="51" t="s">
        <v>17</v>
      </c>
      <c r="D912" s="87" t="s">
        <v>292</v>
      </c>
      <c r="E912" s="49">
        <v>0</v>
      </c>
      <c r="F912" s="52" t="str">
        <f>IF(E912&lt;&gt;" ",[1]!convnumberletter(E912)&amp;" Euros"," ")</f>
        <v xml:space="preserve">  Euros</v>
      </c>
    </row>
    <row r="913" spans="1:6" ht="18.600000000000001" customHeight="1" x14ac:dyDescent="0.3">
      <c r="A913" s="150" t="s">
        <v>1227</v>
      </c>
      <c r="B913" s="50" t="s">
        <v>193</v>
      </c>
      <c r="C913" s="51" t="s">
        <v>181</v>
      </c>
      <c r="D913" s="87" t="s">
        <v>292</v>
      </c>
      <c r="E913" s="49">
        <v>0</v>
      </c>
      <c r="F913" s="52" t="str">
        <f>IF(E913&lt;&gt;" ",[1]!convnumberletter(E913)&amp;" Euros"," ")</f>
        <v xml:space="preserve">  Euros</v>
      </c>
    </row>
    <row r="914" spans="1:6" x14ac:dyDescent="0.3">
      <c r="A914" s="150" t="s">
        <v>1228</v>
      </c>
      <c r="B914" s="50" t="s">
        <v>192</v>
      </c>
      <c r="C914" s="51" t="s">
        <v>181</v>
      </c>
      <c r="D914" s="87" t="s">
        <v>292</v>
      </c>
      <c r="E914" s="49">
        <v>0</v>
      </c>
      <c r="F914" s="52" t="str">
        <f>IF(E914&lt;&gt;" ",[1]!convnumberletter(E914)&amp;" Euros"," ")</f>
        <v xml:space="preserve">  Euros</v>
      </c>
    </row>
    <row r="915" spans="1:6" ht="28.8" x14ac:dyDescent="0.3">
      <c r="A915" s="150" t="s">
        <v>1229</v>
      </c>
      <c r="B915" s="50" t="s">
        <v>260</v>
      </c>
      <c r="C915" s="51" t="s">
        <v>181</v>
      </c>
      <c r="D915" s="87" t="s">
        <v>292</v>
      </c>
      <c r="E915" s="49">
        <v>0</v>
      </c>
      <c r="F915" s="52" t="str">
        <f>IF(E915&lt;&gt;" ",[1]!convnumberletter(E915)&amp;" Euros"," ")</f>
        <v xml:space="preserve">  Euros</v>
      </c>
    </row>
    <row r="916" spans="1:6" ht="18.600000000000001" customHeight="1" x14ac:dyDescent="0.3">
      <c r="A916" s="52" t="s">
        <v>1230</v>
      </c>
      <c r="B916" s="46" t="s">
        <v>177</v>
      </c>
      <c r="C916" s="52"/>
      <c r="D916" s="87"/>
      <c r="E916" s="49"/>
      <c r="F916" s="52" t="str">
        <f>IF(E916&lt;&gt;" ",[1]!convnumberletter(E916)&amp;" Euros"," ")</f>
        <v xml:space="preserve">  Euros</v>
      </c>
    </row>
    <row r="917" spans="1:6" ht="18.600000000000001" customHeight="1" x14ac:dyDescent="0.3">
      <c r="A917" s="150" t="s">
        <v>1231</v>
      </c>
      <c r="B917" s="50" t="s">
        <v>182</v>
      </c>
      <c r="C917" s="51" t="s">
        <v>181</v>
      </c>
      <c r="D917" s="87" t="s">
        <v>292</v>
      </c>
      <c r="E917" s="49">
        <v>0</v>
      </c>
      <c r="F917" s="52" t="str">
        <f>IF(E917&lt;&gt;" ",[1]!convnumberletter(E917)&amp;" Euros"," ")</f>
        <v xml:space="preserve">  Euros</v>
      </c>
    </row>
    <row r="918" spans="1:6" x14ac:dyDescent="0.3">
      <c r="A918" s="150" t="s">
        <v>1232</v>
      </c>
      <c r="B918" s="50" t="s">
        <v>1273</v>
      </c>
      <c r="C918" s="51" t="s">
        <v>181</v>
      </c>
      <c r="D918" s="87" t="s">
        <v>292</v>
      </c>
      <c r="E918" s="49">
        <v>0</v>
      </c>
      <c r="F918" s="52" t="str">
        <f>IF(E918&lt;&gt;" ",[1]!convnumberletter(E918)&amp;" Euros"," ")</f>
        <v xml:space="preserve">  Euros</v>
      </c>
    </row>
    <row r="919" spans="1:6" x14ac:dyDescent="0.3">
      <c r="A919" s="150" t="s">
        <v>1233</v>
      </c>
      <c r="B919" s="50" t="s">
        <v>183</v>
      </c>
      <c r="C919" s="51" t="s">
        <v>181</v>
      </c>
      <c r="D919" s="87" t="s">
        <v>292</v>
      </c>
      <c r="E919" s="49">
        <v>0</v>
      </c>
      <c r="F919" s="52" t="str">
        <f>IF(E919&lt;&gt;" ",[1]!convnumberletter(E919)&amp;" Euros"," ")</f>
        <v xml:space="preserve">  Euros</v>
      </c>
    </row>
    <row r="920" spans="1:6" x14ac:dyDescent="0.3">
      <c r="A920" s="150" t="s">
        <v>1234</v>
      </c>
      <c r="B920" s="50" t="s">
        <v>184</v>
      </c>
      <c r="C920" s="51" t="s">
        <v>181</v>
      </c>
      <c r="D920" s="87" t="s">
        <v>292</v>
      </c>
      <c r="E920" s="49">
        <v>0</v>
      </c>
      <c r="F920" s="52" t="str">
        <f>IF(E920&lt;&gt;" ",[1]!convnumberletter(E920)&amp;" Euros"," ")</f>
        <v xml:space="preserve">  Euros</v>
      </c>
    </row>
    <row r="921" spans="1:6" x14ac:dyDescent="0.3">
      <c r="A921" s="150" t="s">
        <v>1235</v>
      </c>
      <c r="B921" s="50" t="s">
        <v>185</v>
      </c>
      <c r="C921" s="51" t="s">
        <v>181</v>
      </c>
      <c r="D921" s="87" t="s">
        <v>292</v>
      </c>
      <c r="E921" s="49">
        <v>0</v>
      </c>
      <c r="F921" s="52" t="str">
        <f>IF(E921&lt;&gt;" ",[1]!convnumberletter(E921)&amp;" Euros"," ")</f>
        <v xml:space="preserve">  Euros</v>
      </c>
    </row>
    <row r="922" spans="1:6" x14ac:dyDescent="0.3">
      <c r="A922" s="52" t="s">
        <v>1236</v>
      </c>
      <c r="B922" s="46" t="s">
        <v>304</v>
      </c>
      <c r="C922" s="51"/>
      <c r="D922" s="87"/>
      <c r="E922" s="49"/>
      <c r="F922" s="52" t="str">
        <f>IF(E922&lt;&gt;" ",[1]!convnumberletter(E922)&amp;" Euros"," ")</f>
        <v xml:space="preserve">  Euros</v>
      </c>
    </row>
    <row r="923" spans="1:6" x14ac:dyDescent="0.3">
      <c r="A923" s="150" t="s">
        <v>1237</v>
      </c>
      <c r="B923" s="50" t="s">
        <v>305</v>
      </c>
      <c r="C923" s="51" t="s">
        <v>197</v>
      </c>
      <c r="D923" s="87" t="s">
        <v>292</v>
      </c>
      <c r="E923" s="49">
        <v>0</v>
      </c>
      <c r="F923" s="52" t="str">
        <f>IF(E923&lt;&gt;" ",[1]!convnumberletter(E923)&amp;" Euros"," ")</f>
        <v xml:space="preserve">  Euros</v>
      </c>
    </row>
    <row r="924" spans="1:6" x14ac:dyDescent="0.3">
      <c r="A924" s="150" t="s">
        <v>1238</v>
      </c>
      <c r="B924" s="50" t="s">
        <v>306</v>
      </c>
      <c r="C924" s="51" t="s">
        <v>197</v>
      </c>
      <c r="D924" s="87" t="s">
        <v>292</v>
      </c>
      <c r="E924" s="49">
        <v>0</v>
      </c>
      <c r="F924" s="52" t="str">
        <f>IF(E924&lt;&gt;" ",[1]!convnumberletter(E924)&amp;" Euros"," ")</f>
        <v xml:space="preserve">  Euros</v>
      </c>
    </row>
    <row r="925" spans="1:6" x14ac:dyDescent="0.3">
      <c r="A925" s="150" t="s">
        <v>1239</v>
      </c>
      <c r="B925" s="50" t="s">
        <v>307</v>
      </c>
      <c r="C925" s="51" t="s">
        <v>197</v>
      </c>
      <c r="D925" s="87" t="s">
        <v>292</v>
      </c>
      <c r="E925" s="49">
        <v>0</v>
      </c>
      <c r="F925" s="52" t="str">
        <f>IF(E925&lt;&gt;" ",[1]!convnumberletter(E925)&amp;" Euros"," ")</f>
        <v xml:space="preserve">  Euros</v>
      </c>
    </row>
    <row r="926" spans="1:6" x14ac:dyDescent="0.3">
      <c r="A926" s="150" t="s">
        <v>1240</v>
      </c>
      <c r="B926" s="50" t="s">
        <v>308</v>
      </c>
      <c r="C926" s="51" t="s">
        <v>197</v>
      </c>
      <c r="D926" s="87" t="s">
        <v>292</v>
      </c>
      <c r="E926" s="49">
        <v>0</v>
      </c>
      <c r="F926" s="52" t="str">
        <f>IF(E926&lt;&gt;" ",[1]!convnumberletter(E926)&amp;" Euros"," ")</f>
        <v xml:space="preserve">  Euros</v>
      </c>
    </row>
    <row r="927" spans="1:6" x14ac:dyDescent="0.3">
      <c r="A927" s="150" t="s">
        <v>1241</v>
      </c>
      <c r="B927" s="50" t="s">
        <v>315</v>
      </c>
      <c r="C927" s="51" t="s">
        <v>197</v>
      </c>
      <c r="D927" s="87" t="s">
        <v>292</v>
      </c>
      <c r="E927" s="49">
        <v>0</v>
      </c>
      <c r="F927" s="52" t="str">
        <f>IF(E927&lt;&gt;" ",[1]!convnumberletter(E927)&amp;" Euros"," ")</f>
        <v xml:space="preserve">  Euros</v>
      </c>
    </row>
    <row r="928" spans="1:6" x14ac:dyDescent="0.3">
      <c r="A928" s="150" t="s">
        <v>1242</v>
      </c>
      <c r="B928" s="50" t="s">
        <v>309</v>
      </c>
      <c r="C928" s="51" t="s">
        <v>197</v>
      </c>
      <c r="D928" s="87" t="s">
        <v>292</v>
      </c>
      <c r="E928" s="49">
        <v>0</v>
      </c>
      <c r="F928" s="52" t="str">
        <f>IF(E928&lt;&gt;" ",[1]!convnumberletter(E928)&amp;" Euros"," ")</f>
        <v xml:space="preserve">  Euros</v>
      </c>
    </row>
    <row r="929" spans="1:6" x14ac:dyDescent="0.3">
      <c r="A929" s="150" t="s">
        <v>1243</v>
      </c>
      <c r="B929" s="50" t="s">
        <v>310</v>
      </c>
      <c r="C929" s="51" t="s">
        <v>197</v>
      </c>
      <c r="D929" s="87" t="s">
        <v>292</v>
      </c>
      <c r="E929" s="49">
        <v>0</v>
      </c>
      <c r="F929" s="52" t="str">
        <f>IF(E929&lt;&gt;" ",[1]!convnumberletter(E929)&amp;" Euros"," ")</f>
        <v xml:space="preserve">  Euros</v>
      </c>
    </row>
    <row r="930" spans="1:6" x14ac:dyDescent="0.3">
      <c r="A930" s="150" t="s">
        <v>1244</v>
      </c>
      <c r="B930" s="50" t="s">
        <v>311</v>
      </c>
      <c r="C930" s="51" t="s">
        <v>197</v>
      </c>
      <c r="D930" s="87" t="s">
        <v>292</v>
      </c>
      <c r="E930" s="49">
        <v>0</v>
      </c>
      <c r="F930" s="52" t="str">
        <f>IF(E930&lt;&gt;" ",[1]!convnumberletter(E930)&amp;" Euros"," ")</f>
        <v xml:space="preserve">  Euros</v>
      </c>
    </row>
    <row r="931" spans="1:6" ht="26.4" customHeight="1" x14ac:dyDescent="0.3">
      <c r="A931" s="150" t="s">
        <v>1245</v>
      </c>
      <c r="B931" s="50" t="s">
        <v>313</v>
      </c>
      <c r="C931" s="51" t="s">
        <v>17</v>
      </c>
      <c r="D931" s="87" t="s">
        <v>292</v>
      </c>
      <c r="E931" s="49">
        <v>0</v>
      </c>
      <c r="F931" s="52" t="str">
        <f>IF(E931&lt;&gt;" ",[1]!convnumberletter(E931)&amp;" Euros"," ")</f>
        <v xml:space="preserve">  Euros</v>
      </c>
    </row>
    <row r="932" spans="1:6" ht="32.549999999999997" customHeight="1" x14ac:dyDescent="0.3">
      <c r="A932" s="150" t="s">
        <v>1246</v>
      </c>
      <c r="B932" s="50" t="s">
        <v>312</v>
      </c>
      <c r="C932" s="51" t="s">
        <v>17</v>
      </c>
      <c r="D932" s="87" t="s">
        <v>292</v>
      </c>
      <c r="E932" s="49">
        <v>0</v>
      </c>
      <c r="F932" s="52" t="str">
        <f>IF(E932&lt;&gt;" ",[1]!convnumberletter(E932)&amp;" Euros"," ")</f>
        <v xml:space="preserve">  Euros</v>
      </c>
    </row>
    <row r="933" spans="1:6" ht="17.399999999999999" customHeight="1" x14ac:dyDescent="0.3">
      <c r="A933" s="52"/>
      <c r="B933" s="50"/>
      <c r="C933" s="51"/>
      <c r="D933" s="87"/>
      <c r="E933" s="49"/>
      <c r="F933" s="52"/>
    </row>
    <row r="934" spans="1:6" s="58" customFormat="1" ht="16.8" customHeight="1" x14ac:dyDescent="0.3">
      <c r="A934" s="70" t="s">
        <v>121</v>
      </c>
      <c r="B934" s="70" t="s">
        <v>296</v>
      </c>
      <c r="C934" s="72"/>
      <c r="D934" s="91"/>
      <c r="E934" s="81"/>
      <c r="F934" s="52" t="str">
        <f>IF(E934&lt;&gt;" ",[1]!convnumberletter(E934)&amp;" Euros"," ")</f>
        <v xml:space="preserve">  Euros</v>
      </c>
    </row>
    <row r="935" spans="1:6" x14ac:dyDescent="0.3">
      <c r="A935" s="150" t="s">
        <v>123</v>
      </c>
      <c r="B935" s="50" t="s">
        <v>269</v>
      </c>
      <c r="C935" s="51" t="s">
        <v>17</v>
      </c>
      <c r="D935" s="87" t="s">
        <v>292</v>
      </c>
      <c r="E935" s="79">
        <v>0</v>
      </c>
      <c r="F935" s="52" t="str">
        <f>IF(E935&lt;&gt;" ",[1]!convnumberletter(E935)&amp;" Euros"," ")</f>
        <v xml:space="preserve">  Euros</v>
      </c>
    </row>
    <row r="936" spans="1:6" x14ac:dyDescent="0.3">
      <c r="A936" s="150" t="s">
        <v>1247</v>
      </c>
      <c r="B936" s="50" t="s">
        <v>270</v>
      </c>
      <c r="C936" s="51" t="s">
        <v>17</v>
      </c>
      <c r="D936" s="87" t="s">
        <v>292</v>
      </c>
      <c r="E936" s="79">
        <v>0</v>
      </c>
      <c r="F936" s="52" t="str">
        <f>IF(E936&lt;&gt;" ",[1]!convnumberletter(E936)&amp;" Euros"," ")</f>
        <v xml:space="preserve">  Euros</v>
      </c>
    </row>
    <row r="937" spans="1:6" x14ac:dyDescent="0.3">
      <c r="A937" s="150" t="s">
        <v>1248</v>
      </c>
      <c r="B937" s="53" t="s">
        <v>360</v>
      </c>
      <c r="C937" s="51" t="s">
        <v>17</v>
      </c>
      <c r="D937" s="87" t="s">
        <v>292</v>
      </c>
      <c r="E937" s="79">
        <v>0</v>
      </c>
      <c r="F937" s="52" t="str">
        <f>IF(E937&lt;&gt;" ",[1]!convnumberletter(E937)&amp;" Euros"," ")</f>
        <v xml:space="preserve">  Euros</v>
      </c>
    </row>
    <row r="938" spans="1:6" x14ac:dyDescent="0.3">
      <c r="A938" s="150" t="s">
        <v>1249</v>
      </c>
      <c r="B938" s="50" t="s">
        <v>284</v>
      </c>
      <c r="C938" s="51" t="s">
        <v>17</v>
      </c>
      <c r="D938" s="87" t="s">
        <v>292</v>
      </c>
      <c r="E938" s="79">
        <v>0</v>
      </c>
      <c r="F938" s="52" t="str">
        <f>IF(E938&lt;&gt;" ",[1]!convnumberletter(E938)&amp;" Euros"," ")</f>
        <v xml:space="preserve">  Euros</v>
      </c>
    </row>
    <row r="939" spans="1:6" x14ac:dyDescent="0.3">
      <c r="A939" s="150" t="s">
        <v>1250</v>
      </c>
      <c r="B939" s="50" t="s">
        <v>271</v>
      </c>
      <c r="C939" s="51" t="s">
        <v>110</v>
      </c>
      <c r="D939" s="87" t="s">
        <v>292</v>
      </c>
      <c r="E939" s="79">
        <v>0</v>
      </c>
      <c r="F939" s="52" t="str">
        <f>IF(E939&lt;&gt;" ",[1]!convnumberletter(E939)&amp;" Euros"," ")</f>
        <v xml:space="preserve">  Euros</v>
      </c>
    </row>
    <row r="940" spans="1:6" x14ac:dyDescent="0.3">
      <c r="A940" s="150" t="s">
        <v>1251</v>
      </c>
      <c r="B940" s="50" t="s">
        <v>286</v>
      </c>
      <c r="C940" s="51" t="s">
        <v>110</v>
      </c>
      <c r="D940" s="87" t="s">
        <v>292</v>
      </c>
      <c r="E940" s="79">
        <v>0</v>
      </c>
      <c r="F940" s="52" t="str">
        <f>IF(E940&lt;&gt;" ",[1]!convnumberletter(E940)&amp;" Euros"," ")</f>
        <v xml:space="preserve">  Euros</v>
      </c>
    </row>
    <row r="941" spans="1:6" x14ac:dyDescent="0.3">
      <c r="A941" s="150" t="s">
        <v>1252</v>
      </c>
      <c r="B941" s="50" t="s">
        <v>285</v>
      </c>
      <c r="C941" s="51" t="s">
        <v>110</v>
      </c>
      <c r="D941" s="87" t="s">
        <v>292</v>
      </c>
      <c r="E941" s="79">
        <v>0</v>
      </c>
      <c r="F941" s="52" t="str">
        <f>IF(E941&lt;&gt;" ",[1]!convnumberletter(E941)&amp;" Euros"," ")</f>
        <v xml:space="preserve">  Euros</v>
      </c>
    </row>
    <row r="942" spans="1:6" x14ac:dyDescent="0.3">
      <c r="A942" s="150" t="s">
        <v>1253</v>
      </c>
      <c r="B942" s="50" t="s">
        <v>287</v>
      </c>
      <c r="C942" s="51" t="s">
        <v>110</v>
      </c>
      <c r="D942" s="87" t="s">
        <v>292</v>
      </c>
      <c r="E942" s="79">
        <v>0</v>
      </c>
      <c r="F942" s="52" t="str">
        <f>IF(E942&lt;&gt;" ",[1]!convnumberletter(E942)&amp;" Euros"," ")</f>
        <v xml:space="preserve">  Euros</v>
      </c>
    </row>
    <row r="943" spans="1:6" x14ac:dyDescent="0.3">
      <c r="A943" s="150" t="s">
        <v>1254</v>
      </c>
      <c r="B943" s="50" t="s">
        <v>272</v>
      </c>
      <c r="C943" s="51" t="s">
        <v>110</v>
      </c>
      <c r="D943" s="87" t="s">
        <v>292</v>
      </c>
      <c r="E943" s="79">
        <v>0</v>
      </c>
      <c r="F943" s="52" t="str">
        <f>IF(E943&lt;&gt;" ",[1]!convnumberletter(E943)&amp;" Euros"," ")</f>
        <v xml:space="preserve">  Euros</v>
      </c>
    </row>
    <row r="944" spans="1:6" x14ac:dyDescent="0.3">
      <c r="A944" s="150" t="s">
        <v>1255</v>
      </c>
      <c r="B944" s="50" t="s">
        <v>273</v>
      </c>
      <c r="C944" s="51" t="s">
        <v>110</v>
      </c>
      <c r="D944" s="87" t="s">
        <v>292</v>
      </c>
      <c r="E944" s="79">
        <v>0</v>
      </c>
      <c r="F944" s="52" t="str">
        <f>IF(E944&lt;&gt;" ",[1]!convnumberletter(E944)&amp;" Euros"," ")</f>
        <v xml:space="preserve">  Euros</v>
      </c>
    </row>
    <row r="945" spans="1:6" x14ac:dyDescent="0.3">
      <c r="A945" s="150" t="s">
        <v>1256</v>
      </c>
      <c r="B945" s="50" t="s">
        <v>274</v>
      </c>
      <c r="C945" s="51" t="s">
        <v>110</v>
      </c>
      <c r="D945" s="87" t="s">
        <v>292</v>
      </c>
      <c r="E945" s="79">
        <v>0</v>
      </c>
      <c r="F945" s="52" t="str">
        <f>IF(E945&lt;&gt;" ",[1]!convnumberletter(E945)&amp;" Euros"," ")</f>
        <v xml:space="preserve">  Euros</v>
      </c>
    </row>
    <row r="946" spans="1:6" x14ac:dyDescent="0.3">
      <c r="A946" s="150" t="s">
        <v>1257</v>
      </c>
      <c r="B946" s="50" t="s">
        <v>275</v>
      </c>
      <c r="C946" s="51" t="s">
        <v>110</v>
      </c>
      <c r="D946" s="87" t="s">
        <v>292</v>
      </c>
      <c r="E946" s="79">
        <v>0</v>
      </c>
      <c r="F946" s="52" t="str">
        <f>IF(E946&lt;&gt;" ",[1]!convnumberletter(E946)&amp;" Euros"," ")</f>
        <v xml:space="preserve">  Euros</v>
      </c>
    </row>
    <row r="947" spans="1:6" x14ac:dyDescent="0.3">
      <c r="A947" s="150" t="s">
        <v>1258</v>
      </c>
      <c r="B947" s="50" t="s">
        <v>276</v>
      </c>
      <c r="C947" s="51" t="s">
        <v>110</v>
      </c>
      <c r="D947" s="87" t="s">
        <v>292</v>
      </c>
      <c r="E947" s="79">
        <v>0</v>
      </c>
      <c r="F947" s="52" t="str">
        <f>IF(E947&lt;&gt;" ",[1]!convnumberletter(E947)&amp;" Euros"," ")</f>
        <v xml:space="preserve">  Euros</v>
      </c>
    </row>
    <row r="948" spans="1:6" x14ac:dyDescent="0.3">
      <c r="A948" s="150" t="s">
        <v>1259</v>
      </c>
      <c r="B948" s="50" t="s">
        <v>277</v>
      </c>
      <c r="C948" s="51" t="s">
        <v>17</v>
      </c>
      <c r="D948" s="87" t="s">
        <v>292</v>
      </c>
      <c r="E948" s="79">
        <v>0</v>
      </c>
      <c r="F948" s="52" t="str">
        <f>IF(E948&lt;&gt;" ",[1]!convnumberletter(E948)&amp;" Euros"," ")</f>
        <v xml:space="preserve">  Euros</v>
      </c>
    </row>
    <row r="949" spans="1:6" x14ac:dyDescent="0.3">
      <c r="A949" s="150" t="s">
        <v>1260</v>
      </c>
      <c r="B949" s="50" t="s">
        <v>278</v>
      </c>
      <c r="C949" s="51" t="s">
        <v>17</v>
      </c>
      <c r="D949" s="87" t="s">
        <v>292</v>
      </c>
      <c r="E949" s="79">
        <v>0</v>
      </c>
      <c r="F949" s="52" t="str">
        <f>IF(E949&lt;&gt;" ",[1]!convnumberletter(E949)&amp;" Euros"," ")</f>
        <v xml:space="preserve">  Euros</v>
      </c>
    </row>
    <row r="950" spans="1:6" x14ac:dyDescent="0.3">
      <c r="A950" s="150" t="s">
        <v>1261</v>
      </c>
      <c r="B950" s="50" t="s">
        <v>279</v>
      </c>
      <c r="C950" s="51" t="s">
        <v>110</v>
      </c>
      <c r="D950" s="87" t="s">
        <v>292</v>
      </c>
      <c r="E950" s="79">
        <v>0</v>
      </c>
      <c r="F950" s="52" t="str">
        <f>IF(E950&lt;&gt;" ",[1]!convnumberletter(E950)&amp;" Euros"," ")</f>
        <v xml:space="preserve">  Euros</v>
      </c>
    </row>
    <row r="951" spans="1:6" x14ac:dyDescent="0.3">
      <c r="A951" s="150" t="s">
        <v>1262</v>
      </c>
      <c r="B951" s="50" t="s">
        <v>280</v>
      </c>
      <c r="C951" s="51" t="s">
        <v>17</v>
      </c>
      <c r="D951" s="87" t="s">
        <v>292</v>
      </c>
      <c r="E951" s="79">
        <v>0</v>
      </c>
      <c r="F951" s="52" t="str">
        <f>IF(E951&lt;&gt;" ",[1]!convnumberletter(E951)&amp;" Euros"," ")</f>
        <v xml:space="preserve">  Euros</v>
      </c>
    </row>
    <row r="952" spans="1:6" x14ac:dyDescent="0.3">
      <c r="A952" s="150" t="s">
        <v>1263</v>
      </c>
      <c r="B952" s="50" t="s">
        <v>281</v>
      </c>
      <c r="C952" s="51" t="s">
        <v>110</v>
      </c>
      <c r="D952" s="87" t="s">
        <v>292</v>
      </c>
      <c r="E952" s="79">
        <v>0</v>
      </c>
      <c r="F952" s="52" t="str">
        <f>IF(E952&lt;&gt;" ",[1]!convnumberletter(E952)&amp;" Euros"," ")</f>
        <v xml:space="preserve">  Euros</v>
      </c>
    </row>
    <row r="953" spans="1:6" x14ac:dyDescent="0.3">
      <c r="A953" s="150" t="s">
        <v>1264</v>
      </c>
      <c r="B953" s="50" t="s">
        <v>288</v>
      </c>
      <c r="C953" s="51" t="s">
        <v>110</v>
      </c>
      <c r="D953" s="87" t="s">
        <v>292</v>
      </c>
      <c r="E953" s="79">
        <v>0</v>
      </c>
      <c r="F953" s="52" t="str">
        <f>IF(E953&lt;&gt;" ",[1]!convnumberletter(E953)&amp;" Euros"," ")</f>
        <v xml:space="preserve">  Euros</v>
      </c>
    </row>
    <row r="954" spans="1:6" x14ac:dyDescent="0.3">
      <c r="A954" s="150" t="s">
        <v>1265</v>
      </c>
      <c r="B954" s="50" t="s">
        <v>291</v>
      </c>
      <c r="C954" s="51" t="s">
        <v>110</v>
      </c>
      <c r="D954" s="87" t="s">
        <v>292</v>
      </c>
      <c r="E954" s="79">
        <v>0</v>
      </c>
      <c r="F954" s="52" t="str">
        <f>IF(E954&lt;&gt;" ",[1]!convnumberletter(E954)&amp;" Euros"," ")</f>
        <v xml:space="preserve">  Euros</v>
      </c>
    </row>
    <row r="955" spans="1:6" x14ac:dyDescent="0.3">
      <c r="A955" s="150" t="s">
        <v>1266</v>
      </c>
      <c r="B955" s="50" t="s">
        <v>282</v>
      </c>
      <c r="C955" s="51" t="s">
        <v>110</v>
      </c>
      <c r="D955" s="87" t="s">
        <v>292</v>
      </c>
      <c r="E955" s="79">
        <v>0</v>
      </c>
      <c r="F955" s="52" t="str">
        <f>IF(E955&lt;&gt;" ",[1]!convnumberletter(E955)&amp;" Euros"," ")</f>
        <v xml:space="preserve">  Euros</v>
      </c>
    </row>
    <row r="956" spans="1:6" x14ac:dyDescent="0.3">
      <c r="A956" s="150" t="s">
        <v>1267</v>
      </c>
      <c r="B956" s="50" t="s">
        <v>283</v>
      </c>
      <c r="C956" s="51" t="s">
        <v>110</v>
      </c>
      <c r="D956" s="87" t="s">
        <v>292</v>
      </c>
      <c r="E956" s="79">
        <v>0</v>
      </c>
      <c r="F956" s="52" t="str">
        <f>IF(E956&lt;&gt;" ",[1]!convnumberletter(E956)&amp;" Euros"," ")</f>
        <v xml:space="preserve">  Euros</v>
      </c>
    </row>
    <row r="957" spans="1:6" ht="27" customHeight="1" x14ac:dyDescent="0.3">
      <c r="A957" s="150" t="s">
        <v>1268</v>
      </c>
      <c r="B957" s="50" t="s">
        <v>361</v>
      </c>
      <c r="C957" s="51" t="s">
        <v>110</v>
      </c>
      <c r="D957" s="87" t="s">
        <v>292</v>
      </c>
      <c r="E957" s="79">
        <v>0</v>
      </c>
      <c r="F957" s="52" t="str">
        <f>IF(E957&lt;&gt;" ",[1]!convnumberletter(E957)&amp;" Euros"," ")</f>
        <v xml:space="preserve">  Euros</v>
      </c>
    </row>
    <row r="958" spans="1:6" ht="27" customHeight="1" x14ac:dyDescent="0.3">
      <c r="A958" s="150" t="s">
        <v>1269</v>
      </c>
      <c r="B958" s="50" t="s">
        <v>362</v>
      </c>
      <c r="C958" s="51" t="s">
        <v>110</v>
      </c>
      <c r="D958" s="87" t="s">
        <v>292</v>
      </c>
      <c r="E958" s="79">
        <v>0</v>
      </c>
      <c r="F958" s="52" t="str">
        <f>IF(E958&lt;&gt;" ",[1]!convnumberletter(E958)&amp;" Euros"," ")</f>
        <v xml:space="preserve">  Euros</v>
      </c>
    </row>
    <row r="959" spans="1:6" ht="25.8" customHeight="1" x14ac:dyDescent="0.3">
      <c r="A959" s="150" t="s">
        <v>1270</v>
      </c>
      <c r="B959" s="50" t="s">
        <v>289</v>
      </c>
      <c r="C959" s="51" t="s">
        <v>110</v>
      </c>
      <c r="D959" s="87" t="s">
        <v>292</v>
      </c>
      <c r="E959" s="79">
        <v>0</v>
      </c>
      <c r="F959" s="52" t="str">
        <f>IF(E959&lt;&gt;" ",[1]!convnumberletter(E959)&amp;" Euros"," ")</f>
        <v xml:space="preserve">  Euros</v>
      </c>
    </row>
    <row r="960" spans="1:6" ht="28.8" customHeight="1" x14ac:dyDescent="0.3">
      <c r="A960" s="150" t="s">
        <v>1271</v>
      </c>
      <c r="B960" s="50" t="s">
        <v>290</v>
      </c>
      <c r="C960" s="51" t="s">
        <v>110</v>
      </c>
      <c r="D960" s="87" t="s">
        <v>292</v>
      </c>
      <c r="E960" s="79">
        <v>0</v>
      </c>
      <c r="F960" s="52" t="str">
        <f>IF(E960&lt;&gt;" ",[1]!convnumberletter(E960)&amp;" Euros"," ")</f>
        <v xml:space="preserve">  Euros</v>
      </c>
    </row>
    <row r="961" spans="1:6" x14ac:dyDescent="0.3">
      <c r="A961" s="150" t="s">
        <v>1272</v>
      </c>
      <c r="B961" s="52" t="s">
        <v>406</v>
      </c>
      <c r="C961" s="51" t="s">
        <v>110</v>
      </c>
      <c r="D961" s="87" t="s">
        <v>292</v>
      </c>
      <c r="E961" s="79">
        <v>0</v>
      </c>
      <c r="F961" s="52" t="str">
        <f>IF(E961&lt;&gt;" ",[1]!convnumberletter(E961)&amp;" Euros"," ")</f>
        <v xml:space="preserve">  Euros</v>
      </c>
    </row>
    <row r="962" spans="1:6" x14ac:dyDescent="0.3">
      <c r="A962" s="52"/>
      <c r="B962" s="52"/>
      <c r="C962" s="52"/>
      <c r="D962" s="87"/>
      <c r="E962" s="49"/>
      <c r="F962" s="52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72" fitToHeight="20" orientation="portrait" r:id="rId1"/>
  <headerFooter>
    <oddHeader>&amp;CBPU (18 pages au total) -valable pour tous les Lots</oddHeader>
    <oddFooter>&amp;CBPU_&amp;P/ &amp;NPages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4EA6-243D-43D6-995F-401AAF4201D1}">
  <sheetPr>
    <pageSetUpPr fitToPage="1"/>
  </sheetPr>
  <dimension ref="A4:W965"/>
  <sheetViews>
    <sheetView tabSelected="1" view="pageLayout" topLeftCell="A895" zoomScaleNormal="145" workbookViewId="0">
      <selection activeCell="B900" sqref="B900"/>
    </sheetView>
  </sheetViews>
  <sheetFormatPr baseColWidth="10" defaultColWidth="10.90625" defaultRowHeight="14.4" x14ac:dyDescent="0.3"/>
  <cols>
    <col min="1" max="1" width="7.453125" style="47" customWidth="1"/>
    <col min="2" max="2" width="40.36328125" style="47" customWidth="1"/>
    <col min="3" max="3" width="8" style="47" customWidth="1"/>
    <col min="4" max="4" width="6.90625" style="85" customWidth="1"/>
    <col min="5" max="5" width="9.54296875" style="134" customWidth="1"/>
    <col min="6" max="6" width="9.90625" style="55" customWidth="1"/>
    <col min="7" max="7" width="11.90625" style="47" customWidth="1"/>
    <col min="8" max="8" width="13.36328125" style="66" bestFit="1" customWidth="1"/>
    <col min="9" max="9" width="12.6328125" style="47" bestFit="1" customWidth="1"/>
    <col min="10" max="16384" width="10.90625" style="47"/>
  </cols>
  <sheetData>
    <row r="4" spans="1:23" ht="31.8" customHeight="1" x14ac:dyDescent="0.3">
      <c r="A4" s="155" t="s">
        <v>155</v>
      </c>
      <c r="B4" s="156"/>
      <c r="C4" s="156"/>
      <c r="D4" s="156"/>
      <c r="E4" s="156"/>
      <c r="F4" s="156"/>
      <c r="G4" s="157"/>
    </row>
    <row r="5" spans="1:23" ht="13.8" customHeight="1" x14ac:dyDescent="0.3">
      <c r="A5" s="45"/>
      <c r="B5" s="57"/>
      <c r="C5" s="45"/>
      <c r="D5" s="84"/>
      <c r="E5" s="122"/>
      <c r="F5" s="76"/>
      <c r="G5" s="45"/>
    </row>
    <row r="6" spans="1:23" x14ac:dyDescent="0.3">
      <c r="B6" s="58" t="s">
        <v>347</v>
      </c>
      <c r="C6" s="73" t="s">
        <v>348</v>
      </c>
      <c r="D6" s="92"/>
      <c r="E6" s="123"/>
      <c r="F6" s="93"/>
      <c r="G6" s="73"/>
    </row>
    <row r="8" spans="1:23" s="58" customFormat="1" ht="16.8" customHeight="1" x14ac:dyDescent="0.3">
      <c r="A8" s="69">
        <v>0</v>
      </c>
      <c r="B8" s="59" t="s">
        <v>294</v>
      </c>
      <c r="C8" s="59"/>
      <c r="D8" s="86"/>
      <c r="E8" s="124"/>
      <c r="F8" s="77"/>
      <c r="G8" s="59"/>
      <c r="H8" s="136"/>
    </row>
    <row r="9" spans="1:23" ht="28.8" x14ac:dyDescent="0.3">
      <c r="A9" s="60" t="s">
        <v>2</v>
      </c>
      <c r="B9" s="60" t="s">
        <v>3</v>
      </c>
      <c r="C9" s="60" t="s">
        <v>4</v>
      </c>
      <c r="D9" s="41" t="s">
        <v>152</v>
      </c>
      <c r="E9" s="125" t="s">
        <v>5</v>
      </c>
      <c r="F9" s="78" t="s">
        <v>349</v>
      </c>
      <c r="G9" s="42" t="s">
        <v>350</v>
      </c>
    </row>
    <row r="10" spans="1:23" s="58" customFormat="1" ht="16.8" customHeight="1" x14ac:dyDescent="0.3">
      <c r="A10" s="70" t="s">
        <v>156</v>
      </c>
      <c r="B10" s="70" t="s">
        <v>195</v>
      </c>
      <c r="C10" s="52"/>
      <c r="D10" s="87"/>
      <c r="E10" s="126"/>
      <c r="F10" s="49"/>
      <c r="G10" s="52"/>
      <c r="H10" s="136"/>
    </row>
    <row r="11" spans="1:23" s="48" customFormat="1" x14ac:dyDescent="0.3">
      <c r="A11" s="149" t="s">
        <v>407</v>
      </c>
      <c r="B11" s="50" t="s">
        <v>157</v>
      </c>
      <c r="C11" s="51" t="s">
        <v>79</v>
      </c>
      <c r="D11" s="51" t="s">
        <v>158</v>
      </c>
      <c r="E11" s="127">
        <v>1</v>
      </c>
      <c r="F11" s="79">
        <f>BPU!E11</f>
        <v>0</v>
      </c>
      <c r="G11" s="94">
        <f>E11*F11</f>
        <v>0</v>
      </c>
      <c r="H11" s="137"/>
      <c r="J11" s="63"/>
      <c r="K11" s="75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44"/>
      <c r="W11" s="44"/>
    </row>
    <row r="12" spans="1:23" s="48" customFormat="1" ht="15" thickBot="1" x14ac:dyDescent="0.35">
      <c r="A12" s="149" t="s">
        <v>408</v>
      </c>
      <c r="B12" s="50" t="s">
        <v>160</v>
      </c>
      <c r="C12" s="51" t="s">
        <v>79</v>
      </c>
      <c r="D12" s="51" t="s">
        <v>158</v>
      </c>
      <c r="E12" s="127">
        <v>1</v>
      </c>
      <c r="F12" s="79">
        <f>BPU!E12</f>
        <v>0</v>
      </c>
      <c r="G12" s="101">
        <f t="shared" ref="G12:G21" si="0">E12*F12</f>
        <v>0</v>
      </c>
      <c r="H12" s="137"/>
      <c r="J12" s="63"/>
      <c r="K12" s="75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44"/>
      <c r="W12" s="44"/>
    </row>
    <row r="13" spans="1:23" s="98" customFormat="1" ht="15" thickBot="1" x14ac:dyDescent="0.35">
      <c r="A13" s="50"/>
      <c r="B13" s="96" t="s">
        <v>385</v>
      </c>
      <c r="C13" s="97"/>
      <c r="D13" s="97"/>
      <c r="E13" s="128"/>
      <c r="F13" s="79">
        <f>BPU!E13</f>
        <v>0</v>
      </c>
      <c r="G13" s="146">
        <f>SUM(G11:G12)</f>
        <v>0</v>
      </c>
      <c r="H13" s="138"/>
      <c r="J13" s="99"/>
      <c r="K13" s="75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0"/>
      <c r="W13" s="100"/>
    </row>
    <row r="14" spans="1:23" s="58" customFormat="1" ht="16.8" customHeight="1" x14ac:dyDescent="0.3">
      <c r="A14" s="70" t="s">
        <v>159</v>
      </c>
      <c r="B14" s="70" t="s">
        <v>295</v>
      </c>
      <c r="C14" s="52"/>
      <c r="D14" s="87"/>
      <c r="E14" s="126"/>
      <c r="F14" s="79">
        <f>BPU!E14</f>
        <v>0</v>
      </c>
      <c r="G14" s="102">
        <f t="shared" si="0"/>
        <v>0</v>
      </c>
      <c r="H14" s="136"/>
    </row>
    <row r="15" spans="1:23" s="48" customFormat="1" ht="16.2" x14ac:dyDescent="0.3">
      <c r="A15" s="149" t="s">
        <v>409</v>
      </c>
      <c r="B15" s="50" t="s">
        <v>165</v>
      </c>
      <c r="C15" s="51" t="s">
        <v>167</v>
      </c>
      <c r="D15" s="51" t="s">
        <v>292</v>
      </c>
      <c r="E15" s="127">
        <v>0</v>
      </c>
      <c r="F15" s="79">
        <f>BPU!E15</f>
        <v>0</v>
      </c>
      <c r="G15" s="94">
        <f t="shared" si="0"/>
        <v>0</v>
      </c>
      <c r="H15" s="137"/>
      <c r="J15" s="63"/>
      <c r="K15" s="75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44"/>
      <c r="W15" s="44"/>
    </row>
    <row r="16" spans="1:23" s="48" customFormat="1" ht="16.2" x14ac:dyDescent="0.3">
      <c r="A16" s="149" t="s">
        <v>410</v>
      </c>
      <c r="B16" s="152" t="s">
        <v>1281</v>
      </c>
      <c r="C16" s="51" t="s">
        <v>162</v>
      </c>
      <c r="D16" s="51" t="s">
        <v>292</v>
      </c>
      <c r="E16" s="127">
        <v>0</v>
      </c>
      <c r="F16" s="79">
        <f>BPU!E16</f>
        <v>0</v>
      </c>
      <c r="G16" s="94">
        <f t="shared" si="0"/>
        <v>0</v>
      </c>
      <c r="H16" s="137"/>
      <c r="J16" s="63"/>
      <c r="K16" s="75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4"/>
      <c r="W16" s="44"/>
    </row>
    <row r="17" spans="1:23" s="48" customFormat="1" ht="16.2" x14ac:dyDescent="0.3">
      <c r="A17" s="149" t="s">
        <v>411</v>
      </c>
      <c r="B17" s="152" t="s">
        <v>1282</v>
      </c>
      <c r="C17" s="51" t="s">
        <v>162</v>
      </c>
      <c r="D17" s="51" t="s">
        <v>292</v>
      </c>
      <c r="E17" s="127">
        <v>0</v>
      </c>
      <c r="F17" s="79">
        <f>BPU!E17</f>
        <v>0</v>
      </c>
      <c r="G17" s="94">
        <f t="shared" si="0"/>
        <v>0</v>
      </c>
      <c r="H17" s="137"/>
      <c r="J17" s="63"/>
      <c r="K17" s="75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44"/>
      <c r="W17" s="44"/>
    </row>
    <row r="18" spans="1:23" s="48" customFormat="1" x14ac:dyDescent="0.3">
      <c r="A18" s="149" t="s">
        <v>412</v>
      </c>
      <c r="B18" s="152" t="s">
        <v>1283</v>
      </c>
      <c r="C18" s="51" t="s">
        <v>79</v>
      </c>
      <c r="D18" s="51" t="s">
        <v>158</v>
      </c>
      <c r="E18" s="127">
        <v>0</v>
      </c>
      <c r="F18" s="79">
        <f>BPU!E18</f>
        <v>0</v>
      </c>
      <c r="G18" s="94">
        <f t="shared" si="0"/>
        <v>0</v>
      </c>
      <c r="H18" s="137"/>
      <c r="J18" s="63"/>
      <c r="K18" s="75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4"/>
      <c r="W18" s="44"/>
    </row>
    <row r="19" spans="1:23" s="48" customFormat="1" x14ac:dyDescent="0.3">
      <c r="A19" s="149" t="s">
        <v>413</v>
      </c>
      <c r="B19" s="152" t="s">
        <v>1284</v>
      </c>
      <c r="C19" s="51" t="s">
        <v>164</v>
      </c>
      <c r="D19" s="51" t="s">
        <v>292</v>
      </c>
      <c r="E19" s="127">
        <v>1</v>
      </c>
      <c r="F19" s="79">
        <f>BPU!E19</f>
        <v>0</v>
      </c>
      <c r="G19" s="94">
        <f t="shared" si="0"/>
        <v>0</v>
      </c>
      <c r="H19" s="137"/>
      <c r="J19" s="63"/>
      <c r="K19" s="75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44"/>
      <c r="W19" s="44"/>
    </row>
    <row r="20" spans="1:23" s="48" customFormat="1" x14ac:dyDescent="0.3">
      <c r="A20" s="149" t="s">
        <v>414</v>
      </c>
      <c r="B20" s="50" t="s">
        <v>163</v>
      </c>
      <c r="C20" s="51" t="s">
        <v>79</v>
      </c>
      <c r="D20" s="51" t="s">
        <v>158</v>
      </c>
      <c r="E20" s="127">
        <v>1</v>
      </c>
      <c r="F20" s="79">
        <f>BPU!E20</f>
        <v>0</v>
      </c>
      <c r="G20" s="94">
        <f t="shared" si="0"/>
        <v>0</v>
      </c>
      <c r="H20" s="137"/>
      <c r="J20" s="63"/>
      <c r="K20" s="75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44"/>
      <c r="W20" s="44"/>
    </row>
    <row r="21" spans="1:23" s="48" customFormat="1" ht="16.8" thickBot="1" x14ac:dyDescent="0.35">
      <c r="A21" s="149" t="s">
        <v>415</v>
      </c>
      <c r="B21" s="152" t="s">
        <v>1286</v>
      </c>
      <c r="C21" s="51" t="s">
        <v>167</v>
      </c>
      <c r="D21" s="51" t="s">
        <v>292</v>
      </c>
      <c r="E21" s="127">
        <f>176.15+94.09+124.63</f>
        <v>394.87</v>
      </c>
      <c r="F21" s="79">
        <f>BPU!E21</f>
        <v>0</v>
      </c>
      <c r="G21" s="101">
        <f t="shared" si="0"/>
        <v>0</v>
      </c>
      <c r="H21" s="137"/>
      <c r="J21" s="63"/>
      <c r="K21" s="75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44"/>
      <c r="W21" s="44"/>
    </row>
    <row r="22" spans="1:23" s="98" customFormat="1" ht="15" thickBot="1" x14ac:dyDescent="0.35">
      <c r="A22" s="50"/>
      <c r="B22" s="96" t="s">
        <v>1312</v>
      </c>
      <c r="C22" s="97"/>
      <c r="D22" s="97"/>
      <c r="E22" s="128"/>
      <c r="F22" s="145">
        <f>BPU!E22</f>
        <v>0</v>
      </c>
      <c r="G22" s="146">
        <f>SUM(G11:G21)</f>
        <v>0</v>
      </c>
      <c r="H22" s="138"/>
      <c r="J22" s="99"/>
      <c r="K22" s="75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  <c r="W22" s="100"/>
    </row>
    <row r="23" spans="1:23" s="98" customFormat="1" ht="15" thickBot="1" x14ac:dyDescent="0.35">
      <c r="A23" s="50"/>
      <c r="B23" s="96" t="s">
        <v>356</v>
      </c>
      <c r="C23" s="97"/>
      <c r="D23" s="97"/>
      <c r="E23" s="128"/>
      <c r="F23" s="79">
        <f>BPU!E23</f>
        <v>0</v>
      </c>
      <c r="G23" s="105">
        <f>G13+G22</f>
        <v>0</v>
      </c>
      <c r="H23" s="138"/>
      <c r="J23" s="99"/>
      <c r="K23" s="75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100"/>
      <c r="W23" s="100"/>
    </row>
    <row r="24" spans="1:23" s="98" customFormat="1" x14ac:dyDescent="0.3">
      <c r="A24" s="106"/>
      <c r="B24" s="110"/>
      <c r="C24" s="111"/>
      <c r="D24" s="111"/>
      <c r="E24" s="129"/>
      <c r="F24" s="79">
        <f>BPU!E24</f>
        <v>0</v>
      </c>
      <c r="G24" s="112"/>
      <c r="H24" s="138"/>
      <c r="J24" s="99"/>
      <c r="K24" s="75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100"/>
      <c r="W24" s="100"/>
    </row>
    <row r="25" spans="1:23" s="58" customFormat="1" ht="16.8" customHeight="1" x14ac:dyDescent="0.3">
      <c r="A25" s="59" t="s">
        <v>13</v>
      </c>
      <c r="B25" s="59" t="s">
        <v>23</v>
      </c>
      <c r="C25" s="59"/>
      <c r="D25" s="86"/>
      <c r="E25" s="124"/>
      <c r="F25" s="124"/>
      <c r="G25" s="59"/>
      <c r="H25" s="136"/>
    </row>
    <row r="26" spans="1:23" ht="28.8" x14ac:dyDescent="0.3">
      <c r="A26" s="60" t="s">
        <v>2</v>
      </c>
      <c r="B26" s="60" t="s">
        <v>3</v>
      </c>
      <c r="C26" s="60" t="s">
        <v>4</v>
      </c>
      <c r="D26" s="41" t="s">
        <v>152</v>
      </c>
      <c r="E26" s="125" t="s">
        <v>5</v>
      </c>
      <c r="F26" s="125" t="s">
        <v>349</v>
      </c>
      <c r="G26" s="42" t="s">
        <v>350</v>
      </c>
    </row>
    <row r="27" spans="1:23" s="58" customFormat="1" ht="16.8" customHeight="1" x14ac:dyDescent="0.3">
      <c r="A27" s="70" t="s">
        <v>18</v>
      </c>
      <c r="B27" s="70" t="s">
        <v>151</v>
      </c>
      <c r="C27" s="52"/>
      <c r="D27" s="87"/>
      <c r="E27" s="126"/>
      <c r="F27" s="79">
        <f>BPU!E27</f>
        <v>0</v>
      </c>
      <c r="G27" s="52"/>
      <c r="H27" s="136"/>
    </row>
    <row r="28" spans="1:23" ht="18.600000000000001" customHeight="1" x14ac:dyDescent="0.3">
      <c r="A28" s="52" t="s">
        <v>24</v>
      </c>
      <c r="B28" s="46" t="s">
        <v>161</v>
      </c>
      <c r="C28" s="52"/>
      <c r="D28" s="87"/>
      <c r="E28" s="126"/>
      <c r="F28" s="79">
        <f>BPU!E28</f>
        <v>0</v>
      </c>
      <c r="G28" s="52"/>
    </row>
    <row r="29" spans="1:23" ht="28.8" customHeight="1" x14ac:dyDescent="0.3">
      <c r="A29" s="150" t="s">
        <v>416</v>
      </c>
      <c r="B29" s="153" t="s">
        <v>1308</v>
      </c>
      <c r="C29" s="51" t="s">
        <v>181</v>
      </c>
      <c r="D29" s="87" t="s">
        <v>292</v>
      </c>
      <c r="E29" s="126">
        <f>336.41*0</f>
        <v>0</v>
      </c>
      <c r="F29" s="79">
        <f>BPU!E29</f>
        <v>0</v>
      </c>
      <c r="G29" s="95">
        <f>E29*F29</f>
        <v>0</v>
      </c>
    </row>
    <row r="30" spans="1:23" ht="18.600000000000001" customHeight="1" x14ac:dyDescent="0.3">
      <c r="A30" s="150" t="s">
        <v>417</v>
      </c>
      <c r="B30" s="154" t="s">
        <v>1287</v>
      </c>
      <c r="C30" s="51" t="s">
        <v>17</v>
      </c>
      <c r="D30" s="87" t="s">
        <v>292</v>
      </c>
      <c r="E30" s="126">
        <v>0</v>
      </c>
      <c r="F30" s="79">
        <f>BPU!E30</f>
        <v>0</v>
      </c>
      <c r="G30" s="95">
        <f t="shared" ref="G30:G93" si="1">E30*F30</f>
        <v>0</v>
      </c>
    </row>
    <row r="31" spans="1:23" ht="18.600000000000001" customHeight="1" x14ac:dyDescent="0.3">
      <c r="A31" s="150" t="s">
        <v>418</v>
      </c>
      <c r="B31" s="52" t="s">
        <v>210</v>
      </c>
      <c r="C31" s="51" t="s">
        <v>197</v>
      </c>
      <c r="D31" s="87" t="s">
        <v>292</v>
      </c>
      <c r="E31" s="126">
        <v>0</v>
      </c>
      <c r="F31" s="79">
        <f>BPU!E31</f>
        <v>0</v>
      </c>
      <c r="G31" s="95">
        <f t="shared" si="1"/>
        <v>0</v>
      </c>
    </row>
    <row r="32" spans="1:23" ht="18.600000000000001" customHeight="1" x14ac:dyDescent="0.3">
      <c r="A32" s="150" t="s">
        <v>419</v>
      </c>
      <c r="B32" s="52" t="s">
        <v>209</v>
      </c>
      <c r="C32" s="51" t="s">
        <v>197</v>
      </c>
      <c r="D32" s="87" t="s">
        <v>292</v>
      </c>
      <c r="E32" s="126">
        <v>0</v>
      </c>
      <c r="F32" s="79">
        <f>BPU!E32</f>
        <v>0</v>
      </c>
      <c r="G32" s="95">
        <f t="shared" si="1"/>
        <v>0</v>
      </c>
    </row>
    <row r="33" spans="1:8" ht="18.600000000000001" customHeight="1" x14ac:dyDescent="0.3">
      <c r="A33" s="150" t="s">
        <v>420</v>
      </c>
      <c r="B33" s="154" t="s">
        <v>1288</v>
      </c>
      <c r="C33" s="51" t="s">
        <v>181</v>
      </c>
      <c r="D33" s="87" t="s">
        <v>292</v>
      </c>
      <c r="E33" s="126">
        <v>0</v>
      </c>
      <c r="F33" s="79">
        <f>BPU!E33</f>
        <v>0</v>
      </c>
      <c r="G33" s="95">
        <f t="shared" si="1"/>
        <v>0</v>
      </c>
    </row>
    <row r="34" spans="1:8" ht="18.600000000000001" customHeight="1" x14ac:dyDescent="0.3">
      <c r="A34" s="150" t="s">
        <v>421</v>
      </c>
      <c r="B34" s="52" t="s">
        <v>293</v>
      </c>
      <c r="C34" s="51" t="s">
        <v>181</v>
      </c>
      <c r="D34" s="87" t="s">
        <v>292</v>
      </c>
      <c r="E34" s="126">
        <v>0</v>
      </c>
      <c r="F34" s="79">
        <f>BPU!E34</f>
        <v>0</v>
      </c>
      <c r="G34" s="95">
        <f t="shared" si="1"/>
        <v>0</v>
      </c>
    </row>
    <row r="35" spans="1:8" ht="28.2" customHeight="1" x14ac:dyDescent="0.3">
      <c r="A35" s="150" t="s">
        <v>422</v>
      </c>
      <c r="B35" s="61" t="s">
        <v>198</v>
      </c>
      <c r="C35" s="51" t="s">
        <v>79</v>
      </c>
      <c r="D35" s="87" t="s">
        <v>158</v>
      </c>
      <c r="E35" s="126">
        <v>0</v>
      </c>
      <c r="F35" s="79">
        <f>BPU!E35</f>
        <v>0</v>
      </c>
      <c r="G35" s="95">
        <f t="shared" si="1"/>
        <v>0</v>
      </c>
    </row>
    <row r="36" spans="1:8" ht="18.600000000000001" customHeight="1" x14ac:dyDescent="0.3">
      <c r="A36" s="52" t="s">
        <v>25</v>
      </c>
      <c r="B36" s="46" t="s">
        <v>208</v>
      </c>
      <c r="C36" s="51"/>
      <c r="D36" s="87"/>
      <c r="E36" s="126"/>
      <c r="F36" s="79">
        <f>BPU!E36</f>
        <v>0</v>
      </c>
      <c r="G36" s="95">
        <f t="shared" si="1"/>
        <v>0</v>
      </c>
    </row>
    <row r="37" spans="1:8" ht="18.600000000000001" customHeight="1" x14ac:dyDescent="0.3">
      <c r="A37" s="150" t="s">
        <v>423</v>
      </c>
      <c r="B37" s="52" t="s">
        <v>211</v>
      </c>
      <c r="C37" s="51" t="s">
        <v>230</v>
      </c>
      <c r="D37" s="87" t="s">
        <v>292</v>
      </c>
      <c r="E37" s="126">
        <v>0</v>
      </c>
      <c r="F37" s="79">
        <f>BPU!E37</f>
        <v>0</v>
      </c>
      <c r="G37" s="95">
        <f t="shared" si="1"/>
        <v>0</v>
      </c>
    </row>
    <row r="38" spans="1:8" ht="18.600000000000001" customHeight="1" x14ac:dyDescent="0.3">
      <c r="A38" s="150" t="s">
        <v>424</v>
      </c>
      <c r="B38" s="52" t="s">
        <v>212</v>
      </c>
      <c r="C38" s="51" t="s">
        <v>230</v>
      </c>
      <c r="D38" s="87" t="s">
        <v>292</v>
      </c>
      <c r="E38" s="126">
        <v>0</v>
      </c>
      <c r="F38" s="79">
        <f>BPU!E38</f>
        <v>0</v>
      </c>
      <c r="G38" s="95">
        <f t="shared" si="1"/>
        <v>0</v>
      </c>
    </row>
    <row r="39" spans="1:8" ht="18.600000000000001" customHeight="1" x14ac:dyDescent="0.3">
      <c r="A39" s="52" t="s">
        <v>26</v>
      </c>
      <c r="B39" s="46" t="s">
        <v>168</v>
      </c>
      <c r="C39" s="52"/>
      <c r="D39" s="87"/>
      <c r="E39" s="126"/>
      <c r="F39" s="79">
        <f>BPU!E39</f>
        <v>0</v>
      </c>
      <c r="G39" s="95">
        <f t="shared" si="1"/>
        <v>0</v>
      </c>
    </row>
    <row r="40" spans="1:8" s="65" customFormat="1" ht="18.600000000000001" customHeight="1" x14ac:dyDescent="0.3">
      <c r="A40" s="150" t="s">
        <v>425</v>
      </c>
      <c r="B40" s="50" t="s">
        <v>213</v>
      </c>
      <c r="C40" s="51" t="s">
        <v>230</v>
      </c>
      <c r="D40" s="88" t="s">
        <v>292</v>
      </c>
      <c r="E40" s="130">
        <v>0</v>
      </c>
      <c r="F40" s="79">
        <f>BPU!E40</f>
        <v>0</v>
      </c>
      <c r="G40" s="95">
        <f t="shared" si="1"/>
        <v>0</v>
      </c>
      <c r="H40" s="66"/>
    </row>
    <row r="41" spans="1:8" s="65" customFormat="1" ht="18.600000000000001" customHeight="1" x14ac:dyDescent="0.3">
      <c r="A41" s="150" t="s">
        <v>426</v>
      </c>
      <c r="B41" s="50" t="s">
        <v>187</v>
      </c>
      <c r="C41" s="51" t="s">
        <v>230</v>
      </c>
      <c r="D41" s="88" t="s">
        <v>292</v>
      </c>
      <c r="E41" s="130">
        <v>0</v>
      </c>
      <c r="F41" s="79">
        <f>BPU!E41</f>
        <v>0</v>
      </c>
      <c r="G41" s="95">
        <f t="shared" si="1"/>
        <v>0</v>
      </c>
      <c r="H41" s="66"/>
    </row>
    <row r="42" spans="1:8" s="65" customFormat="1" ht="18.600000000000001" customHeight="1" x14ac:dyDescent="0.3">
      <c r="A42" s="150" t="s">
        <v>427</v>
      </c>
      <c r="B42" s="50" t="s">
        <v>214</v>
      </c>
      <c r="C42" s="51" t="s">
        <v>230</v>
      </c>
      <c r="D42" s="88" t="s">
        <v>292</v>
      </c>
      <c r="E42" s="130">
        <v>0</v>
      </c>
      <c r="F42" s="79">
        <f>BPU!E42</f>
        <v>0</v>
      </c>
      <c r="G42" s="95">
        <f t="shared" si="1"/>
        <v>0</v>
      </c>
      <c r="H42" s="66"/>
    </row>
    <row r="43" spans="1:8" s="65" customFormat="1" ht="33" customHeight="1" x14ac:dyDescent="0.3">
      <c r="A43" s="150" t="s">
        <v>428</v>
      </c>
      <c r="B43" s="50" t="s">
        <v>215</v>
      </c>
      <c r="C43" s="51" t="s">
        <v>230</v>
      </c>
      <c r="D43" s="88" t="s">
        <v>292</v>
      </c>
      <c r="E43" s="130">
        <v>0</v>
      </c>
      <c r="F43" s="79">
        <f>BPU!E43</f>
        <v>0</v>
      </c>
      <c r="G43" s="95">
        <f t="shared" si="1"/>
        <v>0</v>
      </c>
      <c r="H43" s="66"/>
    </row>
    <row r="44" spans="1:8" ht="18.600000000000001" customHeight="1" x14ac:dyDescent="0.3">
      <c r="A44" s="52" t="s">
        <v>27</v>
      </c>
      <c r="B44" s="46" t="s">
        <v>169</v>
      </c>
      <c r="C44" s="52"/>
      <c r="D44" s="87"/>
      <c r="E44" s="126"/>
      <c r="F44" s="79">
        <f>BPU!E44</f>
        <v>0</v>
      </c>
      <c r="G44" s="95">
        <f t="shared" si="1"/>
        <v>0</v>
      </c>
    </row>
    <row r="45" spans="1:8" ht="18.600000000000001" customHeight="1" x14ac:dyDescent="0.3">
      <c r="A45" s="150" t="s">
        <v>429</v>
      </c>
      <c r="B45" s="50" t="s">
        <v>216</v>
      </c>
      <c r="C45" s="51" t="s">
        <v>230</v>
      </c>
      <c r="D45" s="87" t="s">
        <v>292</v>
      </c>
      <c r="E45" s="126">
        <f>336.41*0.1*0</f>
        <v>0</v>
      </c>
      <c r="F45" s="79">
        <f>BPU!E45</f>
        <v>0</v>
      </c>
      <c r="G45" s="95">
        <f t="shared" si="1"/>
        <v>0</v>
      </c>
    </row>
    <row r="46" spans="1:8" ht="18.600000000000001" customHeight="1" x14ac:dyDescent="0.3">
      <c r="A46" s="150" t="s">
        <v>430</v>
      </c>
      <c r="B46" s="50" t="s">
        <v>217</v>
      </c>
      <c r="C46" s="51" t="s">
        <v>230</v>
      </c>
      <c r="D46" s="87" t="s">
        <v>292</v>
      </c>
      <c r="E46" s="126">
        <v>0</v>
      </c>
      <c r="F46" s="79">
        <f>BPU!E46</f>
        <v>0</v>
      </c>
      <c r="G46" s="95">
        <f t="shared" si="1"/>
        <v>0</v>
      </c>
    </row>
    <row r="47" spans="1:8" ht="18.600000000000001" customHeight="1" x14ac:dyDescent="0.3">
      <c r="A47" s="150" t="s">
        <v>431</v>
      </c>
      <c r="B47" s="50" t="s">
        <v>218</v>
      </c>
      <c r="C47" s="51" t="s">
        <v>230</v>
      </c>
      <c r="D47" s="87" t="s">
        <v>292</v>
      </c>
      <c r="E47" s="126">
        <v>0</v>
      </c>
      <c r="F47" s="79">
        <f>BPU!E47</f>
        <v>0</v>
      </c>
      <c r="G47" s="95">
        <f t="shared" si="1"/>
        <v>0</v>
      </c>
    </row>
    <row r="48" spans="1:8" ht="18.600000000000001" customHeight="1" x14ac:dyDescent="0.3">
      <c r="A48" s="150" t="s">
        <v>432</v>
      </c>
      <c r="B48" s="50" t="s">
        <v>219</v>
      </c>
      <c r="C48" s="51" t="s">
        <v>230</v>
      </c>
      <c r="D48" s="87" t="s">
        <v>292</v>
      </c>
      <c r="E48" s="126">
        <v>0</v>
      </c>
      <c r="F48" s="79">
        <f>BPU!E48</f>
        <v>0</v>
      </c>
      <c r="G48" s="95">
        <f t="shared" si="1"/>
        <v>0</v>
      </c>
    </row>
    <row r="49" spans="1:7" ht="18.600000000000001" customHeight="1" x14ac:dyDescent="0.3">
      <c r="A49" s="150" t="s">
        <v>433</v>
      </c>
      <c r="B49" s="50" t="s">
        <v>220</v>
      </c>
      <c r="C49" s="51" t="s">
        <v>230</v>
      </c>
      <c r="D49" s="87" t="s">
        <v>292</v>
      </c>
      <c r="E49" s="126">
        <v>0</v>
      </c>
      <c r="F49" s="79">
        <f>BPU!E49</f>
        <v>0</v>
      </c>
      <c r="G49" s="95">
        <f t="shared" si="1"/>
        <v>0</v>
      </c>
    </row>
    <row r="50" spans="1:7" ht="18.600000000000001" customHeight="1" x14ac:dyDescent="0.3">
      <c r="A50" s="150" t="s">
        <v>434</v>
      </c>
      <c r="B50" s="50" t="s">
        <v>221</v>
      </c>
      <c r="C50" s="51" t="s">
        <v>230</v>
      </c>
      <c r="D50" s="87" t="s">
        <v>292</v>
      </c>
      <c r="E50" s="126">
        <v>0</v>
      </c>
      <c r="F50" s="79">
        <f>BPU!E50</f>
        <v>0</v>
      </c>
      <c r="G50" s="95">
        <f t="shared" si="1"/>
        <v>0</v>
      </c>
    </row>
    <row r="51" spans="1:7" ht="18.600000000000001" customHeight="1" x14ac:dyDescent="0.3">
      <c r="A51" s="150" t="s">
        <v>435</v>
      </c>
      <c r="B51" s="50" t="s">
        <v>222</v>
      </c>
      <c r="C51" s="51" t="s">
        <v>230</v>
      </c>
      <c r="D51" s="87" t="s">
        <v>292</v>
      </c>
      <c r="E51" s="126">
        <v>0</v>
      </c>
      <c r="F51" s="79">
        <f>BPU!E51</f>
        <v>0</v>
      </c>
      <c r="G51" s="95">
        <f t="shared" si="1"/>
        <v>0</v>
      </c>
    </row>
    <row r="52" spans="1:7" ht="18.600000000000001" customHeight="1" x14ac:dyDescent="0.3">
      <c r="A52" s="52" t="s">
        <v>28</v>
      </c>
      <c r="B52" s="46" t="s">
        <v>170</v>
      </c>
      <c r="C52" s="52"/>
      <c r="D52" s="87"/>
      <c r="E52" s="126"/>
      <c r="F52" s="79">
        <f>BPU!E52</f>
        <v>0</v>
      </c>
      <c r="G52" s="95">
        <f t="shared" si="1"/>
        <v>0</v>
      </c>
    </row>
    <row r="53" spans="1:7" ht="18.600000000000001" customHeight="1" x14ac:dyDescent="0.3">
      <c r="A53" s="150" t="s">
        <v>436</v>
      </c>
      <c r="B53" s="50" t="s">
        <v>223</v>
      </c>
      <c r="C53" s="51" t="s">
        <v>230</v>
      </c>
      <c r="D53" s="87" t="s">
        <v>292</v>
      </c>
      <c r="E53" s="126">
        <v>0</v>
      </c>
      <c r="F53" s="79">
        <f>BPU!E53</f>
        <v>0</v>
      </c>
      <c r="G53" s="95">
        <f t="shared" si="1"/>
        <v>0</v>
      </c>
    </row>
    <row r="54" spans="1:7" ht="18.600000000000001" customHeight="1" x14ac:dyDescent="0.3">
      <c r="A54" s="150" t="s">
        <v>437</v>
      </c>
      <c r="B54" s="50" t="s">
        <v>224</v>
      </c>
      <c r="C54" s="51" t="s">
        <v>230</v>
      </c>
      <c r="D54" s="87" t="s">
        <v>292</v>
      </c>
      <c r="E54" s="126">
        <v>0</v>
      </c>
      <c r="F54" s="79">
        <f>BPU!E54</f>
        <v>0</v>
      </c>
      <c r="G54" s="95">
        <f t="shared" si="1"/>
        <v>0</v>
      </c>
    </row>
    <row r="55" spans="1:7" ht="18.600000000000001" customHeight="1" x14ac:dyDescent="0.3">
      <c r="A55" s="150" t="s">
        <v>438</v>
      </c>
      <c r="B55" s="50" t="s">
        <v>178</v>
      </c>
      <c r="C55" s="51" t="s">
        <v>230</v>
      </c>
      <c r="D55" s="87" t="s">
        <v>292</v>
      </c>
      <c r="E55" s="126">
        <f>336.41*0.25*0</f>
        <v>0</v>
      </c>
      <c r="F55" s="79">
        <f>BPU!E55</f>
        <v>0</v>
      </c>
      <c r="G55" s="95">
        <f t="shared" si="1"/>
        <v>0</v>
      </c>
    </row>
    <row r="56" spans="1:7" ht="18.600000000000001" customHeight="1" x14ac:dyDescent="0.3">
      <c r="A56" s="52" t="s">
        <v>29</v>
      </c>
      <c r="B56" s="46" t="s">
        <v>171</v>
      </c>
      <c r="C56" s="52"/>
      <c r="D56" s="87"/>
      <c r="E56" s="126"/>
      <c r="F56" s="79">
        <f>BPU!E56</f>
        <v>0</v>
      </c>
      <c r="G56" s="95">
        <f t="shared" si="1"/>
        <v>0</v>
      </c>
    </row>
    <row r="57" spans="1:7" ht="24.6" customHeight="1" x14ac:dyDescent="0.3">
      <c r="A57" s="150" t="s">
        <v>439</v>
      </c>
      <c r="B57" s="50" t="s">
        <v>229</v>
      </c>
      <c r="C57" s="51" t="s">
        <v>181</v>
      </c>
      <c r="D57" s="87" t="s">
        <v>292</v>
      </c>
      <c r="E57" s="126">
        <v>0</v>
      </c>
      <c r="F57" s="79">
        <f>BPU!E57</f>
        <v>0</v>
      </c>
      <c r="G57" s="95">
        <f t="shared" si="1"/>
        <v>0</v>
      </c>
    </row>
    <row r="58" spans="1:7" ht="19.2" customHeight="1" x14ac:dyDescent="0.3">
      <c r="A58" s="150" t="s">
        <v>440</v>
      </c>
      <c r="B58" s="50" t="s">
        <v>368</v>
      </c>
      <c r="C58" s="51" t="s">
        <v>181</v>
      </c>
      <c r="D58" s="87" t="s">
        <v>292</v>
      </c>
      <c r="E58" s="126"/>
      <c r="F58" s="79">
        <f>BPU!E58</f>
        <v>0</v>
      </c>
      <c r="G58" s="95">
        <f t="shared" si="1"/>
        <v>0</v>
      </c>
    </row>
    <row r="59" spans="1:7" ht="18.600000000000001" customHeight="1" x14ac:dyDescent="0.3">
      <c r="A59" s="150" t="s">
        <v>441</v>
      </c>
      <c r="B59" s="50" t="s">
        <v>366</v>
      </c>
      <c r="C59" s="51" t="s">
        <v>181</v>
      </c>
      <c r="D59" s="87" t="s">
        <v>292</v>
      </c>
      <c r="E59" s="126"/>
      <c r="F59" s="79">
        <f>BPU!E59</f>
        <v>0</v>
      </c>
      <c r="G59" s="95">
        <f t="shared" si="1"/>
        <v>0</v>
      </c>
    </row>
    <row r="60" spans="1:7" ht="18.600000000000001" customHeight="1" x14ac:dyDescent="0.3">
      <c r="A60" s="150" t="s">
        <v>442</v>
      </c>
      <c r="B60" s="50" t="s">
        <v>225</v>
      </c>
      <c r="C60" s="51" t="s">
        <v>181</v>
      </c>
      <c r="D60" s="87" t="s">
        <v>292</v>
      </c>
      <c r="E60" s="126">
        <v>0</v>
      </c>
      <c r="F60" s="79">
        <f>BPU!E60</f>
        <v>0</v>
      </c>
      <c r="G60" s="95">
        <f t="shared" si="1"/>
        <v>0</v>
      </c>
    </row>
    <row r="61" spans="1:7" ht="18.600000000000001" customHeight="1" x14ac:dyDescent="0.3">
      <c r="A61" s="150" t="s">
        <v>443</v>
      </c>
      <c r="B61" s="50" t="s">
        <v>226</v>
      </c>
      <c r="C61" s="51" t="s">
        <v>181</v>
      </c>
      <c r="D61" s="87" t="s">
        <v>292</v>
      </c>
      <c r="E61" s="126">
        <v>0</v>
      </c>
      <c r="F61" s="79">
        <f>BPU!E61</f>
        <v>0</v>
      </c>
      <c r="G61" s="95">
        <f t="shared" si="1"/>
        <v>0</v>
      </c>
    </row>
    <row r="62" spans="1:7" ht="18.600000000000001" customHeight="1" x14ac:dyDescent="0.3">
      <c r="A62" s="150" t="s">
        <v>444</v>
      </c>
      <c r="B62" s="50" t="s">
        <v>227</v>
      </c>
      <c r="C62" s="51" t="s">
        <v>181</v>
      </c>
      <c r="D62" s="87" t="s">
        <v>292</v>
      </c>
      <c r="E62" s="126">
        <v>0</v>
      </c>
      <c r="F62" s="79">
        <f>BPU!E62</f>
        <v>0</v>
      </c>
      <c r="G62" s="95">
        <f t="shared" si="1"/>
        <v>0</v>
      </c>
    </row>
    <row r="63" spans="1:7" ht="18.600000000000001" customHeight="1" x14ac:dyDescent="0.3">
      <c r="A63" s="150" t="s">
        <v>445</v>
      </c>
      <c r="B63" s="50" t="s">
        <v>228</v>
      </c>
      <c r="C63" s="51" t="s">
        <v>181</v>
      </c>
      <c r="D63" s="87" t="s">
        <v>292</v>
      </c>
      <c r="E63" s="126">
        <v>0</v>
      </c>
      <c r="F63" s="79">
        <f>BPU!E63</f>
        <v>0</v>
      </c>
      <c r="G63" s="95">
        <f t="shared" si="1"/>
        <v>0</v>
      </c>
    </row>
    <row r="64" spans="1:7" ht="18.600000000000001" customHeight="1" x14ac:dyDescent="0.3">
      <c r="A64" s="52" t="s">
        <v>30</v>
      </c>
      <c r="B64" s="46" t="s">
        <v>172</v>
      </c>
      <c r="C64" s="52"/>
      <c r="D64" s="87"/>
      <c r="E64" s="126"/>
      <c r="F64" s="79">
        <f>BPU!E64</f>
        <v>0</v>
      </c>
      <c r="G64" s="95">
        <f t="shared" si="1"/>
        <v>0</v>
      </c>
    </row>
    <row r="65" spans="1:7" ht="18.600000000000001" customHeight="1" x14ac:dyDescent="0.3">
      <c r="A65" s="150" t="s">
        <v>446</v>
      </c>
      <c r="B65" s="50" t="s">
        <v>231</v>
      </c>
      <c r="C65" s="51" t="s">
        <v>181</v>
      </c>
      <c r="D65" s="87" t="s">
        <v>292</v>
      </c>
      <c r="E65" s="126">
        <v>0</v>
      </c>
      <c r="F65" s="79">
        <f>BPU!E65</f>
        <v>0</v>
      </c>
      <c r="G65" s="95">
        <f t="shared" si="1"/>
        <v>0</v>
      </c>
    </row>
    <row r="66" spans="1:7" ht="18.600000000000001" customHeight="1" x14ac:dyDescent="0.3">
      <c r="A66" s="150" t="s">
        <v>447</v>
      </c>
      <c r="B66" s="50" t="s">
        <v>232</v>
      </c>
      <c r="C66" s="51" t="s">
        <v>181</v>
      </c>
      <c r="D66" s="87" t="s">
        <v>292</v>
      </c>
      <c r="E66" s="126">
        <f>336.41*0</f>
        <v>0</v>
      </c>
      <c r="F66" s="79">
        <f>BPU!E66</f>
        <v>0</v>
      </c>
      <c r="G66" s="95">
        <f t="shared" si="1"/>
        <v>0</v>
      </c>
    </row>
    <row r="67" spans="1:7" ht="28.2" customHeight="1" x14ac:dyDescent="0.3">
      <c r="A67" s="150" t="s">
        <v>448</v>
      </c>
      <c r="B67" s="50" t="s">
        <v>233</v>
      </c>
      <c r="C67" s="51" t="s">
        <v>181</v>
      </c>
      <c r="D67" s="87" t="s">
        <v>292</v>
      </c>
      <c r="E67" s="126">
        <v>0</v>
      </c>
      <c r="F67" s="79">
        <f>BPU!E67</f>
        <v>0</v>
      </c>
      <c r="G67" s="95">
        <f t="shared" si="1"/>
        <v>0</v>
      </c>
    </row>
    <row r="68" spans="1:7" ht="18.600000000000001" customHeight="1" x14ac:dyDescent="0.3">
      <c r="A68" s="150" t="s">
        <v>449</v>
      </c>
      <c r="B68" s="50" t="s">
        <v>234</v>
      </c>
      <c r="C68" s="51" t="s">
        <v>181</v>
      </c>
      <c r="D68" s="87" t="s">
        <v>292</v>
      </c>
      <c r="E68" s="126">
        <v>0</v>
      </c>
      <c r="F68" s="79">
        <f>BPU!E68</f>
        <v>0</v>
      </c>
      <c r="G68" s="95">
        <f t="shared" si="1"/>
        <v>0</v>
      </c>
    </row>
    <row r="69" spans="1:7" ht="18.600000000000001" customHeight="1" x14ac:dyDescent="0.3">
      <c r="A69" s="52" t="s">
        <v>450</v>
      </c>
      <c r="B69" s="46" t="s">
        <v>173</v>
      </c>
      <c r="C69" s="52"/>
      <c r="D69" s="87"/>
      <c r="E69" s="126"/>
      <c r="F69" s="79">
        <f>BPU!E69</f>
        <v>0</v>
      </c>
      <c r="G69" s="95">
        <f t="shared" si="1"/>
        <v>0</v>
      </c>
    </row>
    <row r="70" spans="1:7" ht="18.600000000000001" customHeight="1" x14ac:dyDescent="0.3">
      <c r="A70" s="150" t="s">
        <v>451</v>
      </c>
      <c r="B70" s="50" t="s">
        <v>259</v>
      </c>
      <c r="C70" s="51" t="s">
        <v>181</v>
      </c>
      <c r="D70" s="87" t="s">
        <v>292</v>
      </c>
      <c r="E70" s="126">
        <v>0</v>
      </c>
      <c r="F70" s="79">
        <f>BPU!E70</f>
        <v>0</v>
      </c>
      <c r="G70" s="95">
        <f t="shared" si="1"/>
        <v>0</v>
      </c>
    </row>
    <row r="71" spans="1:7" ht="18.600000000000001" customHeight="1" x14ac:dyDescent="0.3">
      <c r="A71" s="150" t="s">
        <v>452</v>
      </c>
      <c r="B71" s="50" t="s">
        <v>235</v>
      </c>
      <c r="C71" s="51" t="s">
        <v>181</v>
      </c>
      <c r="D71" s="87" t="s">
        <v>292</v>
      </c>
      <c r="E71" s="126">
        <v>0</v>
      </c>
      <c r="F71" s="79">
        <f>BPU!E71</f>
        <v>0</v>
      </c>
      <c r="G71" s="95">
        <f t="shared" si="1"/>
        <v>0</v>
      </c>
    </row>
    <row r="72" spans="1:7" ht="18.600000000000001" customHeight="1" x14ac:dyDescent="0.3">
      <c r="A72" s="150" t="s">
        <v>453</v>
      </c>
      <c r="B72" s="50" t="s">
        <v>236</v>
      </c>
      <c r="C72" s="51" t="s">
        <v>181</v>
      </c>
      <c r="D72" s="87" t="s">
        <v>292</v>
      </c>
      <c r="E72" s="126">
        <v>0</v>
      </c>
      <c r="F72" s="79">
        <f>BPU!E72</f>
        <v>0</v>
      </c>
      <c r="G72" s="95">
        <f t="shared" si="1"/>
        <v>0</v>
      </c>
    </row>
    <row r="73" spans="1:7" ht="18.600000000000001" customHeight="1" x14ac:dyDescent="0.3">
      <c r="A73" s="150" t="s">
        <v>454</v>
      </c>
      <c r="B73" s="50" t="s">
        <v>237</v>
      </c>
      <c r="C73" s="51" t="s">
        <v>181</v>
      </c>
      <c r="D73" s="87" t="s">
        <v>292</v>
      </c>
      <c r="E73" s="126">
        <v>0</v>
      </c>
      <c r="F73" s="79">
        <f>BPU!E73</f>
        <v>0</v>
      </c>
      <c r="G73" s="95">
        <f t="shared" si="1"/>
        <v>0</v>
      </c>
    </row>
    <row r="74" spans="1:7" ht="18.600000000000001" customHeight="1" x14ac:dyDescent="0.3">
      <c r="A74" s="150" t="s">
        <v>455</v>
      </c>
      <c r="B74" s="50" t="s">
        <v>238</v>
      </c>
      <c r="C74" s="51" t="s">
        <v>181</v>
      </c>
      <c r="D74" s="87" t="s">
        <v>292</v>
      </c>
      <c r="E74" s="126">
        <v>0</v>
      </c>
      <c r="F74" s="79">
        <f>BPU!E74</f>
        <v>0</v>
      </c>
      <c r="G74" s="95">
        <f t="shared" si="1"/>
        <v>0</v>
      </c>
    </row>
    <row r="75" spans="1:7" ht="18.600000000000001" customHeight="1" x14ac:dyDescent="0.3">
      <c r="A75" s="150" t="s">
        <v>456</v>
      </c>
      <c r="B75" s="50" t="s">
        <v>179</v>
      </c>
      <c r="C75" s="51" t="s">
        <v>181</v>
      </c>
      <c r="D75" s="87" t="s">
        <v>292</v>
      </c>
      <c r="E75" s="126">
        <v>0</v>
      </c>
      <c r="F75" s="79">
        <f>BPU!E75</f>
        <v>0</v>
      </c>
      <c r="G75" s="95">
        <f t="shared" si="1"/>
        <v>0</v>
      </c>
    </row>
    <row r="76" spans="1:7" ht="18.600000000000001" customHeight="1" x14ac:dyDescent="0.3">
      <c r="A76" s="150" t="s">
        <v>457</v>
      </c>
      <c r="B76" s="50" t="s">
        <v>239</v>
      </c>
      <c r="C76" s="51" t="s">
        <v>181</v>
      </c>
      <c r="D76" s="87" t="s">
        <v>292</v>
      </c>
      <c r="E76" s="126">
        <v>0</v>
      </c>
      <c r="F76" s="79">
        <f>BPU!E76</f>
        <v>0</v>
      </c>
      <c r="G76" s="95">
        <f t="shared" si="1"/>
        <v>0</v>
      </c>
    </row>
    <row r="77" spans="1:7" ht="18.600000000000001" customHeight="1" x14ac:dyDescent="0.3">
      <c r="A77" s="52" t="s">
        <v>458</v>
      </c>
      <c r="B77" s="46" t="s">
        <v>174</v>
      </c>
      <c r="C77" s="52"/>
      <c r="D77" s="87"/>
      <c r="E77" s="126"/>
      <c r="F77" s="79">
        <f>BPU!E77</f>
        <v>0</v>
      </c>
      <c r="G77" s="95">
        <f t="shared" si="1"/>
        <v>0</v>
      </c>
    </row>
    <row r="78" spans="1:7" ht="18.600000000000001" customHeight="1" x14ac:dyDescent="0.3">
      <c r="A78" s="150" t="s">
        <v>459</v>
      </c>
      <c r="B78" s="50" t="s">
        <v>367</v>
      </c>
      <c r="C78" s="51" t="s">
        <v>181</v>
      </c>
      <c r="D78" s="87" t="s">
        <v>292</v>
      </c>
      <c r="E78" s="126"/>
      <c r="F78" s="79">
        <f>BPU!E78</f>
        <v>0</v>
      </c>
      <c r="G78" s="95">
        <f t="shared" ref="G78" si="2">E78*F78</f>
        <v>0</v>
      </c>
    </row>
    <row r="79" spans="1:7" ht="18.600000000000001" customHeight="1" x14ac:dyDescent="0.3">
      <c r="A79" s="150" t="s">
        <v>460</v>
      </c>
      <c r="B79" s="50" t="s">
        <v>240</v>
      </c>
      <c r="C79" s="51" t="s">
        <v>181</v>
      </c>
      <c r="D79" s="87" t="s">
        <v>292</v>
      </c>
      <c r="E79" s="126">
        <v>0</v>
      </c>
      <c r="F79" s="79">
        <f>BPU!E79</f>
        <v>0</v>
      </c>
      <c r="G79" s="95">
        <f t="shared" si="1"/>
        <v>0</v>
      </c>
    </row>
    <row r="80" spans="1:7" ht="18.600000000000001" customHeight="1" x14ac:dyDescent="0.3">
      <c r="A80" s="150" t="s">
        <v>461</v>
      </c>
      <c r="B80" s="50" t="s">
        <v>241</v>
      </c>
      <c r="C80" s="51" t="s">
        <v>181</v>
      </c>
      <c r="D80" s="87" t="s">
        <v>292</v>
      </c>
      <c r="E80" s="126">
        <v>0</v>
      </c>
      <c r="F80" s="79">
        <f>BPU!E80</f>
        <v>0</v>
      </c>
      <c r="G80" s="95">
        <f t="shared" si="1"/>
        <v>0</v>
      </c>
    </row>
    <row r="81" spans="1:7" ht="18.600000000000001" customHeight="1" x14ac:dyDescent="0.3">
      <c r="A81" s="150" t="s">
        <v>462</v>
      </c>
      <c r="B81" s="50" t="s">
        <v>242</v>
      </c>
      <c r="C81" s="51" t="s">
        <v>181</v>
      </c>
      <c r="D81" s="87" t="s">
        <v>292</v>
      </c>
      <c r="E81" s="126">
        <v>0</v>
      </c>
      <c r="F81" s="79">
        <f>BPU!E81</f>
        <v>0</v>
      </c>
      <c r="G81" s="95">
        <f t="shared" si="1"/>
        <v>0</v>
      </c>
    </row>
    <row r="82" spans="1:7" ht="18.600000000000001" customHeight="1" x14ac:dyDescent="0.3">
      <c r="A82" s="150" t="s">
        <v>463</v>
      </c>
      <c r="B82" s="50" t="s">
        <v>243</v>
      </c>
      <c r="C82" s="51" t="s">
        <v>181</v>
      </c>
      <c r="D82" s="87" t="s">
        <v>292</v>
      </c>
      <c r="E82" s="126">
        <v>0</v>
      </c>
      <c r="F82" s="79">
        <f>BPU!E82</f>
        <v>0</v>
      </c>
      <c r="G82" s="95">
        <f t="shared" si="1"/>
        <v>0</v>
      </c>
    </row>
    <row r="83" spans="1:7" ht="18.600000000000001" customHeight="1" x14ac:dyDescent="0.3">
      <c r="A83" s="150" t="s">
        <v>464</v>
      </c>
      <c r="B83" s="50" t="s">
        <v>244</v>
      </c>
      <c r="C83" s="51" t="s">
        <v>181</v>
      </c>
      <c r="D83" s="87" t="s">
        <v>292</v>
      </c>
      <c r="E83" s="126">
        <v>0</v>
      </c>
      <c r="F83" s="79">
        <f>BPU!E83</f>
        <v>0</v>
      </c>
      <c r="G83" s="95">
        <f t="shared" si="1"/>
        <v>0</v>
      </c>
    </row>
    <row r="84" spans="1:7" ht="18.600000000000001" customHeight="1" x14ac:dyDescent="0.3">
      <c r="A84" s="150" t="s">
        <v>465</v>
      </c>
      <c r="B84" s="50" t="s">
        <v>245</v>
      </c>
      <c r="C84" s="51" t="s">
        <v>181</v>
      </c>
      <c r="D84" s="87" t="s">
        <v>292</v>
      </c>
      <c r="E84" s="126">
        <v>0</v>
      </c>
      <c r="F84" s="79">
        <f>BPU!E84</f>
        <v>0</v>
      </c>
      <c r="G84" s="95">
        <f t="shared" si="1"/>
        <v>0</v>
      </c>
    </row>
    <row r="85" spans="1:7" ht="18.600000000000001" customHeight="1" x14ac:dyDescent="0.3">
      <c r="A85" s="150" t="s">
        <v>466</v>
      </c>
      <c r="B85" s="50" t="s">
        <v>246</v>
      </c>
      <c r="C85" s="51" t="s">
        <v>181</v>
      </c>
      <c r="D85" s="87" t="s">
        <v>292</v>
      </c>
      <c r="E85" s="126">
        <v>0</v>
      </c>
      <c r="F85" s="79">
        <f>BPU!E85</f>
        <v>0</v>
      </c>
      <c r="G85" s="95">
        <f t="shared" si="1"/>
        <v>0</v>
      </c>
    </row>
    <row r="86" spans="1:7" ht="18.600000000000001" customHeight="1" x14ac:dyDescent="0.3">
      <c r="A86" s="150" t="s">
        <v>467</v>
      </c>
      <c r="B86" s="50" t="s">
        <v>247</v>
      </c>
      <c r="C86" s="51" t="s">
        <v>181</v>
      </c>
      <c r="D86" s="87" t="s">
        <v>292</v>
      </c>
      <c r="E86" s="126">
        <v>0</v>
      </c>
      <c r="F86" s="79">
        <f>BPU!E86</f>
        <v>0</v>
      </c>
      <c r="G86" s="95">
        <f t="shared" si="1"/>
        <v>0</v>
      </c>
    </row>
    <row r="87" spans="1:7" ht="18.600000000000001" customHeight="1" x14ac:dyDescent="0.3">
      <c r="A87" s="150" t="s">
        <v>468</v>
      </c>
      <c r="B87" s="50" t="s">
        <v>194</v>
      </c>
      <c r="C87" s="51" t="s">
        <v>181</v>
      </c>
      <c r="D87" s="87" t="s">
        <v>292</v>
      </c>
      <c r="E87" s="126">
        <v>65</v>
      </c>
      <c r="F87" s="79">
        <f>BPU!E87</f>
        <v>0</v>
      </c>
      <c r="G87" s="95">
        <f t="shared" si="1"/>
        <v>0</v>
      </c>
    </row>
    <row r="88" spans="1:7" ht="18.600000000000001" customHeight="1" x14ac:dyDescent="0.3">
      <c r="A88" s="52" t="s">
        <v>469</v>
      </c>
      <c r="B88" s="46" t="s">
        <v>175</v>
      </c>
      <c r="C88" s="52"/>
      <c r="D88" s="87"/>
      <c r="E88" s="126"/>
      <c r="F88" s="79">
        <f>BPU!E88</f>
        <v>0</v>
      </c>
      <c r="G88" s="95">
        <f t="shared" si="1"/>
        <v>0</v>
      </c>
    </row>
    <row r="89" spans="1:7" ht="18.600000000000001" customHeight="1" x14ac:dyDescent="0.3">
      <c r="A89" s="150" t="s">
        <v>470</v>
      </c>
      <c r="B89" s="50" t="s">
        <v>180</v>
      </c>
      <c r="C89" s="51" t="s">
        <v>181</v>
      </c>
      <c r="D89" s="87" t="s">
        <v>292</v>
      </c>
      <c r="E89" s="126">
        <v>336.41</v>
      </c>
      <c r="F89" s="79">
        <f>BPU!E89</f>
        <v>0</v>
      </c>
      <c r="G89" s="95">
        <f t="shared" si="1"/>
        <v>0</v>
      </c>
    </row>
    <row r="90" spans="1:7" ht="18.600000000000001" customHeight="1" x14ac:dyDescent="0.3">
      <c r="A90" s="52" t="s">
        <v>471</v>
      </c>
      <c r="B90" s="46" t="s">
        <v>176</v>
      </c>
      <c r="C90" s="52"/>
      <c r="D90" s="87"/>
      <c r="E90" s="126"/>
      <c r="F90" s="79">
        <f>BPU!E90</f>
        <v>0</v>
      </c>
      <c r="G90" s="95">
        <f t="shared" si="1"/>
        <v>0</v>
      </c>
    </row>
    <row r="91" spans="1:7" ht="18.600000000000001" customHeight="1" x14ac:dyDescent="0.3">
      <c r="A91" s="150" t="s">
        <v>472</v>
      </c>
      <c r="B91" s="50" t="s">
        <v>257</v>
      </c>
      <c r="C91" s="51" t="s">
        <v>181</v>
      </c>
      <c r="D91" s="87" t="s">
        <v>292</v>
      </c>
      <c r="E91" s="126">
        <v>0</v>
      </c>
      <c r="F91" s="79">
        <f>BPU!E91</f>
        <v>0</v>
      </c>
      <c r="G91" s="95">
        <f t="shared" si="1"/>
        <v>0</v>
      </c>
    </row>
    <row r="92" spans="1:7" ht="18.600000000000001" customHeight="1" x14ac:dyDescent="0.3">
      <c r="A92" s="150" t="s">
        <v>473</v>
      </c>
      <c r="B92" s="50" t="s">
        <v>253</v>
      </c>
      <c r="C92" s="51" t="s">
        <v>17</v>
      </c>
      <c r="D92" s="87" t="s">
        <v>292</v>
      </c>
      <c r="E92" s="126">
        <v>0</v>
      </c>
      <c r="F92" s="79">
        <f>BPU!E92</f>
        <v>0</v>
      </c>
      <c r="G92" s="95">
        <f t="shared" si="1"/>
        <v>0</v>
      </c>
    </row>
    <row r="93" spans="1:7" ht="18.600000000000001" customHeight="1" x14ac:dyDescent="0.3">
      <c r="A93" s="150" t="s">
        <v>474</v>
      </c>
      <c r="B93" s="50" t="s">
        <v>252</v>
      </c>
      <c r="C93" s="51" t="s">
        <v>17</v>
      </c>
      <c r="D93" s="87" t="s">
        <v>292</v>
      </c>
      <c r="E93" s="126">
        <v>0</v>
      </c>
      <c r="F93" s="79">
        <f>BPU!E93</f>
        <v>0</v>
      </c>
      <c r="G93" s="95">
        <f t="shared" si="1"/>
        <v>0</v>
      </c>
    </row>
    <row r="94" spans="1:7" ht="18.600000000000001" customHeight="1" x14ac:dyDescent="0.3">
      <c r="A94" s="150" t="s">
        <v>475</v>
      </c>
      <c r="B94" s="50" t="s">
        <v>254</v>
      </c>
      <c r="C94" s="51" t="s">
        <v>17</v>
      </c>
      <c r="D94" s="87" t="s">
        <v>292</v>
      </c>
      <c r="E94" s="126">
        <v>0</v>
      </c>
      <c r="F94" s="79">
        <f>BPU!E94</f>
        <v>0</v>
      </c>
      <c r="G94" s="95">
        <f t="shared" ref="G94:G157" si="3">E94*F94</f>
        <v>0</v>
      </c>
    </row>
    <row r="95" spans="1:7" ht="18.600000000000001" customHeight="1" x14ac:dyDescent="0.3">
      <c r="A95" s="150" t="s">
        <v>476</v>
      </c>
      <c r="B95" s="50" t="s">
        <v>255</v>
      </c>
      <c r="C95" s="51" t="s">
        <v>17</v>
      </c>
      <c r="D95" s="87" t="s">
        <v>292</v>
      </c>
      <c r="E95" s="126">
        <v>0</v>
      </c>
      <c r="F95" s="79">
        <f>BPU!E95</f>
        <v>0</v>
      </c>
      <c r="G95" s="95">
        <f t="shared" si="3"/>
        <v>0</v>
      </c>
    </row>
    <row r="96" spans="1:7" ht="28.8" customHeight="1" x14ac:dyDescent="0.3">
      <c r="A96" s="150" t="s">
        <v>477</v>
      </c>
      <c r="B96" s="50" t="s">
        <v>251</v>
      </c>
      <c r="C96" s="51" t="s">
        <v>17</v>
      </c>
      <c r="D96" s="87" t="s">
        <v>292</v>
      </c>
      <c r="E96" s="126">
        <v>0</v>
      </c>
      <c r="F96" s="79">
        <f>BPU!E96</f>
        <v>0</v>
      </c>
      <c r="G96" s="95">
        <f t="shared" si="3"/>
        <v>0</v>
      </c>
    </row>
    <row r="97" spans="1:8" x14ac:dyDescent="0.3">
      <c r="A97" s="150" t="s">
        <v>478</v>
      </c>
      <c r="B97" s="50" t="s">
        <v>256</v>
      </c>
      <c r="C97" s="51" t="s">
        <v>181</v>
      </c>
      <c r="D97" s="87" t="s">
        <v>292</v>
      </c>
      <c r="E97" s="126">
        <v>0</v>
      </c>
      <c r="F97" s="79">
        <f>BPU!E97</f>
        <v>0</v>
      </c>
      <c r="G97" s="95">
        <f t="shared" si="3"/>
        <v>0</v>
      </c>
    </row>
    <row r="98" spans="1:8" x14ac:dyDescent="0.3">
      <c r="A98" s="150" t="s">
        <v>479</v>
      </c>
      <c r="B98" s="50" t="s">
        <v>258</v>
      </c>
      <c r="C98" s="51" t="s">
        <v>17</v>
      </c>
      <c r="D98" s="87" t="s">
        <v>292</v>
      </c>
      <c r="E98" s="126">
        <v>0</v>
      </c>
      <c r="F98" s="79">
        <f>BPU!E98</f>
        <v>0</v>
      </c>
      <c r="G98" s="95">
        <f t="shared" si="3"/>
        <v>0</v>
      </c>
    </row>
    <row r="99" spans="1:8" ht="18.600000000000001" customHeight="1" x14ac:dyDescent="0.3">
      <c r="A99" s="150" t="s">
        <v>480</v>
      </c>
      <c r="B99" s="50" t="s">
        <v>193</v>
      </c>
      <c r="C99" s="51" t="s">
        <v>181</v>
      </c>
      <c r="D99" s="87" t="s">
        <v>292</v>
      </c>
      <c r="E99" s="126">
        <v>45</v>
      </c>
      <c r="F99" s="79">
        <f>BPU!E99</f>
        <v>0</v>
      </c>
      <c r="G99" s="95">
        <f t="shared" si="3"/>
        <v>0</v>
      </c>
    </row>
    <row r="100" spans="1:8" x14ac:dyDescent="0.3">
      <c r="A100" s="150" t="s">
        <v>481</v>
      </c>
      <c r="B100" s="50" t="s">
        <v>192</v>
      </c>
      <c r="C100" s="51" t="s">
        <v>181</v>
      </c>
      <c r="D100" s="87" t="s">
        <v>292</v>
      </c>
      <c r="E100" s="126">
        <f>336.41*1.25</f>
        <v>420.51250000000005</v>
      </c>
      <c r="F100" s="79">
        <f>BPU!E100</f>
        <v>0</v>
      </c>
      <c r="G100" s="95">
        <f t="shared" si="3"/>
        <v>0</v>
      </c>
    </row>
    <row r="101" spans="1:8" ht="28.8" x14ac:dyDescent="0.3">
      <c r="A101" s="150" t="s">
        <v>482</v>
      </c>
      <c r="B101" s="50" t="s">
        <v>260</v>
      </c>
      <c r="C101" s="51" t="s">
        <v>181</v>
      </c>
      <c r="D101" s="87" t="s">
        <v>292</v>
      </c>
      <c r="E101" s="126">
        <v>420.51</v>
      </c>
      <c r="F101" s="79">
        <f>BPU!E101</f>
        <v>0</v>
      </c>
      <c r="G101" s="95">
        <f t="shared" si="3"/>
        <v>0</v>
      </c>
    </row>
    <row r="102" spans="1:8" ht="18.600000000000001" customHeight="1" x14ac:dyDescent="0.3">
      <c r="A102" s="52" t="s">
        <v>483</v>
      </c>
      <c r="B102" s="46" t="s">
        <v>177</v>
      </c>
      <c r="C102" s="52"/>
      <c r="D102" s="87"/>
      <c r="E102" s="126"/>
      <c r="F102" s="79">
        <f>BPU!E102</f>
        <v>0</v>
      </c>
      <c r="G102" s="95">
        <f t="shared" si="3"/>
        <v>0</v>
      </c>
    </row>
    <row r="103" spans="1:8" ht="18.600000000000001" customHeight="1" x14ac:dyDescent="0.3">
      <c r="A103" s="150" t="s">
        <v>484</v>
      </c>
      <c r="B103" s="50" t="s">
        <v>182</v>
      </c>
      <c r="C103" s="51" t="s">
        <v>181</v>
      </c>
      <c r="D103" s="87" t="s">
        <v>292</v>
      </c>
      <c r="E103" s="126">
        <v>861</v>
      </c>
      <c r="F103" s="79">
        <f>BPU!E103</f>
        <v>0</v>
      </c>
      <c r="G103" s="95">
        <f t="shared" si="3"/>
        <v>0</v>
      </c>
    </row>
    <row r="104" spans="1:8" x14ac:dyDescent="0.3">
      <c r="A104" s="150" t="s">
        <v>485</v>
      </c>
      <c r="B104" s="50" t="s">
        <v>1273</v>
      </c>
      <c r="C104" s="51" t="s">
        <v>181</v>
      </c>
      <c r="D104" s="87" t="s">
        <v>292</v>
      </c>
      <c r="E104" s="126">
        <v>861</v>
      </c>
      <c r="F104" s="79">
        <f>BPU!E104</f>
        <v>0</v>
      </c>
      <c r="G104" s="95">
        <f t="shared" si="3"/>
        <v>0</v>
      </c>
    </row>
    <row r="105" spans="1:8" x14ac:dyDescent="0.3">
      <c r="A105" s="150" t="s">
        <v>486</v>
      </c>
      <c r="B105" s="50" t="s">
        <v>183</v>
      </c>
      <c r="C105" s="51" t="s">
        <v>181</v>
      </c>
      <c r="D105" s="87" t="s">
        <v>292</v>
      </c>
      <c r="E105" s="126">
        <v>336.41</v>
      </c>
      <c r="F105" s="79">
        <f>BPU!E105</f>
        <v>0</v>
      </c>
      <c r="G105" s="95">
        <f t="shared" si="3"/>
        <v>0</v>
      </c>
    </row>
    <row r="106" spans="1:8" x14ac:dyDescent="0.3">
      <c r="A106" s="150" t="s">
        <v>487</v>
      </c>
      <c r="B106" s="50" t="s">
        <v>184</v>
      </c>
      <c r="C106" s="51" t="s">
        <v>181</v>
      </c>
      <c r="D106" s="87" t="s">
        <v>292</v>
      </c>
      <c r="E106" s="126">
        <f>12*2.1*1*2</f>
        <v>50.400000000000006</v>
      </c>
      <c r="F106" s="79">
        <f>BPU!E106</f>
        <v>0</v>
      </c>
      <c r="G106" s="95">
        <f t="shared" si="3"/>
        <v>0</v>
      </c>
    </row>
    <row r="107" spans="1:8" ht="15" thickBot="1" x14ac:dyDescent="0.35">
      <c r="A107" s="150" t="s">
        <v>488</v>
      </c>
      <c r="B107" s="50" t="s">
        <v>185</v>
      </c>
      <c r="C107" s="51" t="s">
        <v>181</v>
      </c>
      <c r="D107" s="87" t="s">
        <v>292</v>
      </c>
      <c r="E107" s="126">
        <v>26.5</v>
      </c>
      <c r="F107" s="79">
        <f>BPU!E107</f>
        <v>0</v>
      </c>
      <c r="G107" s="95">
        <f t="shared" si="3"/>
        <v>0</v>
      </c>
    </row>
    <row r="108" spans="1:8" ht="19.8" customHeight="1" thickBot="1" x14ac:dyDescent="0.35">
      <c r="A108" s="52"/>
      <c r="B108" s="96" t="s">
        <v>387</v>
      </c>
      <c r="C108" s="51"/>
      <c r="D108" s="87"/>
      <c r="E108" s="126"/>
      <c r="F108" s="79">
        <f>BPU!E108</f>
        <v>0</v>
      </c>
      <c r="G108" s="146">
        <f>SUM(G29:G107)</f>
        <v>0</v>
      </c>
    </row>
    <row r="109" spans="1:8" s="58" customFormat="1" ht="16.8" customHeight="1" x14ac:dyDescent="0.3">
      <c r="A109" s="70" t="s">
        <v>19</v>
      </c>
      <c r="B109" s="70" t="s">
        <v>1304</v>
      </c>
      <c r="C109" s="52"/>
      <c r="D109" s="87"/>
      <c r="E109" s="126"/>
      <c r="F109" s="79">
        <f>BPU!E109</f>
        <v>0</v>
      </c>
      <c r="G109" s="95">
        <f t="shared" si="3"/>
        <v>0</v>
      </c>
      <c r="H109" s="136"/>
    </row>
    <row r="110" spans="1:8" ht="18.600000000000001" customHeight="1" x14ac:dyDescent="0.3">
      <c r="A110" s="52" t="s">
        <v>32</v>
      </c>
      <c r="B110" s="46" t="s">
        <v>161</v>
      </c>
      <c r="C110" s="52"/>
      <c r="D110" s="87"/>
      <c r="E110" s="126"/>
      <c r="F110" s="79">
        <f>BPU!E110</f>
        <v>0</v>
      </c>
      <c r="G110" s="95">
        <f t="shared" si="3"/>
        <v>0</v>
      </c>
    </row>
    <row r="111" spans="1:8" ht="28.8" customHeight="1" x14ac:dyDescent="0.3">
      <c r="A111" s="150" t="s">
        <v>489</v>
      </c>
      <c r="B111" s="153" t="s">
        <v>1308</v>
      </c>
      <c r="C111" s="51" t="s">
        <v>181</v>
      </c>
      <c r="D111" s="87" t="s">
        <v>292</v>
      </c>
      <c r="E111" s="126">
        <v>45.26</v>
      </c>
      <c r="F111" s="79">
        <f>BPU!E111</f>
        <v>0</v>
      </c>
      <c r="G111" s="95">
        <f t="shared" si="3"/>
        <v>0</v>
      </c>
    </row>
    <row r="112" spans="1:8" ht="18.600000000000001" customHeight="1" x14ac:dyDescent="0.3">
      <c r="A112" s="150" t="s">
        <v>490</v>
      </c>
      <c r="B112" s="154" t="s">
        <v>1287</v>
      </c>
      <c r="C112" s="51" t="s">
        <v>17</v>
      </c>
      <c r="D112" s="87" t="s">
        <v>292</v>
      </c>
      <c r="E112" s="126">
        <v>123</v>
      </c>
      <c r="F112" s="79">
        <f>BPU!E112</f>
        <v>0</v>
      </c>
      <c r="G112" s="95">
        <f t="shared" si="3"/>
        <v>0</v>
      </c>
    </row>
    <row r="113" spans="1:8" ht="18.600000000000001" customHeight="1" x14ac:dyDescent="0.3">
      <c r="A113" s="150" t="s">
        <v>491</v>
      </c>
      <c r="B113" s="52" t="s">
        <v>210</v>
      </c>
      <c r="C113" s="51" t="s">
        <v>197</v>
      </c>
      <c r="D113" s="87" t="s">
        <v>292</v>
      </c>
      <c r="E113" s="126">
        <v>0</v>
      </c>
      <c r="F113" s="79">
        <f>BPU!E113</f>
        <v>0</v>
      </c>
      <c r="G113" s="95">
        <f t="shared" si="3"/>
        <v>0</v>
      </c>
    </row>
    <row r="114" spans="1:8" ht="18.600000000000001" customHeight="1" x14ac:dyDescent="0.3">
      <c r="A114" s="150" t="s">
        <v>492</v>
      </c>
      <c r="B114" s="52" t="s">
        <v>209</v>
      </c>
      <c r="C114" s="51" t="s">
        <v>197</v>
      </c>
      <c r="D114" s="87" t="s">
        <v>292</v>
      </c>
      <c r="E114" s="126">
        <v>0</v>
      </c>
      <c r="F114" s="79">
        <f>BPU!E114</f>
        <v>0</v>
      </c>
      <c r="G114" s="95">
        <f t="shared" si="3"/>
        <v>0</v>
      </c>
    </row>
    <row r="115" spans="1:8" ht="18.600000000000001" customHeight="1" x14ac:dyDescent="0.3">
      <c r="A115" s="150" t="s">
        <v>493</v>
      </c>
      <c r="B115" s="154" t="s">
        <v>1288</v>
      </c>
      <c r="C115" s="51" t="s">
        <v>181</v>
      </c>
      <c r="D115" s="87" t="s">
        <v>292</v>
      </c>
      <c r="E115" s="126">
        <v>0</v>
      </c>
      <c r="F115" s="79">
        <f>BPU!E115</f>
        <v>0</v>
      </c>
      <c r="G115" s="95">
        <f t="shared" si="3"/>
        <v>0</v>
      </c>
    </row>
    <row r="116" spans="1:8" ht="18.600000000000001" customHeight="1" x14ac:dyDescent="0.3">
      <c r="A116" s="150" t="s">
        <v>494</v>
      </c>
      <c r="B116" s="52" t="s">
        <v>293</v>
      </c>
      <c r="C116" s="51" t="s">
        <v>181</v>
      </c>
      <c r="D116" s="87" t="s">
        <v>292</v>
      </c>
      <c r="E116" s="126">
        <v>0</v>
      </c>
      <c r="F116" s="79">
        <f>BPU!E116</f>
        <v>0</v>
      </c>
      <c r="G116" s="95">
        <f t="shared" si="3"/>
        <v>0</v>
      </c>
    </row>
    <row r="117" spans="1:8" ht="28.2" customHeight="1" x14ac:dyDescent="0.3">
      <c r="A117" s="150" t="s">
        <v>495</v>
      </c>
      <c r="B117" s="61" t="s">
        <v>198</v>
      </c>
      <c r="C117" s="51" t="s">
        <v>79</v>
      </c>
      <c r="D117" s="87" t="s">
        <v>158</v>
      </c>
      <c r="E117" s="126">
        <v>0</v>
      </c>
      <c r="F117" s="79">
        <f>BPU!E117</f>
        <v>0</v>
      </c>
      <c r="G117" s="95">
        <f t="shared" si="3"/>
        <v>0</v>
      </c>
    </row>
    <row r="118" spans="1:8" ht="18.600000000000001" customHeight="1" x14ac:dyDescent="0.3">
      <c r="A118" s="52" t="s">
        <v>33</v>
      </c>
      <c r="B118" s="46" t="s">
        <v>208</v>
      </c>
      <c r="C118" s="51"/>
      <c r="D118" s="87"/>
      <c r="E118" s="126"/>
      <c r="F118" s="79">
        <f>BPU!E118</f>
        <v>0</v>
      </c>
      <c r="G118" s="95">
        <f t="shared" si="3"/>
        <v>0</v>
      </c>
    </row>
    <row r="119" spans="1:8" ht="18.600000000000001" customHeight="1" x14ac:dyDescent="0.3">
      <c r="A119" s="150" t="s">
        <v>496</v>
      </c>
      <c r="B119" s="52" t="s">
        <v>211</v>
      </c>
      <c r="C119" s="51" t="s">
        <v>230</v>
      </c>
      <c r="D119" s="87" t="s">
        <v>292</v>
      </c>
      <c r="E119" s="126">
        <v>0</v>
      </c>
      <c r="F119" s="79">
        <f>BPU!E119</f>
        <v>0</v>
      </c>
      <c r="G119" s="95">
        <f t="shared" si="3"/>
        <v>0</v>
      </c>
    </row>
    <row r="120" spans="1:8" ht="18.600000000000001" customHeight="1" x14ac:dyDescent="0.3">
      <c r="A120" s="150" t="s">
        <v>497</v>
      </c>
      <c r="B120" s="52" t="s">
        <v>212</v>
      </c>
      <c r="C120" s="51" t="s">
        <v>230</v>
      </c>
      <c r="D120" s="87" t="s">
        <v>292</v>
      </c>
      <c r="E120" s="126">
        <v>0</v>
      </c>
      <c r="F120" s="79">
        <f>BPU!E120</f>
        <v>0</v>
      </c>
      <c r="G120" s="95">
        <f t="shared" si="3"/>
        <v>0</v>
      </c>
    </row>
    <row r="121" spans="1:8" ht="18.600000000000001" customHeight="1" x14ac:dyDescent="0.3">
      <c r="A121" s="52" t="s">
        <v>498</v>
      </c>
      <c r="B121" s="46" t="s">
        <v>168</v>
      </c>
      <c r="C121" s="52"/>
      <c r="D121" s="87"/>
      <c r="E121" s="126"/>
      <c r="F121" s="79">
        <f>BPU!E121</f>
        <v>0</v>
      </c>
      <c r="G121" s="95">
        <f t="shared" si="3"/>
        <v>0</v>
      </c>
    </row>
    <row r="122" spans="1:8" s="65" customFormat="1" ht="18.600000000000001" customHeight="1" x14ac:dyDescent="0.3">
      <c r="A122" s="150" t="s">
        <v>499</v>
      </c>
      <c r="B122" s="50" t="s">
        <v>213</v>
      </c>
      <c r="C122" s="51" t="s">
        <v>230</v>
      </c>
      <c r="D122" s="88" t="s">
        <v>292</v>
      </c>
      <c r="E122" s="130">
        <v>0</v>
      </c>
      <c r="F122" s="79">
        <f>BPU!E122</f>
        <v>0</v>
      </c>
      <c r="G122" s="95">
        <f t="shared" si="3"/>
        <v>0</v>
      </c>
      <c r="H122" s="66"/>
    </row>
    <row r="123" spans="1:8" s="65" customFormat="1" ht="18.600000000000001" customHeight="1" x14ac:dyDescent="0.3">
      <c r="A123" s="150" t="s">
        <v>500</v>
      </c>
      <c r="B123" s="50" t="s">
        <v>187</v>
      </c>
      <c r="C123" s="51" t="s">
        <v>230</v>
      </c>
      <c r="D123" s="88" t="s">
        <v>292</v>
      </c>
      <c r="E123" s="130">
        <v>0</v>
      </c>
      <c r="F123" s="79">
        <f>BPU!E123</f>
        <v>0</v>
      </c>
      <c r="G123" s="95">
        <f t="shared" si="3"/>
        <v>0</v>
      </c>
      <c r="H123" s="66"/>
    </row>
    <row r="124" spans="1:8" s="65" customFormat="1" ht="18.600000000000001" customHeight="1" x14ac:dyDescent="0.3">
      <c r="A124" s="150" t="s">
        <v>501</v>
      </c>
      <c r="B124" s="50" t="s">
        <v>214</v>
      </c>
      <c r="C124" s="51" t="s">
        <v>230</v>
      </c>
      <c r="D124" s="88" t="s">
        <v>292</v>
      </c>
      <c r="E124" s="130">
        <v>0</v>
      </c>
      <c r="F124" s="79">
        <f>BPU!E124</f>
        <v>0</v>
      </c>
      <c r="G124" s="95">
        <f t="shared" si="3"/>
        <v>0</v>
      </c>
      <c r="H124" s="66"/>
    </row>
    <row r="125" spans="1:8" s="65" customFormat="1" ht="33" customHeight="1" x14ac:dyDescent="0.3">
      <c r="A125" s="150" t="s">
        <v>502</v>
      </c>
      <c r="B125" s="50" t="s">
        <v>215</v>
      </c>
      <c r="C125" s="51" t="s">
        <v>230</v>
      </c>
      <c r="D125" s="88" t="s">
        <v>292</v>
      </c>
      <c r="E125" s="130">
        <v>0</v>
      </c>
      <c r="F125" s="79">
        <f>BPU!E125</f>
        <v>0</v>
      </c>
      <c r="G125" s="95">
        <f t="shared" si="3"/>
        <v>0</v>
      </c>
      <c r="H125" s="66"/>
    </row>
    <row r="126" spans="1:8" ht="18.600000000000001" customHeight="1" x14ac:dyDescent="0.3">
      <c r="A126" s="52" t="s">
        <v>503</v>
      </c>
      <c r="B126" s="46" t="s">
        <v>169</v>
      </c>
      <c r="C126" s="52"/>
      <c r="D126" s="87"/>
      <c r="E126" s="126"/>
      <c r="F126" s="79">
        <f>BPU!E126</f>
        <v>0</v>
      </c>
      <c r="G126" s="95">
        <f t="shared" si="3"/>
        <v>0</v>
      </c>
    </row>
    <row r="127" spans="1:8" ht="18.600000000000001" customHeight="1" x14ac:dyDescent="0.3">
      <c r="A127" s="150" t="s">
        <v>504</v>
      </c>
      <c r="B127" s="50" t="s">
        <v>216</v>
      </c>
      <c r="C127" s="51" t="s">
        <v>230</v>
      </c>
      <c r="D127" s="87" t="s">
        <v>292</v>
      </c>
      <c r="E127" s="126">
        <v>0</v>
      </c>
      <c r="F127" s="79">
        <f>BPU!E127</f>
        <v>0</v>
      </c>
      <c r="G127" s="95">
        <f t="shared" si="3"/>
        <v>0</v>
      </c>
    </row>
    <row r="128" spans="1:8" ht="18.600000000000001" customHeight="1" x14ac:dyDescent="0.3">
      <c r="A128" s="150" t="s">
        <v>505</v>
      </c>
      <c r="B128" s="50" t="s">
        <v>217</v>
      </c>
      <c r="C128" s="51" t="s">
        <v>230</v>
      </c>
      <c r="D128" s="87" t="s">
        <v>292</v>
      </c>
      <c r="E128" s="126">
        <v>0</v>
      </c>
      <c r="F128" s="79">
        <f>BPU!E128</f>
        <v>0</v>
      </c>
      <c r="G128" s="95">
        <f t="shared" si="3"/>
        <v>0</v>
      </c>
    </row>
    <row r="129" spans="1:7" ht="18.600000000000001" customHeight="1" x14ac:dyDescent="0.3">
      <c r="A129" s="150" t="s">
        <v>506</v>
      </c>
      <c r="B129" s="50" t="s">
        <v>218</v>
      </c>
      <c r="C129" s="51" t="s">
        <v>230</v>
      </c>
      <c r="D129" s="87" t="s">
        <v>292</v>
      </c>
      <c r="E129" s="126">
        <v>0</v>
      </c>
      <c r="F129" s="79">
        <f>BPU!E129</f>
        <v>0</v>
      </c>
      <c r="G129" s="95">
        <f t="shared" si="3"/>
        <v>0</v>
      </c>
    </row>
    <row r="130" spans="1:7" ht="18.600000000000001" customHeight="1" x14ac:dyDescent="0.3">
      <c r="A130" s="150" t="s">
        <v>507</v>
      </c>
      <c r="B130" s="50" t="s">
        <v>219</v>
      </c>
      <c r="C130" s="51" t="s">
        <v>230</v>
      </c>
      <c r="D130" s="87" t="s">
        <v>292</v>
      </c>
      <c r="E130" s="126">
        <v>0</v>
      </c>
      <c r="F130" s="79">
        <f>BPU!E130</f>
        <v>0</v>
      </c>
      <c r="G130" s="95">
        <f t="shared" si="3"/>
        <v>0</v>
      </c>
    </row>
    <row r="131" spans="1:7" ht="18.600000000000001" customHeight="1" x14ac:dyDescent="0.3">
      <c r="A131" s="150" t="s">
        <v>508</v>
      </c>
      <c r="B131" s="50" t="s">
        <v>220</v>
      </c>
      <c r="C131" s="51" t="s">
        <v>230</v>
      </c>
      <c r="D131" s="87" t="s">
        <v>292</v>
      </c>
      <c r="E131" s="126">
        <v>0</v>
      </c>
      <c r="F131" s="79">
        <f>BPU!E131</f>
        <v>0</v>
      </c>
      <c r="G131" s="95">
        <f t="shared" si="3"/>
        <v>0</v>
      </c>
    </row>
    <row r="132" spans="1:7" ht="18.600000000000001" customHeight="1" x14ac:dyDescent="0.3">
      <c r="A132" s="150" t="s">
        <v>509</v>
      </c>
      <c r="B132" s="50" t="s">
        <v>221</v>
      </c>
      <c r="C132" s="51" t="s">
        <v>230</v>
      </c>
      <c r="D132" s="87" t="s">
        <v>292</v>
      </c>
      <c r="E132" s="126">
        <v>0</v>
      </c>
      <c r="F132" s="79">
        <f>BPU!E132</f>
        <v>0</v>
      </c>
      <c r="G132" s="95">
        <f t="shared" si="3"/>
        <v>0</v>
      </c>
    </row>
    <row r="133" spans="1:7" ht="18.600000000000001" customHeight="1" x14ac:dyDescent="0.3">
      <c r="A133" s="150" t="s">
        <v>510</v>
      </c>
      <c r="B133" s="50" t="s">
        <v>222</v>
      </c>
      <c r="C133" s="51" t="s">
        <v>230</v>
      </c>
      <c r="D133" s="87" t="s">
        <v>292</v>
      </c>
      <c r="E133" s="126">
        <v>0</v>
      </c>
      <c r="F133" s="79">
        <f>BPU!E133</f>
        <v>0</v>
      </c>
      <c r="G133" s="95">
        <f t="shared" si="3"/>
        <v>0</v>
      </c>
    </row>
    <row r="134" spans="1:7" ht="18.600000000000001" customHeight="1" x14ac:dyDescent="0.3">
      <c r="A134" s="52" t="s">
        <v>511</v>
      </c>
      <c r="B134" s="46" t="s">
        <v>170</v>
      </c>
      <c r="C134" s="52"/>
      <c r="D134" s="87"/>
      <c r="E134" s="126">
        <v>0</v>
      </c>
      <c r="F134" s="79">
        <f>BPU!E134</f>
        <v>0</v>
      </c>
      <c r="G134" s="95">
        <f t="shared" si="3"/>
        <v>0</v>
      </c>
    </row>
    <row r="135" spans="1:7" ht="18.600000000000001" customHeight="1" x14ac:dyDescent="0.3">
      <c r="A135" s="150" t="s">
        <v>512</v>
      </c>
      <c r="B135" s="50" t="s">
        <v>223</v>
      </c>
      <c r="C135" s="51" t="s">
        <v>230</v>
      </c>
      <c r="D135" s="87" t="s">
        <v>292</v>
      </c>
      <c r="E135" s="126">
        <f>45.26*0.05</f>
        <v>2.2629999999999999</v>
      </c>
      <c r="F135" s="79">
        <f>BPU!E135</f>
        <v>0</v>
      </c>
      <c r="G135" s="95">
        <f t="shared" si="3"/>
        <v>0</v>
      </c>
    </row>
    <row r="136" spans="1:7" ht="18.600000000000001" customHeight="1" x14ac:dyDescent="0.3">
      <c r="A136" s="150" t="s">
        <v>513</v>
      </c>
      <c r="B136" s="50" t="s">
        <v>224</v>
      </c>
      <c r="C136" s="51" t="s">
        <v>230</v>
      </c>
      <c r="D136" s="87" t="s">
        <v>292</v>
      </c>
      <c r="E136" s="126">
        <f>45.26*0.25</f>
        <v>11.315</v>
      </c>
      <c r="F136" s="79">
        <f>BPU!E136</f>
        <v>0</v>
      </c>
      <c r="G136" s="95">
        <f t="shared" si="3"/>
        <v>0</v>
      </c>
    </row>
    <row r="137" spans="1:7" ht="18.600000000000001" customHeight="1" x14ac:dyDescent="0.3">
      <c r="A137" s="150" t="s">
        <v>514</v>
      </c>
      <c r="B137" s="50" t="s">
        <v>178</v>
      </c>
      <c r="C137" s="51" t="s">
        <v>230</v>
      </c>
      <c r="D137" s="87" t="s">
        <v>292</v>
      </c>
      <c r="E137" s="126">
        <v>0</v>
      </c>
      <c r="F137" s="79">
        <f>BPU!E137</f>
        <v>0</v>
      </c>
      <c r="G137" s="95">
        <f t="shared" si="3"/>
        <v>0</v>
      </c>
    </row>
    <row r="138" spans="1:7" ht="18.600000000000001" customHeight="1" x14ac:dyDescent="0.3">
      <c r="A138" s="52" t="s">
        <v>515</v>
      </c>
      <c r="B138" s="46" t="s">
        <v>171</v>
      </c>
      <c r="C138" s="52"/>
      <c r="D138" s="87"/>
      <c r="E138" s="126"/>
      <c r="F138" s="79">
        <f>BPU!E138</f>
        <v>0</v>
      </c>
      <c r="G138" s="95">
        <f t="shared" si="3"/>
        <v>0</v>
      </c>
    </row>
    <row r="139" spans="1:7" ht="24.6" customHeight="1" x14ac:dyDescent="0.3">
      <c r="A139" s="150" t="s">
        <v>516</v>
      </c>
      <c r="B139" s="50" t="s">
        <v>229</v>
      </c>
      <c r="C139" s="51" t="s">
        <v>181</v>
      </c>
      <c r="D139" s="87" t="s">
        <v>292</v>
      </c>
      <c r="E139" s="126">
        <v>0</v>
      </c>
      <c r="F139" s="79">
        <f>BPU!E139</f>
        <v>0</v>
      </c>
      <c r="G139" s="95">
        <f t="shared" si="3"/>
        <v>0</v>
      </c>
    </row>
    <row r="140" spans="1:7" ht="18.600000000000001" customHeight="1" x14ac:dyDescent="0.3">
      <c r="A140" s="150" t="s">
        <v>517</v>
      </c>
      <c r="B140" s="50" t="s">
        <v>225</v>
      </c>
      <c r="C140" s="51" t="s">
        <v>181</v>
      </c>
      <c r="D140" s="87" t="s">
        <v>292</v>
      </c>
      <c r="E140" s="126">
        <v>0</v>
      </c>
      <c r="F140" s="79">
        <f>BPU!E140</f>
        <v>0</v>
      </c>
      <c r="G140" s="95">
        <f t="shared" si="3"/>
        <v>0</v>
      </c>
    </row>
    <row r="141" spans="1:7" ht="18.600000000000001" customHeight="1" x14ac:dyDescent="0.3">
      <c r="A141" s="150" t="s">
        <v>518</v>
      </c>
      <c r="B141" s="50" t="s">
        <v>226</v>
      </c>
      <c r="C141" s="51" t="s">
        <v>181</v>
      </c>
      <c r="D141" s="87" t="s">
        <v>292</v>
      </c>
      <c r="E141" s="126">
        <v>0</v>
      </c>
      <c r="F141" s="79">
        <f>BPU!E141</f>
        <v>0</v>
      </c>
      <c r="G141" s="95">
        <f t="shared" si="3"/>
        <v>0</v>
      </c>
    </row>
    <row r="142" spans="1:7" ht="18.600000000000001" customHeight="1" x14ac:dyDescent="0.3">
      <c r="A142" s="150" t="s">
        <v>519</v>
      </c>
      <c r="B142" s="50" t="s">
        <v>227</v>
      </c>
      <c r="C142" s="51" t="s">
        <v>181</v>
      </c>
      <c r="D142" s="87" t="s">
        <v>292</v>
      </c>
      <c r="E142" s="126">
        <v>0</v>
      </c>
      <c r="F142" s="79">
        <f>BPU!E142</f>
        <v>0</v>
      </c>
      <c r="G142" s="95">
        <f t="shared" si="3"/>
        <v>0</v>
      </c>
    </row>
    <row r="143" spans="1:7" ht="18.600000000000001" customHeight="1" x14ac:dyDescent="0.3">
      <c r="A143" s="150" t="s">
        <v>520</v>
      </c>
      <c r="B143" s="50" t="s">
        <v>228</v>
      </c>
      <c r="C143" s="51" t="s">
        <v>181</v>
      </c>
      <c r="D143" s="87" t="s">
        <v>292</v>
      </c>
      <c r="E143" s="126">
        <v>0</v>
      </c>
      <c r="F143" s="79">
        <f>BPU!E143</f>
        <v>0</v>
      </c>
      <c r="G143" s="95">
        <f t="shared" si="3"/>
        <v>0</v>
      </c>
    </row>
    <row r="144" spans="1:7" ht="18.600000000000001" customHeight="1" x14ac:dyDescent="0.3">
      <c r="A144" s="52" t="s">
        <v>521</v>
      </c>
      <c r="B144" s="46" t="s">
        <v>172</v>
      </c>
      <c r="C144" s="52"/>
      <c r="D144" s="87"/>
      <c r="E144" s="126">
        <v>0</v>
      </c>
      <c r="F144" s="79">
        <f>BPU!E144</f>
        <v>0</v>
      </c>
      <c r="G144" s="95">
        <f t="shared" si="3"/>
        <v>0</v>
      </c>
    </row>
    <row r="145" spans="1:8" ht="18.600000000000001" customHeight="1" x14ac:dyDescent="0.3">
      <c r="A145" s="150" t="s">
        <v>522</v>
      </c>
      <c r="B145" s="50" t="s">
        <v>231</v>
      </c>
      <c r="C145" s="51" t="s">
        <v>181</v>
      </c>
      <c r="D145" s="87" t="s">
        <v>292</v>
      </c>
      <c r="E145" s="126">
        <v>0</v>
      </c>
      <c r="F145" s="79">
        <f>BPU!E145</f>
        <v>0</v>
      </c>
      <c r="G145" s="95">
        <f t="shared" si="3"/>
        <v>0</v>
      </c>
    </row>
    <row r="146" spans="1:8" ht="18.600000000000001" customHeight="1" x14ac:dyDescent="0.3">
      <c r="A146" s="150" t="s">
        <v>523</v>
      </c>
      <c r="B146" s="50" t="s">
        <v>232</v>
      </c>
      <c r="C146" s="51" t="s">
        <v>181</v>
      </c>
      <c r="D146" s="87" t="s">
        <v>292</v>
      </c>
      <c r="E146" s="126">
        <v>0</v>
      </c>
      <c r="F146" s="79">
        <f>BPU!E146</f>
        <v>0</v>
      </c>
      <c r="G146" s="95">
        <f t="shared" si="3"/>
        <v>0</v>
      </c>
    </row>
    <row r="147" spans="1:8" ht="28.2" customHeight="1" x14ac:dyDescent="0.3">
      <c r="A147" s="150" t="s">
        <v>524</v>
      </c>
      <c r="B147" s="50" t="s">
        <v>369</v>
      </c>
      <c r="C147" s="51" t="s">
        <v>181</v>
      </c>
      <c r="D147" s="87" t="s">
        <v>292</v>
      </c>
      <c r="E147" s="126">
        <v>45.26</v>
      </c>
      <c r="F147" s="79">
        <f>BPU!E147</f>
        <v>0</v>
      </c>
      <c r="G147" s="95">
        <f t="shared" si="3"/>
        <v>0</v>
      </c>
    </row>
    <row r="148" spans="1:8" ht="18.600000000000001" customHeight="1" thickBot="1" x14ac:dyDescent="0.35">
      <c r="A148" s="150" t="s">
        <v>525</v>
      </c>
      <c r="B148" s="50" t="s">
        <v>234</v>
      </c>
      <c r="C148" s="51" t="s">
        <v>181</v>
      </c>
      <c r="D148" s="87" t="s">
        <v>292</v>
      </c>
      <c r="E148" s="126">
        <v>0</v>
      </c>
      <c r="F148" s="79">
        <f>BPU!E148</f>
        <v>0</v>
      </c>
      <c r="G148" s="95">
        <f t="shared" si="3"/>
        <v>0</v>
      </c>
    </row>
    <row r="149" spans="1:8" ht="19.8" customHeight="1" thickBot="1" x14ac:dyDescent="0.35">
      <c r="A149" s="52"/>
      <c r="B149" s="96" t="s">
        <v>388</v>
      </c>
      <c r="C149" s="51"/>
      <c r="D149" s="87"/>
      <c r="E149" s="126"/>
      <c r="F149" s="79">
        <f>BPU!E149</f>
        <v>0</v>
      </c>
      <c r="G149" s="146">
        <f>SUM(G111:G148)</f>
        <v>0</v>
      </c>
    </row>
    <row r="150" spans="1:8" s="58" customFormat="1" ht="16.8" customHeight="1" x14ac:dyDescent="0.3">
      <c r="A150" s="70" t="s">
        <v>20</v>
      </c>
      <c r="B150" s="70" t="s">
        <v>127</v>
      </c>
      <c r="C150" s="52"/>
      <c r="D150" s="87"/>
      <c r="E150" s="126"/>
      <c r="F150" s="79">
        <f>BPU!E150</f>
        <v>0</v>
      </c>
      <c r="G150" s="95">
        <f t="shared" si="3"/>
        <v>0</v>
      </c>
      <c r="H150" s="136"/>
    </row>
    <row r="151" spans="1:8" ht="18.600000000000001" customHeight="1" x14ac:dyDescent="0.3">
      <c r="A151" s="52" t="s">
        <v>34</v>
      </c>
      <c r="B151" s="46" t="s">
        <v>161</v>
      </c>
      <c r="C151" s="52"/>
      <c r="D151" s="87"/>
      <c r="E151" s="126"/>
      <c r="F151" s="79">
        <f>BPU!E151</f>
        <v>0</v>
      </c>
      <c r="G151" s="95">
        <f t="shared" si="3"/>
        <v>0</v>
      </c>
    </row>
    <row r="152" spans="1:8" ht="28.8" customHeight="1" x14ac:dyDescent="0.3">
      <c r="A152" s="150" t="s">
        <v>526</v>
      </c>
      <c r="B152" s="153" t="s">
        <v>1308</v>
      </c>
      <c r="C152" s="51" t="s">
        <v>181</v>
      </c>
      <c r="D152" s="87" t="s">
        <v>292</v>
      </c>
      <c r="E152" s="126">
        <v>45</v>
      </c>
      <c r="F152" s="79">
        <f>BPU!E152</f>
        <v>0</v>
      </c>
      <c r="G152" s="95">
        <f t="shared" si="3"/>
        <v>0</v>
      </c>
    </row>
    <row r="153" spans="1:8" ht="18.600000000000001" customHeight="1" x14ac:dyDescent="0.3">
      <c r="A153" s="150" t="s">
        <v>527</v>
      </c>
      <c r="B153" s="154" t="s">
        <v>1287</v>
      </c>
      <c r="C153" s="51" t="s">
        <v>17</v>
      </c>
      <c r="D153" s="87" t="s">
        <v>292</v>
      </c>
      <c r="E153" s="126">
        <v>0</v>
      </c>
      <c r="F153" s="79">
        <f>BPU!E153</f>
        <v>0</v>
      </c>
      <c r="G153" s="95">
        <f t="shared" si="3"/>
        <v>0</v>
      </c>
    </row>
    <row r="154" spans="1:8" ht="18.600000000000001" customHeight="1" x14ac:dyDescent="0.3">
      <c r="A154" s="150" t="s">
        <v>528</v>
      </c>
      <c r="B154" s="52" t="s">
        <v>210</v>
      </c>
      <c r="C154" s="51" t="s">
        <v>197</v>
      </c>
      <c r="D154" s="87" t="s">
        <v>292</v>
      </c>
      <c r="E154" s="126">
        <v>15.12</v>
      </c>
      <c r="F154" s="79">
        <f>BPU!E154</f>
        <v>0</v>
      </c>
      <c r="G154" s="95">
        <f t="shared" si="3"/>
        <v>0</v>
      </c>
    </row>
    <row r="155" spans="1:8" ht="18.600000000000001" customHeight="1" x14ac:dyDescent="0.3">
      <c r="A155" s="150" t="s">
        <v>529</v>
      </c>
      <c r="B155" s="52" t="s">
        <v>209</v>
      </c>
      <c r="C155" s="51" t="s">
        <v>197</v>
      </c>
      <c r="D155" s="87" t="s">
        <v>292</v>
      </c>
      <c r="E155" s="126">
        <v>0</v>
      </c>
      <c r="F155" s="79">
        <f>BPU!E155</f>
        <v>0</v>
      </c>
      <c r="G155" s="95">
        <f t="shared" si="3"/>
        <v>0</v>
      </c>
    </row>
    <row r="156" spans="1:8" ht="18.600000000000001" customHeight="1" x14ac:dyDescent="0.3">
      <c r="A156" s="150" t="s">
        <v>530</v>
      </c>
      <c r="B156" s="154" t="s">
        <v>1288</v>
      </c>
      <c r="C156" s="51" t="s">
        <v>181</v>
      </c>
      <c r="D156" s="87" t="s">
        <v>292</v>
      </c>
      <c r="E156" s="126">
        <v>0</v>
      </c>
      <c r="F156" s="79">
        <f>BPU!E156</f>
        <v>0</v>
      </c>
      <c r="G156" s="95">
        <f t="shared" si="3"/>
        <v>0</v>
      </c>
    </row>
    <row r="157" spans="1:8" ht="18.600000000000001" customHeight="1" x14ac:dyDescent="0.3">
      <c r="A157" s="150" t="s">
        <v>531</v>
      </c>
      <c r="B157" s="52" t="s">
        <v>293</v>
      </c>
      <c r="C157" s="51" t="s">
        <v>181</v>
      </c>
      <c r="D157" s="87" t="s">
        <v>292</v>
      </c>
      <c r="E157" s="126">
        <v>0</v>
      </c>
      <c r="F157" s="79">
        <f>BPU!E157</f>
        <v>0</v>
      </c>
      <c r="G157" s="95">
        <f t="shared" si="3"/>
        <v>0</v>
      </c>
    </row>
    <row r="158" spans="1:8" ht="28.2" customHeight="1" x14ac:dyDescent="0.3">
      <c r="A158" s="150" t="s">
        <v>532</v>
      </c>
      <c r="B158" s="61" t="s">
        <v>198</v>
      </c>
      <c r="C158" s="51" t="s">
        <v>79</v>
      </c>
      <c r="D158" s="87" t="s">
        <v>158</v>
      </c>
      <c r="E158" s="126">
        <v>1</v>
      </c>
      <c r="F158" s="79">
        <f>BPU!E158</f>
        <v>0</v>
      </c>
      <c r="G158" s="95">
        <f t="shared" ref="G158:G218" si="4">E158*F158</f>
        <v>0</v>
      </c>
    </row>
    <row r="159" spans="1:8" ht="18.600000000000001" customHeight="1" x14ac:dyDescent="0.3">
      <c r="A159" s="52" t="s">
        <v>35</v>
      </c>
      <c r="B159" s="46" t="s">
        <v>208</v>
      </c>
      <c r="C159" s="51"/>
      <c r="D159" s="87"/>
      <c r="E159" s="126"/>
      <c r="F159" s="79">
        <f>BPU!E159</f>
        <v>0</v>
      </c>
      <c r="G159" s="95">
        <f t="shared" si="4"/>
        <v>0</v>
      </c>
    </row>
    <row r="160" spans="1:8" ht="18.600000000000001" customHeight="1" x14ac:dyDescent="0.3">
      <c r="A160" s="150" t="s">
        <v>533</v>
      </c>
      <c r="B160" s="52" t="s">
        <v>211</v>
      </c>
      <c r="C160" s="51" t="s">
        <v>230</v>
      </c>
      <c r="D160" s="87" t="s">
        <v>292</v>
      </c>
      <c r="E160" s="126">
        <v>0</v>
      </c>
      <c r="F160" s="79">
        <f>BPU!E160</f>
        <v>0</v>
      </c>
      <c r="G160" s="95">
        <f t="shared" si="4"/>
        <v>0</v>
      </c>
    </row>
    <row r="161" spans="1:8" ht="18.600000000000001" customHeight="1" x14ac:dyDescent="0.3">
      <c r="A161" s="150" t="s">
        <v>534</v>
      </c>
      <c r="B161" s="52" t="s">
        <v>212</v>
      </c>
      <c r="C161" s="51" t="s">
        <v>230</v>
      </c>
      <c r="D161" s="87" t="s">
        <v>292</v>
      </c>
      <c r="E161" s="126">
        <v>0</v>
      </c>
      <c r="F161" s="79">
        <f>BPU!E161</f>
        <v>0</v>
      </c>
      <c r="G161" s="95">
        <f t="shared" si="4"/>
        <v>0</v>
      </c>
    </row>
    <row r="162" spans="1:8" ht="18.600000000000001" customHeight="1" x14ac:dyDescent="0.3">
      <c r="A162" s="52" t="s">
        <v>535</v>
      </c>
      <c r="B162" s="46" t="s">
        <v>168</v>
      </c>
      <c r="C162" s="52"/>
      <c r="D162" s="87"/>
      <c r="E162" s="126"/>
      <c r="F162" s="79">
        <f>BPU!E162</f>
        <v>0</v>
      </c>
      <c r="G162" s="95">
        <f t="shared" si="4"/>
        <v>0</v>
      </c>
    </row>
    <row r="163" spans="1:8" s="65" customFormat="1" ht="18.600000000000001" customHeight="1" x14ac:dyDescent="0.3">
      <c r="A163" s="150" t="s">
        <v>536</v>
      </c>
      <c r="B163" s="50" t="s">
        <v>213</v>
      </c>
      <c r="C163" s="51" t="s">
        <v>230</v>
      </c>
      <c r="D163" s="88" t="s">
        <v>292</v>
      </c>
      <c r="E163" s="130">
        <v>0</v>
      </c>
      <c r="F163" s="79">
        <f>BPU!E163</f>
        <v>0</v>
      </c>
      <c r="G163" s="95">
        <f t="shared" si="4"/>
        <v>0</v>
      </c>
      <c r="H163" s="66"/>
    </row>
    <row r="164" spans="1:8" s="65" customFormat="1" ht="18.600000000000001" customHeight="1" x14ac:dyDescent="0.3">
      <c r="A164" s="150" t="s">
        <v>537</v>
      </c>
      <c r="B164" s="50" t="s">
        <v>187</v>
      </c>
      <c r="C164" s="51" t="s">
        <v>230</v>
      </c>
      <c r="D164" s="88" t="s">
        <v>292</v>
      </c>
      <c r="E164" s="130">
        <v>0</v>
      </c>
      <c r="F164" s="79">
        <f>BPU!E164</f>
        <v>0</v>
      </c>
      <c r="G164" s="95">
        <f t="shared" si="4"/>
        <v>0</v>
      </c>
      <c r="H164" s="66"/>
    </row>
    <row r="165" spans="1:8" s="65" customFormat="1" ht="18.600000000000001" customHeight="1" x14ac:dyDescent="0.3">
      <c r="A165" s="150" t="s">
        <v>538</v>
      </c>
      <c r="B165" s="50" t="s">
        <v>214</v>
      </c>
      <c r="C165" s="51" t="s">
        <v>230</v>
      </c>
      <c r="D165" s="88" t="s">
        <v>292</v>
      </c>
      <c r="E165" s="130">
        <v>0</v>
      </c>
      <c r="F165" s="79">
        <f>BPU!E165</f>
        <v>0</v>
      </c>
      <c r="G165" s="95">
        <f t="shared" si="4"/>
        <v>0</v>
      </c>
      <c r="H165" s="66"/>
    </row>
    <row r="166" spans="1:8" s="65" customFormat="1" ht="33" customHeight="1" x14ac:dyDescent="0.3">
      <c r="A166" s="150" t="s">
        <v>539</v>
      </c>
      <c r="B166" s="50" t="s">
        <v>215</v>
      </c>
      <c r="C166" s="51" t="s">
        <v>230</v>
      </c>
      <c r="D166" s="88" t="s">
        <v>292</v>
      </c>
      <c r="E166" s="130">
        <v>1.5</v>
      </c>
      <c r="F166" s="79">
        <f>BPU!E166</f>
        <v>0</v>
      </c>
      <c r="G166" s="95">
        <f t="shared" si="4"/>
        <v>0</v>
      </c>
      <c r="H166" s="66"/>
    </row>
    <row r="167" spans="1:8" ht="18.600000000000001" customHeight="1" x14ac:dyDescent="0.3">
      <c r="A167" s="52" t="s">
        <v>540</v>
      </c>
      <c r="B167" s="46" t="s">
        <v>169</v>
      </c>
      <c r="C167" s="52"/>
      <c r="D167" s="87"/>
      <c r="E167" s="126"/>
      <c r="F167" s="79">
        <f>BPU!E167</f>
        <v>0</v>
      </c>
      <c r="G167" s="95">
        <f t="shared" si="4"/>
        <v>0</v>
      </c>
    </row>
    <row r="168" spans="1:8" ht="18.600000000000001" customHeight="1" x14ac:dyDescent="0.3">
      <c r="A168" s="150" t="s">
        <v>541</v>
      </c>
      <c r="B168" s="50" t="s">
        <v>216</v>
      </c>
      <c r="C168" s="51" t="s">
        <v>230</v>
      </c>
      <c r="D168" s="87" t="s">
        <v>292</v>
      </c>
      <c r="E168" s="126">
        <v>0</v>
      </c>
      <c r="F168" s="79">
        <f>BPU!E168</f>
        <v>0</v>
      </c>
      <c r="G168" s="95">
        <f t="shared" si="4"/>
        <v>0</v>
      </c>
    </row>
    <row r="169" spans="1:8" ht="18.600000000000001" customHeight="1" x14ac:dyDescent="0.3">
      <c r="A169" s="150" t="s">
        <v>542</v>
      </c>
      <c r="B169" s="50" t="s">
        <v>217</v>
      </c>
      <c r="C169" s="51" t="s">
        <v>230</v>
      </c>
      <c r="D169" s="87" t="s">
        <v>292</v>
      </c>
      <c r="E169" s="126">
        <v>0</v>
      </c>
      <c r="F169" s="79">
        <f>BPU!E169</f>
        <v>0</v>
      </c>
      <c r="G169" s="95">
        <f t="shared" si="4"/>
        <v>0</v>
      </c>
    </row>
    <row r="170" spans="1:8" ht="18.600000000000001" customHeight="1" x14ac:dyDescent="0.3">
      <c r="A170" s="150" t="s">
        <v>543</v>
      </c>
      <c r="B170" s="50" t="s">
        <v>218</v>
      </c>
      <c r="C170" s="51" t="s">
        <v>230</v>
      </c>
      <c r="D170" s="87" t="s">
        <v>292</v>
      </c>
      <c r="E170" s="126">
        <v>0</v>
      </c>
      <c r="F170" s="79">
        <f>BPU!E170</f>
        <v>0</v>
      </c>
      <c r="G170" s="95">
        <f t="shared" si="4"/>
        <v>0</v>
      </c>
    </row>
    <row r="171" spans="1:8" ht="18.600000000000001" customHeight="1" x14ac:dyDescent="0.3">
      <c r="A171" s="150" t="s">
        <v>544</v>
      </c>
      <c r="B171" s="50" t="s">
        <v>219</v>
      </c>
      <c r="C171" s="51" t="s">
        <v>230</v>
      </c>
      <c r="D171" s="87" t="s">
        <v>292</v>
      </c>
      <c r="E171" s="126">
        <v>0</v>
      </c>
      <c r="F171" s="79">
        <f>BPU!E171</f>
        <v>0</v>
      </c>
      <c r="G171" s="95">
        <f t="shared" si="4"/>
        <v>0</v>
      </c>
    </row>
    <row r="172" spans="1:8" ht="18.600000000000001" customHeight="1" x14ac:dyDescent="0.3">
      <c r="A172" s="150" t="s">
        <v>545</v>
      </c>
      <c r="B172" s="50" t="s">
        <v>220</v>
      </c>
      <c r="C172" s="51" t="s">
        <v>230</v>
      </c>
      <c r="D172" s="87" t="s">
        <v>292</v>
      </c>
      <c r="E172" s="126">
        <v>0</v>
      </c>
      <c r="F172" s="79">
        <f>BPU!E172</f>
        <v>0</v>
      </c>
      <c r="G172" s="95">
        <f t="shared" si="4"/>
        <v>0</v>
      </c>
    </row>
    <row r="173" spans="1:8" ht="18.600000000000001" customHeight="1" x14ac:dyDescent="0.3">
      <c r="A173" s="150" t="s">
        <v>546</v>
      </c>
      <c r="B173" s="50" t="s">
        <v>221</v>
      </c>
      <c r="C173" s="51" t="s">
        <v>230</v>
      </c>
      <c r="D173" s="87" t="s">
        <v>292</v>
      </c>
      <c r="E173" s="126">
        <v>0</v>
      </c>
      <c r="F173" s="79">
        <f>BPU!E173</f>
        <v>0</v>
      </c>
      <c r="G173" s="95">
        <f t="shared" si="4"/>
        <v>0</v>
      </c>
    </row>
    <row r="174" spans="1:8" ht="18.600000000000001" customHeight="1" x14ac:dyDescent="0.3">
      <c r="A174" s="150" t="s">
        <v>547</v>
      </c>
      <c r="B174" s="50" t="s">
        <v>222</v>
      </c>
      <c r="C174" s="51" t="s">
        <v>230</v>
      </c>
      <c r="D174" s="87" t="s">
        <v>292</v>
      </c>
      <c r="E174" s="126">
        <v>0</v>
      </c>
      <c r="F174" s="79">
        <f>BPU!E174</f>
        <v>0</v>
      </c>
      <c r="G174" s="95">
        <f t="shared" si="4"/>
        <v>0</v>
      </c>
    </row>
    <row r="175" spans="1:8" ht="18.600000000000001" customHeight="1" x14ac:dyDescent="0.3">
      <c r="A175" s="52" t="s">
        <v>548</v>
      </c>
      <c r="B175" s="46" t="s">
        <v>170</v>
      </c>
      <c r="C175" s="52"/>
      <c r="D175" s="87"/>
      <c r="E175" s="126"/>
      <c r="F175" s="79">
        <f>BPU!E175</f>
        <v>0</v>
      </c>
      <c r="G175" s="95">
        <f t="shared" si="4"/>
        <v>0</v>
      </c>
    </row>
    <row r="176" spans="1:8" ht="18.600000000000001" customHeight="1" x14ac:dyDescent="0.3">
      <c r="A176" s="150" t="s">
        <v>549</v>
      </c>
      <c r="B176" s="50" t="s">
        <v>223</v>
      </c>
      <c r="C176" s="51" t="s">
        <v>230</v>
      </c>
      <c r="D176" s="87" t="s">
        <v>292</v>
      </c>
      <c r="E176" s="126">
        <v>0</v>
      </c>
      <c r="F176" s="79">
        <f>BPU!E176</f>
        <v>0</v>
      </c>
      <c r="G176" s="95">
        <f t="shared" si="4"/>
        <v>0</v>
      </c>
    </row>
    <row r="177" spans="1:7" ht="18.600000000000001" customHeight="1" x14ac:dyDescent="0.3">
      <c r="A177" s="150" t="s">
        <v>550</v>
      </c>
      <c r="B177" s="50" t="s">
        <v>224</v>
      </c>
      <c r="C177" s="51" t="s">
        <v>230</v>
      </c>
      <c r="D177" s="87" t="s">
        <v>292</v>
      </c>
      <c r="E177" s="126">
        <v>0</v>
      </c>
      <c r="F177" s="79">
        <f>BPU!E177</f>
        <v>0</v>
      </c>
      <c r="G177" s="95">
        <f t="shared" si="4"/>
        <v>0</v>
      </c>
    </row>
    <row r="178" spans="1:7" ht="18.600000000000001" customHeight="1" x14ac:dyDescent="0.3">
      <c r="A178" s="150" t="s">
        <v>551</v>
      </c>
      <c r="B178" s="50" t="s">
        <v>178</v>
      </c>
      <c r="C178" s="51" t="s">
        <v>230</v>
      </c>
      <c r="D178" s="87" t="s">
        <v>292</v>
      </c>
      <c r="E178" s="126">
        <v>0</v>
      </c>
      <c r="F178" s="79">
        <f>BPU!E178</f>
        <v>0</v>
      </c>
      <c r="G178" s="95">
        <f t="shared" si="4"/>
        <v>0</v>
      </c>
    </row>
    <row r="179" spans="1:7" ht="18.600000000000001" customHeight="1" x14ac:dyDescent="0.3">
      <c r="A179" s="52" t="s">
        <v>552</v>
      </c>
      <c r="B179" s="46" t="s">
        <v>171</v>
      </c>
      <c r="C179" s="52"/>
      <c r="D179" s="87"/>
      <c r="E179" s="126"/>
      <c r="F179" s="79">
        <f>BPU!E179</f>
        <v>0</v>
      </c>
      <c r="G179" s="95">
        <f t="shared" si="4"/>
        <v>0</v>
      </c>
    </row>
    <row r="180" spans="1:7" ht="24.6" customHeight="1" x14ac:dyDescent="0.3">
      <c r="A180" s="150" t="s">
        <v>553</v>
      </c>
      <c r="B180" s="50" t="s">
        <v>229</v>
      </c>
      <c r="C180" s="51" t="s">
        <v>181</v>
      </c>
      <c r="D180" s="87" t="s">
        <v>292</v>
      </c>
      <c r="E180" s="126">
        <v>0</v>
      </c>
      <c r="F180" s="79">
        <f>BPU!E180</f>
        <v>0</v>
      </c>
      <c r="G180" s="95">
        <f t="shared" si="4"/>
        <v>0</v>
      </c>
    </row>
    <row r="181" spans="1:7" ht="18.600000000000001" customHeight="1" x14ac:dyDescent="0.3">
      <c r="A181" s="150" t="s">
        <v>554</v>
      </c>
      <c r="B181" s="50" t="s">
        <v>225</v>
      </c>
      <c r="C181" s="51" t="s">
        <v>181</v>
      </c>
      <c r="D181" s="87" t="s">
        <v>292</v>
      </c>
      <c r="E181" s="126">
        <v>0</v>
      </c>
      <c r="F181" s="79">
        <f>BPU!E181</f>
        <v>0</v>
      </c>
      <c r="G181" s="95">
        <f t="shared" si="4"/>
        <v>0</v>
      </c>
    </row>
    <row r="182" spans="1:7" ht="18.600000000000001" customHeight="1" x14ac:dyDescent="0.3">
      <c r="A182" s="150" t="s">
        <v>555</v>
      </c>
      <c r="B182" s="50" t="s">
        <v>226</v>
      </c>
      <c r="C182" s="51" t="s">
        <v>181</v>
      </c>
      <c r="D182" s="87" t="s">
        <v>292</v>
      </c>
      <c r="E182" s="126">
        <v>0</v>
      </c>
      <c r="F182" s="79">
        <f>BPU!E182</f>
        <v>0</v>
      </c>
      <c r="G182" s="95">
        <f t="shared" si="4"/>
        <v>0</v>
      </c>
    </row>
    <row r="183" spans="1:7" ht="18.600000000000001" customHeight="1" x14ac:dyDescent="0.3">
      <c r="A183" s="150" t="s">
        <v>556</v>
      </c>
      <c r="B183" s="50" t="s">
        <v>227</v>
      </c>
      <c r="C183" s="51" t="s">
        <v>181</v>
      </c>
      <c r="D183" s="87" t="s">
        <v>292</v>
      </c>
      <c r="E183" s="126">
        <v>0</v>
      </c>
      <c r="F183" s="79">
        <f>BPU!E183</f>
        <v>0</v>
      </c>
      <c r="G183" s="95">
        <f t="shared" si="4"/>
        <v>0</v>
      </c>
    </row>
    <row r="184" spans="1:7" ht="18.600000000000001" customHeight="1" x14ac:dyDescent="0.3">
      <c r="A184" s="150" t="s">
        <v>557</v>
      </c>
      <c r="B184" s="50" t="s">
        <v>228</v>
      </c>
      <c r="C184" s="51" t="s">
        <v>181</v>
      </c>
      <c r="D184" s="87" t="s">
        <v>292</v>
      </c>
      <c r="E184" s="126">
        <v>0</v>
      </c>
      <c r="F184" s="79">
        <f>BPU!E184</f>
        <v>0</v>
      </c>
      <c r="G184" s="95">
        <f t="shared" si="4"/>
        <v>0</v>
      </c>
    </row>
    <row r="185" spans="1:7" ht="18.600000000000001" customHeight="1" x14ac:dyDescent="0.3">
      <c r="A185" s="52" t="s">
        <v>558</v>
      </c>
      <c r="B185" s="46" t="s">
        <v>172</v>
      </c>
      <c r="C185" s="52"/>
      <c r="D185" s="87"/>
      <c r="E185" s="126"/>
      <c r="F185" s="79">
        <f>BPU!E185</f>
        <v>0</v>
      </c>
      <c r="G185" s="95">
        <f t="shared" si="4"/>
        <v>0</v>
      </c>
    </row>
    <row r="186" spans="1:7" ht="18.600000000000001" customHeight="1" x14ac:dyDescent="0.3">
      <c r="A186" s="150" t="s">
        <v>559</v>
      </c>
      <c r="B186" s="50" t="s">
        <v>231</v>
      </c>
      <c r="C186" s="51" t="s">
        <v>181</v>
      </c>
      <c r="D186" s="87" t="s">
        <v>292</v>
      </c>
      <c r="E186" s="126">
        <v>0</v>
      </c>
      <c r="F186" s="79">
        <f>BPU!E186</f>
        <v>0</v>
      </c>
      <c r="G186" s="95">
        <f t="shared" si="4"/>
        <v>0</v>
      </c>
    </row>
    <row r="187" spans="1:7" ht="18.600000000000001" customHeight="1" x14ac:dyDescent="0.3">
      <c r="A187" s="150" t="s">
        <v>560</v>
      </c>
      <c r="B187" s="50" t="s">
        <v>232</v>
      </c>
      <c r="C187" s="51" t="s">
        <v>181</v>
      </c>
      <c r="D187" s="87" t="s">
        <v>292</v>
      </c>
      <c r="E187" s="126">
        <v>0</v>
      </c>
      <c r="F187" s="79">
        <f>BPU!E187</f>
        <v>0</v>
      </c>
      <c r="G187" s="95">
        <f t="shared" si="4"/>
        <v>0</v>
      </c>
    </row>
    <row r="188" spans="1:7" ht="28.2" customHeight="1" x14ac:dyDescent="0.3">
      <c r="A188" s="150" t="s">
        <v>561</v>
      </c>
      <c r="B188" s="50" t="s">
        <v>233</v>
      </c>
      <c r="C188" s="51" t="s">
        <v>181</v>
      </c>
      <c r="D188" s="87" t="s">
        <v>292</v>
      </c>
      <c r="E188" s="126">
        <f>15.24+1.25</f>
        <v>16.490000000000002</v>
      </c>
      <c r="F188" s="79">
        <f>BPU!E188</f>
        <v>0</v>
      </c>
      <c r="G188" s="95">
        <f t="shared" si="4"/>
        <v>0</v>
      </c>
    </row>
    <row r="189" spans="1:7" ht="18.600000000000001" customHeight="1" x14ac:dyDescent="0.3">
      <c r="A189" s="150" t="s">
        <v>562</v>
      </c>
      <c r="B189" s="50" t="s">
        <v>234</v>
      </c>
      <c r="C189" s="51" t="s">
        <v>181</v>
      </c>
      <c r="D189" s="87" t="s">
        <v>292</v>
      </c>
      <c r="E189" s="126">
        <v>0</v>
      </c>
      <c r="F189" s="79">
        <f>BPU!E189</f>
        <v>0</v>
      </c>
      <c r="G189" s="95">
        <f t="shared" si="4"/>
        <v>0</v>
      </c>
    </row>
    <row r="190" spans="1:7" ht="18.600000000000001" customHeight="1" x14ac:dyDescent="0.3">
      <c r="A190" s="52" t="s">
        <v>563</v>
      </c>
      <c r="B190" s="46" t="s">
        <v>173</v>
      </c>
      <c r="C190" s="52"/>
      <c r="D190" s="87"/>
      <c r="E190" s="126"/>
      <c r="F190" s="79">
        <f>BPU!E190</f>
        <v>0</v>
      </c>
      <c r="G190" s="95">
        <f t="shared" si="4"/>
        <v>0</v>
      </c>
    </row>
    <row r="191" spans="1:7" ht="18.600000000000001" customHeight="1" x14ac:dyDescent="0.3">
      <c r="A191" s="150" t="s">
        <v>564</v>
      </c>
      <c r="B191" s="50" t="s">
        <v>259</v>
      </c>
      <c r="C191" s="51" t="s">
        <v>181</v>
      </c>
      <c r="D191" s="87" t="s">
        <v>292</v>
      </c>
      <c r="E191" s="126">
        <v>0</v>
      </c>
      <c r="F191" s="79">
        <f>BPU!E191</f>
        <v>0</v>
      </c>
      <c r="G191" s="95">
        <f t="shared" si="4"/>
        <v>0</v>
      </c>
    </row>
    <row r="192" spans="1:7" ht="18.600000000000001" customHeight="1" x14ac:dyDescent="0.3">
      <c r="A192" s="150" t="s">
        <v>565</v>
      </c>
      <c r="B192" s="50" t="s">
        <v>235</v>
      </c>
      <c r="C192" s="51" t="s">
        <v>181</v>
      </c>
      <c r="D192" s="87" t="s">
        <v>292</v>
      </c>
      <c r="E192" s="126">
        <v>0</v>
      </c>
      <c r="F192" s="79">
        <f>BPU!E192</f>
        <v>0</v>
      </c>
      <c r="G192" s="95">
        <f t="shared" si="4"/>
        <v>0</v>
      </c>
    </row>
    <row r="193" spans="1:7" ht="18.600000000000001" customHeight="1" x14ac:dyDescent="0.3">
      <c r="A193" s="150" t="s">
        <v>566</v>
      </c>
      <c r="B193" s="50" t="s">
        <v>236</v>
      </c>
      <c r="C193" s="51" t="s">
        <v>181</v>
      </c>
      <c r="D193" s="87" t="s">
        <v>292</v>
      </c>
      <c r="E193" s="126">
        <v>0</v>
      </c>
      <c r="F193" s="79">
        <f>BPU!E193</f>
        <v>0</v>
      </c>
      <c r="G193" s="95">
        <f t="shared" si="4"/>
        <v>0</v>
      </c>
    </row>
    <row r="194" spans="1:7" ht="18.600000000000001" customHeight="1" x14ac:dyDescent="0.3">
      <c r="A194" s="150" t="s">
        <v>567</v>
      </c>
      <c r="B194" s="50" t="s">
        <v>237</v>
      </c>
      <c r="C194" s="51" t="s">
        <v>181</v>
      </c>
      <c r="D194" s="87" t="s">
        <v>292</v>
      </c>
      <c r="E194" s="126">
        <v>0</v>
      </c>
      <c r="F194" s="79">
        <f>BPU!E194</f>
        <v>0</v>
      </c>
      <c r="G194" s="95">
        <f t="shared" si="4"/>
        <v>0</v>
      </c>
    </row>
    <row r="195" spans="1:7" ht="18.600000000000001" customHeight="1" x14ac:dyDescent="0.3">
      <c r="A195" s="150" t="s">
        <v>568</v>
      </c>
      <c r="B195" s="50" t="s">
        <v>238</v>
      </c>
      <c r="C195" s="51" t="s">
        <v>181</v>
      </c>
      <c r="D195" s="87" t="s">
        <v>292</v>
      </c>
      <c r="E195" s="126">
        <v>0</v>
      </c>
      <c r="F195" s="79">
        <f>BPU!E195</f>
        <v>0</v>
      </c>
      <c r="G195" s="95">
        <f t="shared" si="4"/>
        <v>0</v>
      </c>
    </row>
    <row r="196" spans="1:7" ht="18.600000000000001" customHeight="1" x14ac:dyDescent="0.3">
      <c r="A196" s="150" t="s">
        <v>569</v>
      </c>
      <c r="B196" s="50" t="s">
        <v>179</v>
      </c>
      <c r="C196" s="51" t="s">
        <v>181</v>
      </c>
      <c r="D196" s="87" t="s">
        <v>292</v>
      </c>
      <c r="E196" s="126">
        <v>0</v>
      </c>
      <c r="F196" s="79">
        <f>BPU!E196</f>
        <v>0</v>
      </c>
      <c r="G196" s="95">
        <f t="shared" si="4"/>
        <v>0</v>
      </c>
    </row>
    <row r="197" spans="1:7" ht="18.600000000000001" customHeight="1" x14ac:dyDescent="0.3">
      <c r="A197" s="150" t="s">
        <v>570</v>
      </c>
      <c r="B197" s="50" t="s">
        <v>239</v>
      </c>
      <c r="C197" s="51" t="s">
        <v>181</v>
      </c>
      <c r="D197" s="87" t="s">
        <v>292</v>
      </c>
      <c r="E197" s="126">
        <v>0</v>
      </c>
      <c r="F197" s="79">
        <f>BPU!E197</f>
        <v>0</v>
      </c>
      <c r="G197" s="95">
        <f t="shared" si="4"/>
        <v>0</v>
      </c>
    </row>
    <row r="198" spans="1:7" ht="18.600000000000001" customHeight="1" x14ac:dyDescent="0.3">
      <c r="A198" s="52" t="s">
        <v>571</v>
      </c>
      <c r="B198" s="46" t="s">
        <v>174</v>
      </c>
      <c r="C198" s="52"/>
      <c r="D198" s="87"/>
      <c r="E198" s="126"/>
      <c r="F198" s="79">
        <f>BPU!E198</f>
        <v>0</v>
      </c>
      <c r="G198" s="95">
        <f t="shared" si="4"/>
        <v>0</v>
      </c>
    </row>
    <row r="199" spans="1:7" ht="18.600000000000001" customHeight="1" x14ac:dyDescent="0.3">
      <c r="A199" s="150" t="s">
        <v>572</v>
      </c>
      <c r="B199" s="50" t="s">
        <v>240</v>
      </c>
      <c r="C199" s="51" t="s">
        <v>181</v>
      </c>
      <c r="D199" s="87" t="s">
        <v>292</v>
      </c>
      <c r="E199" s="126">
        <v>0</v>
      </c>
      <c r="F199" s="79">
        <f>BPU!E199</f>
        <v>0</v>
      </c>
      <c r="G199" s="95">
        <f t="shared" si="4"/>
        <v>0</v>
      </c>
    </row>
    <row r="200" spans="1:7" ht="18.600000000000001" customHeight="1" x14ac:dyDescent="0.3">
      <c r="A200" s="150" t="s">
        <v>573</v>
      </c>
      <c r="B200" s="50" t="s">
        <v>241</v>
      </c>
      <c r="C200" s="51" t="s">
        <v>181</v>
      </c>
      <c r="D200" s="87" t="s">
        <v>292</v>
      </c>
      <c r="E200" s="126">
        <v>0</v>
      </c>
      <c r="F200" s="79">
        <f>BPU!E200</f>
        <v>0</v>
      </c>
      <c r="G200" s="95">
        <f t="shared" si="4"/>
        <v>0</v>
      </c>
    </row>
    <row r="201" spans="1:7" ht="18.600000000000001" customHeight="1" x14ac:dyDescent="0.3">
      <c r="A201" s="150" t="s">
        <v>574</v>
      </c>
      <c r="B201" s="50" t="s">
        <v>242</v>
      </c>
      <c r="C201" s="51" t="s">
        <v>181</v>
      </c>
      <c r="D201" s="87" t="s">
        <v>292</v>
      </c>
      <c r="E201" s="126">
        <v>0</v>
      </c>
      <c r="F201" s="79">
        <f>BPU!E201</f>
        <v>0</v>
      </c>
      <c r="G201" s="95">
        <f t="shared" si="4"/>
        <v>0</v>
      </c>
    </row>
    <row r="202" spans="1:7" ht="18.600000000000001" customHeight="1" x14ac:dyDescent="0.3">
      <c r="A202" s="150" t="s">
        <v>575</v>
      </c>
      <c r="B202" s="50" t="s">
        <v>243</v>
      </c>
      <c r="C202" s="51" t="s">
        <v>181</v>
      </c>
      <c r="D202" s="87" t="s">
        <v>292</v>
      </c>
      <c r="E202" s="126">
        <v>0</v>
      </c>
      <c r="F202" s="79">
        <f>BPU!E202</f>
        <v>0</v>
      </c>
      <c r="G202" s="95">
        <f t="shared" si="4"/>
        <v>0</v>
      </c>
    </row>
    <row r="203" spans="1:7" ht="18.600000000000001" customHeight="1" x14ac:dyDescent="0.3">
      <c r="A203" s="150" t="s">
        <v>576</v>
      </c>
      <c r="B203" s="50" t="s">
        <v>244</v>
      </c>
      <c r="C203" s="51" t="s">
        <v>181</v>
      </c>
      <c r="D203" s="87" t="s">
        <v>292</v>
      </c>
      <c r="E203" s="126">
        <v>0</v>
      </c>
      <c r="F203" s="79">
        <f>BPU!E203</f>
        <v>0</v>
      </c>
      <c r="G203" s="95">
        <f t="shared" si="4"/>
        <v>0</v>
      </c>
    </row>
    <row r="204" spans="1:7" ht="18.600000000000001" customHeight="1" x14ac:dyDescent="0.3">
      <c r="A204" s="150" t="s">
        <v>577</v>
      </c>
      <c r="B204" s="50" t="s">
        <v>245</v>
      </c>
      <c r="C204" s="51" t="s">
        <v>181</v>
      </c>
      <c r="D204" s="87" t="s">
        <v>292</v>
      </c>
      <c r="E204" s="126">
        <v>15.12</v>
      </c>
      <c r="F204" s="79">
        <f>BPU!E204</f>
        <v>0</v>
      </c>
      <c r="G204" s="95">
        <f t="shared" si="4"/>
        <v>0</v>
      </c>
    </row>
    <row r="205" spans="1:7" ht="18.600000000000001" customHeight="1" x14ac:dyDescent="0.3">
      <c r="A205" s="150" t="s">
        <v>578</v>
      </c>
      <c r="B205" s="50" t="s">
        <v>246</v>
      </c>
      <c r="C205" s="51" t="s">
        <v>181</v>
      </c>
      <c r="D205" s="87" t="s">
        <v>292</v>
      </c>
      <c r="E205" s="126">
        <v>0</v>
      </c>
      <c r="F205" s="79">
        <f>BPU!E205</f>
        <v>0</v>
      </c>
      <c r="G205" s="95">
        <f t="shared" si="4"/>
        <v>0</v>
      </c>
    </row>
    <row r="206" spans="1:7" ht="18.600000000000001" customHeight="1" x14ac:dyDescent="0.3">
      <c r="A206" s="150" t="s">
        <v>579</v>
      </c>
      <c r="B206" s="50" t="s">
        <v>247</v>
      </c>
      <c r="C206" s="51" t="s">
        <v>181</v>
      </c>
      <c r="D206" s="87" t="s">
        <v>292</v>
      </c>
      <c r="E206" s="126">
        <v>0</v>
      </c>
      <c r="F206" s="79">
        <f>BPU!E206</f>
        <v>0</v>
      </c>
      <c r="G206" s="95">
        <f t="shared" si="4"/>
        <v>0</v>
      </c>
    </row>
    <row r="207" spans="1:7" ht="18.600000000000001" customHeight="1" x14ac:dyDescent="0.3">
      <c r="A207" s="150" t="s">
        <v>580</v>
      </c>
      <c r="B207" s="50" t="s">
        <v>194</v>
      </c>
      <c r="C207" s="51" t="s">
        <v>181</v>
      </c>
      <c r="D207" s="87" t="s">
        <v>292</v>
      </c>
      <c r="E207" s="126">
        <v>0</v>
      </c>
      <c r="F207" s="79">
        <f>BPU!E207</f>
        <v>0</v>
      </c>
      <c r="G207" s="95">
        <f t="shared" si="4"/>
        <v>0</v>
      </c>
    </row>
    <row r="208" spans="1:7" ht="18.600000000000001" customHeight="1" x14ac:dyDescent="0.3">
      <c r="A208" s="52" t="s">
        <v>581</v>
      </c>
      <c r="B208" s="46" t="s">
        <v>175</v>
      </c>
      <c r="C208" s="52"/>
      <c r="D208" s="87"/>
      <c r="E208" s="126"/>
      <c r="F208" s="79">
        <f>BPU!E208</f>
        <v>0</v>
      </c>
      <c r="G208" s="95">
        <f t="shared" si="4"/>
        <v>0</v>
      </c>
    </row>
    <row r="209" spans="1:7" ht="18.600000000000001" customHeight="1" x14ac:dyDescent="0.3">
      <c r="A209" s="150" t="s">
        <v>582</v>
      </c>
      <c r="B209" s="50" t="s">
        <v>180</v>
      </c>
      <c r="C209" s="51" t="s">
        <v>181</v>
      </c>
      <c r="D209" s="87" t="s">
        <v>292</v>
      </c>
      <c r="E209" s="126">
        <v>0</v>
      </c>
      <c r="F209" s="79">
        <f>BPU!E209</f>
        <v>0</v>
      </c>
      <c r="G209" s="95">
        <f t="shared" si="4"/>
        <v>0</v>
      </c>
    </row>
    <row r="210" spans="1:7" ht="18.600000000000001" customHeight="1" x14ac:dyDescent="0.3">
      <c r="A210" s="52" t="s">
        <v>583</v>
      </c>
      <c r="B210" s="46" t="s">
        <v>176</v>
      </c>
      <c r="C210" s="52"/>
      <c r="D210" s="87"/>
      <c r="E210" s="126"/>
      <c r="F210" s="79">
        <f>BPU!E210</f>
        <v>0</v>
      </c>
      <c r="G210" s="95">
        <f t="shared" si="4"/>
        <v>0</v>
      </c>
    </row>
    <row r="211" spans="1:7" ht="18.600000000000001" customHeight="1" x14ac:dyDescent="0.3">
      <c r="A211" s="150" t="s">
        <v>584</v>
      </c>
      <c r="B211" s="50" t="s">
        <v>257</v>
      </c>
      <c r="C211" s="51" t="s">
        <v>181</v>
      </c>
      <c r="D211" s="87" t="s">
        <v>292</v>
      </c>
      <c r="E211" s="126">
        <v>0</v>
      </c>
      <c r="F211" s="79">
        <f>BPU!E211</f>
        <v>0</v>
      </c>
      <c r="G211" s="95">
        <f t="shared" si="4"/>
        <v>0</v>
      </c>
    </row>
    <row r="212" spans="1:7" ht="18.600000000000001" customHeight="1" x14ac:dyDescent="0.3">
      <c r="A212" s="150" t="s">
        <v>585</v>
      </c>
      <c r="B212" s="50" t="s">
        <v>253</v>
      </c>
      <c r="C212" s="51" t="s">
        <v>17</v>
      </c>
      <c r="D212" s="87" t="s">
        <v>292</v>
      </c>
      <c r="E212" s="126">
        <v>0</v>
      </c>
      <c r="F212" s="79">
        <f>BPU!E212</f>
        <v>0</v>
      </c>
      <c r="G212" s="95">
        <f t="shared" si="4"/>
        <v>0</v>
      </c>
    </row>
    <row r="213" spans="1:7" ht="18.600000000000001" customHeight="1" x14ac:dyDescent="0.3">
      <c r="A213" s="150" t="s">
        <v>586</v>
      </c>
      <c r="B213" s="50" t="s">
        <v>252</v>
      </c>
      <c r="C213" s="51" t="s">
        <v>17</v>
      </c>
      <c r="D213" s="87" t="s">
        <v>292</v>
      </c>
      <c r="E213" s="126">
        <v>0</v>
      </c>
      <c r="F213" s="79">
        <f>BPU!E213</f>
        <v>0</v>
      </c>
      <c r="G213" s="95">
        <f t="shared" si="4"/>
        <v>0</v>
      </c>
    </row>
    <row r="214" spans="1:7" ht="18.600000000000001" customHeight="1" x14ac:dyDescent="0.3">
      <c r="A214" s="150" t="s">
        <v>587</v>
      </c>
      <c r="B214" s="50" t="s">
        <v>254</v>
      </c>
      <c r="C214" s="51" t="s">
        <v>17</v>
      </c>
      <c r="D214" s="87" t="s">
        <v>292</v>
      </c>
      <c r="E214" s="126">
        <v>0</v>
      </c>
      <c r="F214" s="79">
        <f>BPU!E214</f>
        <v>0</v>
      </c>
      <c r="G214" s="95">
        <f t="shared" si="4"/>
        <v>0</v>
      </c>
    </row>
    <row r="215" spans="1:7" ht="18.600000000000001" customHeight="1" x14ac:dyDescent="0.3">
      <c r="A215" s="150" t="s">
        <v>588</v>
      </c>
      <c r="B215" s="50" t="s">
        <v>255</v>
      </c>
      <c r="C215" s="51" t="s">
        <v>17</v>
      </c>
      <c r="D215" s="87" t="s">
        <v>292</v>
      </c>
      <c r="E215" s="126">
        <v>0</v>
      </c>
      <c r="F215" s="79">
        <f>BPU!E215</f>
        <v>0</v>
      </c>
      <c r="G215" s="95">
        <f t="shared" si="4"/>
        <v>0</v>
      </c>
    </row>
    <row r="216" spans="1:7" ht="28.8" customHeight="1" x14ac:dyDescent="0.3">
      <c r="A216" s="150" t="s">
        <v>589</v>
      </c>
      <c r="B216" s="50" t="s">
        <v>251</v>
      </c>
      <c r="C216" s="51" t="s">
        <v>17</v>
      </c>
      <c r="D216" s="87" t="s">
        <v>292</v>
      </c>
      <c r="E216" s="126">
        <v>0</v>
      </c>
      <c r="F216" s="79">
        <f>BPU!E216</f>
        <v>0</v>
      </c>
      <c r="G216" s="95">
        <f t="shared" si="4"/>
        <v>0</v>
      </c>
    </row>
    <row r="217" spans="1:7" x14ac:dyDescent="0.3">
      <c r="A217" s="150" t="s">
        <v>590</v>
      </c>
      <c r="B217" s="50" t="s">
        <v>256</v>
      </c>
      <c r="C217" s="51" t="s">
        <v>181</v>
      </c>
      <c r="D217" s="87" t="s">
        <v>292</v>
      </c>
      <c r="E217" s="126">
        <v>0</v>
      </c>
      <c r="F217" s="79">
        <f>BPU!E217</f>
        <v>0</v>
      </c>
      <c r="G217" s="95">
        <f t="shared" si="4"/>
        <v>0</v>
      </c>
    </row>
    <row r="218" spans="1:7" x14ac:dyDescent="0.3">
      <c r="A218" s="150" t="s">
        <v>591</v>
      </c>
      <c r="B218" s="50" t="s">
        <v>258</v>
      </c>
      <c r="C218" s="51" t="s">
        <v>17</v>
      </c>
      <c r="D218" s="87" t="s">
        <v>292</v>
      </c>
      <c r="E218" s="126">
        <v>0</v>
      </c>
      <c r="F218" s="79">
        <f>BPU!E218</f>
        <v>0</v>
      </c>
      <c r="G218" s="95">
        <f t="shared" si="4"/>
        <v>0</v>
      </c>
    </row>
    <row r="219" spans="1:7" ht="18.600000000000001" customHeight="1" x14ac:dyDescent="0.3">
      <c r="A219" s="150" t="s">
        <v>592</v>
      </c>
      <c r="B219" s="50" t="s">
        <v>193</v>
      </c>
      <c r="C219" s="51" t="s">
        <v>181</v>
      </c>
      <c r="D219" s="87" t="s">
        <v>292</v>
      </c>
      <c r="E219" s="126">
        <v>0</v>
      </c>
      <c r="F219" s="79">
        <f>BPU!E219</f>
        <v>0</v>
      </c>
      <c r="G219" s="95">
        <f t="shared" ref="G219:G240" si="5">E219*F219</f>
        <v>0</v>
      </c>
    </row>
    <row r="220" spans="1:7" x14ac:dyDescent="0.3">
      <c r="A220" s="150" t="s">
        <v>593</v>
      </c>
      <c r="B220" s="50" t="s">
        <v>192</v>
      </c>
      <c r="C220" s="51" t="s">
        <v>181</v>
      </c>
      <c r="D220" s="87" t="s">
        <v>292</v>
      </c>
      <c r="E220" s="126">
        <v>0</v>
      </c>
      <c r="F220" s="79">
        <f>BPU!E220</f>
        <v>0</v>
      </c>
      <c r="G220" s="95">
        <f t="shared" si="5"/>
        <v>0</v>
      </c>
    </row>
    <row r="221" spans="1:7" ht="28.8" x14ac:dyDescent="0.3">
      <c r="A221" s="150" t="s">
        <v>594</v>
      </c>
      <c r="B221" s="50" t="s">
        <v>260</v>
      </c>
      <c r="C221" s="51" t="s">
        <v>181</v>
      </c>
      <c r="D221" s="87" t="s">
        <v>292</v>
      </c>
      <c r="E221" s="126">
        <v>0</v>
      </c>
      <c r="F221" s="79">
        <f>BPU!E221</f>
        <v>0</v>
      </c>
      <c r="G221" s="95">
        <f t="shared" si="5"/>
        <v>0</v>
      </c>
    </row>
    <row r="222" spans="1:7" ht="18.600000000000001" customHeight="1" x14ac:dyDescent="0.3">
      <c r="A222" s="52" t="s">
        <v>595</v>
      </c>
      <c r="B222" s="46" t="s">
        <v>177</v>
      </c>
      <c r="C222" s="52"/>
      <c r="D222" s="87"/>
      <c r="E222" s="126"/>
      <c r="F222" s="79">
        <f>BPU!E222</f>
        <v>0</v>
      </c>
      <c r="G222" s="95">
        <f t="shared" si="5"/>
        <v>0</v>
      </c>
    </row>
    <row r="223" spans="1:7" ht="18.600000000000001" customHeight="1" x14ac:dyDescent="0.3">
      <c r="A223" s="150" t="s">
        <v>596</v>
      </c>
      <c r="B223" s="50" t="s">
        <v>182</v>
      </c>
      <c r="C223" s="51" t="s">
        <v>181</v>
      </c>
      <c r="D223" s="87" t="s">
        <v>292</v>
      </c>
      <c r="E223" s="126">
        <v>0</v>
      </c>
      <c r="F223" s="79">
        <f>BPU!E223</f>
        <v>0</v>
      </c>
      <c r="G223" s="95">
        <f t="shared" si="5"/>
        <v>0</v>
      </c>
    </row>
    <row r="224" spans="1:7" x14ac:dyDescent="0.3">
      <c r="A224" s="150" t="s">
        <v>597</v>
      </c>
      <c r="B224" s="50" t="s">
        <v>1273</v>
      </c>
      <c r="C224" s="51" t="s">
        <v>181</v>
      </c>
      <c r="D224" s="87" t="s">
        <v>292</v>
      </c>
      <c r="E224" s="126">
        <v>0</v>
      </c>
      <c r="F224" s="79">
        <f>BPU!E224</f>
        <v>0</v>
      </c>
      <c r="G224" s="95">
        <f t="shared" si="5"/>
        <v>0</v>
      </c>
    </row>
    <row r="225" spans="1:7" x14ac:dyDescent="0.3">
      <c r="A225" s="150" t="s">
        <v>598</v>
      </c>
      <c r="B225" s="50" t="s">
        <v>183</v>
      </c>
      <c r="C225" s="51" t="s">
        <v>181</v>
      </c>
      <c r="D225" s="87" t="s">
        <v>292</v>
      </c>
      <c r="E225" s="126">
        <v>0</v>
      </c>
      <c r="F225" s="79">
        <f>BPU!E225</f>
        <v>0</v>
      </c>
      <c r="G225" s="95">
        <f t="shared" si="5"/>
        <v>0</v>
      </c>
    </row>
    <row r="226" spans="1:7" x14ac:dyDescent="0.3">
      <c r="A226" s="150" t="s">
        <v>599</v>
      </c>
      <c r="B226" s="50" t="s">
        <v>184</v>
      </c>
      <c r="C226" s="51" t="s">
        <v>181</v>
      </c>
      <c r="D226" s="87" t="s">
        <v>292</v>
      </c>
      <c r="E226" s="126">
        <f>15.12*2</f>
        <v>30.24</v>
      </c>
      <c r="F226" s="79">
        <f>BPU!E226</f>
        <v>0</v>
      </c>
      <c r="G226" s="95">
        <f t="shared" si="5"/>
        <v>0</v>
      </c>
    </row>
    <row r="227" spans="1:7" x14ac:dyDescent="0.3">
      <c r="A227" s="150" t="s">
        <v>600</v>
      </c>
      <c r="B227" s="50" t="s">
        <v>185</v>
      </c>
      <c r="C227" s="51" t="s">
        <v>181</v>
      </c>
      <c r="D227" s="87" t="s">
        <v>292</v>
      </c>
      <c r="E227" s="126">
        <v>0</v>
      </c>
      <c r="F227" s="79">
        <f>BPU!E227</f>
        <v>0</v>
      </c>
      <c r="G227" s="95">
        <f t="shared" si="5"/>
        <v>0</v>
      </c>
    </row>
    <row r="228" spans="1:7" x14ac:dyDescent="0.3">
      <c r="A228" s="52" t="s">
        <v>601</v>
      </c>
      <c r="B228" s="46" t="s">
        <v>304</v>
      </c>
      <c r="C228" s="51"/>
      <c r="D228" s="87"/>
      <c r="E228" s="126"/>
      <c r="F228" s="79">
        <f>BPU!E228</f>
        <v>0</v>
      </c>
      <c r="G228" s="95">
        <f t="shared" si="5"/>
        <v>0</v>
      </c>
    </row>
    <row r="229" spans="1:7" s="65" customFormat="1" x14ac:dyDescent="0.3">
      <c r="A229" s="150" t="s">
        <v>602</v>
      </c>
      <c r="B229" s="53" t="s">
        <v>370</v>
      </c>
      <c r="C229" s="67" t="s">
        <v>197</v>
      </c>
      <c r="D229" s="88" t="s">
        <v>292</v>
      </c>
      <c r="E229" s="130"/>
      <c r="F229" s="79">
        <f>BPU!E229</f>
        <v>0</v>
      </c>
      <c r="G229" s="95">
        <f t="shared" si="5"/>
        <v>0</v>
      </c>
    </row>
    <row r="230" spans="1:7" x14ac:dyDescent="0.3">
      <c r="A230" s="150" t="s">
        <v>603</v>
      </c>
      <c r="B230" s="50" t="s">
        <v>305</v>
      </c>
      <c r="C230" s="51" t="s">
        <v>197</v>
      </c>
      <c r="D230" s="87" t="s">
        <v>292</v>
      </c>
      <c r="E230" s="126">
        <v>1</v>
      </c>
      <c r="F230" s="79">
        <f>BPU!E230</f>
        <v>0</v>
      </c>
      <c r="G230" s="95">
        <f t="shared" si="5"/>
        <v>0</v>
      </c>
    </row>
    <row r="231" spans="1:7" x14ac:dyDescent="0.3">
      <c r="A231" s="150" t="s">
        <v>604</v>
      </c>
      <c r="B231" s="50" t="s">
        <v>306</v>
      </c>
      <c r="C231" s="51" t="s">
        <v>197</v>
      </c>
      <c r="D231" s="87" t="s">
        <v>292</v>
      </c>
      <c r="E231" s="126">
        <v>0</v>
      </c>
      <c r="F231" s="79">
        <f>BPU!E231</f>
        <v>0</v>
      </c>
      <c r="G231" s="95">
        <f t="shared" si="5"/>
        <v>0</v>
      </c>
    </row>
    <row r="232" spans="1:7" x14ac:dyDescent="0.3">
      <c r="A232" s="150" t="s">
        <v>605</v>
      </c>
      <c r="B232" s="50" t="s">
        <v>307</v>
      </c>
      <c r="C232" s="51" t="s">
        <v>197</v>
      </c>
      <c r="D232" s="87" t="s">
        <v>292</v>
      </c>
      <c r="E232" s="126">
        <v>0</v>
      </c>
      <c r="F232" s="79">
        <f>BPU!E232</f>
        <v>0</v>
      </c>
      <c r="G232" s="95">
        <f t="shared" si="5"/>
        <v>0</v>
      </c>
    </row>
    <row r="233" spans="1:7" x14ac:dyDescent="0.3">
      <c r="A233" s="150" t="s">
        <v>606</v>
      </c>
      <c r="B233" s="50" t="s">
        <v>371</v>
      </c>
      <c r="C233" s="51" t="s">
        <v>317</v>
      </c>
      <c r="D233" s="87" t="s">
        <v>292</v>
      </c>
      <c r="E233" s="126"/>
      <c r="F233" s="79">
        <f>BPU!E233</f>
        <v>0</v>
      </c>
      <c r="G233" s="95">
        <f t="shared" si="5"/>
        <v>0</v>
      </c>
    </row>
    <row r="234" spans="1:7" x14ac:dyDescent="0.3">
      <c r="A234" s="150" t="s">
        <v>607</v>
      </c>
      <c r="B234" s="50" t="s">
        <v>308</v>
      </c>
      <c r="C234" s="51" t="s">
        <v>197</v>
      </c>
      <c r="D234" s="87" t="s">
        <v>292</v>
      </c>
      <c r="E234" s="126">
        <v>0</v>
      </c>
      <c r="F234" s="79">
        <f>BPU!E234</f>
        <v>0</v>
      </c>
      <c r="G234" s="95">
        <f t="shared" si="5"/>
        <v>0</v>
      </c>
    </row>
    <row r="235" spans="1:7" x14ac:dyDescent="0.3">
      <c r="A235" s="150" t="s">
        <v>608</v>
      </c>
      <c r="B235" s="50" t="s">
        <v>314</v>
      </c>
      <c r="C235" s="51" t="s">
        <v>197</v>
      </c>
      <c r="D235" s="87" t="s">
        <v>292</v>
      </c>
      <c r="E235" s="126">
        <v>0</v>
      </c>
      <c r="F235" s="79">
        <f>BPU!E235</f>
        <v>0</v>
      </c>
      <c r="G235" s="95">
        <f t="shared" si="5"/>
        <v>0</v>
      </c>
    </row>
    <row r="236" spans="1:7" x14ac:dyDescent="0.3">
      <c r="A236" s="150" t="s">
        <v>609</v>
      </c>
      <c r="B236" s="50" t="s">
        <v>309</v>
      </c>
      <c r="C236" s="51" t="s">
        <v>197</v>
      </c>
      <c r="D236" s="87" t="s">
        <v>292</v>
      </c>
      <c r="E236" s="126">
        <v>0</v>
      </c>
      <c r="F236" s="79">
        <f>BPU!E236</f>
        <v>0</v>
      </c>
      <c r="G236" s="95">
        <f t="shared" si="5"/>
        <v>0</v>
      </c>
    </row>
    <row r="237" spans="1:7" x14ac:dyDescent="0.3">
      <c r="A237" s="150" t="s">
        <v>610</v>
      </c>
      <c r="B237" s="50" t="s">
        <v>310</v>
      </c>
      <c r="C237" s="51" t="s">
        <v>197</v>
      </c>
      <c r="D237" s="87" t="s">
        <v>292</v>
      </c>
      <c r="E237" s="126">
        <v>0</v>
      </c>
      <c r="F237" s="79">
        <f>BPU!E237</f>
        <v>0</v>
      </c>
      <c r="G237" s="95">
        <f t="shared" si="5"/>
        <v>0</v>
      </c>
    </row>
    <row r="238" spans="1:7" x14ac:dyDescent="0.3">
      <c r="A238" s="150" t="s">
        <v>611</v>
      </c>
      <c r="B238" s="50" t="s">
        <v>311</v>
      </c>
      <c r="C238" s="51" t="s">
        <v>197</v>
      </c>
      <c r="D238" s="87" t="s">
        <v>292</v>
      </c>
      <c r="E238" s="126">
        <v>0</v>
      </c>
      <c r="F238" s="79">
        <f>BPU!E238</f>
        <v>0</v>
      </c>
      <c r="G238" s="95">
        <f t="shared" si="5"/>
        <v>0</v>
      </c>
    </row>
    <row r="239" spans="1:7" ht="27" customHeight="1" x14ac:dyDescent="0.3">
      <c r="A239" s="150" t="s">
        <v>612</v>
      </c>
      <c r="B239" s="50" t="s">
        <v>313</v>
      </c>
      <c r="C239" s="51" t="s">
        <v>17</v>
      </c>
      <c r="D239" s="87" t="s">
        <v>292</v>
      </c>
      <c r="E239" s="126">
        <v>25</v>
      </c>
      <c r="F239" s="79">
        <f>BPU!E239</f>
        <v>0</v>
      </c>
      <c r="G239" s="95">
        <f t="shared" si="5"/>
        <v>0</v>
      </c>
    </row>
    <row r="240" spans="1:7" ht="26.4" customHeight="1" thickBot="1" x14ac:dyDescent="0.35">
      <c r="A240" s="150" t="s">
        <v>613</v>
      </c>
      <c r="B240" s="50" t="s">
        <v>312</v>
      </c>
      <c r="C240" s="51" t="s">
        <v>17</v>
      </c>
      <c r="D240" s="87" t="s">
        <v>292</v>
      </c>
      <c r="E240" s="126">
        <v>35</v>
      </c>
      <c r="F240" s="79">
        <f>BPU!E240</f>
        <v>0</v>
      </c>
      <c r="G240" s="95">
        <f t="shared" si="5"/>
        <v>0</v>
      </c>
    </row>
    <row r="241" spans="1:8" ht="19.8" customHeight="1" thickBot="1" x14ac:dyDescent="0.35">
      <c r="A241" s="52"/>
      <c r="B241" s="96" t="s">
        <v>389</v>
      </c>
      <c r="C241" s="51"/>
      <c r="D241" s="87"/>
      <c r="E241" s="126"/>
      <c r="F241" s="79">
        <f>BPU!E241</f>
        <v>0</v>
      </c>
      <c r="G241" s="146">
        <f>SUM(G152:G240)</f>
        <v>0</v>
      </c>
    </row>
    <row r="242" spans="1:8" s="58" customFormat="1" ht="18" customHeight="1" thickBot="1" x14ac:dyDescent="0.35">
      <c r="A242" s="52"/>
      <c r="B242" s="103" t="s">
        <v>357</v>
      </c>
      <c r="C242" s="72"/>
      <c r="D242" s="91"/>
      <c r="E242" s="131"/>
      <c r="F242" s="79">
        <f>BPU!E242</f>
        <v>0</v>
      </c>
      <c r="G242" s="105">
        <f>G241+G149+G108</f>
        <v>0</v>
      </c>
      <c r="H242" s="136"/>
    </row>
    <row r="243" spans="1:8" s="58" customFormat="1" ht="18" customHeight="1" x14ac:dyDescent="0.3">
      <c r="A243" s="47"/>
      <c r="B243" s="114"/>
      <c r="D243" s="115"/>
      <c r="E243" s="132"/>
      <c r="F243" s="79">
        <f>BPU!E243</f>
        <v>0</v>
      </c>
      <c r="G243" s="112"/>
      <c r="H243" s="136"/>
    </row>
    <row r="244" spans="1:8" s="58" customFormat="1" ht="16.8" customHeight="1" x14ac:dyDescent="0.3">
      <c r="A244" s="59" t="s">
        <v>14</v>
      </c>
      <c r="B244" s="59" t="s">
        <v>71</v>
      </c>
      <c r="C244" s="59"/>
      <c r="D244" s="86"/>
      <c r="E244" s="124"/>
      <c r="F244" s="124"/>
      <c r="G244" s="59"/>
      <c r="H244" s="136"/>
    </row>
    <row r="245" spans="1:8" ht="28.8" x14ac:dyDescent="0.3">
      <c r="A245" s="60" t="s">
        <v>2</v>
      </c>
      <c r="B245" s="60" t="s">
        <v>3</v>
      </c>
      <c r="C245" s="60" t="s">
        <v>4</v>
      </c>
      <c r="D245" s="41" t="s">
        <v>152</v>
      </c>
      <c r="E245" s="125" t="s">
        <v>5</v>
      </c>
      <c r="F245" s="125" t="s">
        <v>382</v>
      </c>
      <c r="G245" s="42" t="s">
        <v>350</v>
      </c>
    </row>
    <row r="246" spans="1:8" s="58" customFormat="1" ht="16.8" customHeight="1" x14ac:dyDescent="0.3">
      <c r="A246" s="70" t="s">
        <v>21</v>
      </c>
      <c r="B246" s="70" t="s">
        <v>40</v>
      </c>
      <c r="C246" s="52"/>
      <c r="D246" s="87"/>
      <c r="E246" s="126"/>
      <c r="F246" s="79">
        <f>BPU!E246</f>
        <v>0</v>
      </c>
      <c r="G246" s="52"/>
      <c r="H246" s="136"/>
    </row>
    <row r="247" spans="1:8" ht="18.600000000000001" customHeight="1" x14ac:dyDescent="0.3">
      <c r="A247" s="52" t="s">
        <v>41</v>
      </c>
      <c r="B247" s="46" t="s">
        <v>161</v>
      </c>
      <c r="C247" s="52"/>
      <c r="D247" s="87"/>
      <c r="E247" s="126"/>
      <c r="F247" s="79">
        <f>BPU!E247</f>
        <v>0</v>
      </c>
      <c r="G247" s="52"/>
    </row>
    <row r="248" spans="1:8" ht="28.8" customHeight="1" x14ac:dyDescent="0.3">
      <c r="A248" s="150" t="s">
        <v>614</v>
      </c>
      <c r="B248" s="153" t="s">
        <v>1308</v>
      </c>
      <c r="C248" s="51" t="s">
        <v>181</v>
      </c>
      <c r="D248" s="87" t="s">
        <v>292</v>
      </c>
      <c r="E248" s="126">
        <v>0</v>
      </c>
      <c r="F248" s="79">
        <f>BPU!E248</f>
        <v>0</v>
      </c>
      <c r="G248" s="95">
        <f>E248*F248</f>
        <v>0</v>
      </c>
    </row>
    <row r="249" spans="1:8" ht="18.600000000000001" customHeight="1" x14ac:dyDescent="0.3">
      <c r="A249" s="150" t="s">
        <v>615</v>
      </c>
      <c r="B249" s="154" t="s">
        <v>1287</v>
      </c>
      <c r="C249" s="51" t="s">
        <v>17</v>
      </c>
      <c r="D249" s="87" t="s">
        <v>292</v>
      </c>
      <c r="E249" s="126">
        <v>0</v>
      </c>
      <c r="F249" s="79">
        <f>BPU!E249</f>
        <v>0</v>
      </c>
      <c r="G249" s="95">
        <f t="shared" ref="G249:G309" si="6">E249*F249</f>
        <v>0</v>
      </c>
    </row>
    <row r="250" spans="1:8" ht="18.600000000000001" customHeight="1" x14ac:dyDescent="0.3">
      <c r="A250" s="150" t="s">
        <v>616</v>
      </c>
      <c r="B250" s="52" t="s">
        <v>210</v>
      </c>
      <c r="C250" s="51" t="s">
        <v>197</v>
      </c>
      <c r="D250" s="87" t="s">
        <v>292</v>
      </c>
      <c r="E250" s="126">
        <v>0</v>
      </c>
      <c r="F250" s="79">
        <f>BPU!E250</f>
        <v>0</v>
      </c>
      <c r="G250" s="95">
        <f t="shared" si="6"/>
        <v>0</v>
      </c>
    </row>
    <row r="251" spans="1:8" ht="18.600000000000001" customHeight="1" x14ac:dyDescent="0.3">
      <c r="A251" s="150" t="s">
        <v>617</v>
      </c>
      <c r="B251" s="52" t="s">
        <v>209</v>
      </c>
      <c r="C251" s="51" t="s">
        <v>197</v>
      </c>
      <c r="D251" s="87" t="s">
        <v>292</v>
      </c>
      <c r="E251" s="126">
        <v>0</v>
      </c>
      <c r="F251" s="79">
        <f>BPU!E251</f>
        <v>0</v>
      </c>
      <c r="G251" s="95">
        <f t="shared" si="6"/>
        <v>0</v>
      </c>
    </row>
    <row r="252" spans="1:8" ht="18.600000000000001" customHeight="1" x14ac:dyDescent="0.3">
      <c r="A252" s="150" t="s">
        <v>618</v>
      </c>
      <c r="B252" s="154" t="s">
        <v>1288</v>
      </c>
      <c r="C252" s="51" t="s">
        <v>181</v>
      </c>
      <c r="D252" s="87" t="s">
        <v>292</v>
      </c>
      <c r="E252" s="126">
        <v>0</v>
      </c>
      <c r="F252" s="79">
        <f>BPU!E252</f>
        <v>0</v>
      </c>
      <c r="G252" s="95">
        <f t="shared" si="6"/>
        <v>0</v>
      </c>
    </row>
    <row r="253" spans="1:8" ht="18.600000000000001" customHeight="1" x14ac:dyDescent="0.3">
      <c r="A253" s="150" t="s">
        <v>619</v>
      </c>
      <c r="B253" s="52" t="s">
        <v>293</v>
      </c>
      <c r="C253" s="51" t="s">
        <v>181</v>
      </c>
      <c r="D253" s="87" t="s">
        <v>292</v>
      </c>
      <c r="E253" s="126">
        <v>0</v>
      </c>
      <c r="F253" s="79">
        <f>BPU!E253</f>
        <v>0</v>
      </c>
      <c r="G253" s="95">
        <f t="shared" si="6"/>
        <v>0</v>
      </c>
    </row>
    <row r="254" spans="1:8" ht="28.2" customHeight="1" x14ac:dyDescent="0.3">
      <c r="A254" s="150" t="s">
        <v>620</v>
      </c>
      <c r="B254" s="61" t="s">
        <v>198</v>
      </c>
      <c r="C254" s="51" t="s">
        <v>79</v>
      </c>
      <c r="D254" s="87" t="s">
        <v>158</v>
      </c>
      <c r="E254" s="126">
        <v>0</v>
      </c>
      <c r="F254" s="79">
        <f>BPU!E254</f>
        <v>0</v>
      </c>
      <c r="G254" s="95">
        <f t="shared" si="6"/>
        <v>0</v>
      </c>
    </row>
    <row r="255" spans="1:8" ht="18.600000000000001" customHeight="1" x14ac:dyDescent="0.3">
      <c r="A255" s="52" t="s">
        <v>621</v>
      </c>
      <c r="B255" s="46" t="s">
        <v>208</v>
      </c>
      <c r="C255" s="51"/>
      <c r="D255" s="87"/>
      <c r="E255" s="126"/>
      <c r="F255" s="79">
        <f>BPU!E255</f>
        <v>0</v>
      </c>
      <c r="G255" s="95">
        <f t="shared" si="6"/>
        <v>0</v>
      </c>
    </row>
    <row r="256" spans="1:8" ht="18.600000000000001" customHeight="1" x14ac:dyDescent="0.3">
      <c r="A256" s="150" t="s">
        <v>622</v>
      </c>
      <c r="B256" s="52" t="s">
        <v>211</v>
      </c>
      <c r="C256" s="51" t="s">
        <v>230</v>
      </c>
      <c r="D256" s="87" t="s">
        <v>292</v>
      </c>
      <c r="E256" s="126">
        <v>0</v>
      </c>
      <c r="F256" s="79">
        <f>BPU!E256</f>
        <v>0</v>
      </c>
      <c r="G256" s="95">
        <f t="shared" si="6"/>
        <v>0</v>
      </c>
    </row>
    <row r="257" spans="1:8" ht="18.600000000000001" customHeight="1" x14ac:dyDescent="0.3">
      <c r="A257" s="150" t="s">
        <v>623</v>
      </c>
      <c r="B257" s="52" t="s">
        <v>212</v>
      </c>
      <c r="C257" s="51" t="s">
        <v>230</v>
      </c>
      <c r="D257" s="87" t="s">
        <v>292</v>
      </c>
      <c r="E257" s="126">
        <v>0</v>
      </c>
      <c r="F257" s="79">
        <f>BPU!E257</f>
        <v>0</v>
      </c>
      <c r="G257" s="95">
        <f t="shared" si="6"/>
        <v>0</v>
      </c>
    </row>
    <row r="258" spans="1:8" ht="18.600000000000001" customHeight="1" x14ac:dyDescent="0.3">
      <c r="A258" s="52" t="s">
        <v>624</v>
      </c>
      <c r="B258" s="46" t="s">
        <v>168</v>
      </c>
      <c r="C258" s="52"/>
      <c r="D258" s="87"/>
      <c r="E258" s="126"/>
      <c r="F258" s="79">
        <f>BPU!E258</f>
        <v>0</v>
      </c>
      <c r="G258" s="95">
        <f t="shared" si="6"/>
        <v>0</v>
      </c>
    </row>
    <row r="259" spans="1:8" s="65" customFormat="1" ht="18.600000000000001" customHeight="1" x14ac:dyDescent="0.3">
      <c r="A259" s="150" t="s">
        <v>625</v>
      </c>
      <c r="B259" s="50" t="s">
        <v>213</v>
      </c>
      <c r="C259" s="51" t="s">
        <v>230</v>
      </c>
      <c r="D259" s="88" t="s">
        <v>292</v>
      </c>
      <c r="E259" s="130">
        <v>0</v>
      </c>
      <c r="F259" s="79">
        <f>BPU!E259</f>
        <v>0</v>
      </c>
      <c r="G259" s="95">
        <f t="shared" si="6"/>
        <v>0</v>
      </c>
      <c r="H259" s="66"/>
    </row>
    <row r="260" spans="1:8" s="65" customFormat="1" ht="18.600000000000001" customHeight="1" x14ac:dyDescent="0.3">
      <c r="A260" s="150" t="s">
        <v>626</v>
      </c>
      <c r="B260" s="50" t="s">
        <v>187</v>
      </c>
      <c r="C260" s="51" t="s">
        <v>230</v>
      </c>
      <c r="D260" s="88" t="s">
        <v>292</v>
      </c>
      <c r="E260" s="130">
        <v>0</v>
      </c>
      <c r="F260" s="79">
        <f>BPU!E260</f>
        <v>0</v>
      </c>
      <c r="G260" s="95">
        <f t="shared" si="6"/>
        <v>0</v>
      </c>
      <c r="H260" s="66"/>
    </row>
    <row r="261" spans="1:8" s="65" customFormat="1" ht="18.600000000000001" customHeight="1" x14ac:dyDescent="0.3">
      <c r="A261" s="150" t="s">
        <v>627</v>
      </c>
      <c r="B261" s="50" t="s">
        <v>214</v>
      </c>
      <c r="C261" s="51" t="s">
        <v>230</v>
      </c>
      <c r="D261" s="88" t="s">
        <v>292</v>
      </c>
      <c r="E261" s="130">
        <v>0</v>
      </c>
      <c r="F261" s="79">
        <f>BPU!E261</f>
        <v>0</v>
      </c>
      <c r="G261" s="95">
        <f t="shared" si="6"/>
        <v>0</v>
      </c>
      <c r="H261" s="66"/>
    </row>
    <row r="262" spans="1:8" s="65" customFormat="1" ht="33" customHeight="1" x14ac:dyDescent="0.3">
      <c r="A262" s="150" t="s">
        <v>628</v>
      </c>
      <c r="B262" s="50" t="s">
        <v>215</v>
      </c>
      <c r="C262" s="51" t="s">
        <v>230</v>
      </c>
      <c r="D262" s="88" t="s">
        <v>292</v>
      </c>
      <c r="E262" s="130">
        <v>0</v>
      </c>
      <c r="F262" s="79">
        <f>BPU!E262</f>
        <v>0</v>
      </c>
      <c r="G262" s="95">
        <f t="shared" si="6"/>
        <v>0</v>
      </c>
      <c r="H262" s="66"/>
    </row>
    <row r="263" spans="1:8" ht="18.600000000000001" customHeight="1" x14ac:dyDescent="0.3">
      <c r="A263" s="52" t="s">
        <v>629</v>
      </c>
      <c r="B263" s="46" t="s">
        <v>169</v>
      </c>
      <c r="C263" s="52"/>
      <c r="D263" s="87"/>
      <c r="E263" s="126"/>
      <c r="F263" s="79">
        <f>BPU!E263</f>
        <v>0</v>
      </c>
      <c r="G263" s="95">
        <f t="shared" si="6"/>
        <v>0</v>
      </c>
    </row>
    <row r="264" spans="1:8" ht="18.600000000000001" customHeight="1" x14ac:dyDescent="0.3">
      <c r="A264" s="150" t="s">
        <v>630</v>
      </c>
      <c r="B264" s="50" t="s">
        <v>216</v>
      </c>
      <c r="C264" s="51" t="s">
        <v>230</v>
      </c>
      <c r="D264" s="87" t="s">
        <v>292</v>
      </c>
      <c r="E264" s="126">
        <v>0</v>
      </c>
      <c r="F264" s="79">
        <f>BPU!E264</f>
        <v>0</v>
      </c>
      <c r="G264" s="95">
        <f t="shared" si="6"/>
        <v>0</v>
      </c>
    </row>
    <row r="265" spans="1:8" ht="18.600000000000001" customHeight="1" x14ac:dyDescent="0.3">
      <c r="A265" s="150" t="s">
        <v>631</v>
      </c>
      <c r="B265" s="50" t="s">
        <v>217</v>
      </c>
      <c r="C265" s="51" t="s">
        <v>230</v>
      </c>
      <c r="D265" s="87" t="s">
        <v>292</v>
      </c>
      <c r="E265" s="126">
        <v>0</v>
      </c>
      <c r="F265" s="79">
        <f>BPU!E265</f>
        <v>0</v>
      </c>
      <c r="G265" s="95">
        <f t="shared" si="6"/>
        <v>0</v>
      </c>
    </row>
    <row r="266" spans="1:8" ht="18.600000000000001" customHeight="1" x14ac:dyDescent="0.3">
      <c r="A266" s="150" t="s">
        <v>632</v>
      </c>
      <c r="B266" s="50" t="s">
        <v>218</v>
      </c>
      <c r="C266" s="51" t="s">
        <v>230</v>
      </c>
      <c r="D266" s="87" t="s">
        <v>292</v>
      </c>
      <c r="E266" s="126">
        <v>0</v>
      </c>
      <c r="F266" s="79">
        <f>BPU!E266</f>
        <v>0</v>
      </c>
      <c r="G266" s="95">
        <f t="shared" si="6"/>
        <v>0</v>
      </c>
    </row>
    <row r="267" spans="1:8" ht="18.600000000000001" customHeight="1" x14ac:dyDescent="0.3">
      <c r="A267" s="150" t="s">
        <v>633</v>
      </c>
      <c r="B267" s="50" t="s">
        <v>219</v>
      </c>
      <c r="C267" s="51" t="s">
        <v>230</v>
      </c>
      <c r="D267" s="87" t="s">
        <v>292</v>
      </c>
      <c r="E267" s="126">
        <v>0</v>
      </c>
      <c r="F267" s="79">
        <f>BPU!E267</f>
        <v>0</v>
      </c>
      <c r="G267" s="95">
        <f t="shared" si="6"/>
        <v>0</v>
      </c>
    </row>
    <row r="268" spans="1:8" ht="18.600000000000001" customHeight="1" x14ac:dyDescent="0.3">
      <c r="A268" s="150" t="s">
        <v>634</v>
      </c>
      <c r="B268" s="50" t="s">
        <v>220</v>
      </c>
      <c r="C268" s="51" t="s">
        <v>230</v>
      </c>
      <c r="D268" s="87" t="s">
        <v>292</v>
      </c>
      <c r="E268" s="126">
        <v>0</v>
      </c>
      <c r="F268" s="79">
        <f>BPU!E268</f>
        <v>0</v>
      </c>
      <c r="G268" s="95">
        <f t="shared" si="6"/>
        <v>0</v>
      </c>
    </row>
    <row r="269" spans="1:8" ht="18.600000000000001" customHeight="1" x14ac:dyDescent="0.3">
      <c r="A269" s="150" t="s">
        <v>635</v>
      </c>
      <c r="B269" s="50" t="s">
        <v>221</v>
      </c>
      <c r="C269" s="51" t="s">
        <v>230</v>
      </c>
      <c r="D269" s="87" t="s">
        <v>292</v>
      </c>
      <c r="E269" s="126">
        <v>0</v>
      </c>
      <c r="F269" s="79">
        <f>BPU!E269</f>
        <v>0</v>
      </c>
      <c r="G269" s="95">
        <f t="shared" si="6"/>
        <v>0</v>
      </c>
    </row>
    <row r="270" spans="1:8" ht="18.600000000000001" customHeight="1" x14ac:dyDescent="0.3">
      <c r="A270" s="150" t="s">
        <v>636</v>
      </c>
      <c r="B270" s="50" t="s">
        <v>222</v>
      </c>
      <c r="C270" s="51" t="s">
        <v>230</v>
      </c>
      <c r="D270" s="87" t="s">
        <v>292</v>
      </c>
      <c r="E270" s="126">
        <v>0</v>
      </c>
      <c r="F270" s="79">
        <f>BPU!E270</f>
        <v>0</v>
      </c>
      <c r="G270" s="95">
        <f t="shared" si="6"/>
        <v>0</v>
      </c>
    </row>
    <row r="271" spans="1:8" ht="18.600000000000001" customHeight="1" x14ac:dyDescent="0.3">
      <c r="A271" s="52" t="s">
        <v>637</v>
      </c>
      <c r="B271" s="46" t="s">
        <v>170</v>
      </c>
      <c r="C271" s="52"/>
      <c r="D271" s="87"/>
      <c r="E271" s="126"/>
      <c r="F271" s="79">
        <f>BPU!E271</f>
        <v>0</v>
      </c>
      <c r="G271" s="95">
        <f t="shared" si="6"/>
        <v>0</v>
      </c>
    </row>
    <row r="272" spans="1:8" ht="18.600000000000001" customHeight="1" x14ac:dyDescent="0.3">
      <c r="A272" s="150" t="s">
        <v>638</v>
      </c>
      <c r="B272" s="50" t="s">
        <v>223</v>
      </c>
      <c r="C272" s="51" t="s">
        <v>230</v>
      </c>
      <c r="D272" s="87" t="s">
        <v>292</v>
      </c>
      <c r="E272" s="126">
        <v>0</v>
      </c>
      <c r="F272" s="79">
        <f>BPU!E272</f>
        <v>0</v>
      </c>
      <c r="G272" s="95">
        <f t="shared" si="6"/>
        <v>0</v>
      </c>
    </row>
    <row r="273" spans="1:7" ht="18.600000000000001" customHeight="1" x14ac:dyDescent="0.3">
      <c r="A273" s="150" t="s">
        <v>639</v>
      </c>
      <c r="B273" s="50" t="s">
        <v>224</v>
      </c>
      <c r="C273" s="51" t="s">
        <v>230</v>
      </c>
      <c r="D273" s="87" t="s">
        <v>292</v>
      </c>
      <c r="E273" s="126">
        <v>0</v>
      </c>
      <c r="F273" s="79">
        <f>BPU!E273</f>
        <v>0</v>
      </c>
      <c r="G273" s="95">
        <f t="shared" si="6"/>
        <v>0</v>
      </c>
    </row>
    <row r="274" spans="1:7" ht="18.600000000000001" customHeight="1" x14ac:dyDescent="0.3">
      <c r="A274" s="150" t="s">
        <v>640</v>
      </c>
      <c r="B274" s="50" t="s">
        <v>178</v>
      </c>
      <c r="C274" s="51" t="s">
        <v>230</v>
      </c>
      <c r="D274" s="87" t="s">
        <v>292</v>
      </c>
      <c r="E274" s="126">
        <v>0</v>
      </c>
      <c r="F274" s="79">
        <f>BPU!E274</f>
        <v>0</v>
      </c>
      <c r="G274" s="95">
        <f t="shared" si="6"/>
        <v>0</v>
      </c>
    </row>
    <row r="275" spans="1:7" ht="18.600000000000001" customHeight="1" x14ac:dyDescent="0.3">
      <c r="A275" s="52" t="s">
        <v>641</v>
      </c>
      <c r="B275" s="46" t="s">
        <v>171</v>
      </c>
      <c r="C275" s="52"/>
      <c r="D275" s="87"/>
      <c r="E275" s="126">
        <v>0</v>
      </c>
      <c r="F275" s="79">
        <f>BPU!E275</f>
        <v>0</v>
      </c>
      <c r="G275" s="95">
        <f t="shared" si="6"/>
        <v>0</v>
      </c>
    </row>
    <row r="276" spans="1:7" ht="24.6" customHeight="1" x14ac:dyDescent="0.3">
      <c r="A276" s="150" t="s">
        <v>642</v>
      </c>
      <c r="B276" s="50" t="s">
        <v>229</v>
      </c>
      <c r="C276" s="51" t="s">
        <v>181</v>
      </c>
      <c r="D276" s="87" t="s">
        <v>292</v>
      </c>
      <c r="E276" s="126">
        <v>0</v>
      </c>
      <c r="F276" s="79">
        <f>BPU!E276</f>
        <v>0</v>
      </c>
      <c r="G276" s="95">
        <f t="shared" si="6"/>
        <v>0</v>
      </c>
    </row>
    <row r="277" spans="1:7" ht="18.600000000000001" customHeight="1" x14ac:dyDescent="0.3">
      <c r="A277" s="150" t="s">
        <v>643</v>
      </c>
      <c r="B277" s="50" t="s">
        <v>225</v>
      </c>
      <c r="C277" s="51" t="s">
        <v>181</v>
      </c>
      <c r="D277" s="87" t="s">
        <v>292</v>
      </c>
      <c r="E277" s="126">
        <v>0</v>
      </c>
      <c r="F277" s="79">
        <f>BPU!E277</f>
        <v>0</v>
      </c>
      <c r="G277" s="95">
        <f t="shared" si="6"/>
        <v>0</v>
      </c>
    </row>
    <row r="278" spans="1:7" ht="18.600000000000001" customHeight="1" x14ac:dyDescent="0.3">
      <c r="A278" s="150" t="s">
        <v>644</v>
      </c>
      <c r="B278" s="50" t="s">
        <v>226</v>
      </c>
      <c r="C278" s="51" t="s">
        <v>181</v>
      </c>
      <c r="D278" s="87" t="s">
        <v>292</v>
      </c>
      <c r="E278" s="126">
        <v>0</v>
      </c>
      <c r="F278" s="79">
        <f>BPU!E278</f>
        <v>0</v>
      </c>
      <c r="G278" s="95">
        <f t="shared" si="6"/>
        <v>0</v>
      </c>
    </row>
    <row r="279" spans="1:7" ht="18.600000000000001" customHeight="1" x14ac:dyDescent="0.3">
      <c r="A279" s="150" t="s">
        <v>645</v>
      </c>
      <c r="B279" s="50" t="s">
        <v>227</v>
      </c>
      <c r="C279" s="51" t="s">
        <v>181</v>
      </c>
      <c r="D279" s="87" t="s">
        <v>292</v>
      </c>
      <c r="E279" s="126">
        <v>0</v>
      </c>
      <c r="F279" s="79">
        <f>BPU!E279</f>
        <v>0</v>
      </c>
      <c r="G279" s="95">
        <f t="shared" si="6"/>
        <v>0</v>
      </c>
    </row>
    <row r="280" spans="1:7" ht="18.600000000000001" customHeight="1" x14ac:dyDescent="0.3">
      <c r="A280" s="150" t="s">
        <v>646</v>
      </c>
      <c r="B280" s="50" t="s">
        <v>228</v>
      </c>
      <c r="C280" s="51" t="s">
        <v>181</v>
      </c>
      <c r="D280" s="87" t="s">
        <v>292</v>
      </c>
      <c r="E280" s="126">
        <v>0</v>
      </c>
      <c r="F280" s="79">
        <f>BPU!E280</f>
        <v>0</v>
      </c>
      <c r="G280" s="95">
        <f t="shared" si="6"/>
        <v>0</v>
      </c>
    </row>
    <row r="281" spans="1:7" ht="18.600000000000001" customHeight="1" x14ac:dyDescent="0.3">
      <c r="A281" s="52" t="s">
        <v>647</v>
      </c>
      <c r="B281" s="46" t="s">
        <v>172</v>
      </c>
      <c r="C281" s="52"/>
      <c r="D281" s="87"/>
      <c r="E281" s="126"/>
      <c r="F281" s="79">
        <f>BPU!E281</f>
        <v>0</v>
      </c>
      <c r="G281" s="95">
        <f t="shared" si="6"/>
        <v>0</v>
      </c>
    </row>
    <row r="282" spans="1:7" ht="18.600000000000001" customHeight="1" x14ac:dyDescent="0.3">
      <c r="A282" s="150" t="s">
        <v>648</v>
      </c>
      <c r="B282" s="50" t="s">
        <v>231</v>
      </c>
      <c r="C282" s="51" t="s">
        <v>181</v>
      </c>
      <c r="D282" s="87" t="s">
        <v>292</v>
      </c>
      <c r="E282" s="126">
        <v>0</v>
      </c>
      <c r="F282" s="79">
        <f>BPU!E282</f>
        <v>0</v>
      </c>
      <c r="G282" s="95">
        <f t="shared" si="6"/>
        <v>0</v>
      </c>
    </row>
    <row r="283" spans="1:7" ht="18.600000000000001" customHeight="1" x14ac:dyDescent="0.3">
      <c r="A283" s="150" t="s">
        <v>649</v>
      </c>
      <c r="B283" s="50" t="s">
        <v>232</v>
      </c>
      <c r="C283" s="51" t="s">
        <v>181</v>
      </c>
      <c r="D283" s="87" t="s">
        <v>292</v>
      </c>
      <c r="E283" s="126">
        <v>0</v>
      </c>
      <c r="F283" s="79">
        <f>BPU!E283</f>
        <v>0</v>
      </c>
      <c r="G283" s="95">
        <f t="shared" si="6"/>
        <v>0</v>
      </c>
    </row>
    <row r="284" spans="1:7" ht="28.2" customHeight="1" x14ac:dyDescent="0.3">
      <c r="A284" s="150" t="s">
        <v>650</v>
      </c>
      <c r="B284" s="50" t="s">
        <v>233</v>
      </c>
      <c r="C284" s="51" t="s">
        <v>181</v>
      </c>
      <c r="D284" s="87" t="s">
        <v>292</v>
      </c>
      <c r="E284" s="126">
        <v>0</v>
      </c>
      <c r="F284" s="79">
        <f>BPU!E284</f>
        <v>0</v>
      </c>
      <c r="G284" s="95">
        <f t="shared" si="6"/>
        <v>0</v>
      </c>
    </row>
    <row r="285" spans="1:7" ht="18.600000000000001" customHeight="1" x14ac:dyDescent="0.3">
      <c r="A285" s="150" t="s">
        <v>651</v>
      </c>
      <c r="B285" s="50" t="s">
        <v>234</v>
      </c>
      <c r="C285" s="51" t="s">
        <v>181</v>
      </c>
      <c r="D285" s="87" t="s">
        <v>292</v>
      </c>
      <c r="E285" s="126">
        <v>0</v>
      </c>
      <c r="F285" s="79">
        <f>BPU!E285</f>
        <v>0</v>
      </c>
      <c r="G285" s="95">
        <f t="shared" si="6"/>
        <v>0</v>
      </c>
    </row>
    <row r="286" spans="1:7" ht="18.600000000000001" customHeight="1" x14ac:dyDescent="0.3">
      <c r="A286" s="52" t="s">
        <v>652</v>
      </c>
      <c r="B286" s="46" t="s">
        <v>173</v>
      </c>
      <c r="C286" s="52"/>
      <c r="D286" s="87"/>
      <c r="E286" s="126">
        <v>0</v>
      </c>
      <c r="F286" s="79">
        <f>BPU!E286</f>
        <v>0</v>
      </c>
      <c r="G286" s="95">
        <f t="shared" si="6"/>
        <v>0</v>
      </c>
    </row>
    <row r="287" spans="1:7" ht="18.600000000000001" customHeight="1" x14ac:dyDescent="0.3">
      <c r="A287" s="150" t="s">
        <v>653</v>
      </c>
      <c r="B287" s="152" t="s">
        <v>1294</v>
      </c>
      <c r="C287" s="51" t="s">
        <v>181</v>
      </c>
      <c r="D287" s="87" t="s">
        <v>292</v>
      </c>
      <c r="E287" s="126">
        <v>0</v>
      </c>
      <c r="F287" s="79">
        <f>BPU!E287</f>
        <v>0</v>
      </c>
      <c r="G287" s="95">
        <f t="shared" si="6"/>
        <v>0</v>
      </c>
    </row>
    <row r="288" spans="1:7" ht="18.600000000000001" customHeight="1" x14ac:dyDescent="0.3">
      <c r="A288" s="150" t="s">
        <v>654</v>
      </c>
      <c r="B288" s="50" t="s">
        <v>235</v>
      </c>
      <c r="C288" s="51" t="s">
        <v>181</v>
      </c>
      <c r="D288" s="87" t="s">
        <v>292</v>
      </c>
      <c r="E288" s="126">
        <v>0</v>
      </c>
      <c r="F288" s="79">
        <f>BPU!E288</f>
        <v>0</v>
      </c>
      <c r="G288" s="95">
        <f t="shared" si="6"/>
        <v>0</v>
      </c>
    </row>
    <row r="289" spans="1:7" ht="18.600000000000001" customHeight="1" x14ac:dyDescent="0.3">
      <c r="A289" s="150" t="s">
        <v>655</v>
      </c>
      <c r="B289" s="50" t="s">
        <v>236</v>
      </c>
      <c r="C289" s="51" t="s">
        <v>181</v>
      </c>
      <c r="D289" s="87" t="s">
        <v>292</v>
      </c>
      <c r="E289" s="126">
        <v>0</v>
      </c>
      <c r="F289" s="79">
        <f>BPU!E289</f>
        <v>0</v>
      </c>
      <c r="G289" s="95">
        <f t="shared" si="6"/>
        <v>0</v>
      </c>
    </row>
    <row r="290" spans="1:7" ht="18.600000000000001" customHeight="1" x14ac:dyDescent="0.3">
      <c r="A290" s="150" t="s">
        <v>656</v>
      </c>
      <c r="B290" s="50" t="s">
        <v>237</v>
      </c>
      <c r="C290" s="51" t="s">
        <v>181</v>
      </c>
      <c r="D290" s="87" t="s">
        <v>292</v>
      </c>
      <c r="E290" s="126">
        <v>0</v>
      </c>
      <c r="F290" s="79">
        <f>BPU!E290</f>
        <v>0</v>
      </c>
      <c r="G290" s="95">
        <f t="shared" si="6"/>
        <v>0</v>
      </c>
    </row>
    <row r="291" spans="1:7" ht="18.600000000000001" customHeight="1" x14ac:dyDescent="0.3">
      <c r="A291" s="150" t="s">
        <v>657</v>
      </c>
      <c r="B291" s="50" t="s">
        <v>238</v>
      </c>
      <c r="C291" s="51" t="s">
        <v>181</v>
      </c>
      <c r="D291" s="87" t="s">
        <v>292</v>
      </c>
      <c r="E291" s="126">
        <v>0</v>
      </c>
      <c r="F291" s="79">
        <f>BPU!E291</f>
        <v>0</v>
      </c>
      <c r="G291" s="95">
        <f t="shared" si="6"/>
        <v>0</v>
      </c>
    </row>
    <row r="292" spans="1:7" ht="18.600000000000001" customHeight="1" x14ac:dyDescent="0.3">
      <c r="A292" s="150" t="s">
        <v>658</v>
      </c>
      <c r="B292" s="50" t="s">
        <v>179</v>
      </c>
      <c r="C292" s="51" t="s">
        <v>181</v>
      </c>
      <c r="D292" s="87" t="s">
        <v>292</v>
      </c>
      <c r="E292" s="126">
        <v>0</v>
      </c>
      <c r="F292" s="79">
        <f>BPU!E292</f>
        <v>0</v>
      </c>
      <c r="G292" s="95">
        <f t="shared" si="6"/>
        <v>0</v>
      </c>
    </row>
    <row r="293" spans="1:7" ht="18.600000000000001" customHeight="1" x14ac:dyDescent="0.3">
      <c r="A293" s="150" t="s">
        <v>659</v>
      </c>
      <c r="B293" s="50" t="s">
        <v>239</v>
      </c>
      <c r="C293" s="51" t="s">
        <v>181</v>
      </c>
      <c r="D293" s="87" t="s">
        <v>292</v>
      </c>
      <c r="E293" s="126">
        <v>0</v>
      </c>
      <c r="F293" s="79">
        <f>BPU!E293</f>
        <v>0</v>
      </c>
      <c r="G293" s="95">
        <f t="shared" si="6"/>
        <v>0</v>
      </c>
    </row>
    <row r="294" spans="1:7" ht="18.600000000000001" customHeight="1" x14ac:dyDescent="0.3">
      <c r="A294" s="52" t="s">
        <v>660</v>
      </c>
      <c r="B294" s="46" t="s">
        <v>174</v>
      </c>
      <c r="C294" s="52"/>
      <c r="D294" s="87"/>
      <c r="E294" s="126"/>
      <c r="F294" s="79">
        <f>BPU!E294</f>
        <v>0</v>
      </c>
      <c r="G294" s="95">
        <f t="shared" si="6"/>
        <v>0</v>
      </c>
    </row>
    <row r="295" spans="1:7" ht="18.600000000000001" customHeight="1" x14ac:dyDescent="0.3">
      <c r="A295" s="150" t="s">
        <v>661</v>
      </c>
      <c r="B295" s="50" t="s">
        <v>240</v>
      </c>
      <c r="C295" s="51" t="s">
        <v>181</v>
      </c>
      <c r="D295" s="87" t="s">
        <v>292</v>
      </c>
      <c r="E295" s="126">
        <v>0</v>
      </c>
      <c r="F295" s="79">
        <f>BPU!E295</f>
        <v>0</v>
      </c>
      <c r="G295" s="95">
        <f t="shared" si="6"/>
        <v>0</v>
      </c>
    </row>
    <row r="296" spans="1:7" ht="18.600000000000001" customHeight="1" x14ac:dyDescent="0.3">
      <c r="A296" s="150" t="s">
        <v>662</v>
      </c>
      <c r="B296" s="50" t="s">
        <v>241</v>
      </c>
      <c r="C296" s="51" t="s">
        <v>181</v>
      </c>
      <c r="D296" s="87" t="s">
        <v>292</v>
      </c>
      <c r="E296" s="126">
        <v>0</v>
      </c>
      <c r="F296" s="79">
        <f>BPU!E296</f>
        <v>0</v>
      </c>
      <c r="G296" s="95">
        <f t="shared" si="6"/>
        <v>0</v>
      </c>
    </row>
    <row r="297" spans="1:7" ht="18.600000000000001" customHeight="1" x14ac:dyDescent="0.3">
      <c r="A297" s="150" t="s">
        <v>663</v>
      </c>
      <c r="B297" s="50" t="s">
        <v>242</v>
      </c>
      <c r="C297" s="51" t="s">
        <v>181</v>
      </c>
      <c r="D297" s="87" t="s">
        <v>292</v>
      </c>
      <c r="E297" s="126">
        <v>0</v>
      </c>
      <c r="F297" s="79">
        <f>BPU!E297</f>
        <v>0</v>
      </c>
      <c r="G297" s="95">
        <f t="shared" si="6"/>
        <v>0</v>
      </c>
    </row>
    <row r="298" spans="1:7" ht="18.600000000000001" customHeight="1" x14ac:dyDescent="0.3">
      <c r="A298" s="150" t="s">
        <v>664</v>
      </c>
      <c r="B298" s="50" t="s">
        <v>243</v>
      </c>
      <c r="C298" s="51" t="s">
        <v>181</v>
      </c>
      <c r="D298" s="87" t="s">
        <v>292</v>
      </c>
      <c r="E298" s="126">
        <v>0</v>
      </c>
      <c r="F298" s="79">
        <f>BPU!E298</f>
        <v>0</v>
      </c>
      <c r="G298" s="95">
        <f t="shared" si="6"/>
        <v>0</v>
      </c>
    </row>
    <row r="299" spans="1:7" ht="18.600000000000001" customHeight="1" x14ac:dyDescent="0.3">
      <c r="A299" s="150" t="s">
        <v>665</v>
      </c>
      <c r="B299" s="50" t="s">
        <v>244</v>
      </c>
      <c r="C299" s="51" t="s">
        <v>181</v>
      </c>
      <c r="D299" s="87" t="s">
        <v>292</v>
      </c>
      <c r="E299" s="126">
        <v>0</v>
      </c>
      <c r="F299" s="79">
        <f>BPU!E299</f>
        <v>0</v>
      </c>
      <c r="G299" s="95">
        <f t="shared" si="6"/>
        <v>0</v>
      </c>
    </row>
    <row r="300" spans="1:7" ht="18.600000000000001" customHeight="1" x14ac:dyDescent="0.3">
      <c r="A300" s="150" t="s">
        <v>666</v>
      </c>
      <c r="B300" s="50" t="s">
        <v>245</v>
      </c>
      <c r="C300" s="51" t="s">
        <v>181</v>
      </c>
      <c r="D300" s="87" t="s">
        <v>292</v>
      </c>
      <c r="E300" s="126">
        <v>0</v>
      </c>
      <c r="F300" s="79">
        <f>BPU!E300</f>
        <v>0</v>
      </c>
      <c r="G300" s="95">
        <f t="shared" si="6"/>
        <v>0</v>
      </c>
    </row>
    <row r="301" spans="1:7" ht="18.600000000000001" customHeight="1" x14ac:dyDescent="0.3">
      <c r="A301" s="150" t="s">
        <v>667</v>
      </c>
      <c r="B301" s="50" t="s">
        <v>246</v>
      </c>
      <c r="C301" s="51" t="s">
        <v>181</v>
      </c>
      <c r="D301" s="87" t="s">
        <v>292</v>
      </c>
      <c r="E301" s="126">
        <v>0</v>
      </c>
      <c r="F301" s="79">
        <f>BPU!E301</f>
        <v>0</v>
      </c>
      <c r="G301" s="95">
        <f t="shared" si="6"/>
        <v>0</v>
      </c>
    </row>
    <row r="302" spans="1:7" ht="18.600000000000001" customHeight="1" x14ac:dyDescent="0.3">
      <c r="A302" s="150" t="s">
        <v>668</v>
      </c>
      <c r="B302" s="50" t="s">
        <v>247</v>
      </c>
      <c r="C302" s="51" t="s">
        <v>181</v>
      </c>
      <c r="D302" s="87" t="s">
        <v>292</v>
      </c>
      <c r="E302" s="126">
        <v>0</v>
      </c>
      <c r="F302" s="79">
        <f>BPU!E302</f>
        <v>0</v>
      </c>
      <c r="G302" s="95">
        <f t="shared" si="6"/>
        <v>0</v>
      </c>
    </row>
    <row r="303" spans="1:7" ht="18.600000000000001" customHeight="1" x14ac:dyDescent="0.3">
      <c r="A303" s="150" t="s">
        <v>669</v>
      </c>
      <c r="B303" s="50" t="s">
        <v>194</v>
      </c>
      <c r="C303" s="51" t="s">
        <v>181</v>
      </c>
      <c r="D303" s="87" t="s">
        <v>292</v>
      </c>
      <c r="E303" s="126">
        <v>0</v>
      </c>
      <c r="F303" s="79">
        <f>BPU!E303</f>
        <v>0</v>
      </c>
      <c r="G303" s="95">
        <f t="shared" si="6"/>
        <v>0</v>
      </c>
    </row>
    <row r="304" spans="1:7" ht="18.600000000000001" customHeight="1" x14ac:dyDescent="0.3">
      <c r="A304" s="52" t="s">
        <v>670</v>
      </c>
      <c r="B304" s="46" t="s">
        <v>175</v>
      </c>
      <c r="C304" s="52"/>
      <c r="D304" s="87"/>
      <c r="E304" s="126"/>
      <c r="F304" s="79">
        <f>BPU!E304</f>
        <v>0</v>
      </c>
      <c r="G304" s="95">
        <f t="shared" si="6"/>
        <v>0</v>
      </c>
    </row>
    <row r="305" spans="1:7" ht="18.600000000000001" customHeight="1" x14ac:dyDescent="0.3">
      <c r="A305" s="150" t="s">
        <v>671</v>
      </c>
      <c r="B305" s="50" t="s">
        <v>180</v>
      </c>
      <c r="C305" s="51" t="s">
        <v>181</v>
      </c>
      <c r="D305" s="87" t="s">
        <v>292</v>
      </c>
      <c r="E305" s="126">
        <v>0</v>
      </c>
      <c r="F305" s="79">
        <f>BPU!E305</f>
        <v>0</v>
      </c>
      <c r="G305" s="95">
        <f t="shared" si="6"/>
        <v>0</v>
      </c>
    </row>
    <row r="306" spans="1:7" ht="18.600000000000001" customHeight="1" x14ac:dyDescent="0.3">
      <c r="A306" s="52" t="s">
        <v>672</v>
      </c>
      <c r="B306" s="46" t="s">
        <v>176</v>
      </c>
      <c r="C306" s="52"/>
      <c r="D306" s="87"/>
      <c r="E306" s="126"/>
      <c r="F306" s="79">
        <f>BPU!E306</f>
        <v>0</v>
      </c>
      <c r="G306" s="95">
        <f t="shared" si="6"/>
        <v>0</v>
      </c>
    </row>
    <row r="307" spans="1:7" ht="18.600000000000001" customHeight="1" x14ac:dyDescent="0.3">
      <c r="A307" s="150" t="s">
        <v>673</v>
      </c>
      <c r="B307" s="50" t="s">
        <v>257</v>
      </c>
      <c r="C307" s="51" t="s">
        <v>181</v>
      </c>
      <c r="D307" s="87" t="s">
        <v>292</v>
      </c>
      <c r="E307" s="126">
        <v>0</v>
      </c>
      <c r="F307" s="79">
        <f>BPU!E307</f>
        <v>0</v>
      </c>
      <c r="G307" s="95">
        <f t="shared" si="6"/>
        <v>0</v>
      </c>
    </row>
    <row r="308" spans="1:7" ht="18.600000000000001" customHeight="1" x14ac:dyDescent="0.3">
      <c r="A308" s="150" t="s">
        <v>674</v>
      </c>
      <c r="B308" s="50" t="s">
        <v>253</v>
      </c>
      <c r="C308" s="51" t="s">
        <v>17</v>
      </c>
      <c r="D308" s="87" t="s">
        <v>292</v>
      </c>
      <c r="E308" s="126">
        <v>0</v>
      </c>
      <c r="F308" s="79">
        <f>BPU!E308</f>
        <v>0</v>
      </c>
      <c r="G308" s="95">
        <f t="shared" si="6"/>
        <v>0</v>
      </c>
    </row>
    <row r="309" spans="1:7" ht="18.600000000000001" customHeight="1" x14ac:dyDescent="0.3">
      <c r="A309" s="150" t="s">
        <v>675</v>
      </c>
      <c r="B309" s="50" t="s">
        <v>252</v>
      </c>
      <c r="C309" s="51" t="s">
        <v>17</v>
      </c>
      <c r="D309" s="87" t="s">
        <v>292</v>
      </c>
      <c r="E309" s="126">
        <v>0</v>
      </c>
      <c r="F309" s="79">
        <f>BPU!E309</f>
        <v>0</v>
      </c>
      <c r="G309" s="95">
        <f t="shared" si="6"/>
        <v>0</v>
      </c>
    </row>
    <row r="310" spans="1:7" ht="18.600000000000001" customHeight="1" x14ac:dyDescent="0.3">
      <c r="A310" s="150" t="s">
        <v>676</v>
      </c>
      <c r="B310" s="50" t="s">
        <v>254</v>
      </c>
      <c r="C310" s="51" t="s">
        <v>17</v>
      </c>
      <c r="D310" s="87" t="s">
        <v>292</v>
      </c>
      <c r="E310" s="126">
        <v>0</v>
      </c>
      <c r="F310" s="79">
        <f>BPU!E310</f>
        <v>0</v>
      </c>
      <c r="G310" s="95">
        <f t="shared" ref="G310:G374" si="7">E310*F310</f>
        <v>0</v>
      </c>
    </row>
    <row r="311" spans="1:7" ht="18.600000000000001" customHeight="1" x14ac:dyDescent="0.3">
      <c r="A311" s="150" t="s">
        <v>677</v>
      </c>
      <c r="B311" s="50" t="s">
        <v>255</v>
      </c>
      <c r="C311" s="51" t="s">
        <v>17</v>
      </c>
      <c r="D311" s="87" t="s">
        <v>292</v>
      </c>
      <c r="E311" s="126">
        <v>0</v>
      </c>
      <c r="F311" s="79">
        <f>BPU!E311</f>
        <v>0</v>
      </c>
      <c r="G311" s="95">
        <f t="shared" si="7"/>
        <v>0</v>
      </c>
    </row>
    <row r="312" spans="1:7" ht="28.8" customHeight="1" x14ac:dyDescent="0.3">
      <c r="A312" s="150" t="s">
        <v>678</v>
      </c>
      <c r="B312" s="50" t="s">
        <v>251</v>
      </c>
      <c r="C312" s="51" t="s">
        <v>17</v>
      </c>
      <c r="D312" s="87" t="s">
        <v>292</v>
      </c>
      <c r="E312" s="126">
        <v>0</v>
      </c>
      <c r="F312" s="79">
        <f>BPU!E312</f>
        <v>0</v>
      </c>
      <c r="G312" s="95">
        <f t="shared" si="7"/>
        <v>0</v>
      </c>
    </row>
    <row r="313" spans="1:7" x14ac:dyDescent="0.3">
      <c r="A313" s="150" t="s">
        <v>679</v>
      </c>
      <c r="B313" s="50" t="s">
        <v>256</v>
      </c>
      <c r="C313" s="51" t="s">
        <v>181</v>
      </c>
      <c r="D313" s="87" t="s">
        <v>292</v>
      </c>
      <c r="E313" s="126">
        <v>0</v>
      </c>
      <c r="F313" s="79">
        <f>BPU!E313</f>
        <v>0</v>
      </c>
      <c r="G313" s="95">
        <f t="shared" si="7"/>
        <v>0</v>
      </c>
    </row>
    <row r="314" spans="1:7" x14ac:dyDescent="0.3">
      <c r="A314" s="150" t="s">
        <v>680</v>
      </c>
      <c r="B314" s="50" t="s">
        <v>258</v>
      </c>
      <c r="C314" s="51" t="s">
        <v>17</v>
      </c>
      <c r="D314" s="87" t="s">
        <v>292</v>
      </c>
      <c r="E314" s="126">
        <v>0</v>
      </c>
      <c r="F314" s="79">
        <f>BPU!E314</f>
        <v>0</v>
      </c>
      <c r="G314" s="95">
        <f t="shared" si="7"/>
        <v>0</v>
      </c>
    </row>
    <row r="315" spans="1:7" ht="18.600000000000001" customHeight="1" x14ac:dyDescent="0.3">
      <c r="A315" s="150" t="s">
        <v>681</v>
      </c>
      <c r="B315" s="50" t="s">
        <v>193</v>
      </c>
      <c r="C315" s="51" t="s">
        <v>181</v>
      </c>
      <c r="D315" s="87" t="s">
        <v>292</v>
      </c>
      <c r="E315" s="126">
        <v>0</v>
      </c>
      <c r="F315" s="79">
        <f>BPU!E315</f>
        <v>0</v>
      </c>
      <c r="G315" s="95">
        <f t="shared" si="7"/>
        <v>0</v>
      </c>
    </row>
    <row r="316" spans="1:7" x14ac:dyDescent="0.3">
      <c r="A316" s="150" t="s">
        <v>682</v>
      </c>
      <c r="B316" s="50" t="s">
        <v>192</v>
      </c>
      <c r="C316" s="51" t="s">
        <v>181</v>
      </c>
      <c r="D316" s="87" t="s">
        <v>292</v>
      </c>
      <c r="E316" s="126">
        <v>0</v>
      </c>
      <c r="F316" s="79">
        <f>BPU!E316</f>
        <v>0</v>
      </c>
      <c r="G316" s="95">
        <f t="shared" si="7"/>
        <v>0</v>
      </c>
    </row>
    <row r="317" spans="1:7" ht="28.8" x14ac:dyDescent="0.3">
      <c r="A317" s="150" t="s">
        <v>683</v>
      </c>
      <c r="B317" s="50" t="s">
        <v>260</v>
      </c>
      <c r="C317" s="51" t="s">
        <v>181</v>
      </c>
      <c r="D317" s="87" t="s">
        <v>292</v>
      </c>
      <c r="E317" s="126">
        <v>0</v>
      </c>
      <c r="F317" s="79">
        <f>BPU!E317</f>
        <v>0</v>
      </c>
      <c r="G317" s="95">
        <f t="shared" si="7"/>
        <v>0</v>
      </c>
    </row>
    <row r="318" spans="1:7" ht="18.600000000000001" customHeight="1" x14ac:dyDescent="0.3">
      <c r="A318" s="52" t="s">
        <v>684</v>
      </c>
      <c r="B318" s="46" t="s">
        <v>177</v>
      </c>
      <c r="C318" s="52"/>
      <c r="D318" s="87"/>
      <c r="E318" s="126"/>
      <c r="F318" s="79">
        <f>BPU!E318</f>
        <v>0</v>
      </c>
      <c r="G318" s="95">
        <f t="shared" si="7"/>
        <v>0</v>
      </c>
    </row>
    <row r="319" spans="1:7" x14ac:dyDescent="0.3">
      <c r="A319" s="150" t="s">
        <v>685</v>
      </c>
      <c r="B319" s="50" t="s">
        <v>182</v>
      </c>
      <c r="C319" s="51" t="s">
        <v>181</v>
      </c>
      <c r="D319" s="87" t="s">
        <v>292</v>
      </c>
      <c r="E319" s="126">
        <v>164</v>
      </c>
      <c r="F319" s="79">
        <f>BPU!E319</f>
        <v>0</v>
      </c>
      <c r="G319" s="95">
        <f t="shared" si="7"/>
        <v>0</v>
      </c>
    </row>
    <row r="320" spans="1:7" x14ac:dyDescent="0.3">
      <c r="A320" s="150" t="s">
        <v>686</v>
      </c>
      <c r="B320" s="50" t="s">
        <v>403</v>
      </c>
      <c r="C320" s="51" t="s">
        <v>181</v>
      </c>
      <c r="D320" s="87" t="s">
        <v>292</v>
      </c>
      <c r="E320" s="126">
        <v>164</v>
      </c>
      <c r="F320" s="79">
        <f>BPU!E320</f>
        <v>0</v>
      </c>
      <c r="G320" s="95">
        <f t="shared" si="7"/>
        <v>0</v>
      </c>
    </row>
    <row r="321" spans="1:8" x14ac:dyDescent="0.3">
      <c r="A321" s="150" t="s">
        <v>687</v>
      </c>
      <c r="B321" s="50" t="s">
        <v>183</v>
      </c>
      <c r="C321" s="51" t="s">
        <v>181</v>
      </c>
      <c r="D321" s="87" t="s">
        <v>292</v>
      </c>
      <c r="E321" s="126">
        <f>21.35+22.39</f>
        <v>43.74</v>
      </c>
      <c r="F321" s="79">
        <f>BPU!E321</f>
        <v>0</v>
      </c>
      <c r="G321" s="95">
        <f t="shared" si="7"/>
        <v>0</v>
      </c>
    </row>
    <row r="322" spans="1:8" x14ac:dyDescent="0.3">
      <c r="A322" s="150" t="s">
        <v>688</v>
      </c>
      <c r="B322" s="50" t="s">
        <v>184</v>
      </c>
      <c r="C322" s="51" t="s">
        <v>181</v>
      </c>
      <c r="D322" s="87" t="s">
        <v>292</v>
      </c>
      <c r="E322" s="126">
        <f>1.8*2.1*8*1.25</f>
        <v>37.800000000000004</v>
      </c>
      <c r="F322" s="79">
        <f>BPU!E322</f>
        <v>0</v>
      </c>
      <c r="G322" s="95">
        <f t="shared" si="7"/>
        <v>0</v>
      </c>
    </row>
    <row r="323" spans="1:8" ht="15" thickBot="1" x14ac:dyDescent="0.35">
      <c r="A323" s="150" t="s">
        <v>689</v>
      </c>
      <c r="B323" s="50" t="s">
        <v>185</v>
      </c>
      <c r="C323" s="51" t="s">
        <v>181</v>
      </c>
      <c r="D323" s="87" t="s">
        <v>292</v>
      </c>
      <c r="E323" s="126">
        <v>0</v>
      </c>
      <c r="F323" s="79">
        <f>BPU!E323</f>
        <v>0</v>
      </c>
      <c r="G323" s="95">
        <f t="shared" si="7"/>
        <v>0</v>
      </c>
    </row>
    <row r="324" spans="1:8" ht="19.8" customHeight="1" thickBot="1" x14ac:dyDescent="0.35">
      <c r="A324" s="52"/>
      <c r="B324" s="96" t="s">
        <v>390</v>
      </c>
      <c r="C324" s="51"/>
      <c r="D324" s="87"/>
      <c r="E324" s="126"/>
      <c r="F324" s="79">
        <f>BPU!E324</f>
        <v>0</v>
      </c>
      <c r="G324" s="146">
        <f>SUM(G248:G323)</f>
        <v>0</v>
      </c>
    </row>
    <row r="325" spans="1:8" s="58" customFormat="1" ht="16.8" customHeight="1" x14ac:dyDescent="0.3">
      <c r="A325" s="70" t="s">
        <v>22</v>
      </c>
      <c r="B325" s="70" t="s">
        <v>44</v>
      </c>
      <c r="C325" s="52"/>
      <c r="D325" s="87"/>
      <c r="E325" s="126"/>
      <c r="F325" s="79">
        <f>BPU!E325</f>
        <v>0</v>
      </c>
      <c r="G325" s="95">
        <f t="shared" si="7"/>
        <v>0</v>
      </c>
      <c r="H325" s="136"/>
    </row>
    <row r="326" spans="1:8" ht="18.600000000000001" customHeight="1" x14ac:dyDescent="0.3">
      <c r="A326" s="52" t="s">
        <v>45</v>
      </c>
      <c r="B326" s="46" t="s">
        <v>161</v>
      </c>
      <c r="C326" s="52"/>
      <c r="D326" s="87"/>
      <c r="E326" s="126"/>
      <c r="F326" s="79">
        <f>BPU!E326</f>
        <v>0</v>
      </c>
      <c r="G326" s="95">
        <f t="shared" si="7"/>
        <v>0</v>
      </c>
    </row>
    <row r="327" spans="1:8" ht="28.8" customHeight="1" x14ac:dyDescent="0.3">
      <c r="A327" s="151" t="s">
        <v>690</v>
      </c>
      <c r="B327" s="153" t="s">
        <v>1308</v>
      </c>
      <c r="C327" s="51" t="s">
        <v>181</v>
      </c>
      <c r="D327" s="87" t="s">
        <v>292</v>
      </c>
      <c r="E327" s="126">
        <v>27.9</v>
      </c>
      <c r="F327" s="79">
        <f>BPU!E327</f>
        <v>0</v>
      </c>
      <c r="G327" s="95">
        <f t="shared" si="7"/>
        <v>0</v>
      </c>
    </row>
    <row r="328" spans="1:8" ht="18.600000000000001" customHeight="1" x14ac:dyDescent="0.3">
      <c r="A328" s="151" t="s">
        <v>691</v>
      </c>
      <c r="B328" s="154" t="s">
        <v>1287</v>
      </c>
      <c r="C328" s="51" t="s">
        <v>17</v>
      </c>
      <c r="D328" s="87" t="s">
        <v>292</v>
      </c>
      <c r="E328" s="126">
        <v>0</v>
      </c>
      <c r="F328" s="79">
        <f>BPU!E328</f>
        <v>0</v>
      </c>
      <c r="G328" s="95">
        <f t="shared" si="7"/>
        <v>0</v>
      </c>
    </row>
    <row r="329" spans="1:8" ht="18.600000000000001" customHeight="1" x14ac:dyDescent="0.3">
      <c r="A329" s="151" t="s">
        <v>692</v>
      </c>
      <c r="B329" s="52" t="s">
        <v>210</v>
      </c>
      <c r="C329" s="51" t="s">
        <v>197</v>
      </c>
      <c r="D329" s="87" t="s">
        <v>292</v>
      </c>
      <c r="E329" s="126">
        <v>0</v>
      </c>
      <c r="F329" s="79">
        <f>BPU!E329</f>
        <v>0</v>
      </c>
      <c r="G329" s="95">
        <f t="shared" si="7"/>
        <v>0</v>
      </c>
    </row>
    <row r="330" spans="1:8" ht="18.600000000000001" customHeight="1" x14ac:dyDescent="0.3">
      <c r="A330" s="151" t="s">
        <v>693</v>
      </c>
      <c r="B330" s="52" t="s">
        <v>209</v>
      </c>
      <c r="C330" s="51" t="s">
        <v>197</v>
      </c>
      <c r="D330" s="87" t="s">
        <v>292</v>
      </c>
      <c r="E330" s="126">
        <v>0</v>
      </c>
      <c r="F330" s="79">
        <f>BPU!E330</f>
        <v>0</v>
      </c>
      <c r="G330" s="95">
        <f t="shared" si="7"/>
        <v>0</v>
      </c>
    </row>
    <row r="331" spans="1:8" ht="18.600000000000001" customHeight="1" x14ac:dyDescent="0.3">
      <c r="A331" s="151" t="s">
        <v>694</v>
      </c>
      <c r="B331" s="154" t="s">
        <v>1288</v>
      </c>
      <c r="C331" s="51" t="s">
        <v>181</v>
      </c>
      <c r="D331" s="87" t="s">
        <v>292</v>
      </c>
      <c r="E331" s="126">
        <f>27.9*1.25</f>
        <v>34.875</v>
      </c>
      <c r="F331" s="79">
        <f>BPU!E331</f>
        <v>0</v>
      </c>
      <c r="G331" s="95">
        <f t="shared" si="7"/>
        <v>0</v>
      </c>
    </row>
    <row r="332" spans="1:8" ht="18.600000000000001" customHeight="1" x14ac:dyDescent="0.3">
      <c r="A332" s="151" t="s">
        <v>695</v>
      </c>
      <c r="B332" s="52" t="s">
        <v>293</v>
      </c>
      <c r="C332" s="51" t="s">
        <v>181</v>
      </c>
      <c r="D332" s="87" t="s">
        <v>292</v>
      </c>
      <c r="E332" s="126">
        <v>0</v>
      </c>
      <c r="F332" s="79">
        <f>BPU!E332</f>
        <v>0</v>
      </c>
      <c r="G332" s="95">
        <f t="shared" si="7"/>
        <v>0</v>
      </c>
    </row>
    <row r="333" spans="1:8" ht="28.2" customHeight="1" x14ac:dyDescent="0.3">
      <c r="A333" s="151" t="s">
        <v>696</v>
      </c>
      <c r="B333" s="61" t="s">
        <v>198</v>
      </c>
      <c r="C333" s="51" t="s">
        <v>79</v>
      </c>
      <c r="D333" s="87" t="s">
        <v>158</v>
      </c>
      <c r="E333" s="126">
        <v>0</v>
      </c>
      <c r="F333" s="79">
        <f>BPU!E333</f>
        <v>0</v>
      </c>
      <c r="G333" s="95">
        <f t="shared" si="7"/>
        <v>0</v>
      </c>
    </row>
    <row r="334" spans="1:8" ht="18.600000000000001" customHeight="1" x14ac:dyDescent="0.3">
      <c r="A334" s="52" t="s">
        <v>139</v>
      </c>
      <c r="B334" s="46" t="s">
        <v>208</v>
      </c>
      <c r="C334" s="51"/>
      <c r="D334" s="87"/>
      <c r="E334" s="126"/>
      <c r="F334" s="79">
        <f>BPU!E334</f>
        <v>0</v>
      </c>
      <c r="G334" s="95">
        <f t="shared" si="7"/>
        <v>0</v>
      </c>
    </row>
    <row r="335" spans="1:8" x14ac:dyDescent="0.3">
      <c r="A335" s="150" t="s">
        <v>697</v>
      </c>
      <c r="B335" s="52" t="s">
        <v>211</v>
      </c>
      <c r="C335" s="51" t="s">
        <v>230</v>
      </c>
      <c r="D335" s="87" t="s">
        <v>292</v>
      </c>
      <c r="E335" s="126">
        <v>0</v>
      </c>
      <c r="F335" s="79">
        <f>BPU!E335</f>
        <v>0</v>
      </c>
      <c r="G335" s="95">
        <f t="shared" si="7"/>
        <v>0</v>
      </c>
    </row>
    <row r="336" spans="1:8" x14ac:dyDescent="0.3">
      <c r="A336" s="150" t="s">
        <v>698</v>
      </c>
      <c r="B336" s="52" t="s">
        <v>212</v>
      </c>
      <c r="C336" s="51" t="s">
        <v>230</v>
      </c>
      <c r="D336" s="87" t="s">
        <v>292</v>
      </c>
      <c r="E336" s="126">
        <v>0</v>
      </c>
      <c r="F336" s="79">
        <f>BPU!E336</f>
        <v>0</v>
      </c>
      <c r="G336" s="95">
        <f t="shared" si="7"/>
        <v>0</v>
      </c>
    </row>
    <row r="337" spans="1:8" ht="18.600000000000001" customHeight="1" x14ac:dyDescent="0.3">
      <c r="A337" s="52" t="s">
        <v>699</v>
      </c>
      <c r="B337" s="46" t="s">
        <v>168</v>
      </c>
      <c r="C337" s="52"/>
      <c r="D337" s="87"/>
      <c r="E337" s="126"/>
      <c r="F337" s="79">
        <f>BPU!E337</f>
        <v>0</v>
      </c>
      <c r="G337" s="95">
        <f t="shared" si="7"/>
        <v>0</v>
      </c>
    </row>
    <row r="338" spans="1:8" s="65" customFormat="1" x14ac:dyDescent="0.3">
      <c r="A338" s="150" t="s">
        <v>700</v>
      </c>
      <c r="B338" s="50" t="s">
        <v>213</v>
      </c>
      <c r="C338" s="51" t="s">
        <v>230</v>
      </c>
      <c r="D338" s="88" t="s">
        <v>292</v>
      </c>
      <c r="E338" s="130">
        <v>0</v>
      </c>
      <c r="F338" s="79">
        <f>BPU!E338</f>
        <v>0</v>
      </c>
      <c r="G338" s="95">
        <f t="shared" si="7"/>
        <v>0</v>
      </c>
      <c r="H338" s="66"/>
    </row>
    <row r="339" spans="1:8" s="65" customFormat="1" x14ac:dyDescent="0.3">
      <c r="A339" s="150" t="s">
        <v>701</v>
      </c>
      <c r="B339" s="50" t="s">
        <v>187</v>
      </c>
      <c r="C339" s="51" t="s">
        <v>230</v>
      </c>
      <c r="D339" s="88" t="s">
        <v>292</v>
      </c>
      <c r="E339" s="130">
        <v>0</v>
      </c>
      <c r="F339" s="79">
        <f>BPU!E339</f>
        <v>0</v>
      </c>
      <c r="G339" s="95">
        <f t="shared" si="7"/>
        <v>0</v>
      </c>
      <c r="H339" s="66"/>
    </row>
    <row r="340" spans="1:8" s="65" customFormat="1" x14ac:dyDescent="0.3">
      <c r="A340" s="150" t="s">
        <v>702</v>
      </c>
      <c r="B340" s="50" t="s">
        <v>214</v>
      </c>
      <c r="C340" s="51" t="s">
        <v>230</v>
      </c>
      <c r="D340" s="88" t="s">
        <v>292</v>
      </c>
      <c r="E340" s="130">
        <v>0</v>
      </c>
      <c r="F340" s="79">
        <f>BPU!E340</f>
        <v>0</v>
      </c>
      <c r="G340" s="95">
        <f t="shared" si="7"/>
        <v>0</v>
      </c>
      <c r="H340" s="66"/>
    </row>
    <row r="341" spans="1:8" s="65" customFormat="1" ht="33" customHeight="1" x14ac:dyDescent="0.3">
      <c r="A341" s="150" t="s">
        <v>703</v>
      </c>
      <c r="B341" s="50" t="s">
        <v>215</v>
      </c>
      <c r="C341" s="51" t="s">
        <v>230</v>
      </c>
      <c r="D341" s="88" t="s">
        <v>292</v>
      </c>
      <c r="E341" s="130">
        <f>+(27.9+12.73)*0.1</f>
        <v>4.0629999999999997</v>
      </c>
      <c r="F341" s="79">
        <f>BPU!E341</f>
        <v>0</v>
      </c>
      <c r="G341" s="95">
        <f t="shared" si="7"/>
        <v>0</v>
      </c>
      <c r="H341" s="66"/>
    </row>
    <row r="342" spans="1:8" ht="18.600000000000001" customHeight="1" x14ac:dyDescent="0.3">
      <c r="A342" s="52" t="s">
        <v>704</v>
      </c>
      <c r="B342" s="46" t="s">
        <v>169</v>
      </c>
      <c r="C342" s="52"/>
      <c r="D342" s="87"/>
      <c r="E342" s="126"/>
      <c r="F342" s="79">
        <f>BPU!E342</f>
        <v>0</v>
      </c>
      <c r="G342" s="95">
        <f t="shared" si="7"/>
        <v>0</v>
      </c>
    </row>
    <row r="343" spans="1:8" ht="18.600000000000001" customHeight="1" x14ac:dyDescent="0.3">
      <c r="A343" s="150" t="s">
        <v>705</v>
      </c>
      <c r="B343" s="50" t="s">
        <v>216</v>
      </c>
      <c r="C343" s="51" t="s">
        <v>230</v>
      </c>
      <c r="D343" s="87" t="s">
        <v>292</v>
      </c>
      <c r="E343" s="126">
        <v>0</v>
      </c>
      <c r="F343" s="79">
        <f>BPU!E343</f>
        <v>0</v>
      </c>
      <c r="G343" s="95">
        <f t="shared" si="7"/>
        <v>0</v>
      </c>
    </row>
    <row r="344" spans="1:8" ht="18.600000000000001" customHeight="1" x14ac:dyDescent="0.3">
      <c r="A344" s="150" t="s">
        <v>706</v>
      </c>
      <c r="B344" s="50" t="s">
        <v>217</v>
      </c>
      <c r="C344" s="51" t="s">
        <v>230</v>
      </c>
      <c r="D344" s="87" t="s">
        <v>292</v>
      </c>
      <c r="E344" s="126">
        <v>0</v>
      </c>
      <c r="F344" s="79">
        <f>BPU!E344</f>
        <v>0</v>
      </c>
      <c r="G344" s="95">
        <f t="shared" si="7"/>
        <v>0</v>
      </c>
    </row>
    <row r="345" spans="1:8" ht="18.600000000000001" customHeight="1" x14ac:dyDescent="0.3">
      <c r="A345" s="150" t="s">
        <v>707</v>
      </c>
      <c r="B345" s="50" t="s">
        <v>218</v>
      </c>
      <c r="C345" s="51" t="s">
        <v>230</v>
      </c>
      <c r="D345" s="87" t="s">
        <v>292</v>
      </c>
      <c r="E345" s="126">
        <v>0</v>
      </c>
      <c r="F345" s="79">
        <f>BPU!E345</f>
        <v>0</v>
      </c>
      <c r="G345" s="95">
        <f t="shared" si="7"/>
        <v>0</v>
      </c>
    </row>
    <row r="346" spans="1:8" ht="18.600000000000001" customHeight="1" x14ac:dyDescent="0.3">
      <c r="A346" s="150" t="s">
        <v>708</v>
      </c>
      <c r="B346" s="50" t="s">
        <v>219</v>
      </c>
      <c r="C346" s="51" t="s">
        <v>230</v>
      </c>
      <c r="D346" s="87" t="s">
        <v>292</v>
      </c>
      <c r="E346" s="126">
        <v>0</v>
      </c>
      <c r="F346" s="79">
        <f>BPU!E346</f>
        <v>0</v>
      </c>
      <c r="G346" s="95">
        <f t="shared" si="7"/>
        <v>0</v>
      </c>
    </row>
    <row r="347" spans="1:8" ht="18.600000000000001" customHeight="1" x14ac:dyDescent="0.3">
      <c r="A347" s="150" t="s">
        <v>709</v>
      </c>
      <c r="B347" s="50" t="s">
        <v>220</v>
      </c>
      <c r="C347" s="51" t="s">
        <v>230</v>
      </c>
      <c r="D347" s="87" t="s">
        <v>292</v>
      </c>
      <c r="E347" s="126">
        <v>0</v>
      </c>
      <c r="F347" s="79">
        <f>BPU!E347</f>
        <v>0</v>
      </c>
      <c r="G347" s="95">
        <f t="shared" si="7"/>
        <v>0</v>
      </c>
    </row>
    <row r="348" spans="1:8" ht="18.600000000000001" customHeight="1" x14ac:dyDescent="0.3">
      <c r="A348" s="150" t="s">
        <v>710</v>
      </c>
      <c r="B348" s="50" t="s">
        <v>221</v>
      </c>
      <c r="C348" s="51" t="s">
        <v>230</v>
      </c>
      <c r="D348" s="87" t="s">
        <v>292</v>
      </c>
      <c r="E348" s="126">
        <v>0</v>
      </c>
      <c r="F348" s="79">
        <f>BPU!E348</f>
        <v>0</v>
      </c>
      <c r="G348" s="95">
        <f t="shared" si="7"/>
        <v>0</v>
      </c>
    </row>
    <row r="349" spans="1:8" ht="18.600000000000001" customHeight="1" x14ac:dyDescent="0.3">
      <c r="A349" s="150" t="s">
        <v>711</v>
      </c>
      <c r="B349" s="50" t="s">
        <v>222</v>
      </c>
      <c r="C349" s="51" t="s">
        <v>230</v>
      </c>
      <c r="D349" s="87" t="s">
        <v>292</v>
      </c>
      <c r="E349" s="126">
        <v>0</v>
      </c>
      <c r="F349" s="79">
        <f>BPU!E349</f>
        <v>0</v>
      </c>
      <c r="G349" s="95">
        <f t="shared" si="7"/>
        <v>0</v>
      </c>
    </row>
    <row r="350" spans="1:8" ht="18.600000000000001" customHeight="1" x14ac:dyDescent="0.3">
      <c r="A350" s="52" t="s">
        <v>712</v>
      </c>
      <c r="B350" s="46" t="s">
        <v>170</v>
      </c>
      <c r="C350" s="52"/>
      <c r="D350" s="87"/>
      <c r="E350" s="126"/>
      <c r="F350" s="79">
        <f>BPU!E350</f>
        <v>0</v>
      </c>
      <c r="G350" s="95">
        <f t="shared" si="7"/>
        <v>0</v>
      </c>
    </row>
    <row r="351" spans="1:8" ht="18.600000000000001" customHeight="1" x14ac:dyDescent="0.3">
      <c r="A351" s="150" t="s">
        <v>713</v>
      </c>
      <c r="B351" s="50" t="s">
        <v>223</v>
      </c>
      <c r="C351" s="51" t="s">
        <v>230</v>
      </c>
      <c r="D351" s="87" t="s">
        <v>292</v>
      </c>
      <c r="E351" s="126">
        <v>0</v>
      </c>
      <c r="F351" s="79">
        <f>BPU!E351</f>
        <v>0</v>
      </c>
      <c r="G351" s="95">
        <f t="shared" si="7"/>
        <v>0</v>
      </c>
    </row>
    <row r="352" spans="1:8" ht="18.600000000000001" customHeight="1" x14ac:dyDescent="0.3">
      <c r="A352" s="150" t="s">
        <v>714</v>
      </c>
      <c r="B352" s="50" t="s">
        <v>224</v>
      </c>
      <c r="C352" s="51" t="s">
        <v>230</v>
      </c>
      <c r="D352" s="87" t="s">
        <v>292</v>
      </c>
      <c r="E352" s="126">
        <v>0</v>
      </c>
      <c r="F352" s="79">
        <f>BPU!E352</f>
        <v>0</v>
      </c>
      <c r="G352" s="95">
        <f t="shared" si="7"/>
        <v>0</v>
      </c>
    </row>
    <row r="353" spans="1:7" ht="18.600000000000001" customHeight="1" x14ac:dyDescent="0.3">
      <c r="A353" s="150" t="s">
        <v>715</v>
      </c>
      <c r="B353" s="50" t="s">
        <v>178</v>
      </c>
      <c r="C353" s="51" t="s">
        <v>230</v>
      </c>
      <c r="D353" s="87" t="s">
        <v>292</v>
      </c>
      <c r="E353" s="126">
        <v>0</v>
      </c>
      <c r="F353" s="79">
        <f>BPU!E353</f>
        <v>0</v>
      </c>
      <c r="G353" s="95">
        <f t="shared" si="7"/>
        <v>0</v>
      </c>
    </row>
    <row r="354" spans="1:7" ht="18.600000000000001" customHeight="1" x14ac:dyDescent="0.3">
      <c r="A354" s="52" t="s">
        <v>716</v>
      </c>
      <c r="B354" s="46" t="s">
        <v>171</v>
      </c>
      <c r="C354" s="52"/>
      <c r="D354" s="87"/>
      <c r="E354" s="126"/>
      <c r="F354" s="79">
        <f>BPU!E354</f>
        <v>0</v>
      </c>
      <c r="G354" s="95">
        <f t="shared" si="7"/>
        <v>0</v>
      </c>
    </row>
    <row r="355" spans="1:7" ht="24.6" customHeight="1" x14ac:dyDescent="0.3">
      <c r="A355" s="150" t="s">
        <v>717</v>
      </c>
      <c r="B355" s="50" t="s">
        <v>229</v>
      </c>
      <c r="C355" s="51" t="s">
        <v>181</v>
      </c>
      <c r="D355" s="87" t="s">
        <v>292</v>
      </c>
      <c r="E355" s="126">
        <v>0</v>
      </c>
      <c r="F355" s="79">
        <f>BPU!E355</f>
        <v>0</v>
      </c>
      <c r="G355" s="95">
        <f t="shared" si="7"/>
        <v>0</v>
      </c>
    </row>
    <row r="356" spans="1:7" ht="18.600000000000001" customHeight="1" x14ac:dyDescent="0.3">
      <c r="A356" s="150" t="s">
        <v>718</v>
      </c>
      <c r="B356" s="50" t="s">
        <v>366</v>
      </c>
      <c r="C356" s="51" t="s">
        <v>181</v>
      </c>
      <c r="D356" s="87" t="s">
        <v>292</v>
      </c>
      <c r="E356" s="126"/>
      <c r="F356" s="79">
        <f>BPU!E356</f>
        <v>0</v>
      </c>
      <c r="G356" s="95">
        <f t="shared" ref="G356" si="8">E356*F356</f>
        <v>0</v>
      </c>
    </row>
    <row r="357" spans="1:7" ht="18.600000000000001" customHeight="1" x14ac:dyDescent="0.3">
      <c r="A357" s="150" t="s">
        <v>719</v>
      </c>
      <c r="B357" s="50" t="s">
        <v>225</v>
      </c>
      <c r="C357" s="51" t="s">
        <v>181</v>
      </c>
      <c r="D357" s="87" t="s">
        <v>292</v>
      </c>
      <c r="E357" s="126">
        <v>0</v>
      </c>
      <c r="F357" s="79">
        <f>BPU!E357</f>
        <v>0</v>
      </c>
      <c r="G357" s="95">
        <f t="shared" si="7"/>
        <v>0</v>
      </c>
    </row>
    <row r="358" spans="1:7" ht="18.600000000000001" customHeight="1" x14ac:dyDescent="0.3">
      <c r="A358" s="150" t="s">
        <v>720</v>
      </c>
      <c r="B358" s="50" t="s">
        <v>226</v>
      </c>
      <c r="C358" s="51" t="s">
        <v>181</v>
      </c>
      <c r="D358" s="87" t="s">
        <v>292</v>
      </c>
      <c r="E358" s="126">
        <v>0</v>
      </c>
      <c r="F358" s="79">
        <f>BPU!E358</f>
        <v>0</v>
      </c>
      <c r="G358" s="95">
        <f t="shared" si="7"/>
        <v>0</v>
      </c>
    </row>
    <row r="359" spans="1:7" ht="18.600000000000001" customHeight="1" x14ac:dyDescent="0.3">
      <c r="A359" s="150" t="s">
        <v>721</v>
      </c>
      <c r="B359" s="50" t="s">
        <v>227</v>
      </c>
      <c r="C359" s="51" t="s">
        <v>181</v>
      </c>
      <c r="D359" s="87" t="s">
        <v>292</v>
      </c>
      <c r="E359" s="126">
        <v>0</v>
      </c>
      <c r="F359" s="79">
        <f>BPU!E359</f>
        <v>0</v>
      </c>
      <c r="G359" s="95">
        <f t="shared" si="7"/>
        <v>0</v>
      </c>
    </row>
    <row r="360" spans="1:7" ht="18.600000000000001" customHeight="1" x14ac:dyDescent="0.3">
      <c r="A360" s="150" t="s">
        <v>722</v>
      </c>
      <c r="B360" s="50" t="s">
        <v>228</v>
      </c>
      <c r="C360" s="51" t="s">
        <v>181</v>
      </c>
      <c r="D360" s="87" t="s">
        <v>292</v>
      </c>
      <c r="E360" s="126">
        <v>0</v>
      </c>
      <c r="F360" s="79">
        <f>BPU!E360</f>
        <v>0</v>
      </c>
      <c r="G360" s="95">
        <f t="shared" si="7"/>
        <v>0</v>
      </c>
    </row>
    <row r="361" spans="1:7" ht="18.600000000000001" customHeight="1" x14ac:dyDescent="0.3">
      <c r="A361" s="52" t="s">
        <v>723</v>
      </c>
      <c r="B361" s="46" t="s">
        <v>172</v>
      </c>
      <c r="C361" s="52"/>
      <c r="D361" s="87"/>
      <c r="E361" s="126"/>
      <c r="F361" s="79">
        <f>BPU!E361</f>
        <v>0</v>
      </c>
      <c r="G361" s="95">
        <f t="shared" si="7"/>
        <v>0</v>
      </c>
    </row>
    <row r="362" spans="1:7" ht="18.600000000000001" customHeight="1" x14ac:dyDescent="0.3">
      <c r="A362" s="150" t="s">
        <v>724</v>
      </c>
      <c r="B362" s="50" t="s">
        <v>231</v>
      </c>
      <c r="C362" s="51" t="s">
        <v>181</v>
      </c>
      <c r="D362" s="87" t="s">
        <v>292</v>
      </c>
      <c r="E362" s="126">
        <v>0</v>
      </c>
      <c r="F362" s="79">
        <f>BPU!E362</f>
        <v>0</v>
      </c>
      <c r="G362" s="95">
        <f t="shared" si="7"/>
        <v>0</v>
      </c>
    </row>
    <row r="363" spans="1:7" ht="18.600000000000001" customHeight="1" x14ac:dyDescent="0.3">
      <c r="A363" s="150" t="s">
        <v>725</v>
      </c>
      <c r="B363" s="50" t="s">
        <v>232</v>
      </c>
      <c r="C363" s="51" t="s">
        <v>181</v>
      </c>
      <c r="D363" s="87" t="s">
        <v>292</v>
      </c>
      <c r="E363" s="126">
        <v>0</v>
      </c>
      <c r="F363" s="79">
        <f>BPU!E363</f>
        <v>0</v>
      </c>
      <c r="G363" s="95">
        <f t="shared" si="7"/>
        <v>0</v>
      </c>
    </row>
    <row r="364" spans="1:7" ht="28.2" customHeight="1" x14ac:dyDescent="0.3">
      <c r="A364" s="150" t="s">
        <v>726</v>
      </c>
      <c r="B364" s="50" t="s">
        <v>233</v>
      </c>
      <c r="C364" s="51" t="s">
        <v>181</v>
      </c>
      <c r="D364" s="87" t="s">
        <v>292</v>
      </c>
      <c r="E364" s="126">
        <f>+(27.9+12.73)</f>
        <v>40.629999999999995</v>
      </c>
      <c r="F364" s="79">
        <f>BPU!E364</f>
        <v>0</v>
      </c>
      <c r="G364" s="95">
        <f t="shared" si="7"/>
        <v>0</v>
      </c>
    </row>
    <row r="365" spans="1:7" ht="18.600000000000001" customHeight="1" x14ac:dyDescent="0.3">
      <c r="A365" s="150" t="s">
        <v>727</v>
      </c>
      <c r="B365" s="50" t="s">
        <v>234</v>
      </c>
      <c r="C365" s="51" t="s">
        <v>181</v>
      </c>
      <c r="D365" s="87" t="s">
        <v>292</v>
      </c>
      <c r="E365" s="126">
        <v>0</v>
      </c>
      <c r="F365" s="79">
        <f>BPU!E365</f>
        <v>0</v>
      </c>
      <c r="G365" s="95">
        <f t="shared" si="7"/>
        <v>0</v>
      </c>
    </row>
    <row r="366" spans="1:7" ht="18.600000000000001" customHeight="1" x14ac:dyDescent="0.3">
      <c r="A366" s="52" t="s">
        <v>728</v>
      </c>
      <c r="B366" s="46" t="s">
        <v>173</v>
      </c>
      <c r="C366" s="52"/>
      <c r="D366" s="87"/>
      <c r="E366" s="126"/>
      <c r="F366" s="79">
        <f>BPU!E366</f>
        <v>0</v>
      </c>
      <c r="G366" s="95">
        <f t="shared" si="7"/>
        <v>0</v>
      </c>
    </row>
    <row r="367" spans="1:7" ht="18.600000000000001" customHeight="1" x14ac:dyDescent="0.3">
      <c r="A367" s="150" t="s">
        <v>729</v>
      </c>
      <c r="B367" s="50" t="s">
        <v>259</v>
      </c>
      <c r="C367" s="51" t="s">
        <v>181</v>
      </c>
      <c r="D367" s="87" t="s">
        <v>292</v>
      </c>
      <c r="E367" s="126">
        <v>0</v>
      </c>
      <c r="F367" s="79">
        <f>BPU!E367</f>
        <v>0</v>
      </c>
      <c r="G367" s="95">
        <f t="shared" si="7"/>
        <v>0</v>
      </c>
    </row>
    <row r="368" spans="1:7" ht="18.600000000000001" customHeight="1" x14ac:dyDescent="0.3">
      <c r="A368" s="150" t="s">
        <v>730</v>
      </c>
      <c r="B368" s="50" t="s">
        <v>235</v>
      </c>
      <c r="C368" s="51" t="s">
        <v>181</v>
      </c>
      <c r="D368" s="87" t="s">
        <v>292</v>
      </c>
      <c r="E368" s="126">
        <v>0</v>
      </c>
      <c r="F368" s="79">
        <f>BPU!E368</f>
        <v>0</v>
      </c>
      <c r="G368" s="95">
        <f t="shared" si="7"/>
        <v>0</v>
      </c>
    </row>
    <row r="369" spans="1:7" ht="18.600000000000001" customHeight="1" x14ac:dyDescent="0.3">
      <c r="A369" s="150" t="s">
        <v>731</v>
      </c>
      <c r="B369" s="50" t="s">
        <v>236</v>
      </c>
      <c r="C369" s="51" t="s">
        <v>181</v>
      </c>
      <c r="D369" s="87" t="s">
        <v>292</v>
      </c>
      <c r="E369" s="126">
        <v>0</v>
      </c>
      <c r="F369" s="79">
        <f>BPU!E369</f>
        <v>0</v>
      </c>
      <c r="G369" s="95">
        <f t="shared" si="7"/>
        <v>0</v>
      </c>
    </row>
    <row r="370" spans="1:7" ht="18.600000000000001" customHeight="1" x14ac:dyDescent="0.3">
      <c r="A370" s="150" t="s">
        <v>732</v>
      </c>
      <c r="B370" s="50" t="s">
        <v>237</v>
      </c>
      <c r="C370" s="51" t="s">
        <v>181</v>
      </c>
      <c r="D370" s="87" t="s">
        <v>292</v>
      </c>
      <c r="E370" s="126">
        <v>0</v>
      </c>
      <c r="F370" s="79">
        <f>BPU!E370</f>
        <v>0</v>
      </c>
      <c r="G370" s="95">
        <f t="shared" si="7"/>
        <v>0</v>
      </c>
    </row>
    <row r="371" spans="1:7" ht="18.600000000000001" customHeight="1" x14ac:dyDescent="0.3">
      <c r="A371" s="150" t="s">
        <v>733</v>
      </c>
      <c r="B371" s="50" t="s">
        <v>238</v>
      </c>
      <c r="C371" s="51" t="s">
        <v>181</v>
      </c>
      <c r="D371" s="87" t="s">
        <v>292</v>
      </c>
      <c r="E371" s="126">
        <v>0</v>
      </c>
      <c r="F371" s="79">
        <f>BPU!E371</f>
        <v>0</v>
      </c>
      <c r="G371" s="95">
        <f t="shared" si="7"/>
        <v>0</v>
      </c>
    </row>
    <row r="372" spans="1:7" ht="18.600000000000001" customHeight="1" x14ac:dyDescent="0.3">
      <c r="A372" s="150" t="s">
        <v>734</v>
      </c>
      <c r="B372" s="50" t="s">
        <v>179</v>
      </c>
      <c r="C372" s="51" t="s">
        <v>181</v>
      </c>
      <c r="D372" s="87" t="s">
        <v>292</v>
      </c>
      <c r="E372" s="126">
        <v>0</v>
      </c>
      <c r="F372" s="79">
        <f>BPU!E372</f>
        <v>0</v>
      </c>
      <c r="G372" s="95">
        <f t="shared" si="7"/>
        <v>0</v>
      </c>
    </row>
    <row r="373" spans="1:7" ht="18.600000000000001" customHeight="1" x14ac:dyDescent="0.3">
      <c r="A373" s="150" t="s">
        <v>735</v>
      </c>
      <c r="B373" s="50" t="s">
        <v>239</v>
      </c>
      <c r="C373" s="51" t="s">
        <v>181</v>
      </c>
      <c r="D373" s="87" t="s">
        <v>292</v>
      </c>
      <c r="E373" s="126">
        <v>0</v>
      </c>
      <c r="F373" s="79">
        <f>BPU!E373</f>
        <v>0</v>
      </c>
      <c r="G373" s="95">
        <f t="shared" si="7"/>
        <v>0</v>
      </c>
    </row>
    <row r="374" spans="1:7" ht="18.600000000000001" customHeight="1" x14ac:dyDescent="0.3">
      <c r="A374" s="52" t="s">
        <v>736</v>
      </c>
      <c r="B374" s="46" t="s">
        <v>174</v>
      </c>
      <c r="C374" s="52"/>
      <c r="D374" s="87"/>
      <c r="E374" s="126"/>
      <c r="F374" s="79">
        <f>BPU!E374</f>
        <v>0</v>
      </c>
      <c r="G374" s="95">
        <f t="shared" si="7"/>
        <v>0</v>
      </c>
    </row>
    <row r="375" spans="1:7" ht="18.600000000000001" customHeight="1" x14ac:dyDescent="0.3">
      <c r="A375" s="150" t="s">
        <v>737</v>
      </c>
      <c r="B375" s="50" t="s">
        <v>367</v>
      </c>
      <c r="C375" s="51" t="s">
        <v>181</v>
      </c>
      <c r="D375" s="87" t="s">
        <v>292</v>
      </c>
      <c r="E375" s="126">
        <v>95</v>
      </c>
      <c r="F375" s="79">
        <f>BPU!E375</f>
        <v>0</v>
      </c>
      <c r="G375" s="95"/>
    </row>
    <row r="376" spans="1:7" ht="18.600000000000001" customHeight="1" x14ac:dyDescent="0.3">
      <c r="A376" s="150" t="s">
        <v>738</v>
      </c>
      <c r="B376" s="50" t="s">
        <v>240</v>
      </c>
      <c r="C376" s="51" t="s">
        <v>181</v>
      </c>
      <c r="D376" s="87" t="s">
        <v>292</v>
      </c>
      <c r="E376" s="126">
        <v>0</v>
      </c>
      <c r="F376" s="79">
        <f>BPU!E376</f>
        <v>0</v>
      </c>
      <c r="G376" s="95">
        <f t="shared" ref="G376:G436" si="9">E376*F376</f>
        <v>0</v>
      </c>
    </row>
    <row r="377" spans="1:7" ht="18.600000000000001" customHeight="1" x14ac:dyDescent="0.3">
      <c r="A377" s="150" t="s">
        <v>739</v>
      </c>
      <c r="B377" s="50" t="s">
        <v>241</v>
      </c>
      <c r="C377" s="51" t="s">
        <v>181</v>
      </c>
      <c r="D377" s="87" t="s">
        <v>292</v>
      </c>
      <c r="E377" s="126">
        <v>0</v>
      </c>
      <c r="F377" s="79">
        <f>BPU!E377</f>
        <v>0</v>
      </c>
      <c r="G377" s="95">
        <f t="shared" si="9"/>
        <v>0</v>
      </c>
    </row>
    <row r="378" spans="1:7" ht="18.600000000000001" customHeight="1" x14ac:dyDescent="0.3">
      <c r="A378" s="150" t="s">
        <v>740</v>
      </c>
      <c r="B378" s="50" t="s">
        <v>242</v>
      </c>
      <c r="C378" s="51" t="s">
        <v>181</v>
      </c>
      <c r="D378" s="87" t="s">
        <v>292</v>
      </c>
      <c r="E378" s="126">
        <v>0</v>
      </c>
      <c r="F378" s="79">
        <f>BPU!E378</f>
        <v>0</v>
      </c>
      <c r="G378" s="95">
        <f t="shared" si="9"/>
        <v>0</v>
      </c>
    </row>
    <row r="379" spans="1:7" ht="18.600000000000001" customHeight="1" x14ac:dyDescent="0.3">
      <c r="A379" s="150" t="s">
        <v>741</v>
      </c>
      <c r="B379" s="50" t="s">
        <v>243</v>
      </c>
      <c r="C379" s="51" t="s">
        <v>181</v>
      </c>
      <c r="D379" s="87" t="s">
        <v>292</v>
      </c>
      <c r="E379" s="126">
        <v>0</v>
      </c>
      <c r="F379" s="79">
        <f>BPU!E379</f>
        <v>0</v>
      </c>
      <c r="G379" s="95">
        <f t="shared" si="9"/>
        <v>0</v>
      </c>
    </row>
    <row r="380" spans="1:7" ht="18.600000000000001" customHeight="1" x14ac:dyDescent="0.3">
      <c r="A380" s="150" t="s">
        <v>742</v>
      </c>
      <c r="B380" s="50" t="s">
        <v>244</v>
      </c>
      <c r="C380" s="51" t="s">
        <v>181</v>
      </c>
      <c r="D380" s="87" t="s">
        <v>292</v>
      </c>
      <c r="E380" s="126">
        <v>0</v>
      </c>
      <c r="F380" s="79">
        <f>BPU!E380</f>
        <v>0</v>
      </c>
      <c r="G380" s="95">
        <f t="shared" si="9"/>
        <v>0</v>
      </c>
    </row>
    <row r="381" spans="1:7" ht="18.600000000000001" customHeight="1" x14ac:dyDescent="0.3">
      <c r="A381" s="150" t="s">
        <v>743</v>
      </c>
      <c r="B381" s="50" t="s">
        <v>245</v>
      </c>
      <c r="C381" s="51" t="s">
        <v>181</v>
      </c>
      <c r="D381" s="87" t="s">
        <v>292</v>
      </c>
      <c r="E381" s="126">
        <v>0</v>
      </c>
      <c r="F381" s="79">
        <f>BPU!E381</f>
        <v>0</v>
      </c>
      <c r="G381" s="95">
        <f t="shared" si="9"/>
        <v>0</v>
      </c>
    </row>
    <row r="382" spans="1:7" ht="18.600000000000001" customHeight="1" x14ac:dyDescent="0.3">
      <c r="A382" s="150" t="s">
        <v>744</v>
      </c>
      <c r="B382" s="50" t="s">
        <v>246</v>
      </c>
      <c r="C382" s="51" t="s">
        <v>181</v>
      </c>
      <c r="D382" s="87" t="s">
        <v>292</v>
      </c>
      <c r="E382" s="126">
        <v>0</v>
      </c>
      <c r="F382" s="79">
        <f>BPU!E382</f>
        <v>0</v>
      </c>
      <c r="G382" s="95">
        <f t="shared" si="9"/>
        <v>0</v>
      </c>
    </row>
    <row r="383" spans="1:7" ht="18.600000000000001" customHeight="1" x14ac:dyDescent="0.3">
      <c r="A383" s="150" t="s">
        <v>745</v>
      </c>
      <c r="B383" s="50" t="s">
        <v>404</v>
      </c>
      <c r="C383" s="51" t="s">
        <v>181</v>
      </c>
      <c r="D383" s="87" t="s">
        <v>292</v>
      </c>
      <c r="E383" s="126">
        <v>65</v>
      </c>
      <c r="F383" s="79">
        <f>BPU!E383</f>
        <v>0</v>
      </c>
      <c r="G383" s="95"/>
    </row>
    <row r="384" spans="1:7" ht="18.600000000000001" customHeight="1" x14ac:dyDescent="0.3">
      <c r="A384" s="150" t="s">
        <v>746</v>
      </c>
      <c r="B384" s="50" t="s">
        <v>194</v>
      </c>
      <c r="C384" s="51" t="s">
        <v>181</v>
      </c>
      <c r="D384" s="87" t="s">
        <v>292</v>
      </c>
      <c r="E384" s="126"/>
      <c r="F384" s="79">
        <f>BPU!E384</f>
        <v>0</v>
      </c>
      <c r="G384" s="95">
        <f t="shared" si="9"/>
        <v>0</v>
      </c>
    </row>
    <row r="385" spans="1:7" ht="18.600000000000001" customHeight="1" x14ac:dyDescent="0.3">
      <c r="A385" s="52" t="s">
        <v>747</v>
      </c>
      <c r="B385" s="46" t="s">
        <v>175</v>
      </c>
      <c r="C385" s="52"/>
      <c r="D385" s="87"/>
      <c r="E385" s="126"/>
      <c r="F385" s="79">
        <f>BPU!E385</f>
        <v>0</v>
      </c>
      <c r="G385" s="95">
        <f t="shared" si="9"/>
        <v>0</v>
      </c>
    </row>
    <row r="386" spans="1:7" ht="18.600000000000001" customHeight="1" x14ac:dyDescent="0.3">
      <c r="A386" s="150" t="s">
        <v>748</v>
      </c>
      <c r="B386" s="50" t="s">
        <v>180</v>
      </c>
      <c r="C386" s="51" t="s">
        <v>181</v>
      </c>
      <c r="D386" s="87" t="s">
        <v>292</v>
      </c>
      <c r="E386" s="126">
        <v>0</v>
      </c>
      <c r="F386" s="79">
        <f>BPU!E386</f>
        <v>0</v>
      </c>
      <c r="G386" s="95">
        <f t="shared" si="9"/>
        <v>0</v>
      </c>
    </row>
    <row r="387" spans="1:7" ht="18.600000000000001" customHeight="1" x14ac:dyDescent="0.3">
      <c r="A387" s="52" t="s">
        <v>749</v>
      </c>
      <c r="B387" s="46" t="s">
        <v>176</v>
      </c>
      <c r="C387" s="52"/>
      <c r="D387" s="87"/>
      <c r="E387" s="126"/>
      <c r="F387" s="79">
        <f>BPU!E387</f>
        <v>0</v>
      </c>
      <c r="G387" s="95">
        <f t="shared" si="9"/>
        <v>0</v>
      </c>
    </row>
    <row r="388" spans="1:7" ht="18.600000000000001" customHeight="1" x14ac:dyDescent="0.3">
      <c r="A388" s="150" t="s">
        <v>750</v>
      </c>
      <c r="B388" s="50" t="s">
        <v>257</v>
      </c>
      <c r="C388" s="51" t="s">
        <v>181</v>
      </c>
      <c r="D388" s="87" t="s">
        <v>292</v>
      </c>
      <c r="E388" s="126">
        <v>0</v>
      </c>
      <c r="F388" s="79">
        <f>BPU!E388</f>
        <v>0</v>
      </c>
      <c r="G388" s="95">
        <f t="shared" si="9"/>
        <v>0</v>
      </c>
    </row>
    <row r="389" spans="1:7" ht="18.600000000000001" customHeight="1" x14ac:dyDescent="0.3">
      <c r="A389" s="150" t="s">
        <v>751</v>
      </c>
      <c r="B389" s="50" t="s">
        <v>253</v>
      </c>
      <c r="C389" s="51" t="s">
        <v>17</v>
      </c>
      <c r="D389" s="87" t="s">
        <v>292</v>
      </c>
      <c r="E389" s="126">
        <f>4.8*3</f>
        <v>14.399999999999999</v>
      </c>
      <c r="F389" s="79">
        <f>BPU!E389</f>
        <v>0</v>
      </c>
      <c r="G389" s="95">
        <f t="shared" si="9"/>
        <v>0</v>
      </c>
    </row>
    <row r="390" spans="1:7" ht="18.600000000000001" customHeight="1" x14ac:dyDescent="0.3">
      <c r="A390" s="150" t="s">
        <v>752</v>
      </c>
      <c r="B390" s="50" t="s">
        <v>252</v>
      </c>
      <c r="C390" s="51" t="s">
        <v>17</v>
      </c>
      <c r="D390" s="87" t="s">
        <v>292</v>
      </c>
      <c r="E390" s="126">
        <f>1.85*4</f>
        <v>7.4</v>
      </c>
      <c r="F390" s="79">
        <f>BPU!E390</f>
        <v>0</v>
      </c>
      <c r="G390" s="95">
        <f t="shared" si="9"/>
        <v>0</v>
      </c>
    </row>
    <row r="391" spans="1:7" ht="18.600000000000001" customHeight="1" x14ac:dyDescent="0.3">
      <c r="A391" s="150" t="s">
        <v>753</v>
      </c>
      <c r="B391" s="50" t="s">
        <v>254</v>
      </c>
      <c r="C391" s="51" t="s">
        <v>17</v>
      </c>
      <c r="D391" s="87" t="s">
        <v>292</v>
      </c>
      <c r="E391" s="126">
        <v>0</v>
      </c>
      <c r="F391" s="79">
        <f>BPU!E391</f>
        <v>0</v>
      </c>
      <c r="G391" s="95">
        <f t="shared" si="9"/>
        <v>0</v>
      </c>
    </row>
    <row r="392" spans="1:7" ht="18.600000000000001" customHeight="1" x14ac:dyDescent="0.3">
      <c r="A392" s="150" t="s">
        <v>754</v>
      </c>
      <c r="B392" s="50" t="s">
        <v>255</v>
      </c>
      <c r="C392" s="51" t="s">
        <v>17</v>
      </c>
      <c r="D392" s="87" t="s">
        <v>292</v>
      </c>
      <c r="E392" s="126">
        <f>39*1.25</f>
        <v>48.75</v>
      </c>
      <c r="F392" s="79">
        <f>BPU!E392</f>
        <v>0</v>
      </c>
      <c r="G392" s="95">
        <f t="shared" si="9"/>
        <v>0</v>
      </c>
    </row>
    <row r="393" spans="1:7" ht="28.8" customHeight="1" x14ac:dyDescent="0.3">
      <c r="A393" s="150" t="s">
        <v>755</v>
      </c>
      <c r="B393" s="50" t="s">
        <v>251</v>
      </c>
      <c r="C393" s="51" t="s">
        <v>17</v>
      </c>
      <c r="D393" s="87" t="s">
        <v>292</v>
      </c>
      <c r="E393" s="126">
        <v>8</v>
      </c>
      <c r="F393" s="79">
        <f>BPU!E393</f>
        <v>0</v>
      </c>
      <c r="G393" s="95">
        <f t="shared" si="9"/>
        <v>0</v>
      </c>
    </row>
    <row r="394" spans="1:7" x14ac:dyDescent="0.3">
      <c r="A394" s="150" t="s">
        <v>756</v>
      </c>
      <c r="B394" s="50" t="s">
        <v>256</v>
      </c>
      <c r="C394" s="51" t="s">
        <v>181</v>
      </c>
      <c r="D394" s="87" t="s">
        <v>292</v>
      </c>
      <c r="E394" s="126">
        <f>27.9+12.73</f>
        <v>40.629999999999995</v>
      </c>
      <c r="F394" s="79">
        <f>BPU!E394</f>
        <v>0</v>
      </c>
      <c r="G394" s="95">
        <f t="shared" si="9"/>
        <v>0</v>
      </c>
    </row>
    <row r="395" spans="1:7" x14ac:dyDescent="0.3">
      <c r="A395" s="150" t="s">
        <v>757</v>
      </c>
      <c r="B395" s="50" t="s">
        <v>258</v>
      </c>
      <c r="C395" s="51" t="s">
        <v>17</v>
      </c>
      <c r="D395" s="87" t="s">
        <v>292</v>
      </c>
      <c r="E395" s="126">
        <v>0</v>
      </c>
      <c r="F395" s="79">
        <f>BPU!E395</f>
        <v>0</v>
      </c>
      <c r="G395" s="95">
        <f t="shared" si="9"/>
        <v>0</v>
      </c>
    </row>
    <row r="396" spans="1:7" ht="18.600000000000001" customHeight="1" x14ac:dyDescent="0.3">
      <c r="A396" s="150" t="s">
        <v>758</v>
      </c>
      <c r="B396" s="50" t="s">
        <v>193</v>
      </c>
      <c r="C396" s="51" t="s">
        <v>181</v>
      </c>
      <c r="D396" s="87" t="s">
        <v>292</v>
      </c>
      <c r="E396" s="126">
        <v>0</v>
      </c>
      <c r="F396" s="79">
        <f>BPU!E396</f>
        <v>0</v>
      </c>
      <c r="G396" s="95">
        <f t="shared" si="9"/>
        <v>0</v>
      </c>
    </row>
    <row r="397" spans="1:7" x14ac:dyDescent="0.3">
      <c r="A397" s="150" t="s">
        <v>759</v>
      </c>
      <c r="B397" s="50" t="s">
        <v>192</v>
      </c>
      <c r="C397" s="51" t="s">
        <v>181</v>
      </c>
      <c r="D397" s="87" t="s">
        <v>292</v>
      </c>
      <c r="E397" s="126">
        <v>0</v>
      </c>
      <c r="F397" s="79">
        <f>BPU!E397</f>
        <v>0</v>
      </c>
      <c r="G397" s="95">
        <f t="shared" si="9"/>
        <v>0</v>
      </c>
    </row>
    <row r="398" spans="1:7" ht="28.8" x14ac:dyDescent="0.3">
      <c r="A398" s="150" t="s">
        <v>760</v>
      </c>
      <c r="B398" s="50" t="s">
        <v>260</v>
      </c>
      <c r="C398" s="51" t="s">
        <v>181</v>
      </c>
      <c r="D398" s="87" t="s">
        <v>292</v>
      </c>
      <c r="E398" s="126">
        <v>0</v>
      </c>
      <c r="F398" s="79">
        <f>BPU!E398</f>
        <v>0</v>
      </c>
      <c r="G398" s="95">
        <f t="shared" si="9"/>
        <v>0</v>
      </c>
    </row>
    <row r="399" spans="1:7" ht="18.600000000000001" customHeight="1" x14ac:dyDescent="0.3">
      <c r="A399" s="52" t="s">
        <v>761</v>
      </c>
      <c r="B399" s="46" t="s">
        <v>177</v>
      </c>
      <c r="C399" s="52"/>
      <c r="D399" s="87"/>
      <c r="E399" s="126"/>
      <c r="F399" s="79">
        <f>BPU!E399</f>
        <v>0</v>
      </c>
      <c r="G399" s="95">
        <f t="shared" si="9"/>
        <v>0</v>
      </c>
    </row>
    <row r="400" spans="1:7" ht="18.600000000000001" customHeight="1" x14ac:dyDescent="0.3">
      <c r="A400" s="150" t="s">
        <v>762</v>
      </c>
      <c r="B400" s="50" t="s">
        <v>182</v>
      </c>
      <c r="C400" s="51" t="s">
        <v>181</v>
      </c>
      <c r="D400" s="87" t="s">
        <v>292</v>
      </c>
      <c r="E400" s="126">
        <v>0</v>
      </c>
      <c r="F400" s="79">
        <f>BPU!E400</f>
        <v>0</v>
      </c>
      <c r="G400" s="95">
        <f t="shared" si="9"/>
        <v>0</v>
      </c>
    </row>
    <row r="401" spans="1:8" x14ac:dyDescent="0.3">
      <c r="A401" s="150" t="s">
        <v>763</v>
      </c>
      <c r="B401" s="50" t="s">
        <v>1273</v>
      </c>
      <c r="C401" s="51" t="s">
        <v>181</v>
      </c>
      <c r="D401" s="87" t="s">
        <v>292</v>
      </c>
      <c r="E401" s="126">
        <v>0</v>
      </c>
      <c r="F401" s="79">
        <f>BPU!E401</f>
        <v>0</v>
      </c>
      <c r="G401" s="95">
        <f t="shared" si="9"/>
        <v>0</v>
      </c>
    </row>
    <row r="402" spans="1:8" x14ac:dyDescent="0.3">
      <c r="A402" s="150" t="s">
        <v>764</v>
      </c>
      <c r="B402" s="50" t="s">
        <v>183</v>
      </c>
      <c r="C402" s="51" t="s">
        <v>181</v>
      </c>
      <c r="D402" s="87" t="s">
        <v>292</v>
      </c>
      <c r="E402" s="126">
        <v>0</v>
      </c>
      <c r="F402" s="79">
        <f>BPU!E402</f>
        <v>0</v>
      </c>
      <c r="G402" s="95">
        <f t="shared" si="9"/>
        <v>0</v>
      </c>
    </row>
    <row r="403" spans="1:8" ht="26.4" customHeight="1" x14ac:dyDescent="0.3">
      <c r="A403" s="150" t="s">
        <v>765</v>
      </c>
      <c r="B403" s="50" t="s">
        <v>184</v>
      </c>
      <c r="C403" s="51" t="s">
        <v>181</v>
      </c>
      <c r="D403" s="87" t="s">
        <v>292</v>
      </c>
      <c r="E403" s="126">
        <v>0</v>
      </c>
      <c r="F403" s="79">
        <f>BPU!E403</f>
        <v>0</v>
      </c>
      <c r="G403" s="95">
        <f t="shared" si="9"/>
        <v>0</v>
      </c>
    </row>
    <row r="404" spans="1:8" ht="26.4" customHeight="1" x14ac:dyDescent="0.3">
      <c r="A404" s="150" t="s">
        <v>766</v>
      </c>
      <c r="B404" s="50" t="s">
        <v>185</v>
      </c>
      <c r="C404" s="51" t="s">
        <v>181</v>
      </c>
      <c r="D404" s="87" t="s">
        <v>292</v>
      </c>
      <c r="E404" s="126">
        <v>0</v>
      </c>
      <c r="F404" s="79">
        <f>BPU!E404</f>
        <v>0</v>
      </c>
      <c r="G404" s="95">
        <f t="shared" si="9"/>
        <v>0</v>
      </c>
    </row>
    <row r="405" spans="1:8" ht="18" customHeight="1" x14ac:dyDescent="0.3">
      <c r="A405" s="52" t="s">
        <v>767</v>
      </c>
      <c r="B405" s="46" t="s">
        <v>331</v>
      </c>
      <c r="C405" s="52"/>
      <c r="D405" s="87"/>
      <c r="E405" s="126"/>
      <c r="F405" s="79">
        <f>BPU!E405</f>
        <v>0</v>
      </c>
      <c r="G405" s="95">
        <f t="shared" si="9"/>
        <v>0</v>
      </c>
    </row>
    <row r="406" spans="1:8" ht="18" customHeight="1" x14ac:dyDescent="0.3">
      <c r="A406" s="150" t="s">
        <v>768</v>
      </c>
      <c r="B406" s="50" t="s">
        <v>338</v>
      </c>
      <c r="C406" s="51" t="s">
        <v>181</v>
      </c>
      <c r="D406" s="87" t="s">
        <v>292</v>
      </c>
      <c r="E406" s="126">
        <v>19.2</v>
      </c>
      <c r="F406" s="79">
        <f>BPU!E406</f>
        <v>0</v>
      </c>
      <c r="G406" s="95">
        <f t="shared" si="9"/>
        <v>0</v>
      </c>
    </row>
    <row r="407" spans="1:8" ht="18" customHeight="1" x14ac:dyDescent="0.3">
      <c r="A407" s="150" t="s">
        <v>769</v>
      </c>
      <c r="B407" s="50" t="s">
        <v>327</v>
      </c>
      <c r="C407" s="51" t="s">
        <v>181</v>
      </c>
      <c r="D407" s="87" t="s">
        <v>292</v>
      </c>
      <c r="E407" s="126">
        <f>20.8*3.2</f>
        <v>66.56</v>
      </c>
      <c r="F407" s="79">
        <f>BPU!E407</f>
        <v>0</v>
      </c>
      <c r="G407" s="95">
        <f t="shared" si="9"/>
        <v>0</v>
      </c>
    </row>
    <row r="408" spans="1:8" ht="18" customHeight="1" x14ac:dyDescent="0.3">
      <c r="A408" s="150" t="s">
        <v>770</v>
      </c>
      <c r="B408" s="50" t="s">
        <v>328</v>
      </c>
      <c r="C408" s="51" t="s">
        <v>181</v>
      </c>
      <c r="D408" s="87" t="s">
        <v>292</v>
      </c>
      <c r="E408" s="126">
        <f>2*2.1</f>
        <v>4.2</v>
      </c>
      <c r="F408" s="79">
        <f>BPU!E408</f>
        <v>0</v>
      </c>
      <c r="G408" s="95">
        <f t="shared" si="9"/>
        <v>0</v>
      </c>
    </row>
    <row r="409" spans="1:8" ht="26.4" customHeight="1" x14ac:dyDescent="0.3">
      <c r="A409" s="150" t="s">
        <v>771</v>
      </c>
      <c r="B409" s="50" t="s">
        <v>329</v>
      </c>
      <c r="C409" s="51" t="s">
        <v>181</v>
      </c>
      <c r="D409" s="87" t="s">
        <v>292</v>
      </c>
      <c r="E409" s="126">
        <f>25.8*1.15</f>
        <v>29.669999999999998</v>
      </c>
      <c r="F409" s="79">
        <f>BPU!E409</f>
        <v>0</v>
      </c>
      <c r="G409" s="95">
        <f t="shared" si="9"/>
        <v>0</v>
      </c>
    </row>
    <row r="410" spans="1:8" ht="18" customHeight="1" x14ac:dyDescent="0.3">
      <c r="A410" s="150" t="s">
        <v>772</v>
      </c>
      <c r="B410" s="50" t="s">
        <v>330</v>
      </c>
      <c r="C410" s="51" t="s">
        <v>181</v>
      </c>
      <c r="D410" s="87" t="s">
        <v>292</v>
      </c>
      <c r="E410" s="126">
        <f>20.8*1.2</f>
        <v>24.96</v>
      </c>
      <c r="F410" s="79">
        <f>BPU!E410</f>
        <v>0</v>
      </c>
      <c r="G410" s="95">
        <f t="shared" si="9"/>
        <v>0</v>
      </c>
    </row>
    <row r="411" spans="1:8" s="66" customFormat="1" x14ac:dyDescent="0.3">
      <c r="A411" s="52" t="s">
        <v>773</v>
      </c>
      <c r="B411" s="46" t="s">
        <v>332</v>
      </c>
      <c r="C411" s="71"/>
      <c r="D411" s="89"/>
      <c r="E411" s="133"/>
      <c r="F411" s="79">
        <f>BPU!E411</f>
        <v>0</v>
      </c>
      <c r="G411" s="95">
        <f t="shared" si="9"/>
        <v>0</v>
      </c>
    </row>
    <row r="412" spans="1:8" ht="34.200000000000003" customHeight="1" thickBot="1" x14ac:dyDescent="0.35">
      <c r="A412" s="150" t="s">
        <v>774</v>
      </c>
      <c r="B412" s="50" t="s">
        <v>200</v>
      </c>
      <c r="C412" s="51" t="s">
        <v>197</v>
      </c>
      <c r="D412" s="87" t="s">
        <v>292</v>
      </c>
      <c r="E412" s="126">
        <v>2</v>
      </c>
      <c r="F412" s="79">
        <f>BPU!E412</f>
        <v>0</v>
      </c>
      <c r="G412" s="95">
        <f t="shared" si="9"/>
        <v>0</v>
      </c>
    </row>
    <row r="413" spans="1:8" ht="19.8" customHeight="1" thickBot="1" x14ac:dyDescent="0.35">
      <c r="A413" s="52"/>
      <c r="B413" s="96" t="s">
        <v>391</v>
      </c>
      <c r="C413" s="51"/>
      <c r="D413" s="87"/>
      <c r="E413" s="126"/>
      <c r="F413" s="79">
        <f>BPU!E413</f>
        <v>0</v>
      </c>
      <c r="G413" s="146">
        <f>SUM(G327:G412)</f>
        <v>0</v>
      </c>
    </row>
    <row r="414" spans="1:8" s="58" customFormat="1" ht="16.8" customHeight="1" x14ac:dyDescent="0.3">
      <c r="A414" s="70" t="s">
        <v>48</v>
      </c>
      <c r="B414" s="70" t="s">
        <v>49</v>
      </c>
      <c r="C414" s="52"/>
      <c r="D414" s="87"/>
      <c r="E414" s="126"/>
      <c r="F414" s="79">
        <f>BPU!E414</f>
        <v>0</v>
      </c>
      <c r="G414" s="95">
        <f t="shared" si="9"/>
        <v>0</v>
      </c>
      <c r="H414" s="136"/>
    </row>
    <row r="415" spans="1:8" ht="18.600000000000001" customHeight="1" x14ac:dyDescent="0.3">
      <c r="A415" s="52" t="s">
        <v>50</v>
      </c>
      <c r="B415" s="46" t="s">
        <v>161</v>
      </c>
      <c r="C415" s="52"/>
      <c r="D415" s="87"/>
      <c r="E415" s="126"/>
      <c r="F415" s="79">
        <f>BPU!E415</f>
        <v>0</v>
      </c>
      <c r="G415" s="95">
        <f t="shared" si="9"/>
        <v>0</v>
      </c>
    </row>
    <row r="416" spans="1:8" ht="28.8" customHeight="1" x14ac:dyDescent="0.3">
      <c r="A416" s="150" t="s">
        <v>775</v>
      </c>
      <c r="B416" s="153" t="s">
        <v>1308</v>
      </c>
      <c r="C416" s="51" t="s">
        <v>181</v>
      </c>
      <c r="D416" s="87" t="s">
        <v>292</v>
      </c>
      <c r="E416" s="126"/>
      <c r="F416" s="79">
        <f>BPU!E416</f>
        <v>0</v>
      </c>
      <c r="G416" s="95">
        <f t="shared" si="9"/>
        <v>0</v>
      </c>
    </row>
    <row r="417" spans="1:8" ht="18.600000000000001" customHeight="1" x14ac:dyDescent="0.3">
      <c r="A417" s="150" t="s">
        <v>776</v>
      </c>
      <c r="B417" s="154" t="s">
        <v>1287</v>
      </c>
      <c r="C417" s="51" t="s">
        <v>17</v>
      </c>
      <c r="D417" s="87" t="s">
        <v>292</v>
      </c>
      <c r="E417" s="126"/>
      <c r="F417" s="79">
        <f>BPU!E417</f>
        <v>0</v>
      </c>
      <c r="G417" s="95">
        <f t="shared" si="9"/>
        <v>0</v>
      </c>
    </row>
    <row r="418" spans="1:8" ht="18.600000000000001" customHeight="1" x14ac:dyDescent="0.3">
      <c r="A418" s="150" t="s">
        <v>777</v>
      </c>
      <c r="B418" s="52" t="s">
        <v>210</v>
      </c>
      <c r="C418" s="51" t="s">
        <v>197</v>
      </c>
      <c r="D418" s="87" t="s">
        <v>292</v>
      </c>
      <c r="E418" s="126"/>
      <c r="F418" s="79">
        <f>BPU!E418</f>
        <v>0</v>
      </c>
      <c r="G418" s="95">
        <f t="shared" si="9"/>
        <v>0</v>
      </c>
    </row>
    <row r="419" spans="1:8" ht="18.600000000000001" customHeight="1" x14ac:dyDescent="0.3">
      <c r="A419" s="150" t="s">
        <v>778</v>
      </c>
      <c r="B419" s="52" t="s">
        <v>209</v>
      </c>
      <c r="C419" s="51" t="s">
        <v>197</v>
      </c>
      <c r="D419" s="87" t="s">
        <v>292</v>
      </c>
      <c r="E419" s="126"/>
      <c r="F419" s="79">
        <f>BPU!E419</f>
        <v>0</v>
      </c>
      <c r="G419" s="95">
        <f t="shared" si="9"/>
        <v>0</v>
      </c>
    </row>
    <row r="420" spans="1:8" ht="18.600000000000001" customHeight="1" x14ac:dyDescent="0.3">
      <c r="A420" s="150" t="s">
        <v>779</v>
      </c>
      <c r="B420" s="154" t="s">
        <v>1288</v>
      </c>
      <c r="C420" s="51" t="s">
        <v>181</v>
      </c>
      <c r="D420" s="87" t="s">
        <v>292</v>
      </c>
      <c r="E420" s="126"/>
      <c r="F420" s="79">
        <f>BPU!E420</f>
        <v>0</v>
      </c>
      <c r="G420" s="95">
        <f t="shared" si="9"/>
        <v>0</v>
      </c>
    </row>
    <row r="421" spans="1:8" ht="18.600000000000001" customHeight="1" x14ac:dyDescent="0.3">
      <c r="A421" s="150" t="s">
        <v>780</v>
      </c>
      <c r="B421" s="52" t="s">
        <v>293</v>
      </c>
      <c r="C421" s="51" t="s">
        <v>181</v>
      </c>
      <c r="D421" s="87" t="s">
        <v>292</v>
      </c>
      <c r="E421" s="126"/>
      <c r="F421" s="79">
        <f>BPU!E421</f>
        <v>0</v>
      </c>
      <c r="G421" s="95">
        <f t="shared" si="9"/>
        <v>0</v>
      </c>
    </row>
    <row r="422" spans="1:8" ht="28.2" customHeight="1" x14ac:dyDescent="0.3">
      <c r="A422" s="150" t="s">
        <v>781</v>
      </c>
      <c r="B422" s="61" t="s">
        <v>198</v>
      </c>
      <c r="C422" s="51" t="s">
        <v>79</v>
      </c>
      <c r="D422" s="87" t="s">
        <v>158</v>
      </c>
      <c r="E422" s="126"/>
      <c r="F422" s="79">
        <f>BPU!E422</f>
        <v>0</v>
      </c>
      <c r="G422" s="95">
        <f t="shared" si="9"/>
        <v>0</v>
      </c>
    </row>
    <row r="423" spans="1:8" ht="18.600000000000001" customHeight="1" x14ac:dyDescent="0.3">
      <c r="A423" s="52" t="s">
        <v>782</v>
      </c>
      <c r="B423" s="46" t="s">
        <v>208</v>
      </c>
      <c r="C423" s="51"/>
      <c r="D423" s="87"/>
      <c r="E423" s="126"/>
      <c r="F423" s="79">
        <f>BPU!E423</f>
        <v>0</v>
      </c>
      <c r="G423" s="95">
        <f t="shared" si="9"/>
        <v>0</v>
      </c>
    </row>
    <row r="424" spans="1:8" ht="18.600000000000001" customHeight="1" x14ac:dyDescent="0.3">
      <c r="A424" s="150" t="s">
        <v>783</v>
      </c>
      <c r="B424" s="52" t="s">
        <v>211</v>
      </c>
      <c r="C424" s="51" t="s">
        <v>230</v>
      </c>
      <c r="D424" s="87" t="s">
        <v>292</v>
      </c>
      <c r="E424" s="126"/>
      <c r="F424" s="79">
        <f>BPU!E424</f>
        <v>0</v>
      </c>
      <c r="G424" s="95">
        <f t="shared" si="9"/>
        <v>0</v>
      </c>
    </row>
    <row r="425" spans="1:8" ht="18.600000000000001" customHeight="1" x14ac:dyDescent="0.3">
      <c r="A425" s="150" t="s">
        <v>784</v>
      </c>
      <c r="B425" s="52" t="s">
        <v>212</v>
      </c>
      <c r="C425" s="51" t="s">
        <v>230</v>
      </c>
      <c r="D425" s="87" t="s">
        <v>292</v>
      </c>
      <c r="E425" s="126"/>
      <c r="F425" s="79">
        <f>BPU!E425</f>
        <v>0</v>
      </c>
      <c r="G425" s="95">
        <f t="shared" si="9"/>
        <v>0</v>
      </c>
    </row>
    <row r="426" spans="1:8" ht="18.600000000000001" customHeight="1" x14ac:dyDescent="0.3">
      <c r="A426" s="52" t="s">
        <v>785</v>
      </c>
      <c r="B426" s="46" t="s">
        <v>168</v>
      </c>
      <c r="C426" s="52"/>
      <c r="D426" s="87"/>
      <c r="E426" s="126"/>
      <c r="F426" s="79">
        <f>BPU!E426</f>
        <v>0</v>
      </c>
      <c r="G426" s="95">
        <f t="shared" si="9"/>
        <v>0</v>
      </c>
    </row>
    <row r="427" spans="1:8" s="65" customFormat="1" ht="18.600000000000001" customHeight="1" x14ac:dyDescent="0.3">
      <c r="A427" s="150" t="s">
        <v>786</v>
      </c>
      <c r="B427" s="50" t="s">
        <v>213</v>
      </c>
      <c r="C427" s="51" t="s">
        <v>230</v>
      </c>
      <c r="D427" s="88" t="s">
        <v>292</v>
      </c>
      <c r="E427" s="130"/>
      <c r="F427" s="79">
        <f>BPU!E427</f>
        <v>0</v>
      </c>
      <c r="G427" s="95">
        <f t="shared" si="9"/>
        <v>0</v>
      </c>
      <c r="H427" s="66"/>
    </row>
    <row r="428" spans="1:8" s="65" customFormat="1" ht="18.600000000000001" customHeight="1" x14ac:dyDescent="0.3">
      <c r="A428" s="150" t="s">
        <v>787</v>
      </c>
      <c r="B428" s="50" t="s">
        <v>187</v>
      </c>
      <c r="C428" s="51" t="s">
        <v>230</v>
      </c>
      <c r="D428" s="88" t="s">
        <v>292</v>
      </c>
      <c r="E428" s="130"/>
      <c r="F428" s="79">
        <f>BPU!E428</f>
        <v>0</v>
      </c>
      <c r="G428" s="95">
        <f t="shared" si="9"/>
        <v>0</v>
      </c>
      <c r="H428" s="66"/>
    </row>
    <row r="429" spans="1:8" s="65" customFormat="1" ht="18.600000000000001" customHeight="1" x14ac:dyDescent="0.3">
      <c r="A429" s="150" t="s">
        <v>788</v>
      </c>
      <c r="B429" s="50" t="s">
        <v>214</v>
      </c>
      <c r="C429" s="51" t="s">
        <v>230</v>
      </c>
      <c r="D429" s="88" t="s">
        <v>292</v>
      </c>
      <c r="E429" s="130"/>
      <c r="F429" s="79">
        <f>BPU!E429</f>
        <v>0</v>
      </c>
      <c r="G429" s="95">
        <f t="shared" si="9"/>
        <v>0</v>
      </c>
      <c r="H429" s="66"/>
    </row>
    <row r="430" spans="1:8" s="65" customFormat="1" ht="33" customHeight="1" x14ac:dyDescent="0.3">
      <c r="A430" s="150" t="s">
        <v>789</v>
      </c>
      <c r="B430" s="50" t="s">
        <v>215</v>
      </c>
      <c r="C430" s="51" t="s">
        <v>230</v>
      </c>
      <c r="D430" s="88" t="s">
        <v>292</v>
      </c>
      <c r="E430" s="130"/>
      <c r="F430" s="79">
        <f>BPU!E430</f>
        <v>0</v>
      </c>
      <c r="G430" s="95">
        <f t="shared" si="9"/>
        <v>0</v>
      </c>
      <c r="H430" s="66"/>
    </row>
    <row r="431" spans="1:8" ht="18.600000000000001" customHeight="1" x14ac:dyDescent="0.3">
      <c r="A431" s="52" t="s">
        <v>790</v>
      </c>
      <c r="B431" s="46" t="s">
        <v>169</v>
      </c>
      <c r="C431" s="52"/>
      <c r="D431" s="87"/>
      <c r="E431" s="126"/>
      <c r="F431" s="79">
        <f>BPU!E431</f>
        <v>0</v>
      </c>
      <c r="G431" s="95">
        <f t="shared" si="9"/>
        <v>0</v>
      </c>
    </row>
    <row r="432" spans="1:8" ht="18.600000000000001" customHeight="1" x14ac:dyDescent="0.3">
      <c r="A432" s="150" t="s">
        <v>791</v>
      </c>
      <c r="B432" s="50" t="s">
        <v>216</v>
      </c>
      <c r="C432" s="51" t="s">
        <v>230</v>
      </c>
      <c r="D432" s="87" t="s">
        <v>292</v>
      </c>
      <c r="E432" s="126"/>
      <c r="F432" s="79">
        <f>BPU!E432</f>
        <v>0</v>
      </c>
      <c r="G432" s="95">
        <f t="shared" si="9"/>
        <v>0</v>
      </c>
    </row>
    <row r="433" spans="1:7" ht="18.600000000000001" customHeight="1" x14ac:dyDescent="0.3">
      <c r="A433" s="150" t="s">
        <v>792</v>
      </c>
      <c r="B433" s="50" t="s">
        <v>217</v>
      </c>
      <c r="C433" s="51" t="s">
        <v>230</v>
      </c>
      <c r="D433" s="87" t="s">
        <v>292</v>
      </c>
      <c r="E433" s="126"/>
      <c r="F433" s="79">
        <f>BPU!E433</f>
        <v>0</v>
      </c>
      <c r="G433" s="95">
        <f t="shared" si="9"/>
        <v>0</v>
      </c>
    </row>
    <row r="434" spans="1:7" ht="18.600000000000001" customHeight="1" x14ac:dyDescent="0.3">
      <c r="A434" s="150" t="s">
        <v>793</v>
      </c>
      <c r="B434" s="50" t="s">
        <v>218</v>
      </c>
      <c r="C434" s="51" t="s">
        <v>230</v>
      </c>
      <c r="D434" s="87" t="s">
        <v>292</v>
      </c>
      <c r="E434" s="126"/>
      <c r="F434" s="79">
        <f>BPU!E434</f>
        <v>0</v>
      </c>
      <c r="G434" s="95">
        <f t="shared" si="9"/>
        <v>0</v>
      </c>
    </row>
    <row r="435" spans="1:7" ht="18.600000000000001" customHeight="1" x14ac:dyDescent="0.3">
      <c r="A435" s="150" t="s">
        <v>794</v>
      </c>
      <c r="B435" s="50" t="s">
        <v>219</v>
      </c>
      <c r="C435" s="51" t="s">
        <v>230</v>
      </c>
      <c r="D435" s="87" t="s">
        <v>292</v>
      </c>
      <c r="E435" s="126"/>
      <c r="F435" s="79">
        <f>BPU!E435</f>
        <v>0</v>
      </c>
      <c r="G435" s="95">
        <f t="shared" si="9"/>
        <v>0</v>
      </c>
    </row>
    <row r="436" spans="1:7" ht="18.600000000000001" customHeight="1" x14ac:dyDescent="0.3">
      <c r="A436" s="150" t="s">
        <v>795</v>
      </c>
      <c r="B436" s="50" t="s">
        <v>220</v>
      </c>
      <c r="C436" s="51" t="s">
        <v>230</v>
      </c>
      <c r="D436" s="87" t="s">
        <v>292</v>
      </c>
      <c r="E436" s="126"/>
      <c r="F436" s="79">
        <f>BPU!E436</f>
        <v>0</v>
      </c>
      <c r="G436" s="95">
        <f t="shared" si="9"/>
        <v>0</v>
      </c>
    </row>
    <row r="437" spans="1:7" ht="18.600000000000001" customHeight="1" x14ac:dyDescent="0.3">
      <c r="A437" s="150" t="s">
        <v>796</v>
      </c>
      <c r="B437" s="50" t="s">
        <v>221</v>
      </c>
      <c r="C437" s="51" t="s">
        <v>230</v>
      </c>
      <c r="D437" s="87" t="s">
        <v>292</v>
      </c>
      <c r="E437" s="126"/>
      <c r="F437" s="79">
        <f>BPU!E437</f>
        <v>0</v>
      </c>
      <c r="G437" s="95">
        <f t="shared" ref="G437:G500" si="10">E437*F437</f>
        <v>0</v>
      </c>
    </row>
    <row r="438" spans="1:7" ht="18.600000000000001" customHeight="1" x14ac:dyDescent="0.3">
      <c r="A438" s="150" t="s">
        <v>797</v>
      </c>
      <c r="B438" s="50" t="s">
        <v>222</v>
      </c>
      <c r="C438" s="51" t="s">
        <v>230</v>
      </c>
      <c r="D438" s="87" t="s">
        <v>292</v>
      </c>
      <c r="E438" s="126"/>
      <c r="F438" s="79">
        <f>BPU!E438</f>
        <v>0</v>
      </c>
      <c r="G438" s="95">
        <f t="shared" si="10"/>
        <v>0</v>
      </c>
    </row>
    <row r="439" spans="1:7" ht="18.600000000000001" customHeight="1" x14ac:dyDescent="0.3">
      <c r="A439" s="52" t="s">
        <v>798</v>
      </c>
      <c r="B439" s="46" t="s">
        <v>170</v>
      </c>
      <c r="C439" s="52"/>
      <c r="D439" s="87"/>
      <c r="E439" s="126"/>
      <c r="F439" s="79">
        <f>BPU!E439</f>
        <v>0</v>
      </c>
      <c r="G439" s="95">
        <f t="shared" si="10"/>
        <v>0</v>
      </c>
    </row>
    <row r="440" spans="1:7" ht="18.600000000000001" customHeight="1" x14ac:dyDescent="0.3">
      <c r="A440" s="150" t="s">
        <v>799</v>
      </c>
      <c r="B440" s="50" t="s">
        <v>223</v>
      </c>
      <c r="C440" s="51" t="s">
        <v>230</v>
      </c>
      <c r="D440" s="87" t="s">
        <v>292</v>
      </c>
      <c r="E440" s="126"/>
      <c r="F440" s="79">
        <f>BPU!E440</f>
        <v>0</v>
      </c>
      <c r="G440" s="95">
        <f t="shared" si="10"/>
        <v>0</v>
      </c>
    </row>
    <row r="441" spans="1:7" ht="18.600000000000001" customHeight="1" x14ac:dyDescent="0.3">
      <c r="A441" s="150" t="s">
        <v>800</v>
      </c>
      <c r="B441" s="50" t="s">
        <v>224</v>
      </c>
      <c r="C441" s="51" t="s">
        <v>230</v>
      </c>
      <c r="D441" s="87" t="s">
        <v>292</v>
      </c>
      <c r="E441" s="126"/>
      <c r="F441" s="79">
        <f>BPU!E441</f>
        <v>0</v>
      </c>
      <c r="G441" s="95">
        <f t="shared" si="10"/>
        <v>0</v>
      </c>
    </row>
    <row r="442" spans="1:7" ht="18.600000000000001" customHeight="1" x14ac:dyDescent="0.3">
      <c r="A442" s="150" t="s">
        <v>801</v>
      </c>
      <c r="B442" s="50" t="s">
        <v>178</v>
      </c>
      <c r="C442" s="51" t="s">
        <v>230</v>
      </c>
      <c r="D442" s="87" t="s">
        <v>292</v>
      </c>
      <c r="E442" s="126"/>
      <c r="F442" s="79">
        <f>BPU!E442</f>
        <v>0</v>
      </c>
      <c r="G442" s="95">
        <f t="shared" si="10"/>
        <v>0</v>
      </c>
    </row>
    <row r="443" spans="1:7" ht="18.600000000000001" customHeight="1" x14ac:dyDescent="0.3">
      <c r="A443" s="52" t="s">
        <v>802</v>
      </c>
      <c r="B443" s="46" t="s">
        <v>171</v>
      </c>
      <c r="C443" s="52"/>
      <c r="D443" s="87"/>
      <c r="E443" s="126"/>
      <c r="F443" s="79">
        <f>BPU!E443</f>
        <v>0</v>
      </c>
      <c r="G443" s="95">
        <f t="shared" si="10"/>
        <v>0</v>
      </c>
    </row>
    <row r="444" spans="1:7" ht="24.6" customHeight="1" x14ac:dyDescent="0.3">
      <c r="A444" s="150" t="s">
        <v>803</v>
      </c>
      <c r="B444" s="50" t="s">
        <v>229</v>
      </c>
      <c r="C444" s="51" t="s">
        <v>181</v>
      </c>
      <c r="D444" s="87" t="s">
        <v>292</v>
      </c>
      <c r="E444" s="126"/>
      <c r="F444" s="79">
        <f>BPU!E444</f>
        <v>0</v>
      </c>
      <c r="G444" s="95">
        <f t="shared" si="10"/>
        <v>0</v>
      </c>
    </row>
    <row r="445" spans="1:7" ht="18.600000000000001" customHeight="1" x14ac:dyDescent="0.3">
      <c r="A445" s="150" t="s">
        <v>804</v>
      </c>
      <c r="B445" s="50" t="s">
        <v>366</v>
      </c>
      <c r="C445" s="51" t="s">
        <v>181</v>
      </c>
      <c r="D445" s="87" t="s">
        <v>292</v>
      </c>
      <c r="E445" s="126"/>
      <c r="F445" s="79">
        <f>BPU!E445</f>
        <v>0</v>
      </c>
      <c r="G445" s="95">
        <f t="shared" ref="G445" si="11">E445*F445</f>
        <v>0</v>
      </c>
    </row>
    <row r="446" spans="1:7" ht="18.600000000000001" customHeight="1" x14ac:dyDescent="0.3">
      <c r="A446" s="150" t="s">
        <v>805</v>
      </c>
      <c r="B446" s="50" t="s">
        <v>225</v>
      </c>
      <c r="C446" s="51" t="s">
        <v>181</v>
      </c>
      <c r="D446" s="87" t="s">
        <v>292</v>
      </c>
      <c r="E446" s="126"/>
      <c r="F446" s="79">
        <f>BPU!E446</f>
        <v>0</v>
      </c>
      <c r="G446" s="95">
        <f t="shared" si="10"/>
        <v>0</v>
      </c>
    </row>
    <row r="447" spans="1:7" ht="18.600000000000001" customHeight="1" x14ac:dyDescent="0.3">
      <c r="A447" s="150" t="s">
        <v>806</v>
      </c>
      <c r="B447" s="50" t="s">
        <v>226</v>
      </c>
      <c r="C447" s="51" t="s">
        <v>181</v>
      </c>
      <c r="D447" s="87" t="s">
        <v>292</v>
      </c>
      <c r="E447" s="126"/>
      <c r="F447" s="79">
        <f>BPU!E447</f>
        <v>0</v>
      </c>
      <c r="G447" s="95">
        <f t="shared" si="10"/>
        <v>0</v>
      </c>
    </row>
    <row r="448" spans="1:7" ht="18.600000000000001" customHeight="1" x14ac:dyDescent="0.3">
      <c r="A448" s="150" t="s">
        <v>807</v>
      </c>
      <c r="B448" s="50" t="s">
        <v>227</v>
      </c>
      <c r="C448" s="51" t="s">
        <v>181</v>
      </c>
      <c r="D448" s="87" t="s">
        <v>292</v>
      </c>
      <c r="E448" s="126"/>
      <c r="F448" s="79">
        <f>BPU!E448</f>
        <v>0</v>
      </c>
      <c r="G448" s="95">
        <f t="shared" si="10"/>
        <v>0</v>
      </c>
    </row>
    <row r="449" spans="1:7" ht="18.600000000000001" customHeight="1" x14ac:dyDescent="0.3">
      <c r="A449" s="150" t="s">
        <v>808</v>
      </c>
      <c r="B449" s="50" t="s">
        <v>228</v>
      </c>
      <c r="C449" s="51" t="s">
        <v>181</v>
      </c>
      <c r="D449" s="87" t="s">
        <v>292</v>
      </c>
      <c r="E449" s="126"/>
      <c r="F449" s="79">
        <f>BPU!E449</f>
        <v>0</v>
      </c>
      <c r="G449" s="95">
        <f t="shared" si="10"/>
        <v>0</v>
      </c>
    </row>
    <row r="450" spans="1:7" ht="18.600000000000001" customHeight="1" x14ac:dyDescent="0.3">
      <c r="A450" s="52" t="s">
        <v>809</v>
      </c>
      <c r="B450" s="46" t="s">
        <v>172</v>
      </c>
      <c r="C450" s="52"/>
      <c r="D450" s="87"/>
      <c r="E450" s="126"/>
      <c r="F450" s="79">
        <f>BPU!E450</f>
        <v>0</v>
      </c>
      <c r="G450" s="95">
        <f t="shared" si="10"/>
        <v>0</v>
      </c>
    </row>
    <row r="451" spans="1:7" ht="18.600000000000001" customHeight="1" x14ac:dyDescent="0.3">
      <c r="A451" s="150" t="s">
        <v>810</v>
      </c>
      <c r="B451" s="50" t="s">
        <v>231</v>
      </c>
      <c r="C451" s="51" t="s">
        <v>181</v>
      </c>
      <c r="D451" s="87" t="s">
        <v>292</v>
      </c>
      <c r="E451" s="126"/>
      <c r="F451" s="79">
        <f>BPU!E451</f>
        <v>0</v>
      </c>
      <c r="G451" s="95">
        <f t="shared" si="10"/>
        <v>0</v>
      </c>
    </row>
    <row r="452" spans="1:7" ht="18.600000000000001" customHeight="1" x14ac:dyDescent="0.3">
      <c r="A452" s="150" t="s">
        <v>811</v>
      </c>
      <c r="B452" s="50" t="s">
        <v>232</v>
      </c>
      <c r="C452" s="51" t="s">
        <v>181</v>
      </c>
      <c r="D452" s="87" t="s">
        <v>292</v>
      </c>
      <c r="E452" s="126"/>
      <c r="F452" s="79">
        <f>BPU!E452</f>
        <v>0</v>
      </c>
      <c r="G452" s="95">
        <f t="shared" si="10"/>
        <v>0</v>
      </c>
    </row>
    <row r="453" spans="1:7" ht="28.2" customHeight="1" x14ac:dyDescent="0.3">
      <c r="A453" s="150" t="s">
        <v>812</v>
      </c>
      <c r="B453" s="50" t="s">
        <v>233</v>
      </c>
      <c r="C453" s="51" t="s">
        <v>181</v>
      </c>
      <c r="D453" s="87" t="s">
        <v>292</v>
      </c>
      <c r="E453" s="126"/>
      <c r="F453" s="79">
        <f>BPU!E453</f>
        <v>0</v>
      </c>
      <c r="G453" s="95">
        <f t="shared" si="10"/>
        <v>0</v>
      </c>
    </row>
    <row r="454" spans="1:7" ht="18.600000000000001" customHeight="1" x14ac:dyDescent="0.3">
      <c r="A454" s="150" t="s">
        <v>813</v>
      </c>
      <c r="B454" s="50" t="s">
        <v>234</v>
      </c>
      <c r="C454" s="51" t="s">
        <v>181</v>
      </c>
      <c r="D454" s="87" t="s">
        <v>292</v>
      </c>
      <c r="E454" s="126"/>
      <c r="F454" s="79">
        <f>BPU!E454</f>
        <v>0</v>
      </c>
      <c r="G454" s="95">
        <f t="shared" si="10"/>
        <v>0</v>
      </c>
    </row>
    <row r="455" spans="1:7" ht="18.600000000000001" customHeight="1" x14ac:dyDescent="0.3">
      <c r="A455" s="52" t="s">
        <v>814</v>
      </c>
      <c r="B455" s="46" t="s">
        <v>173</v>
      </c>
      <c r="C455" s="52"/>
      <c r="D455" s="87"/>
      <c r="E455" s="126"/>
      <c r="F455" s="79">
        <f>BPU!E455</f>
        <v>0</v>
      </c>
      <c r="G455" s="95">
        <f t="shared" si="10"/>
        <v>0</v>
      </c>
    </row>
    <row r="456" spans="1:7" ht="18.600000000000001" customHeight="1" x14ac:dyDescent="0.3">
      <c r="A456" s="150" t="s">
        <v>815</v>
      </c>
      <c r="B456" s="50" t="s">
        <v>259</v>
      </c>
      <c r="C456" s="51" t="s">
        <v>181</v>
      </c>
      <c r="D456" s="87" t="s">
        <v>292</v>
      </c>
      <c r="E456" s="126"/>
      <c r="F456" s="79">
        <f>BPU!E456</f>
        <v>0</v>
      </c>
      <c r="G456" s="95">
        <f t="shared" si="10"/>
        <v>0</v>
      </c>
    </row>
    <row r="457" spans="1:7" ht="18.600000000000001" customHeight="1" x14ac:dyDescent="0.3">
      <c r="A457" s="150" t="s">
        <v>816</v>
      </c>
      <c r="B457" s="50" t="s">
        <v>235</v>
      </c>
      <c r="C457" s="51" t="s">
        <v>181</v>
      </c>
      <c r="D457" s="87" t="s">
        <v>292</v>
      </c>
      <c r="E457" s="126"/>
      <c r="F457" s="79">
        <f>BPU!E457</f>
        <v>0</v>
      </c>
      <c r="G457" s="95">
        <f t="shared" si="10"/>
        <v>0</v>
      </c>
    </row>
    <row r="458" spans="1:7" ht="18.600000000000001" customHeight="1" x14ac:dyDescent="0.3">
      <c r="A458" s="150" t="s">
        <v>817</v>
      </c>
      <c r="B458" s="50" t="s">
        <v>236</v>
      </c>
      <c r="C458" s="51" t="s">
        <v>181</v>
      </c>
      <c r="D458" s="87" t="s">
        <v>292</v>
      </c>
      <c r="E458" s="126"/>
      <c r="F458" s="79">
        <f>BPU!E458</f>
        <v>0</v>
      </c>
      <c r="G458" s="95">
        <f t="shared" si="10"/>
        <v>0</v>
      </c>
    </row>
    <row r="459" spans="1:7" ht="18.600000000000001" customHeight="1" x14ac:dyDescent="0.3">
      <c r="A459" s="150" t="s">
        <v>818</v>
      </c>
      <c r="B459" s="50" t="s">
        <v>237</v>
      </c>
      <c r="C459" s="51" t="s">
        <v>181</v>
      </c>
      <c r="D459" s="87" t="s">
        <v>292</v>
      </c>
      <c r="E459" s="126"/>
      <c r="F459" s="79">
        <f>BPU!E459</f>
        <v>0</v>
      </c>
      <c r="G459" s="95">
        <f t="shared" si="10"/>
        <v>0</v>
      </c>
    </row>
    <row r="460" spans="1:7" ht="18.600000000000001" customHeight="1" x14ac:dyDescent="0.3">
      <c r="A460" s="150" t="s">
        <v>819</v>
      </c>
      <c r="B460" s="50" t="s">
        <v>238</v>
      </c>
      <c r="C460" s="51" t="s">
        <v>181</v>
      </c>
      <c r="D460" s="87" t="s">
        <v>292</v>
      </c>
      <c r="E460" s="126"/>
      <c r="F460" s="79">
        <f>BPU!E460</f>
        <v>0</v>
      </c>
      <c r="G460" s="95">
        <f t="shared" si="10"/>
        <v>0</v>
      </c>
    </row>
    <row r="461" spans="1:7" ht="18.600000000000001" customHeight="1" x14ac:dyDescent="0.3">
      <c r="A461" s="150" t="s">
        <v>820</v>
      </c>
      <c r="B461" s="50" t="s">
        <v>179</v>
      </c>
      <c r="C461" s="51" t="s">
        <v>181</v>
      </c>
      <c r="D461" s="87" t="s">
        <v>292</v>
      </c>
      <c r="E461" s="126"/>
      <c r="F461" s="79">
        <f>BPU!E461</f>
        <v>0</v>
      </c>
      <c r="G461" s="95">
        <f t="shared" si="10"/>
        <v>0</v>
      </c>
    </row>
    <row r="462" spans="1:7" ht="18.600000000000001" customHeight="1" x14ac:dyDescent="0.3">
      <c r="A462" s="150" t="s">
        <v>821</v>
      </c>
      <c r="B462" s="50" t="s">
        <v>239</v>
      </c>
      <c r="C462" s="51" t="s">
        <v>181</v>
      </c>
      <c r="D462" s="87" t="s">
        <v>292</v>
      </c>
      <c r="E462" s="126"/>
      <c r="F462" s="79">
        <f>BPU!E462</f>
        <v>0</v>
      </c>
      <c r="G462" s="95">
        <f t="shared" si="10"/>
        <v>0</v>
      </c>
    </row>
    <row r="463" spans="1:7" ht="18.600000000000001" customHeight="1" x14ac:dyDescent="0.3">
      <c r="A463" s="52" t="s">
        <v>822</v>
      </c>
      <c r="B463" s="46" t="s">
        <v>174</v>
      </c>
      <c r="C463" s="52"/>
      <c r="D463" s="87"/>
      <c r="E463" s="126"/>
      <c r="F463" s="79">
        <f>BPU!E463</f>
        <v>0</v>
      </c>
      <c r="G463" s="95">
        <f t="shared" si="10"/>
        <v>0</v>
      </c>
    </row>
    <row r="464" spans="1:7" ht="18.600000000000001" customHeight="1" x14ac:dyDescent="0.3">
      <c r="A464" s="150" t="s">
        <v>823</v>
      </c>
      <c r="B464" s="50" t="s">
        <v>373</v>
      </c>
      <c r="C464" s="51" t="s">
        <v>181</v>
      </c>
      <c r="D464" s="87" t="s">
        <v>292</v>
      </c>
      <c r="E464" s="126"/>
      <c r="F464" s="79">
        <f>BPU!E464</f>
        <v>0</v>
      </c>
      <c r="G464" s="95"/>
    </row>
    <row r="465" spans="1:7" ht="18.600000000000001" customHeight="1" x14ac:dyDescent="0.3">
      <c r="A465" s="150" t="s">
        <v>824</v>
      </c>
      <c r="B465" s="50" t="s">
        <v>240</v>
      </c>
      <c r="C465" s="51" t="s">
        <v>181</v>
      </c>
      <c r="D465" s="87" t="s">
        <v>292</v>
      </c>
      <c r="E465" s="126"/>
      <c r="F465" s="79">
        <f>BPU!E465</f>
        <v>0</v>
      </c>
      <c r="G465" s="95">
        <f t="shared" si="10"/>
        <v>0</v>
      </c>
    </row>
    <row r="466" spans="1:7" ht="18.600000000000001" customHeight="1" x14ac:dyDescent="0.3">
      <c r="A466" s="150" t="s">
        <v>825</v>
      </c>
      <c r="B466" s="50" t="s">
        <v>241</v>
      </c>
      <c r="C466" s="51" t="s">
        <v>181</v>
      </c>
      <c r="D466" s="87" t="s">
        <v>292</v>
      </c>
      <c r="E466" s="126"/>
      <c r="F466" s="79">
        <f>BPU!E466</f>
        <v>0</v>
      </c>
      <c r="G466" s="95">
        <f t="shared" si="10"/>
        <v>0</v>
      </c>
    </row>
    <row r="467" spans="1:7" ht="18.600000000000001" customHeight="1" x14ac:dyDescent="0.3">
      <c r="A467" s="150" t="s">
        <v>826</v>
      </c>
      <c r="B467" s="50" t="s">
        <v>242</v>
      </c>
      <c r="C467" s="51" t="s">
        <v>181</v>
      </c>
      <c r="D467" s="87" t="s">
        <v>292</v>
      </c>
      <c r="E467" s="126"/>
      <c r="F467" s="79">
        <f>BPU!E467</f>
        <v>0</v>
      </c>
      <c r="G467" s="95">
        <f t="shared" si="10"/>
        <v>0</v>
      </c>
    </row>
    <row r="468" spans="1:7" ht="18.600000000000001" customHeight="1" x14ac:dyDescent="0.3">
      <c r="A468" s="150" t="s">
        <v>827</v>
      </c>
      <c r="B468" s="50" t="s">
        <v>243</v>
      </c>
      <c r="C468" s="51" t="s">
        <v>181</v>
      </c>
      <c r="D468" s="87" t="s">
        <v>292</v>
      </c>
      <c r="E468" s="126"/>
      <c r="F468" s="79">
        <f>BPU!E468</f>
        <v>0</v>
      </c>
      <c r="G468" s="95">
        <f t="shared" si="10"/>
        <v>0</v>
      </c>
    </row>
    <row r="469" spans="1:7" ht="18.600000000000001" customHeight="1" x14ac:dyDescent="0.3">
      <c r="A469" s="150" t="s">
        <v>828</v>
      </c>
      <c r="B469" s="50" t="s">
        <v>244</v>
      </c>
      <c r="C469" s="51" t="s">
        <v>181</v>
      </c>
      <c r="D469" s="87" t="s">
        <v>292</v>
      </c>
      <c r="E469" s="126"/>
      <c r="F469" s="79">
        <f>BPU!E469</f>
        <v>0</v>
      </c>
      <c r="G469" s="95">
        <f t="shared" si="10"/>
        <v>0</v>
      </c>
    </row>
    <row r="470" spans="1:7" ht="18.600000000000001" customHeight="1" x14ac:dyDescent="0.3">
      <c r="A470" s="150" t="s">
        <v>829</v>
      </c>
      <c r="B470" s="50" t="s">
        <v>245</v>
      </c>
      <c r="C470" s="51" t="s">
        <v>181</v>
      </c>
      <c r="D470" s="87" t="s">
        <v>292</v>
      </c>
      <c r="E470" s="126"/>
      <c r="F470" s="79">
        <f>BPU!E470</f>
        <v>0</v>
      </c>
      <c r="G470" s="95">
        <f t="shared" si="10"/>
        <v>0</v>
      </c>
    </row>
    <row r="471" spans="1:7" ht="18.600000000000001" customHeight="1" x14ac:dyDescent="0.3">
      <c r="A471" s="150" t="s">
        <v>830</v>
      </c>
      <c r="B471" s="50" t="s">
        <v>246</v>
      </c>
      <c r="C471" s="51" t="s">
        <v>181</v>
      </c>
      <c r="D471" s="87" t="s">
        <v>292</v>
      </c>
      <c r="E471" s="126"/>
      <c r="F471" s="79">
        <f>BPU!E471</f>
        <v>0</v>
      </c>
      <c r="G471" s="95">
        <f t="shared" si="10"/>
        <v>0</v>
      </c>
    </row>
    <row r="472" spans="1:7" ht="18.600000000000001" customHeight="1" x14ac:dyDescent="0.3">
      <c r="A472" s="150" t="s">
        <v>831</v>
      </c>
      <c r="B472" s="50" t="s">
        <v>372</v>
      </c>
      <c r="C472" s="51" t="s">
        <v>181</v>
      </c>
      <c r="D472" s="87" t="s">
        <v>292</v>
      </c>
      <c r="E472" s="126"/>
      <c r="F472" s="79">
        <f>BPU!E472</f>
        <v>0</v>
      </c>
      <c r="G472" s="95">
        <f t="shared" ref="G472" si="12">E472*F472</f>
        <v>0</v>
      </c>
    </row>
    <row r="473" spans="1:7" ht="18.600000000000001" customHeight="1" x14ac:dyDescent="0.3">
      <c r="A473" s="150" t="s">
        <v>832</v>
      </c>
      <c r="B473" s="50" t="s">
        <v>247</v>
      </c>
      <c r="C473" s="51" t="s">
        <v>181</v>
      </c>
      <c r="D473" s="87" t="s">
        <v>292</v>
      </c>
      <c r="E473" s="126"/>
      <c r="F473" s="79">
        <f>BPU!E473</f>
        <v>0</v>
      </c>
      <c r="G473" s="95">
        <f t="shared" si="10"/>
        <v>0</v>
      </c>
    </row>
    <row r="474" spans="1:7" ht="18.600000000000001" customHeight="1" x14ac:dyDescent="0.3">
      <c r="A474" s="150" t="s">
        <v>833</v>
      </c>
      <c r="B474" s="50" t="s">
        <v>194</v>
      </c>
      <c r="C474" s="51" t="s">
        <v>181</v>
      </c>
      <c r="D474" s="87" t="s">
        <v>292</v>
      </c>
      <c r="E474" s="126"/>
      <c r="F474" s="79">
        <f>BPU!E474</f>
        <v>0</v>
      </c>
      <c r="G474" s="95">
        <f t="shared" si="10"/>
        <v>0</v>
      </c>
    </row>
    <row r="475" spans="1:7" ht="18.600000000000001" customHeight="1" x14ac:dyDescent="0.3">
      <c r="A475" s="52" t="s">
        <v>834</v>
      </c>
      <c r="B475" s="46" t="s">
        <v>175</v>
      </c>
      <c r="C475" s="52"/>
      <c r="D475" s="87"/>
      <c r="E475" s="126"/>
      <c r="F475" s="79">
        <f>BPU!E475</f>
        <v>0</v>
      </c>
      <c r="G475" s="95">
        <f t="shared" si="10"/>
        <v>0</v>
      </c>
    </row>
    <row r="476" spans="1:7" ht="18.600000000000001" customHeight="1" x14ac:dyDescent="0.3">
      <c r="A476" s="150" t="s">
        <v>835</v>
      </c>
      <c r="B476" s="50" t="s">
        <v>180</v>
      </c>
      <c r="C476" s="51" t="s">
        <v>181</v>
      </c>
      <c r="D476" s="87" t="s">
        <v>292</v>
      </c>
      <c r="E476" s="126"/>
      <c r="F476" s="79">
        <f>BPU!E476</f>
        <v>0</v>
      </c>
      <c r="G476" s="95">
        <f t="shared" si="10"/>
        <v>0</v>
      </c>
    </row>
    <row r="477" spans="1:7" ht="18.600000000000001" customHeight="1" x14ac:dyDescent="0.3">
      <c r="A477" s="52" t="s">
        <v>836</v>
      </c>
      <c r="B477" s="46" t="s">
        <v>176</v>
      </c>
      <c r="C477" s="52"/>
      <c r="D477" s="87"/>
      <c r="E477" s="126"/>
      <c r="F477" s="79">
        <f>BPU!E477</f>
        <v>0</v>
      </c>
      <c r="G477" s="95">
        <f t="shared" si="10"/>
        <v>0</v>
      </c>
    </row>
    <row r="478" spans="1:7" ht="18.600000000000001" customHeight="1" x14ac:dyDescent="0.3">
      <c r="A478" s="150" t="s">
        <v>837</v>
      </c>
      <c r="B478" s="50" t="s">
        <v>257</v>
      </c>
      <c r="C478" s="51" t="s">
        <v>181</v>
      </c>
      <c r="D478" s="87" t="s">
        <v>292</v>
      </c>
      <c r="E478" s="126"/>
      <c r="F478" s="79">
        <f>BPU!E478</f>
        <v>0</v>
      </c>
      <c r="G478" s="95">
        <f t="shared" si="10"/>
        <v>0</v>
      </c>
    </row>
    <row r="479" spans="1:7" ht="18.600000000000001" customHeight="1" x14ac:dyDescent="0.3">
      <c r="A479" s="150" t="s">
        <v>838</v>
      </c>
      <c r="B479" s="50" t="s">
        <v>253</v>
      </c>
      <c r="C479" s="51" t="s">
        <v>17</v>
      </c>
      <c r="D479" s="87" t="s">
        <v>292</v>
      </c>
      <c r="E479" s="126"/>
      <c r="F479" s="79">
        <f>BPU!E479</f>
        <v>0</v>
      </c>
      <c r="G479" s="95">
        <f t="shared" si="10"/>
        <v>0</v>
      </c>
    </row>
    <row r="480" spans="1:7" ht="18.600000000000001" customHeight="1" x14ac:dyDescent="0.3">
      <c r="A480" s="150" t="s">
        <v>839</v>
      </c>
      <c r="B480" s="50" t="s">
        <v>252</v>
      </c>
      <c r="C480" s="51" t="s">
        <v>17</v>
      </c>
      <c r="D480" s="87" t="s">
        <v>292</v>
      </c>
      <c r="E480" s="126"/>
      <c r="F480" s="79">
        <f>BPU!E480</f>
        <v>0</v>
      </c>
      <c r="G480" s="95">
        <f t="shared" si="10"/>
        <v>0</v>
      </c>
    </row>
    <row r="481" spans="1:7" ht="18.600000000000001" customHeight="1" x14ac:dyDescent="0.3">
      <c r="A481" s="150" t="s">
        <v>840</v>
      </c>
      <c r="B481" s="50" t="s">
        <v>254</v>
      </c>
      <c r="C481" s="51" t="s">
        <v>17</v>
      </c>
      <c r="D481" s="87" t="s">
        <v>292</v>
      </c>
      <c r="E481" s="126"/>
      <c r="F481" s="79">
        <f>BPU!E481</f>
        <v>0</v>
      </c>
      <c r="G481" s="95">
        <f t="shared" si="10"/>
        <v>0</v>
      </c>
    </row>
    <row r="482" spans="1:7" ht="18.600000000000001" customHeight="1" x14ac:dyDescent="0.3">
      <c r="A482" s="150" t="s">
        <v>841</v>
      </c>
      <c r="B482" s="50" t="s">
        <v>255</v>
      </c>
      <c r="C482" s="51" t="s">
        <v>17</v>
      </c>
      <c r="D482" s="87" t="s">
        <v>292</v>
      </c>
      <c r="E482" s="126"/>
      <c r="F482" s="79">
        <f>BPU!E482</f>
        <v>0</v>
      </c>
      <c r="G482" s="95">
        <f t="shared" si="10"/>
        <v>0</v>
      </c>
    </row>
    <row r="483" spans="1:7" ht="28.8" customHeight="1" x14ac:dyDescent="0.3">
      <c r="A483" s="150" t="s">
        <v>842</v>
      </c>
      <c r="B483" s="50" t="s">
        <v>251</v>
      </c>
      <c r="C483" s="51" t="s">
        <v>17</v>
      </c>
      <c r="D483" s="87" t="s">
        <v>292</v>
      </c>
      <c r="E483" s="126"/>
      <c r="F483" s="79">
        <f>BPU!E483</f>
        <v>0</v>
      </c>
      <c r="G483" s="95">
        <f t="shared" si="10"/>
        <v>0</v>
      </c>
    </row>
    <row r="484" spans="1:7" x14ac:dyDescent="0.3">
      <c r="A484" s="150" t="s">
        <v>843</v>
      </c>
      <c r="B484" s="50" t="s">
        <v>256</v>
      </c>
      <c r="C484" s="51" t="s">
        <v>181</v>
      </c>
      <c r="D484" s="87" t="s">
        <v>292</v>
      </c>
      <c r="E484" s="126"/>
      <c r="F484" s="79">
        <f>BPU!E484</f>
        <v>0</v>
      </c>
      <c r="G484" s="95">
        <f t="shared" si="10"/>
        <v>0</v>
      </c>
    </row>
    <row r="485" spans="1:7" x14ac:dyDescent="0.3">
      <c r="A485" s="150" t="s">
        <v>844</v>
      </c>
      <c r="B485" s="50" t="s">
        <v>258</v>
      </c>
      <c r="C485" s="51" t="s">
        <v>17</v>
      </c>
      <c r="D485" s="87" t="s">
        <v>292</v>
      </c>
      <c r="E485" s="126"/>
      <c r="F485" s="79">
        <f>BPU!E485</f>
        <v>0</v>
      </c>
      <c r="G485" s="95">
        <f t="shared" si="10"/>
        <v>0</v>
      </c>
    </row>
    <row r="486" spans="1:7" ht="18.600000000000001" customHeight="1" x14ac:dyDescent="0.3">
      <c r="A486" s="150" t="s">
        <v>845</v>
      </c>
      <c r="B486" s="50" t="s">
        <v>193</v>
      </c>
      <c r="C486" s="51" t="s">
        <v>181</v>
      </c>
      <c r="D486" s="87" t="s">
        <v>292</v>
      </c>
      <c r="E486" s="126"/>
      <c r="F486" s="79">
        <f>BPU!E486</f>
        <v>0</v>
      </c>
      <c r="G486" s="95">
        <f t="shared" si="10"/>
        <v>0</v>
      </c>
    </row>
    <row r="487" spans="1:7" x14ac:dyDescent="0.3">
      <c r="A487" s="150" t="s">
        <v>846</v>
      </c>
      <c r="B487" s="50" t="s">
        <v>192</v>
      </c>
      <c r="C487" s="51" t="s">
        <v>181</v>
      </c>
      <c r="D487" s="87" t="s">
        <v>292</v>
      </c>
      <c r="E487" s="126"/>
      <c r="F487" s="79">
        <f>BPU!E487</f>
        <v>0</v>
      </c>
      <c r="G487" s="95">
        <f t="shared" si="10"/>
        <v>0</v>
      </c>
    </row>
    <row r="488" spans="1:7" ht="28.8" x14ac:dyDescent="0.3">
      <c r="A488" s="150" t="s">
        <v>847</v>
      </c>
      <c r="B488" s="50" t="s">
        <v>260</v>
      </c>
      <c r="C488" s="51" t="s">
        <v>181</v>
      </c>
      <c r="D488" s="87" t="s">
        <v>292</v>
      </c>
      <c r="E488" s="126"/>
      <c r="F488" s="79">
        <f>BPU!E488</f>
        <v>0</v>
      </c>
      <c r="G488" s="95">
        <f t="shared" si="10"/>
        <v>0</v>
      </c>
    </row>
    <row r="489" spans="1:7" ht="18.600000000000001" customHeight="1" x14ac:dyDescent="0.3">
      <c r="A489" s="52" t="s">
        <v>848</v>
      </c>
      <c r="B489" s="46" t="s">
        <v>177</v>
      </c>
      <c r="C489" s="52"/>
      <c r="D489" s="87"/>
      <c r="E489" s="126"/>
      <c r="F489" s="79">
        <f>BPU!E489</f>
        <v>0</v>
      </c>
      <c r="G489" s="95">
        <f t="shared" si="10"/>
        <v>0</v>
      </c>
    </row>
    <row r="490" spans="1:7" ht="18.600000000000001" customHeight="1" x14ac:dyDescent="0.3">
      <c r="A490" s="150" t="s">
        <v>849</v>
      </c>
      <c r="B490" s="50" t="s">
        <v>182</v>
      </c>
      <c r="C490" s="51" t="s">
        <v>181</v>
      </c>
      <c r="D490" s="87" t="s">
        <v>292</v>
      </c>
      <c r="E490" s="126"/>
      <c r="F490" s="79">
        <f>BPU!E490</f>
        <v>0</v>
      </c>
      <c r="G490" s="95">
        <f t="shared" si="10"/>
        <v>0</v>
      </c>
    </row>
    <row r="491" spans="1:7" x14ac:dyDescent="0.3">
      <c r="A491" s="150" t="s">
        <v>850</v>
      </c>
      <c r="B491" s="50" t="s">
        <v>1273</v>
      </c>
      <c r="C491" s="51" t="s">
        <v>181</v>
      </c>
      <c r="D491" s="87" t="s">
        <v>292</v>
      </c>
      <c r="E491" s="126"/>
      <c r="F491" s="79">
        <f>BPU!E491</f>
        <v>0</v>
      </c>
      <c r="G491" s="95">
        <f t="shared" si="10"/>
        <v>0</v>
      </c>
    </row>
    <row r="492" spans="1:7" x14ac:dyDescent="0.3">
      <c r="A492" s="150" t="s">
        <v>851</v>
      </c>
      <c r="B492" s="50" t="s">
        <v>183</v>
      </c>
      <c r="C492" s="51" t="s">
        <v>181</v>
      </c>
      <c r="D492" s="87" t="s">
        <v>292</v>
      </c>
      <c r="E492" s="126"/>
      <c r="F492" s="79">
        <f>BPU!E492</f>
        <v>0</v>
      </c>
      <c r="G492" s="95">
        <f t="shared" si="10"/>
        <v>0</v>
      </c>
    </row>
    <row r="493" spans="1:7" ht="26.4" customHeight="1" x14ac:dyDescent="0.3">
      <c r="A493" s="150" t="s">
        <v>852</v>
      </c>
      <c r="B493" s="50" t="s">
        <v>184</v>
      </c>
      <c r="C493" s="51" t="s">
        <v>181</v>
      </c>
      <c r="D493" s="87" t="s">
        <v>292</v>
      </c>
      <c r="E493" s="126"/>
      <c r="F493" s="79">
        <f>BPU!E493</f>
        <v>0</v>
      </c>
      <c r="G493" s="95">
        <f t="shared" si="10"/>
        <v>0</v>
      </c>
    </row>
    <row r="494" spans="1:7" ht="26.4" customHeight="1" x14ac:dyDescent="0.3">
      <c r="A494" s="150" t="s">
        <v>853</v>
      </c>
      <c r="B494" s="50" t="s">
        <v>185</v>
      </c>
      <c r="C494" s="51" t="s">
        <v>181</v>
      </c>
      <c r="D494" s="87" t="s">
        <v>292</v>
      </c>
      <c r="E494" s="126"/>
      <c r="F494" s="79">
        <f>BPU!E494</f>
        <v>0</v>
      </c>
      <c r="G494" s="95">
        <f t="shared" si="10"/>
        <v>0</v>
      </c>
    </row>
    <row r="495" spans="1:7" x14ac:dyDescent="0.3">
      <c r="A495" s="52" t="s">
        <v>854</v>
      </c>
      <c r="B495" s="46" t="s">
        <v>304</v>
      </c>
      <c r="C495" s="51"/>
      <c r="D495" s="87"/>
      <c r="E495" s="126"/>
      <c r="F495" s="79">
        <f>BPU!E495</f>
        <v>0</v>
      </c>
      <c r="G495" s="95">
        <f t="shared" si="10"/>
        <v>0</v>
      </c>
    </row>
    <row r="496" spans="1:7" ht="18.600000000000001" customHeight="1" x14ac:dyDescent="0.3">
      <c r="A496" s="150" t="s">
        <v>855</v>
      </c>
      <c r="B496" s="50" t="s">
        <v>305</v>
      </c>
      <c r="C496" s="51" t="s">
        <v>197</v>
      </c>
      <c r="D496" s="87" t="s">
        <v>292</v>
      </c>
      <c r="E496" s="126"/>
      <c r="F496" s="79">
        <f>BPU!E496</f>
        <v>0</v>
      </c>
      <c r="G496" s="95">
        <f t="shared" si="10"/>
        <v>0</v>
      </c>
    </row>
    <row r="497" spans="1:8" ht="18.600000000000001" customHeight="1" x14ac:dyDescent="0.3">
      <c r="A497" s="150" t="s">
        <v>856</v>
      </c>
      <c r="B497" s="50" t="s">
        <v>306</v>
      </c>
      <c r="C497" s="51" t="s">
        <v>197</v>
      </c>
      <c r="D497" s="87" t="s">
        <v>292</v>
      </c>
      <c r="E497" s="126"/>
      <c r="F497" s="79">
        <f>BPU!E497</f>
        <v>0</v>
      </c>
      <c r="G497" s="95">
        <f t="shared" si="10"/>
        <v>0</v>
      </c>
    </row>
    <row r="498" spans="1:8" ht="18.600000000000001" customHeight="1" x14ac:dyDescent="0.3">
      <c r="A498" s="150" t="s">
        <v>857</v>
      </c>
      <c r="B498" s="50" t="s">
        <v>307</v>
      </c>
      <c r="C498" s="51" t="s">
        <v>197</v>
      </c>
      <c r="D498" s="87" t="s">
        <v>292</v>
      </c>
      <c r="E498" s="126"/>
      <c r="F498" s="79">
        <f>BPU!E498</f>
        <v>0</v>
      </c>
      <c r="G498" s="95">
        <f t="shared" si="10"/>
        <v>0</v>
      </c>
    </row>
    <row r="499" spans="1:8" ht="18.600000000000001" customHeight="1" x14ac:dyDescent="0.3">
      <c r="A499" s="150" t="s">
        <v>858</v>
      </c>
      <c r="B499" s="50" t="s">
        <v>308</v>
      </c>
      <c r="C499" s="51" t="s">
        <v>197</v>
      </c>
      <c r="D499" s="87" t="s">
        <v>292</v>
      </c>
      <c r="E499" s="126"/>
      <c r="F499" s="79">
        <f>BPU!E499</f>
        <v>0</v>
      </c>
      <c r="G499" s="95">
        <f t="shared" si="10"/>
        <v>0</v>
      </c>
    </row>
    <row r="500" spans="1:8" ht="18.600000000000001" customHeight="1" x14ac:dyDescent="0.3">
      <c r="A500" s="150" t="s">
        <v>859</v>
      </c>
      <c r="B500" s="50" t="s">
        <v>309</v>
      </c>
      <c r="C500" s="51" t="s">
        <v>197</v>
      </c>
      <c r="D500" s="87" t="s">
        <v>292</v>
      </c>
      <c r="E500" s="126"/>
      <c r="F500" s="79">
        <f>BPU!E500</f>
        <v>0</v>
      </c>
      <c r="G500" s="95">
        <f t="shared" si="10"/>
        <v>0</v>
      </c>
    </row>
    <row r="501" spans="1:8" ht="18.600000000000001" customHeight="1" x14ac:dyDescent="0.3">
      <c r="A501" s="150" t="s">
        <v>860</v>
      </c>
      <c r="B501" s="50" t="s">
        <v>310</v>
      </c>
      <c r="C501" s="51" t="s">
        <v>197</v>
      </c>
      <c r="D501" s="87" t="s">
        <v>292</v>
      </c>
      <c r="E501" s="126"/>
      <c r="F501" s="79">
        <f>BPU!E501</f>
        <v>0</v>
      </c>
      <c r="G501" s="95">
        <f t="shared" ref="G501:G564" si="13">E501*F501</f>
        <v>0</v>
      </c>
    </row>
    <row r="502" spans="1:8" ht="18.600000000000001" customHeight="1" x14ac:dyDescent="0.3">
      <c r="A502" s="150" t="s">
        <v>861</v>
      </c>
      <c r="B502" s="50" t="s">
        <v>311</v>
      </c>
      <c r="C502" s="51" t="s">
        <v>197</v>
      </c>
      <c r="D502" s="87" t="s">
        <v>292</v>
      </c>
      <c r="E502" s="126"/>
      <c r="F502" s="79">
        <f>BPU!E502</f>
        <v>0</v>
      </c>
      <c r="G502" s="95">
        <f t="shared" si="13"/>
        <v>0</v>
      </c>
    </row>
    <row r="503" spans="1:8" ht="24.6" customHeight="1" x14ac:dyDescent="0.3">
      <c r="A503" s="150" t="s">
        <v>862</v>
      </c>
      <c r="B503" s="50" t="s">
        <v>313</v>
      </c>
      <c r="C503" s="51" t="s">
        <v>17</v>
      </c>
      <c r="D503" s="87" t="s">
        <v>292</v>
      </c>
      <c r="E503" s="126"/>
      <c r="F503" s="79">
        <f>BPU!E503</f>
        <v>0</v>
      </c>
      <c r="G503" s="95">
        <f t="shared" si="13"/>
        <v>0</v>
      </c>
    </row>
    <row r="504" spans="1:8" ht="31.2" customHeight="1" x14ac:dyDescent="0.3">
      <c r="A504" s="150" t="s">
        <v>863</v>
      </c>
      <c r="B504" s="50" t="s">
        <v>312</v>
      </c>
      <c r="C504" s="51" t="s">
        <v>17</v>
      </c>
      <c r="D504" s="87" t="s">
        <v>292</v>
      </c>
      <c r="E504" s="126"/>
      <c r="F504" s="79">
        <f>BPU!E504</f>
        <v>0</v>
      </c>
      <c r="G504" s="95">
        <f t="shared" si="13"/>
        <v>0</v>
      </c>
    </row>
    <row r="505" spans="1:8" s="66" customFormat="1" ht="18.600000000000001" customHeight="1" x14ac:dyDescent="0.3">
      <c r="A505" s="52" t="s">
        <v>864</v>
      </c>
      <c r="B505" s="46" t="s">
        <v>201</v>
      </c>
      <c r="C505" s="71"/>
      <c r="D505" s="89"/>
      <c r="E505" s="133"/>
      <c r="F505" s="79">
        <f>BPU!E505</f>
        <v>0</v>
      </c>
      <c r="G505" s="95">
        <f t="shared" si="13"/>
        <v>0</v>
      </c>
    </row>
    <row r="506" spans="1:8" ht="18.600000000000001" customHeight="1" x14ac:dyDescent="0.3">
      <c r="A506" s="150" t="s">
        <v>865</v>
      </c>
      <c r="B506" s="50" t="s">
        <v>202</v>
      </c>
      <c r="C506" s="51" t="s">
        <v>164</v>
      </c>
      <c r="D506" s="87" t="s">
        <v>292</v>
      </c>
      <c r="E506" s="126">
        <v>1</v>
      </c>
      <c r="F506" s="79">
        <f>BPU!E506</f>
        <v>0</v>
      </c>
      <c r="G506" s="95">
        <f t="shared" si="13"/>
        <v>0</v>
      </c>
      <c r="H506" s="139"/>
    </row>
    <row r="507" spans="1:8" ht="18.600000000000001" customHeight="1" x14ac:dyDescent="0.3">
      <c r="A507" s="150" t="s">
        <v>866</v>
      </c>
      <c r="B507" s="50" t="s">
        <v>203</v>
      </c>
      <c r="C507" s="51" t="s">
        <v>164</v>
      </c>
      <c r="D507" s="87" t="s">
        <v>292</v>
      </c>
      <c r="E507" s="126">
        <v>1</v>
      </c>
      <c r="F507" s="79">
        <f>BPU!E507</f>
        <v>0</v>
      </c>
      <c r="G507" s="95">
        <f t="shared" si="13"/>
        <v>0</v>
      </c>
    </row>
    <row r="508" spans="1:8" ht="18.600000000000001" customHeight="1" x14ac:dyDescent="0.3">
      <c r="A508" s="150" t="s">
        <v>867</v>
      </c>
      <c r="B508" s="50" t="s">
        <v>204</v>
      </c>
      <c r="C508" s="51" t="s">
        <v>164</v>
      </c>
      <c r="D508" s="87" t="s">
        <v>292</v>
      </c>
      <c r="E508" s="126">
        <v>1</v>
      </c>
      <c r="F508" s="79">
        <f>BPU!E508</f>
        <v>0</v>
      </c>
      <c r="G508" s="95">
        <f t="shared" si="13"/>
        <v>0</v>
      </c>
    </row>
    <row r="509" spans="1:8" ht="18.600000000000001" customHeight="1" x14ac:dyDescent="0.3">
      <c r="A509" s="150" t="s">
        <v>868</v>
      </c>
      <c r="B509" s="50" t="s">
        <v>205</v>
      </c>
      <c r="C509" s="51" t="s">
        <v>164</v>
      </c>
      <c r="D509" s="87" t="s">
        <v>292</v>
      </c>
      <c r="E509" s="126">
        <v>1</v>
      </c>
      <c r="F509" s="79">
        <f>BPU!E509</f>
        <v>0</v>
      </c>
      <c r="G509" s="95">
        <f t="shared" si="13"/>
        <v>0</v>
      </c>
    </row>
    <row r="510" spans="1:8" ht="18.600000000000001" customHeight="1" x14ac:dyDescent="0.3">
      <c r="A510" s="150" t="s">
        <v>869</v>
      </c>
      <c r="B510" s="50" t="s">
        <v>206</v>
      </c>
      <c r="C510" s="51" t="s">
        <v>164</v>
      </c>
      <c r="D510" s="87" t="s">
        <v>292</v>
      </c>
      <c r="E510" s="126">
        <v>1</v>
      </c>
      <c r="F510" s="79">
        <f>BPU!E510</f>
        <v>0</v>
      </c>
      <c r="G510" s="95">
        <f t="shared" si="13"/>
        <v>0</v>
      </c>
    </row>
    <row r="511" spans="1:8" ht="25.2" customHeight="1" x14ac:dyDescent="0.3">
      <c r="A511" s="150" t="s">
        <v>870</v>
      </c>
      <c r="B511" s="50" t="s">
        <v>353</v>
      </c>
      <c r="C511" s="67" t="s">
        <v>333</v>
      </c>
      <c r="D511" s="87" t="s">
        <v>292</v>
      </c>
      <c r="E511" s="126">
        <v>34</v>
      </c>
      <c r="F511" s="79">
        <f>BPU!E511</f>
        <v>0</v>
      </c>
      <c r="G511" s="95">
        <f t="shared" si="13"/>
        <v>0</v>
      </c>
    </row>
    <row r="512" spans="1:8" ht="18.600000000000001" customHeight="1" thickBot="1" x14ac:dyDescent="0.35">
      <c r="A512" s="150" t="s">
        <v>871</v>
      </c>
      <c r="B512" s="50" t="s">
        <v>207</v>
      </c>
      <c r="C512" s="51" t="s">
        <v>17</v>
      </c>
      <c r="D512" s="87" t="s">
        <v>292</v>
      </c>
      <c r="E512" s="126">
        <v>25</v>
      </c>
      <c r="F512" s="79">
        <f>BPU!E512</f>
        <v>0</v>
      </c>
      <c r="G512" s="95">
        <f t="shared" si="13"/>
        <v>0</v>
      </c>
    </row>
    <row r="513" spans="1:8" ht="19.8" customHeight="1" thickBot="1" x14ac:dyDescent="0.35">
      <c r="A513" s="52"/>
      <c r="B513" s="96" t="s">
        <v>392</v>
      </c>
      <c r="C513" s="51"/>
      <c r="D513" s="87"/>
      <c r="E513" s="126"/>
      <c r="F513" s="79">
        <f>BPU!E513</f>
        <v>0</v>
      </c>
      <c r="G513" s="146">
        <f>SUM(G416:G512)</f>
        <v>0</v>
      </c>
    </row>
    <row r="514" spans="1:8" s="58" customFormat="1" ht="16.8" customHeight="1" x14ac:dyDescent="0.3">
      <c r="A514" s="70" t="s">
        <v>52</v>
      </c>
      <c r="B514" s="70" t="s">
        <v>354</v>
      </c>
      <c r="C514" s="52"/>
      <c r="D514" s="87"/>
      <c r="E514" s="126"/>
      <c r="F514" s="79">
        <f>BPU!E514</f>
        <v>0</v>
      </c>
      <c r="G514" s="95">
        <f t="shared" si="13"/>
        <v>0</v>
      </c>
      <c r="H514" s="136"/>
    </row>
    <row r="515" spans="1:8" ht="18.600000000000001" customHeight="1" x14ac:dyDescent="0.3">
      <c r="A515" s="52" t="s">
        <v>53</v>
      </c>
      <c r="B515" s="46" t="s">
        <v>161</v>
      </c>
      <c r="C515" s="52"/>
      <c r="D515" s="87"/>
      <c r="E515" s="126"/>
      <c r="F515" s="79">
        <f>BPU!E515</f>
        <v>0</v>
      </c>
      <c r="G515" s="95">
        <f t="shared" si="13"/>
        <v>0</v>
      </c>
    </row>
    <row r="516" spans="1:8" ht="28.8" customHeight="1" x14ac:dyDescent="0.3">
      <c r="A516" s="150" t="s">
        <v>872</v>
      </c>
      <c r="B516" s="153" t="s">
        <v>1308</v>
      </c>
      <c r="C516" s="51" t="s">
        <v>181</v>
      </c>
      <c r="D516" s="87" t="s">
        <v>292</v>
      </c>
      <c r="E516" s="126">
        <v>51.52</v>
      </c>
      <c r="F516" s="79">
        <f>BPU!E516</f>
        <v>0</v>
      </c>
      <c r="G516" s="95">
        <f t="shared" si="13"/>
        <v>0</v>
      </c>
    </row>
    <row r="517" spans="1:8" ht="18.600000000000001" customHeight="1" x14ac:dyDescent="0.3">
      <c r="A517" s="150" t="s">
        <v>873</v>
      </c>
      <c r="B517" s="154" t="s">
        <v>1287</v>
      </c>
      <c r="C517" s="51" t="s">
        <v>17</v>
      </c>
      <c r="D517" s="87" t="s">
        <v>292</v>
      </c>
      <c r="E517" s="126">
        <v>0</v>
      </c>
      <c r="F517" s="79">
        <f>BPU!E517</f>
        <v>0</v>
      </c>
      <c r="G517" s="95">
        <f t="shared" si="13"/>
        <v>0</v>
      </c>
    </row>
    <row r="518" spans="1:8" ht="18.600000000000001" customHeight="1" x14ac:dyDescent="0.3">
      <c r="A518" s="150" t="s">
        <v>874</v>
      </c>
      <c r="B518" s="52" t="s">
        <v>210</v>
      </c>
      <c r="C518" s="51" t="s">
        <v>197</v>
      </c>
      <c r="D518" s="87" t="s">
        <v>292</v>
      </c>
      <c r="E518" s="126">
        <v>0</v>
      </c>
      <c r="F518" s="79">
        <f>BPU!E518</f>
        <v>0</v>
      </c>
      <c r="G518" s="95">
        <f t="shared" si="13"/>
        <v>0</v>
      </c>
    </row>
    <row r="519" spans="1:8" ht="18.600000000000001" customHeight="1" x14ac:dyDescent="0.3">
      <c r="A519" s="150" t="s">
        <v>875</v>
      </c>
      <c r="B519" s="52" t="s">
        <v>209</v>
      </c>
      <c r="C519" s="51" t="s">
        <v>197</v>
      </c>
      <c r="D519" s="87" t="s">
        <v>292</v>
      </c>
      <c r="E519" s="126">
        <v>0</v>
      </c>
      <c r="F519" s="79">
        <f>BPU!E519</f>
        <v>0</v>
      </c>
      <c r="G519" s="95">
        <f t="shared" si="13"/>
        <v>0</v>
      </c>
    </row>
    <row r="520" spans="1:8" ht="18.600000000000001" customHeight="1" x14ac:dyDescent="0.3">
      <c r="A520" s="150" t="s">
        <v>876</v>
      </c>
      <c r="B520" s="154" t="s">
        <v>1288</v>
      </c>
      <c r="C520" s="51" t="s">
        <v>181</v>
      </c>
      <c r="D520" s="87" t="s">
        <v>292</v>
      </c>
      <c r="E520" s="126">
        <v>0</v>
      </c>
      <c r="F520" s="79">
        <f>BPU!E520</f>
        <v>0</v>
      </c>
      <c r="G520" s="95">
        <f t="shared" si="13"/>
        <v>0</v>
      </c>
    </row>
    <row r="521" spans="1:8" ht="18.600000000000001" customHeight="1" x14ac:dyDescent="0.3">
      <c r="A521" s="150" t="s">
        <v>877</v>
      </c>
      <c r="B521" s="52" t="s">
        <v>293</v>
      </c>
      <c r="C521" s="51" t="s">
        <v>181</v>
      </c>
      <c r="D521" s="87" t="s">
        <v>292</v>
      </c>
      <c r="E521" s="126">
        <v>0</v>
      </c>
      <c r="F521" s="79">
        <f>BPU!E521</f>
        <v>0</v>
      </c>
      <c r="G521" s="95">
        <f t="shared" si="13"/>
        <v>0</v>
      </c>
    </row>
    <row r="522" spans="1:8" ht="28.2" customHeight="1" x14ac:dyDescent="0.3">
      <c r="A522" s="150" t="s">
        <v>878</v>
      </c>
      <c r="B522" s="61" t="s">
        <v>198</v>
      </c>
      <c r="C522" s="51" t="s">
        <v>79</v>
      </c>
      <c r="D522" s="87" t="s">
        <v>158</v>
      </c>
      <c r="E522" s="126">
        <v>0</v>
      </c>
      <c r="F522" s="79">
        <f>BPU!E522</f>
        <v>0</v>
      </c>
      <c r="G522" s="95">
        <f t="shared" si="13"/>
        <v>0</v>
      </c>
    </row>
    <row r="523" spans="1:8" ht="18.600000000000001" customHeight="1" x14ac:dyDescent="0.3">
      <c r="A523" s="52" t="s">
        <v>59</v>
      </c>
      <c r="B523" s="46" t="s">
        <v>208</v>
      </c>
      <c r="C523" s="51"/>
      <c r="D523" s="87"/>
      <c r="E523" s="126"/>
      <c r="F523" s="79">
        <f>BPU!E523</f>
        <v>0</v>
      </c>
      <c r="G523" s="95">
        <f t="shared" si="13"/>
        <v>0</v>
      </c>
    </row>
    <row r="524" spans="1:8" ht="18.600000000000001" customHeight="1" x14ac:dyDescent="0.3">
      <c r="A524" s="150" t="s">
        <v>879</v>
      </c>
      <c r="B524" s="52" t="s">
        <v>211</v>
      </c>
      <c r="C524" s="51" t="s">
        <v>230</v>
      </c>
      <c r="D524" s="87" t="s">
        <v>292</v>
      </c>
      <c r="E524" s="126">
        <v>0</v>
      </c>
      <c r="F524" s="79">
        <f>BPU!E524</f>
        <v>0</v>
      </c>
      <c r="G524" s="95">
        <f t="shared" si="13"/>
        <v>0</v>
      </c>
    </row>
    <row r="525" spans="1:8" ht="18.600000000000001" customHeight="1" x14ac:dyDescent="0.3">
      <c r="A525" s="150" t="s">
        <v>880</v>
      </c>
      <c r="B525" s="52" t="s">
        <v>212</v>
      </c>
      <c r="C525" s="51" t="s">
        <v>230</v>
      </c>
      <c r="D525" s="87" t="s">
        <v>292</v>
      </c>
      <c r="E525" s="126">
        <v>0</v>
      </c>
      <c r="F525" s="79">
        <f>BPU!E525</f>
        <v>0</v>
      </c>
      <c r="G525" s="95">
        <f t="shared" si="13"/>
        <v>0</v>
      </c>
    </row>
    <row r="526" spans="1:8" ht="18.600000000000001" customHeight="1" x14ac:dyDescent="0.3">
      <c r="A526" s="52" t="s">
        <v>60</v>
      </c>
      <c r="B526" s="46" t="s">
        <v>168</v>
      </c>
      <c r="C526" s="52"/>
      <c r="D526" s="87"/>
      <c r="E526" s="126"/>
      <c r="F526" s="79">
        <f>BPU!E526</f>
        <v>0</v>
      </c>
      <c r="G526" s="95">
        <f t="shared" si="13"/>
        <v>0</v>
      </c>
    </row>
    <row r="527" spans="1:8" s="65" customFormat="1" ht="18.600000000000001" customHeight="1" x14ac:dyDescent="0.3">
      <c r="A527" s="150" t="s">
        <v>881</v>
      </c>
      <c r="B527" s="50" t="s">
        <v>213</v>
      </c>
      <c r="C527" s="51" t="s">
        <v>230</v>
      </c>
      <c r="D527" s="88" t="s">
        <v>292</v>
      </c>
      <c r="E527" s="130">
        <v>0</v>
      </c>
      <c r="F527" s="79">
        <f>BPU!E527</f>
        <v>0</v>
      </c>
      <c r="G527" s="95">
        <f t="shared" si="13"/>
        <v>0</v>
      </c>
      <c r="H527" s="66"/>
    </row>
    <row r="528" spans="1:8" s="65" customFormat="1" ht="18.600000000000001" customHeight="1" x14ac:dyDescent="0.3">
      <c r="A528" s="150" t="s">
        <v>882</v>
      </c>
      <c r="B528" s="50" t="s">
        <v>187</v>
      </c>
      <c r="C528" s="51" t="s">
        <v>230</v>
      </c>
      <c r="D528" s="88" t="s">
        <v>292</v>
      </c>
      <c r="E528" s="130">
        <v>0</v>
      </c>
      <c r="F528" s="79">
        <f>BPU!E528</f>
        <v>0</v>
      </c>
      <c r="G528" s="95">
        <f t="shared" si="13"/>
        <v>0</v>
      </c>
      <c r="H528" s="66"/>
    </row>
    <row r="529" spans="1:8" s="65" customFormat="1" ht="18.600000000000001" customHeight="1" x14ac:dyDescent="0.3">
      <c r="A529" s="150" t="s">
        <v>883</v>
      </c>
      <c r="B529" s="50" t="s">
        <v>214</v>
      </c>
      <c r="C529" s="51" t="s">
        <v>230</v>
      </c>
      <c r="D529" s="88" t="s">
        <v>292</v>
      </c>
      <c r="E529" s="130">
        <v>0</v>
      </c>
      <c r="F529" s="79">
        <f>BPU!E529</f>
        <v>0</v>
      </c>
      <c r="G529" s="95">
        <f t="shared" si="13"/>
        <v>0</v>
      </c>
      <c r="H529" s="66"/>
    </row>
    <row r="530" spans="1:8" s="65" customFormat="1" ht="33" customHeight="1" x14ac:dyDescent="0.3">
      <c r="A530" s="150" t="s">
        <v>884</v>
      </c>
      <c r="B530" s="50" t="s">
        <v>215</v>
      </c>
      <c r="C530" s="51" t="s">
        <v>230</v>
      </c>
      <c r="D530" s="88" t="s">
        <v>292</v>
      </c>
      <c r="E530" s="130">
        <f>51.52*0.1</f>
        <v>5.152000000000001</v>
      </c>
      <c r="F530" s="79">
        <f>BPU!E530</f>
        <v>0</v>
      </c>
      <c r="G530" s="95">
        <f t="shared" si="13"/>
        <v>0</v>
      </c>
      <c r="H530" s="66"/>
    </row>
    <row r="531" spans="1:8" ht="18.600000000000001" customHeight="1" x14ac:dyDescent="0.3">
      <c r="A531" s="52" t="s">
        <v>61</v>
      </c>
      <c r="B531" s="46" t="s">
        <v>169</v>
      </c>
      <c r="C531" s="52"/>
      <c r="D531" s="87"/>
      <c r="E531" s="126"/>
      <c r="F531" s="79">
        <f>BPU!E531</f>
        <v>0</v>
      </c>
      <c r="G531" s="95">
        <f t="shared" si="13"/>
        <v>0</v>
      </c>
    </row>
    <row r="532" spans="1:8" ht="18.600000000000001" customHeight="1" x14ac:dyDescent="0.3">
      <c r="A532" s="150" t="s">
        <v>885</v>
      </c>
      <c r="B532" s="50" t="s">
        <v>216</v>
      </c>
      <c r="C532" s="51" t="s">
        <v>230</v>
      </c>
      <c r="D532" s="87" t="s">
        <v>292</v>
      </c>
      <c r="E532" s="126">
        <v>0</v>
      </c>
      <c r="F532" s="79">
        <f>BPU!E532</f>
        <v>0</v>
      </c>
      <c r="G532" s="95">
        <f t="shared" si="13"/>
        <v>0</v>
      </c>
    </row>
    <row r="533" spans="1:8" ht="18.600000000000001" customHeight="1" x14ac:dyDescent="0.3">
      <c r="A533" s="150" t="s">
        <v>886</v>
      </c>
      <c r="B533" s="50" t="s">
        <v>217</v>
      </c>
      <c r="C533" s="51" t="s">
        <v>230</v>
      </c>
      <c r="D533" s="87" t="s">
        <v>292</v>
      </c>
      <c r="E533" s="126">
        <v>0</v>
      </c>
      <c r="F533" s="79">
        <f>BPU!E533</f>
        <v>0</v>
      </c>
      <c r="G533" s="95">
        <f t="shared" si="13"/>
        <v>0</v>
      </c>
    </row>
    <row r="534" spans="1:8" ht="18.600000000000001" customHeight="1" x14ac:dyDescent="0.3">
      <c r="A534" s="150" t="s">
        <v>887</v>
      </c>
      <c r="B534" s="50" t="s">
        <v>218</v>
      </c>
      <c r="C534" s="51" t="s">
        <v>230</v>
      </c>
      <c r="D534" s="87" t="s">
        <v>292</v>
      </c>
      <c r="E534" s="126">
        <v>0</v>
      </c>
      <c r="F534" s="79">
        <f>BPU!E534</f>
        <v>0</v>
      </c>
      <c r="G534" s="95">
        <f t="shared" si="13"/>
        <v>0</v>
      </c>
    </row>
    <row r="535" spans="1:8" ht="18.600000000000001" customHeight="1" x14ac:dyDescent="0.3">
      <c r="A535" s="150" t="s">
        <v>888</v>
      </c>
      <c r="B535" s="50" t="s">
        <v>219</v>
      </c>
      <c r="C535" s="51" t="s">
        <v>230</v>
      </c>
      <c r="D535" s="87" t="s">
        <v>292</v>
      </c>
      <c r="E535" s="126">
        <v>0</v>
      </c>
      <c r="F535" s="79">
        <f>BPU!E535</f>
        <v>0</v>
      </c>
      <c r="G535" s="95">
        <f t="shared" si="13"/>
        <v>0</v>
      </c>
    </row>
    <row r="536" spans="1:8" ht="18.600000000000001" customHeight="1" x14ac:dyDescent="0.3">
      <c r="A536" s="150" t="s">
        <v>889</v>
      </c>
      <c r="B536" s="50" t="s">
        <v>220</v>
      </c>
      <c r="C536" s="51" t="s">
        <v>230</v>
      </c>
      <c r="D536" s="87" t="s">
        <v>292</v>
      </c>
      <c r="E536" s="126">
        <v>0</v>
      </c>
      <c r="F536" s="79">
        <f>BPU!E536</f>
        <v>0</v>
      </c>
      <c r="G536" s="95">
        <f t="shared" si="13"/>
        <v>0</v>
      </c>
    </row>
    <row r="537" spans="1:8" ht="18.600000000000001" customHeight="1" x14ac:dyDescent="0.3">
      <c r="A537" s="150" t="s">
        <v>890</v>
      </c>
      <c r="B537" s="50" t="s">
        <v>221</v>
      </c>
      <c r="C537" s="51" t="s">
        <v>230</v>
      </c>
      <c r="D537" s="87" t="s">
        <v>292</v>
      </c>
      <c r="E537" s="126">
        <v>0</v>
      </c>
      <c r="F537" s="79">
        <f>BPU!E537</f>
        <v>0</v>
      </c>
      <c r="G537" s="95">
        <f t="shared" si="13"/>
        <v>0</v>
      </c>
    </row>
    <row r="538" spans="1:8" ht="18.600000000000001" customHeight="1" x14ac:dyDescent="0.3">
      <c r="A538" s="150" t="s">
        <v>891</v>
      </c>
      <c r="B538" s="50" t="s">
        <v>222</v>
      </c>
      <c r="C538" s="51" t="s">
        <v>230</v>
      </c>
      <c r="D538" s="87" t="s">
        <v>292</v>
      </c>
      <c r="E538" s="126">
        <v>0</v>
      </c>
      <c r="F538" s="79">
        <f>BPU!E538</f>
        <v>0</v>
      </c>
      <c r="G538" s="95">
        <f t="shared" si="13"/>
        <v>0</v>
      </c>
    </row>
    <row r="539" spans="1:8" ht="18.600000000000001" customHeight="1" x14ac:dyDescent="0.3">
      <c r="A539" s="52" t="s">
        <v>62</v>
      </c>
      <c r="B539" s="46" t="s">
        <v>170</v>
      </c>
      <c r="C539" s="52"/>
      <c r="D539" s="87"/>
      <c r="E539" s="126"/>
      <c r="F539" s="79">
        <f>BPU!E539</f>
        <v>0</v>
      </c>
      <c r="G539" s="95">
        <f t="shared" si="13"/>
        <v>0</v>
      </c>
    </row>
    <row r="540" spans="1:8" ht="18.600000000000001" customHeight="1" x14ac:dyDescent="0.3">
      <c r="A540" s="150" t="s">
        <v>892</v>
      </c>
      <c r="B540" s="50" t="s">
        <v>223</v>
      </c>
      <c r="C540" s="51" t="s">
        <v>230</v>
      </c>
      <c r="D540" s="87" t="s">
        <v>292</v>
      </c>
      <c r="E540" s="126">
        <v>0</v>
      </c>
      <c r="F540" s="79">
        <f>BPU!E540</f>
        <v>0</v>
      </c>
      <c r="G540" s="95">
        <f t="shared" si="13"/>
        <v>0</v>
      </c>
    </row>
    <row r="541" spans="1:8" ht="18.600000000000001" customHeight="1" x14ac:dyDescent="0.3">
      <c r="A541" s="150" t="s">
        <v>893</v>
      </c>
      <c r="B541" s="50" t="s">
        <v>224</v>
      </c>
      <c r="C541" s="51" t="s">
        <v>230</v>
      </c>
      <c r="D541" s="87" t="s">
        <v>292</v>
      </c>
      <c r="E541" s="126">
        <f>51.52*0.25</f>
        <v>12.88</v>
      </c>
      <c r="F541" s="79">
        <f>BPU!E541</f>
        <v>0</v>
      </c>
      <c r="G541" s="95">
        <f t="shared" si="13"/>
        <v>0</v>
      </c>
    </row>
    <row r="542" spans="1:8" ht="18.600000000000001" customHeight="1" x14ac:dyDescent="0.3">
      <c r="A542" s="150" t="s">
        <v>894</v>
      </c>
      <c r="B542" s="50" t="s">
        <v>178</v>
      </c>
      <c r="C542" s="51" t="s">
        <v>230</v>
      </c>
      <c r="D542" s="87" t="s">
        <v>292</v>
      </c>
      <c r="E542" s="126">
        <v>0</v>
      </c>
      <c r="F542" s="79">
        <f>BPU!E542</f>
        <v>0</v>
      </c>
      <c r="G542" s="95">
        <f t="shared" si="13"/>
        <v>0</v>
      </c>
    </row>
    <row r="543" spans="1:8" ht="18.600000000000001" customHeight="1" x14ac:dyDescent="0.3">
      <c r="A543" s="52" t="s">
        <v>895</v>
      </c>
      <c r="B543" s="46" t="s">
        <v>171</v>
      </c>
      <c r="C543" s="52"/>
      <c r="D543" s="87"/>
      <c r="E543" s="126"/>
      <c r="F543" s="79">
        <f>BPU!E543</f>
        <v>0</v>
      </c>
      <c r="G543" s="95">
        <f t="shared" si="13"/>
        <v>0</v>
      </c>
    </row>
    <row r="544" spans="1:8" ht="26.4" customHeight="1" x14ac:dyDescent="0.3">
      <c r="A544" s="150" t="s">
        <v>896</v>
      </c>
      <c r="B544" s="50" t="s">
        <v>229</v>
      </c>
      <c r="C544" s="51" t="s">
        <v>181</v>
      </c>
      <c r="D544" s="87" t="s">
        <v>292</v>
      </c>
      <c r="E544" s="126">
        <v>0</v>
      </c>
      <c r="F544" s="79">
        <f>BPU!E544</f>
        <v>0</v>
      </c>
      <c r="G544" s="95">
        <f t="shared" si="13"/>
        <v>0</v>
      </c>
    </row>
    <row r="545" spans="1:7" ht="18.600000000000001" customHeight="1" x14ac:dyDescent="0.3">
      <c r="A545" s="150" t="s">
        <v>897</v>
      </c>
      <c r="B545" s="50" t="s">
        <v>225</v>
      </c>
      <c r="C545" s="51" t="s">
        <v>181</v>
      </c>
      <c r="D545" s="87" t="s">
        <v>292</v>
      </c>
      <c r="E545" s="126">
        <v>0</v>
      </c>
      <c r="F545" s="79">
        <f>BPU!E545</f>
        <v>0</v>
      </c>
      <c r="G545" s="95">
        <f t="shared" si="13"/>
        <v>0</v>
      </c>
    </row>
    <row r="546" spans="1:7" ht="18.600000000000001" customHeight="1" x14ac:dyDescent="0.3">
      <c r="A546" s="150" t="s">
        <v>898</v>
      </c>
      <c r="B546" s="50" t="s">
        <v>226</v>
      </c>
      <c r="C546" s="51" t="s">
        <v>181</v>
      </c>
      <c r="D546" s="87" t="s">
        <v>292</v>
      </c>
      <c r="E546" s="126">
        <v>0</v>
      </c>
      <c r="F546" s="79">
        <f>BPU!E546</f>
        <v>0</v>
      </c>
      <c r="G546" s="95">
        <f t="shared" si="13"/>
        <v>0</v>
      </c>
    </row>
    <row r="547" spans="1:7" ht="18.600000000000001" customHeight="1" x14ac:dyDescent="0.3">
      <c r="A547" s="150" t="s">
        <v>899</v>
      </c>
      <c r="B547" s="50" t="s">
        <v>227</v>
      </c>
      <c r="C547" s="51" t="s">
        <v>181</v>
      </c>
      <c r="D547" s="87" t="s">
        <v>292</v>
      </c>
      <c r="E547" s="126">
        <v>0</v>
      </c>
      <c r="F547" s="79">
        <f>BPU!E547</f>
        <v>0</v>
      </c>
      <c r="G547" s="95">
        <f t="shared" si="13"/>
        <v>0</v>
      </c>
    </row>
    <row r="548" spans="1:7" ht="18.600000000000001" customHeight="1" x14ac:dyDescent="0.3">
      <c r="A548" s="150" t="s">
        <v>900</v>
      </c>
      <c r="B548" s="50" t="s">
        <v>228</v>
      </c>
      <c r="C548" s="51" t="s">
        <v>181</v>
      </c>
      <c r="D548" s="87" t="s">
        <v>292</v>
      </c>
      <c r="E548" s="126">
        <v>0</v>
      </c>
      <c r="F548" s="79">
        <f>BPU!E548</f>
        <v>0</v>
      </c>
      <c r="G548" s="95">
        <f t="shared" si="13"/>
        <v>0</v>
      </c>
    </row>
    <row r="549" spans="1:7" ht="18.600000000000001" customHeight="1" x14ac:dyDescent="0.3">
      <c r="A549" s="52" t="s">
        <v>901</v>
      </c>
      <c r="B549" s="46" t="s">
        <v>172</v>
      </c>
      <c r="C549" s="52"/>
      <c r="D549" s="87"/>
      <c r="E549" s="126"/>
      <c r="F549" s="79">
        <f>BPU!E549</f>
        <v>0</v>
      </c>
      <c r="G549" s="95">
        <f t="shared" si="13"/>
        <v>0</v>
      </c>
    </row>
    <row r="550" spans="1:7" ht="18.600000000000001" customHeight="1" x14ac:dyDescent="0.3">
      <c r="A550" s="150" t="s">
        <v>902</v>
      </c>
      <c r="B550" s="50" t="s">
        <v>231</v>
      </c>
      <c r="C550" s="51" t="s">
        <v>181</v>
      </c>
      <c r="D550" s="87" t="s">
        <v>292</v>
      </c>
      <c r="E550" s="126">
        <v>0</v>
      </c>
      <c r="F550" s="79">
        <f>BPU!E550</f>
        <v>0</v>
      </c>
      <c r="G550" s="95">
        <f t="shared" si="13"/>
        <v>0</v>
      </c>
    </row>
    <row r="551" spans="1:7" ht="18.600000000000001" customHeight="1" x14ac:dyDescent="0.3">
      <c r="A551" s="150" t="s">
        <v>903</v>
      </c>
      <c r="B551" s="50" t="s">
        <v>232</v>
      </c>
      <c r="C551" s="51" t="s">
        <v>181</v>
      </c>
      <c r="D551" s="87" t="s">
        <v>292</v>
      </c>
      <c r="E551" s="126">
        <v>0</v>
      </c>
      <c r="F551" s="79">
        <f>BPU!E551</f>
        <v>0</v>
      </c>
      <c r="G551" s="95">
        <f t="shared" si="13"/>
        <v>0</v>
      </c>
    </row>
    <row r="552" spans="1:7" ht="28.2" customHeight="1" x14ac:dyDescent="0.3">
      <c r="A552" s="150" t="s">
        <v>904</v>
      </c>
      <c r="B552" s="50" t="s">
        <v>233</v>
      </c>
      <c r="C552" s="51" t="s">
        <v>181</v>
      </c>
      <c r="D552" s="87" t="s">
        <v>292</v>
      </c>
      <c r="E552" s="126">
        <v>51.52</v>
      </c>
      <c r="F552" s="79">
        <f>BPU!E552</f>
        <v>0</v>
      </c>
      <c r="G552" s="95">
        <f t="shared" si="13"/>
        <v>0</v>
      </c>
    </row>
    <row r="553" spans="1:7" ht="18.600000000000001" customHeight="1" x14ac:dyDescent="0.3">
      <c r="A553" s="150" t="s">
        <v>905</v>
      </c>
      <c r="B553" s="50" t="s">
        <v>234</v>
      </c>
      <c r="C553" s="51" t="s">
        <v>181</v>
      </c>
      <c r="D553" s="87" t="s">
        <v>292</v>
      </c>
      <c r="E553" s="126">
        <v>0</v>
      </c>
      <c r="F553" s="79">
        <f>BPU!E553</f>
        <v>0</v>
      </c>
      <c r="G553" s="95">
        <f t="shared" si="13"/>
        <v>0</v>
      </c>
    </row>
    <row r="554" spans="1:7" ht="18.600000000000001" customHeight="1" x14ac:dyDescent="0.3">
      <c r="A554" s="52" t="s">
        <v>906</v>
      </c>
      <c r="B554" s="46" t="s">
        <v>173</v>
      </c>
      <c r="C554" s="52"/>
      <c r="D554" s="87"/>
      <c r="E554" s="126"/>
      <c r="F554" s="79">
        <f>BPU!E554</f>
        <v>0</v>
      </c>
      <c r="G554" s="95">
        <f t="shared" si="13"/>
        <v>0</v>
      </c>
    </row>
    <row r="555" spans="1:7" ht="18.600000000000001" customHeight="1" x14ac:dyDescent="0.3">
      <c r="A555" s="150" t="s">
        <v>907</v>
      </c>
      <c r="B555" s="152" t="s">
        <v>1294</v>
      </c>
      <c r="C555" s="51" t="s">
        <v>181</v>
      </c>
      <c r="D555" s="87" t="s">
        <v>292</v>
      </c>
      <c r="E555" s="126">
        <f>15*1.2</f>
        <v>18</v>
      </c>
      <c r="F555" s="79">
        <f>BPU!E555</f>
        <v>0</v>
      </c>
      <c r="G555" s="95">
        <f t="shared" si="13"/>
        <v>0</v>
      </c>
    </row>
    <row r="556" spans="1:7" ht="18.600000000000001" customHeight="1" x14ac:dyDescent="0.3">
      <c r="A556" s="150" t="s">
        <v>908</v>
      </c>
      <c r="B556" s="50" t="s">
        <v>235</v>
      </c>
      <c r="C556" s="51" t="s">
        <v>181</v>
      </c>
      <c r="D556" s="87" t="s">
        <v>292</v>
      </c>
      <c r="E556" s="126">
        <v>0</v>
      </c>
      <c r="F556" s="79">
        <f>BPU!E556</f>
        <v>0</v>
      </c>
      <c r="G556" s="95">
        <f t="shared" si="13"/>
        <v>0</v>
      </c>
    </row>
    <row r="557" spans="1:7" ht="18.600000000000001" customHeight="1" x14ac:dyDescent="0.3">
      <c r="A557" s="150" t="s">
        <v>909</v>
      </c>
      <c r="B557" s="50" t="s">
        <v>236</v>
      </c>
      <c r="C557" s="51" t="s">
        <v>181</v>
      </c>
      <c r="D557" s="87" t="s">
        <v>292</v>
      </c>
      <c r="E557" s="126">
        <v>35</v>
      </c>
      <c r="F557" s="79">
        <f>BPU!E557</f>
        <v>0</v>
      </c>
      <c r="G557" s="95">
        <f t="shared" si="13"/>
        <v>0</v>
      </c>
    </row>
    <row r="558" spans="1:7" ht="18.600000000000001" customHeight="1" x14ac:dyDescent="0.3">
      <c r="A558" s="150" t="s">
        <v>910</v>
      </c>
      <c r="B558" s="50" t="s">
        <v>237</v>
      </c>
      <c r="C558" s="51" t="s">
        <v>181</v>
      </c>
      <c r="D558" s="87" t="s">
        <v>292</v>
      </c>
      <c r="E558" s="126">
        <v>0</v>
      </c>
      <c r="F558" s="79">
        <f>BPU!E558</f>
        <v>0</v>
      </c>
      <c r="G558" s="95">
        <f t="shared" si="13"/>
        <v>0</v>
      </c>
    </row>
    <row r="559" spans="1:7" ht="18.600000000000001" customHeight="1" x14ac:dyDescent="0.3">
      <c r="A559" s="150" t="s">
        <v>911</v>
      </c>
      <c r="B559" s="50" t="s">
        <v>238</v>
      </c>
      <c r="C559" s="51" t="s">
        <v>181</v>
      </c>
      <c r="D559" s="87" t="s">
        <v>292</v>
      </c>
      <c r="E559" s="126">
        <v>0</v>
      </c>
      <c r="F559" s="79">
        <f>BPU!E559</f>
        <v>0</v>
      </c>
      <c r="G559" s="95">
        <f t="shared" si="13"/>
        <v>0</v>
      </c>
    </row>
    <row r="560" spans="1:7" ht="18.600000000000001" customHeight="1" x14ac:dyDescent="0.3">
      <c r="A560" s="150" t="s">
        <v>912</v>
      </c>
      <c r="B560" s="50" t="s">
        <v>179</v>
      </c>
      <c r="C560" s="51" t="s">
        <v>181</v>
      </c>
      <c r="D560" s="87" t="s">
        <v>292</v>
      </c>
      <c r="E560" s="126">
        <v>0</v>
      </c>
      <c r="F560" s="79">
        <f>BPU!E560</f>
        <v>0</v>
      </c>
      <c r="G560" s="95">
        <f t="shared" si="13"/>
        <v>0</v>
      </c>
    </row>
    <row r="561" spans="1:7" ht="18.600000000000001" customHeight="1" x14ac:dyDescent="0.3">
      <c r="A561" s="150" t="s">
        <v>913</v>
      </c>
      <c r="B561" s="50" t="s">
        <v>239</v>
      </c>
      <c r="C561" s="51" t="s">
        <v>181</v>
      </c>
      <c r="D561" s="87" t="s">
        <v>292</v>
      </c>
      <c r="E561" s="126">
        <v>0</v>
      </c>
      <c r="F561" s="79">
        <f>BPU!E561</f>
        <v>0</v>
      </c>
      <c r="G561" s="95">
        <f t="shared" si="13"/>
        <v>0</v>
      </c>
    </row>
    <row r="562" spans="1:7" ht="18.600000000000001" customHeight="1" x14ac:dyDescent="0.3">
      <c r="A562" s="52" t="s">
        <v>914</v>
      </c>
      <c r="B562" s="46" t="s">
        <v>174</v>
      </c>
      <c r="C562" s="52"/>
      <c r="D562" s="87"/>
      <c r="E562" s="126"/>
      <c r="F562" s="79">
        <f>BPU!E562</f>
        <v>0</v>
      </c>
      <c r="G562" s="95">
        <f t="shared" si="13"/>
        <v>0</v>
      </c>
    </row>
    <row r="563" spans="1:7" ht="18.600000000000001" customHeight="1" x14ac:dyDescent="0.3">
      <c r="A563" s="150" t="s">
        <v>915</v>
      </c>
      <c r="B563" s="50" t="s">
        <v>240</v>
      </c>
      <c r="C563" s="51" t="s">
        <v>181</v>
      </c>
      <c r="D563" s="87" t="s">
        <v>292</v>
      </c>
      <c r="E563" s="126">
        <v>0</v>
      </c>
      <c r="F563" s="79">
        <f>BPU!E563</f>
        <v>0</v>
      </c>
      <c r="G563" s="95">
        <f t="shared" si="13"/>
        <v>0</v>
      </c>
    </row>
    <row r="564" spans="1:7" ht="18.600000000000001" customHeight="1" x14ac:dyDescent="0.3">
      <c r="A564" s="150" t="s">
        <v>916</v>
      </c>
      <c r="B564" s="50" t="s">
        <v>241</v>
      </c>
      <c r="C564" s="51" t="s">
        <v>181</v>
      </c>
      <c r="D564" s="87" t="s">
        <v>292</v>
      </c>
      <c r="E564" s="126">
        <v>0</v>
      </c>
      <c r="F564" s="79">
        <f>BPU!E564</f>
        <v>0</v>
      </c>
      <c r="G564" s="95">
        <f t="shared" si="13"/>
        <v>0</v>
      </c>
    </row>
    <row r="565" spans="1:7" ht="18.600000000000001" customHeight="1" x14ac:dyDescent="0.3">
      <c r="A565" s="150" t="s">
        <v>917</v>
      </c>
      <c r="B565" s="50" t="s">
        <v>242</v>
      </c>
      <c r="C565" s="51" t="s">
        <v>181</v>
      </c>
      <c r="D565" s="87" t="s">
        <v>292</v>
      </c>
      <c r="E565" s="126">
        <v>0</v>
      </c>
      <c r="F565" s="79">
        <f>BPU!E565</f>
        <v>0</v>
      </c>
      <c r="G565" s="95">
        <f t="shared" ref="G565:G626" si="14">E565*F565</f>
        <v>0</v>
      </c>
    </row>
    <row r="566" spans="1:7" ht="18.600000000000001" customHeight="1" x14ac:dyDescent="0.3">
      <c r="A566" s="150" t="s">
        <v>918</v>
      </c>
      <c r="B566" s="50" t="s">
        <v>243</v>
      </c>
      <c r="C566" s="51" t="s">
        <v>181</v>
      </c>
      <c r="D566" s="87" t="s">
        <v>292</v>
      </c>
      <c r="E566" s="126">
        <v>0</v>
      </c>
      <c r="F566" s="79">
        <f>BPU!E566</f>
        <v>0</v>
      </c>
      <c r="G566" s="95">
        <f t="shared" si="14"/>
        <v>0</v>
      </c>
    </row>
    <row r="567" spans="1:7" ht="18.600000000000001" customHeight="1" x14ac:dyDescent="0.3">
      <c r="A567" s="150" t="s">
        <v>919</v>
      </c>
      <c r="B567" s="50" t="s">
        <v>244</v>
      </c>
      <c r="C567" s="51" t="s">
        <v>181</v>
      </c>
      <c r="D567" s="87" t="s">
        <v>292</v>
      </c>
      <c r="E567" s="126">
        <v>0</v>
      </c>
      <c r="F567" s="79">
        <f>BPU!E567</f>
        <v>0</v>
      </c>
      <c r="G567" s="95">
        <f t="shared" si="14"/>
        <v>0</v>
      </c>
    </row>
    <row r="568" spans="1:7" ht="18.600000000000001" customHeight="1" x14ac:dyDescent="0.3">
      <c r="A568" s="150" t="s">
        <v>920</v>
      </c>
      <c r="B568" s="50" t="s">
        <v>245</v>
      </c>
      <c r="C568" s="51" t="s">
        <v>181</v>
      </c>
      <c r="D568" s="87" t="s">
        <v>292</v>
      </c>
      <c r="E568" s="126">
        <v>0</v>
      </c>
      <c r="F568" s="79">
        <f>BPU!E568</f>
        <v>0</v>
      </c>
      <c r="G568" s="95">
        <f t="shared" si="14"/>
        <v>0</v>
      </c>
    </row>
    <row r="569" spans="1:7" ht="18.600000000000001" customHeight="1" x14ac:dyDescent="0.3">
      <c r="A569" s="150" t="s">
        <v>921</v>
      </c>
      <c r="B569" s="50" t="s">
        <v>246</v>
      </c>
      <c r="C569" s="51" t="s">
        <v>181</v>
      </c>
      <c r="D569" s="87" t="s">
        <v>292</v>
      </c>
      <c r="E569" s="126">
        <v>0</v>
      </c>
      <c r="F569" s="79">
        <f>BPU!E569</f>
        <v>0</v>
      </c>
      <c r="G569" s="95">
        <f t="shared" si="14"/>
        <v>0</v>
      </c>
    </row>
    <row r="570" spans="1:7" ht="18.600000000000001" customHeight="1" x14ac:dyDescent="0.3">
      <c r="A570" s="150" t="s">
        <v>922</v>
      </c>
      <c r="B570" s="50" t="s">
        <v>194</v>
      </c>
      <c r="C570" s="51" t="s">
        <v>181</v>
      </c>
      <c r="D570" s="87" t="s">
        <v>292</v>
      </c>
      <c r="E570" s="126">
        <v>0</v>
      </c>
      <c r="F570" s="79">
        <f>BPU!E570</f>
        <v>0</v>
      </c>
      <c r="G570" s="95">
        <f t="shared" si="14"/>
        <v>0</v>
      </c>
    </row>
    <row r="571" spans="1:7" ht="18.600000000000001" customHeight="1" x14ac:dyDescent="0.3">
      <c r="A571" s="52" t="s">
        <v>923</v>
      </c>
      <c r="B571" s="46" t="s">
        <v>175</v>
      </c>
      <c r="C571" s="52"/>
      <c r="D571" s="87"/>
      <c r="E571" s="126"/>
      <c r="F571" s="79">
        <f>BPU!E571</f>
        <v>0</v>
      </c>
      <c r="G571" s="95">
        <f t="shared" si="14"/>
        <v>0</v>
      </c>
    </row>
    <row r="572" spans="1:7" ht="18.600000000000001" customHeight="1" x14ac:dyDescent="0.3">
      <c r="A572" s="150" t="s">
        <v>924</v>
      </c>
      <c r="B572" s="50" t="s">
        <v>180</v>
      </c>
      <c r="C572" s="51" t="s">
        <v>181</v>
      </c>
      <c r="D572" s="87" t="s">
        <v>292</v>
      </c>
      <c r="E572" s="126">
        <v>0</v>
      </c>
      <c r="F572" s="79">
        <f>BPU!E572</f>
        <v>0</v>
      </c>
      <c r="G572" s="95">
        <f t="shared" si="14"/>
        <v>0</v>
      </c>
    </row>
    <row r="573" spans="1:7" ht="18.600000000000001" customHeight="1" x14ac:dyDescent="0.3">
      <c r="A573" s="52" t="s">
        <v>925</v>
      </c>
      <c r="B573" s="46" t="s">
        <v>176</v>
      </c>
      <c r="C573" s="52"/>
      <c r="D573" s="87"/>
      <c r="E573" s="126"/>
      <c r="F573" s="79">
        <f>BPU!E573</f>
        <v>0</v>
      </c>
      <c r="G573" s="95">
        <f t="shared" si="14"/>
        <v>0</v>
      </c>
    </row>
    <row r="574" spans="1:7" ht="18.600000000000001" customHeight="1" x14ac:dyDescent="0.3">
      <c r="A574" s="150" t="s">
        <v>926</v>
      </c>
      <c r="B574" s="50" t="s">
        <v>257</v>
      </c>
      <c r="C574" s="51" t="s">
        <v>181</v>
      </c>
      <c r="D574" s="87" t="s">
        <v>292</v>
      </c>
      <c r="E574" s="126">
        <v>0</v>
      </c>
      <c r="F574" s="79">
        <f>BPU!E574</f>
        <v>0</v>
      </c>
      <c r="G574" s="95">
        <f t="shared" si="14"/>
        <v>0</v>
      </c>
    </row>
    <row r="575" spans="1:7" ht="18.600000000000001" customHeight="1" x14ac:dyDescent="0.3">
      <c r="A575" s="150" t="s">
        <v>927</v>
      </c>
      <c r="B575" s="50" t="s">
        <v>253</v>
      </c>
      <c r="C575" s="51" t="s">
        <v>17</v>
      </c>
      <c r="D575" s="87" t="s">
        <v>292</v>
      </c>
      <c r="E575" s="126">
        <v>0</v>
      </c>
      <c r="F575" s="79">
        <f>BPU!E575</f>
        <v>0</v>
      </c>
      <c r="G575" s="95">
        <f t="shared" si="14"/>
        <v>0</v>
      </c>
    </row>
    <row r="576" spans="1:7" ht="18.600000000000001" customHeight="1" x14ac:dyDescent="0.3">
      <c r="A576" s="150" t="s">
        <v>928</v>
      </c>
      <c r="B576" s="50" t="s">
        <v>252</v>
      </c>
      <c r="C576" s="51" t="s">
        <v>17</v>
      </c>
      <c r="D576" s="87" t="s">
        <v>292</v>
      </c>
      <c r="E576" s="126">
        <v>0</v>
      </c>
      <c r="F576" s="79">
        <f>BPU!E576</f>
        <v>0</v>
      </c>
      <c r="G576" s="95">
        <f t="shared" si="14"/>
        <v>0</v>
      </c>
    </row>
    <row r="577" spans="1:8" ht="18.600000000000001" customHeight="1" x14ac:dyDescent="0.3">
      <c r="A577" s="150" t="s">
        <v>929</v>
      </c>
      <c r="B577" s="50" t="s">
        <v>254</v>
      </c>
      <c r="C577" s="51" t="s">
        <v>17</v>
      </c>
      <c r="D577" s="87" t="s">
        <v>292</v>
      </c>
      <c r="E577" s="126">
        <v>0</v>
      </c>
      <c r="F577" s="79">
        <f>BPU!E577</f>
        <v>0</v>
      </c>
      <c r="G577" s="95">
        <f t="shared" si="14"/>
        <v>0</v>
      </c>
    </row>
    <row r="578" spans="1:8" ht="18.600000000000001" customHeight="1" x14ac:dyDescent="0.3">
      <c r="A578" s="150" t="s">
        <v>930</v>
      </c>
      <c r="B578" s="50" t="s">
        <v>255</v>
      </c>
      <c r="C578" s="51" t="s">
        <v>17</v>
      </c>
      <c r="D578" s="87" t="s">
        <v>292</v>
      </c>
      <c r="E578" s="126">
        <v>0</v>
      </c>
      <c r="F578" s="79">
        <f>BPU!E578</f>
        <v>0</v>
      </c>
      <c r="G578" s="95">
        <f t="shared" si="14"/>
        <v>0</v>
      </c>
    </row>
    <row r="579" spans="1:8" ht="28.8" customHeight="1" x14ac:dyDescent="0.3">
      <c r="A579" s="150" t="s">
        <v>931</v>
      </c>
      <c r="B579" s="50" t="s">
        <v>251</v>
      </c>
      <c r="C579" s="51" t="s">
        <v>17</v>
      </c>
      <c r="D579" s="87" t="s">
        <v>292</v>
      </c>
      <c r="E579" s="126">
        <v>0</v>
      </c>
      <c r="F579" s="79">
        <f>BPU!E579</f>
        <v>0</v>
      </c>
      <c r="G579" s="95">
        <f t="shared" si="14"/>
        <v>0</v>
      </c>
    </row>
    <row r="580" spans="1:8" x14ac:dyDescent="0.3">
      <c r="A580" s="150" t="s">
        <v>932</v>
      </c>
      <c r="B580" s="50" t="s">
        <v>256</v>
      </c>
      <c r="C580" s="51" t="s">
        <v>181</v>
      </c>
      <c r="D580" s="87" t="s">
        <v>292</v>
      </c>
      <c r="E580" s="126">
        <v>0</v>
      </c>
      <c r="F580" s="79">
        <f>BPU!E580</f>
        <v>0</v>
      </c>
      <c r="G580" s="95">
        <f t="shared" si="14"/>
        <v>0</v>
      </c>
    </row>
    <row r="581" spans="1:8" x14ac:dyDescent="0.3">
      <c r="A581" s="150" t="s">
        <v>933</v>
      </c>
      <c r="B581" s="50" t="s">
        <v>258</v>
      </c>
      <c r="C581" s="51" t="s">
        <v>17</v>
      </c>
      <c r="D581" s="87" t="s">
        <v>292</v>
      </c>
      <c r="E581" s="126">
        <v>0</v>
      </c>
      <c r="F581" s="79">
        <f>BPU!E581</f>
        <v>0</v>
      </c>
      <c r="G581" s="95">
        <f t="shared" si="14"/>
        <v>0</v>
      </c>
    </row>
    <row r="582" spans="1:8" ht="18.600000000000001" customHeight="1" x14ac:dyDescent="0.3">
      <c r="A582" s="150" t="s">
        <v>934</v>
      </c>
      <c r="B582" s="50" t="s">
        <v>193</v>
      </c>
      <c r="C582" s="51" t="s">
        <v>181</v>
      </c>
      <c r="D582" s="87" t="s">
        <v>292</v>
      </c>
      <c r="E582" s="126">
        <v>0</v>
      </c>
      <c r="F582" s="79">
        <f>BPU!E582</f>
        <v>0</v>
      </c>
      <c r="G582" s="95">
        <f t="shared" si="14"/>
        <v>0</v>
      </c>
    </row>
    <row r="583" spans="1:8" x14ac:dyDescent="0.3">
      <c r="A583" s="150" t="s">
        <v>935</v>
      </c>
      <c r="B583" s="50" t="s">
        <v>192</v>
      </c>
      <c r="C583" s="51" t="s">
        <v>181</v>
      </c>
      <c r="D583" s="87" t="s">
        <v>292</v>
      </c>
      <c r="E583" s="126">
        <v>64.400000000000006</v>
      </c>
      <c r="F583" s="79">
        <f>BPU!E583</f>
        <v>0</v>
      </c>
      <c r="G583" s="95">
        <f t="shared" si="14"/>
        <v>0</v>
      </c>
    </row>
    <row r="584" spans="1:8" ht="28.8" x14ac:dyDescent="0.3">
      <c r="A584" s="150" t="s">
        <v>936</v>
      </c>
      <c r="B584" s="50" t="s">
        <v>260</v>
      </c>
      <c r="C584" s="51" t="s">
        <v>181</v>
      </c>
      <c r="D584" s="87" t="s">
        <v>292</v>
      </c>
      <c r="E584" s="126">
        <v>0</v>
      </c>
      <c r="F584" s="79">
        <f>BPU!E584</f>
        <v>0</v>
      </c>
      <c r="G584" s="95">
        <f t="shared" si="14"/>
        <v>0</v>
      </c>
    </row>
    <row r="585" spans="1:8" ht="18.600000000000001" customHeight="1" x14ac:dyDescent="0.3">
      <c r="A585" s="52" t="s">
        <v>937</v>
      </c>
      <c r="B585" s="46" t="s">
        <v>177</v>
      </c>
      <c r="C585" s="52"/>
      <c r="D585" s="87"/>
      <c r="E585" s="126"/>
      <c r="F585" s="79">
        <f>BPU!E585</f>
        <v>0</v>
      </c>
      <c r="G585" s="95">
        <f t="shared" si="14"/>
        <v>0</v>
      </c>
    </row>
    <row r="586" spans="1:8" x14ac:dyDescent="0.3">
      <c r="A586" s="150" t="s">
        <v>938</v>
      </c>
      <c r="B586" s="50" t="s">
        <v>182</v>
      </c>
      <c r="C586" s="51" t="s">
        <v>181</v>
      </c>
      <c r="D586" s="87" t="s">
        <v>292</v>
      </c>
      <c r="E586" s="126">
        <v>0</v>
      </c>
      <c r="F586" s="79">
        <f>BPU!E586</f>
        <v>0</v>
      </c>
      <c r="G586" s="95">
        <f t="shared" si="14"/>
        <v>0</v>
      </c>
    </row>
    <row r="587" spans="1:8" x14ac:dyDescent="0.3">
      <c r="A587" s="150" t="s">
        <v>939</v>
      </c>
      <c r="B587" s="50" t="s">
        <v>1273</v>
      </c>
      <c r="C587" s="51" t="s">
        <v>181</v>
      </c>
      <c r="D587" s="87" t="s">
        <v>292</v>
      </c>
      <c r="E587" s="126">
        <v>105</v>
      </c>
      <c r="F587" s="79">
        <f>BPU!E587</f>
        <v>0</v>
      </c>
      <c r="G587" s="95">
        <f t="shared" si="14"/>
        <v>0</v>
      </c>
    </row>
    <row r="588" spans="1:8" x14ac:dyDescent="0.3">
      <c r="A588" s="150" t="s">
        <v>940</v>
      </c>
      <c r="B588" s="50" t="s">
        <v>183</v>
      </c>
      <c r="C588" s="51" t="s">
        <v>181</v>
      </c>
      <c r="D588" s="87" t="s">
        <v>292</v>
      </c>
      <c r="E588" s="126">
        <v>51.52</v>
      </c>
      <c r="F588" s="79">
        <f>BPU!E588</f>
        <v>0</v>
      </c>
      <c r="G588" s="95">
        <f t="shared" si="14"/>
        <v>0</v>
      </c>
    </row>
    <row r="589" spans="1:8" x14ac:dyDescent="0.3">
      <c r="A589" s="150" t="s">
        <v>941</v>
      </c>
      <c r="B589" s="50" t="s">
        <v>184</v>
      </c>
      <c r="C589" s="51" t="s">
        <v>181</v>
      </c>
      <c r="D589" s="87" t="s">
        <v>292</v>
      </c>
      <c r="E589" s="126">
        <f>2.1*1*2</f>
        <v>4.2</v>
      </c>
      <c r="F589" s="79">
        <f>BPU!E589</f>
        <v>0</v>
      </c>
      <c r="G589" s="95">
        <f t="shared" si="14"/>
        <v>0</v>
      </c>
    </row>
    <row r="590" spans="1:8" ht="15" thickBot="1" x14ac:dyDescent="0.35">
      <c r="A590" s="150" t="s">
        <v>942</v>
      </c>
      <c r="B590" s="50" t="s">
        <v>185</v>
      </c>
      <c r="C590" s="51" t="s">
        <v>181</v>
      </c>
      <c r="D590" s="87" t="s">
        <v>292</v>
      </c>
      <c r="E590" s="126">
        <f>1.5*1.2*2</f>
        <v>3.5999999999999996</v>
      </c>
      <c r="F590" s="79">
        <f>BPU!E590</f>
        <v>0</v>
      </c>
      <c r="G590" s="95">
        <f t="shared" si="14"/>
        <v>0</v>
      </c>
    </row>
    <row r="591" spans="1:8" ht="19.8" customHeight="1" thickBot="1" x14ac:dyDescent="0.35">
      <c r="A591" s="52"/>
      <c r="B591" s="96" t="s">
        <v>393</v>
      </c>
      <c r="C591" s="51"/>
      <c r="D591" s="87"/>
      <c r="E591" s="126"/>
      <c r="F591" s="79">
        <f>BPU!E591</f>
        <v>0</v>
      </c>
      <c r="G591" s="146">
        <f>SUM(G516:G590)</f>
        <v>0</v>
      </c>
    </row>
    <row r="592" spans="1:8" s="58" customFormat="1" ht="16.8" customHeight="1" x14ac:dyDescent="0.3">
      <c r="A592" s="70" t="s">
        <v>63</v>
      </c>
      <c r="B592" s="70" t="s">
        <v>64</v>
      </c>
      <c r="C592" s="52"/>
      <c r="D592" s="87"/>
      <c r="E592" s="126"/>
      <c r="F592" s="79">
        <f>BPU!E592</f>
        <v>0</v>
      </c>
      <c r="G592" s="95">
        <f t="shared" si="14"/>
        <v>0</v>
      </c>
      <c r="H592" s="136"/>
    </row>
    <row r="593" spans="1:8" ht="18.600000000000001" customHeight="1" x14ac:dyDescent="0.3">
      <c r="A593" s="52" t="s">
        <v>66</v>
      </c>
      <c r="B593" s="46" t="s">
        <v>161</v>
      </c>
      <c r="C593" s="52"/>
      <c r="D593" s="87"/>
      <c r="E593" s="126"/>
      <c r="F593" s="79">
        <f>BPU!E593</f>
        <v>0</v>
      </c>
      <c r="G593" s="95">
        <f t="shared" si="14"/>
        <v>0</v>
      </c>
    </row>
    <row r="594" spans="1:8" ht="28.8" customHeight="1" x14ac:dyDescent="0.3">
      <c r="A594" s="150" t="s">
        <v>943</v>
      </c>
      <c r="B594" s="153" t="s">
        <v>1308</v>
      </c>
      <c r="C594" s="51" t="s">
        <v>181</v>
      </c>
      <c r="D594" s="87" t="s">
        <v>292</v>
      </c>
      <c r="E594" s="126">
        <v>0</v>
      </c>
      <c r="F594" s="79">
        <f>BPU!E594</f>
        <v>0</v>
      </c>
      <c r="G594" s="95">
        <f t="shared" si="14"/>
        <v>0</v>
      </c>
    </row>
    <row r="595" spans="1:8" ht="18.600000000000001" customHeight="1" x14ac:dyDescent="0.3">
      <c r="A595" s="150" t="s">
        <v>944</v>
      </c>
      <c r="B595" s="154" t="s">
        <v>1287</v>
      </c>
      <c r="C595" s="51" t="s">
        <v>17</v>
      </c>
      <c r="D595" s="87" t="s">
        <v>292</v>
      </c>
      <c r="E595" s="126">
        <v>0</v>
      </c>
      <c r="F595" s="79">
        <f>BPU!E595</f>
        <v>0</v>
      </c>
      <c r="G595" s="95">
        <f t="shared" si="14"/>
        <v>0</v>
      </c>
    </row>
    <row r="596" spans="1:8" ht="18.600000000000001" customHeight="1" x14ac:dyDescent="0.3">
      <c r="A596" s="150" t="s">
        <v>945</v>
      </c>
      <c r="B596" s="52" t="s">
        <v>210</v>
      </c>
      <c r="C596" s="51" t="s">
        <v>197</v>
      </c>
      <c r="D596" s="87" t="s">
        <v>292</v>
      </c>
      <c r="E596" s="126">
        <v>0</v>
      </c>
      <c r="F596" s="79">
        <f>BPU!E596</f>
        <v>0</v>
      </c>
      <c r="G596" s="95">
        <f t="shared" si="14"/>
        <v>0</v>
      </c>
    </row>
    <row r="597" spans="1:8" ht="18.600000000000001" customHeight="1" x14ac:dyDescent="0.3">
      <c r="A597" s="150" t="s">
        <v>946</v>
      </c>
      <c r="B597" s="52" t="s">
        <v>209</v>
      </c>
      <c r="C597" s="51" t="s">
        <v>197</v>
      </c>
      <c r="D597" s="87" t="s">
        <v>292</v>
      </c>
      <c r="E597" s="126">
        <v>0</v>
      </c>
      <c r="F597" s="79">
        <f>BPU!E597</f>
        <v>0</v>
      </c>
      <c r="G597" s="95">
        <f t="shared" si="14"/>
        <v>0</v>
      </c>
    </row>
    <row r="598" spans="1:8" ht="18.600000000000001" customHeight="1" x14ac:dyDescent="0.3">
      <c r="A598" s="150" t="s">
        <v>947</v>
      </c>
      <c r="B598" s="154" t="s">
        <v>1288</v>
      </c>
      <c r="C598" s="51" t="s">
        <v>181</v>
      </c>
      <c r="D598" s="87" t="s">
        <v>292</v>
      </c>
      <c r="E598" s="126">
        <v>0</v>
      </c>
      <c r="F598" s="79">
        <f>BPU!E598</f>
        <v>0</v>
      </c>
      <c r="G598" s="95">
        <f t="shared" si="14"/>
        <v>0</v>
      </c>
    </row>
    <row r="599" spans="1:8" ht="18.600000000000001" customHeight="1" x14ac:dyDescent="0.3">
      <c r="A599" s="150" t="s">
        <v>948</v>
      </c>
      <c r="B599" s="52" t="s">
        <v>293</v>
      </c>
      <c r="C599" s="51" t="s">
        <v>181</v>
      </c>
      <c r="D599" s="87" t="s">
        <v>292</v>
      </c>
      <c r="E599" s="126">
        <v>0</v>
      </c>
      <c r="F599" s="79">
        <f>BPU!E599</f>
        <v>0</v>
      </c>
      <c r="G599" s="95">
        <f t="shared" si="14"/>
        <v>0</v>
      </c>
    </row>
    <row r="600" spans="1:8" ht="28.2" customHeight="1" x14ac:dyDescent="0.3">
      <c r="A600" s="150" t="s">
        <v>949</v>
      </c>
      <c r="B600" s="61" t="s">
        <v>198</v>
      </c>
      <c r="C600" s="51" t="s">
        <v>79</v>
      </c>
      <c r="D600" s="87" t="s">
        <v>158</v>
      </c>
      <c r="E600" s="126">
        <v>0</v>
      </c>
      <c r="F600" s="79">
        <f>BPU!E600</f>
        <v>0</v>
      </c>
      <c r="G600" s="95">
        <f t="shared" si="14"/>
        <v>0</v>
      </c>
    </row>
    <row r="601" spans="1:8" ht="18.600000000000001" customHeight="1" x14ac:dyDescent="0.3">
      <c r="A601" s="52" t="s">
        <v>950</v>
      </c>
      <c r="B601" s="46" t="s">
        <v>208</v>
      </c>
      <c r="C601" s="51"/>
      <c r="D601" s="87"/>
      <c r="E601" s="126"/>
      <c r="F601" s="79">
        <f>BPU!E601</f>
        <v>0</v>
      </c>
      <c r="G601" s="95">
        <f t="shared" si="14"/>
        <v>0</v>
      </c>
    </row>
    <row r="602" spans="1:8" ht="18.600000000000001" customHeight="1" x14ac:dyDescent="0.3">
      <c r="A602" s="150" t="s">
        <v>951</v>
      </c>
      <c r="B602" s="52" t="s">
        <v>211</v>
      </c>
      <c r="C602" s="51" t="s">
        <v>230</v>
      </c>
      <c r="D602" s="87" t="s">
        <v>292</v>
      </c>
      <c r="E602" s="126">
        <v>0</v>
      </c>
      <c r="F602" s="79">
        <f>BPU!E602</f>
        <v>0</v>
      </c>
      <c r="G602" s="95">
        <f t="shared" si="14"/>
        <v>0</v>
      </c>
    </row>
    <row r="603" spans="1:8" ht="18.600000000000001" customHeight="1" x14ac:dyDescent="0.3">
      <c r="A603" s="150" t="s">
        <v>952</v>
      </c>
      <c r="B603" s="52" t="s">
        <v>212</v>
      </c>
      <c r="C603" s="51" t="s">
        <v>230</v>
      </c>
      <c r="D603" s="87" t="s">
        <v>292</v>
      </c>
      <c r="E603" s="126">
        <v>0</v>
      </c>
      <c r="F603" s="79">
        <f>BPU!E603</f>
        <v>0</v>
      </c>
      <c r="G603" s="95">
        <f t="shared" si="14"/>
        <v>0</v>
      </c>
    </row>
    <row r="604" spans="1:8" ht="18.600000000000001" customHeight="1" x14ac:dyDescent="0.3">
      <c r="A604" s="150" t="s">
        <v>953</v>
      </c>
      <c r="B604" s="46" t="s">
        <v>168</v>
      </c>
      <c r="C604" s="52"/>
      <c r="D604" s="87"/>
      <c r="E604" s="126"/>
      <c r="F604" s="79">
        <f>BPU!E604</f>
        <v>0</v>
      </c>
      <c r="G604" s="95">
        <f t="shared" si="14"/>
        <v>0</v>
      </c>
    </row>
    <row r="605" spans="1:8" s="65" customFormat="1" ht="18.600000000000001" customHeight="1" x14ac:dyDescent="0.3">
      <c r="A605" s="150" t="s">
        <v>954</v>
      </c>
      <c r="B605" s="50" t="s">
        <v>213</v>
      </c>
      <c r="C605" s="51" t="s">
        <v>230</v>
      </c>
      <c r="D605" s="88" t="s">
        <v>292</v>
      </c>
      <c r="E605" s="130">
        <v>0</v>
      </c>
      <c r="F605" s="79">
        <f>BPU!E605</f>
        <v>0</v>
      </c>
      <c r="G605" s="95">
        <f t="shared" si="14"/>
        <v>0</v>
      </c>
      <c r="H605" s="66"/>
    </row>
    <row r="606" spans="1:8" s="65" customFormat="1" ht="18.600000000000001" customHeight="1" x14ac:dyDescent="0.3">
      <c r="A606" s="150" t="s">
        <v>955</v>
      </c>
      <c r="B606" s="50" t="s">
        <v>187</v>
      </c>
      <c r="C606" s="51" t="s">
        <v>230</v>
      </c>
      <c r="D606" s="88" t="s">
        <v>292</v>
      </c>
      <c r="E606" s="130">
        <v>0</v>
      </c>
      <c r="F606" s="79">
        <f>BPU!E606</f>
        <v>0</v>
      </c>
      <c r="G606" s="95">
        <f t="shared" si="14"/>
        <v>0</v>
      </c>
      <c r="H606" s="66"/>
    </row>
    <row r="607" spans="1:8" s="65" customFormat="1" ht="18.600000000000001" customHeight="1" x14ac:dyDescent="0.3">
      <c r="A607" s="150" t="s">
        <v>956</v>
      </c>
      <c r="B607" s="50" t="s">
        <v>214</v>
      </c>
      <c r="C607" s="51" t="s">
        <v>230</v>
      </c>
      <c r="D607" s="88" t="s">
        <v>292</v>
      </c>
      <c r="E607" s="130">
        <v>0</v>
      </c>
      <c r="F607" s="79">
        <f>BPU!E607</f>
        <v>0</v>
      </c>
      <c r="G607" s="95">
        <f t="shared" si="14"/>
        <v>0</v>
      </c>
      <c r="H607" s="66"/>
    </row>
    <row r="608" spans="1:8" s="65" customFormat="1" ht="33" customHeight="1" x14ac:dyDescent="0.3">
      <c r="A608" s="150" t="s">
        <v>957</v>
      </c>
      <c r="B608" s="50" t="s">
        <v>215</v>
      </c>
      <c r="C608" s="51" t="s">
        <v>230</v>
      </c>
      <c r="D608" s="88" t="s">
        <v>292</v>
      </c>
      <c r="E608" s="130">
        <v>6.57</v>
      </c>
      <c r="F608" s="79">
        <f>BPU!E608</f>
        <v>0</v>
      </c>
      <c r="G608" s="95">
        <f t="shared" si="14"/>
        <v>0</v>
      </c>
      <c r="H608" s="66"/>
    </row>
    <row r="609" spans="1:7" ht="18.600000000000001" customHeight="1" x14ac:dyDescent="0.3">
      <c r="A609" s="52" t="s">
        <v>958</v>
      </c>
      <c r="B609" s="46" t="s">
        <v>169</v>
      </c>
      <c r="C609" s="52"/>
      <c r="D609" s="87"/>
      <c r="E609" s="126"/>
      <c r="F609" s="79">
        <f>BPU!E609</f>
        <v>0</v>
      </c>
      <c r="G609" s="95">
        <f t="shared" si="14"/>
        <v>0</v>
      </c>
    </row>
    <row r="610" spans="1:7" ht="18.600000000000001" customHeight="1" x14ac:dyDescent="0.3">
      <c r="A610" s="150" t="s">
        <v>959</v>
      </c>
      <c r="B610" s="50" t="s">
        <v>216</v>
      </c>
      <c r="C610" s="51" t="s">
        <v>230</v>
      </c>
      <c r="D610" s="87" t="s">
        <v>292</v>
      </c>
      <c r="E610" s="126">
        <v>0</v>
      </c>
      <c r="F610" s="79">
        <f>BPU!E610</f>
        <v>0</v>
      </c>
      <c r="G610" s="95">
        <f t="shared" si="14"/>
        <v>0</v>
      </c>
    </row>
    <row r="611" spans="1:7" ht="18.600000000000001" customHeight="1" x14ac:dyDescent="0.3">
      <c r="A611" s="150" t="s">
        <v>960</v>
      </c>
      <c r="B611" s="50" t="s">
        <v>217</v>
      </c>
      <c r="C611" s="51" t="s">
        <v>230</v>
      </c>
      <c r="D611" s="87" t="s">
        <v>292</v>
      </c>
      <c r="E611" s="126">
        <v>0</v>
      </c>
      <c r="F611" s="79">
        <f>BPU!E611</f>
        <v>0</v>
      </c>
      <c r="G611" s="95">
        <f t="shared" si="14"/>
        <v>0</v>
      </c>
    </row>
    <row r="612" spans="1:7" ht="18.600000000000001" customHeight="1" x14ac:dyDescent="0.3">
      <c r="A612" s="150" t="s">
        <v>961</v>
      </c>
      <c r="B612" s="50" t="s">
        <v>218</v>
      </c>
      <c r="C612" s="51" t="s">
        <v>230</v>
      </c>
      <c r="D612" s="87" t="s">
        <v>292</v>
      </c>
      <c r="E612" s="126">
        <v>0</v>
      </c>
      <c r="F612" s="79">
        <f>BPU!E612</f>
        <v>0</v>
      </c>
      <c r="G612" s="95">
        <f t="shared" si="14"/>
        <v>0</v>
      </c>
    </row>
    <row r="613" spans="1:7" ht="18.600000000000001" customHeight="1" x14ac:dyDescent="0.3">
      <c r="A613" s="150" t="s">
        <v>962</v>
      </c>
      <c r="B613" s="50" t="s">
        <v>219</v>
      </c>
      <c r="C613" s="51" t="s">
        <v>230</v>
      </c>
      <c r="D613" s="87" t="s">
        <v>292</v>
      </c>
      <c r="E613" s="126">
        <v>0</v>
      </c>
      <c r="F613" s="79">
        <f>BPU!E613</f>
        <v>0</v>
      </c>
      <c r="G613" s="95">
        <f t="shared" si="14"/>
        <v>0</v>
      </c>
    </row>
    <row r="614" spans="1:7" ht="18.600000000000001" customHeight="1" x14ac:dyDescent="0.3">
      <c r="A614" s="150" t="s">
        <v>963</v>
      </c>
      <c r="B614" s="50" t="s">
        <v>220</v>
      </c>
      <c r="C614" s="51" t="s">
        <v>230</v>
      </c>
      <c r="D614" s="87" t="s">
        <v>292</v>
      </c>
      <c r="E614" s="126">
        <v>0</v>
      </c>
      <c r="F614" s="79">
        <f>BPU!E614</f>
        <v>0</v>
      </c>
      <c r="G614" s="95">
        <f t="shared" si="14"/>
        <v>0</v>
      </c>
    </row>
    <row r="615" spans="1:7" ht="18.600000000000001" customHeight="1" x14ac:dyDescent="0.3">
      <c r="A615" s="150" t="s">
        <v>964</v>
      </c>
      <c r="B615" s="50" t="s">
        <v>221</v>
      </c>
      <c r="C615" s="51" t="s">
        <v>230</v>
      </c>
      <c r="D615" s="87" t="s">
        <v>292</v>
      </c>
      <c r="E615" s="126">
        <v>0</v>
      </c>
      <c r="F615" s="79">
        <f>BPU!E615</f>
        <v>0</v>
      </c>
      <c r="G615" s="95">
        <f t="shared" si="14"/>
        <v>0</v>
      </c>
    </row>
    <row r="616" spans="1:7" ht="18.600000000000001" customHeight="1" x14ac:dyDescent="0.3">
      <c r="A616" s="150" t="s">
        <v>965</v>
      </c>
      <c r="B616" s="50" t="s">
        <v>222</v>
      </c>
      <c r="C616" s="51" t="s">
        <v>230</v>
      </c>
      <c r="D616" s="87" t="s">
        <v>292</v>
      </c>
      <c r="E616" s="126">
        <v>0</v>
      </c>
      <c r="F616" s="79">
        <f>BPU!E616</f>
        <v>0</v>
      </c>
      <c r="G616" s="95">
        <f t="shared" si="14"/>
        <v>0</v>
      </c>
    </row>
    <row r="617" spans="1:7" ht="18.600000000000001" customHeight="1" x14ac:dyDescent="0.3">
      <c r="A617" s="52" t="s">
        <v>966</v>
      </c>
      <c r="B617" s="46" t="s">
        <v>170</v>
      </c>
      <c r="C617" s="52"/>
      <c r="D617" s="87"/>
      <c r="E617" s="126"/>
      <c r="F617" s="79">
        <f>BPU!E617</f>
        <v>0</v>
      </c>
      <c r="G617" s="95">
        <f t="shared" si="14"/>
        <v>0</v>
      </c>
    </row>
    <row r="618" spans="1:7" ht="18.600000000000001" customHeight="1" x14ac:dyDescent="0.3">
      <c r="A618" s="150" t="s">
        <v>967</v>
      </c>
      <c r="B618" s="50" t="s">
        <v>223</v>
      </c>
      <c r="C618" s="51" t="s">
        <v>230</v>
      </c>
      <c r="D618" s="87" t="s">
        <v>292</v>
      </c>
      <c r="E618" s="126">
        <f>65.7*0.05</f>
        <v>3.2850000000000001</v>
      </c>
      <c r="F618" s="79">
        <f>BPU!E618</f>
        <v>0</v>
      </c>
      <c r="G618" s="95">
        <f t="shared" si="14"/>
        <v>0</v>
      </c>
    </row>
    <row r="619" spans="1:7" ht="18.600000000000001" customHeight="1" x14ac:dyDescent="0.3">
      <c r="A619" s="150" t="s">
        <v>968</v>
      </c>
      <c r="B619" s="50" t="s">
        <v>224</v>
      </c>
      <c r="C619" s="51" t="s">
        <v>230</v>
      </c>
      <c r="D619" s="87" t="s">
        <v>292</v>
      </c>
      <c r="E619" s="126">
        <f>65.7*0.25</f>
        <v>16.425000000000001</v>
      </c>
      <c r="F619" s="79">
        <f>BPU!E619</f>
        <v>0</v>
      </c>
      <c r="G619" s="95">
        <f t="shared" si="14"/>
        <v>0</v>
      </c>
    </row>
    <row r="620" spans="1:7" ht="18.600000000000001" customHeight="1" x14ac:dyDescent="0.3">
      <c r="A620" s="150" t="s">
        <v>969</v>
      </c>
      <c r="B620" s="50" t="s">
        <v>178</v>
      </c>
      <c r="C620" s="51" t="s">
        <v>230</v>
      </c>
      <c r="D620" s="87" t="s">
        <v>292</v>
      </c>
      <c r="E620" s="126">
        <v>0</v>
      </c>
      <c r="F620" s="79">
        <f>BPU!E620</f>
        <v>0</v>
      </c>
      <c r="G620" s="95">
        <f t="shared" si="14"/>
        <v>0</v>
      </c>
    </row>
    <row r="621" spans="1:7" ht="18.600000000000001" customHeight="1" x14ac:dyDescent="0.3">
      <c r="A621" s="52" t="s">
        <v>970</v>
      </c>
      <c r="B621" s="46" t="s">
        <v>171</v>
      </c>
      <c r="C621" s="52"/>
      <c r="D621" s="87"/>
      <c r="E621" s="126"/>
      <c r="F621" s="79">
        <f>BPU!E621</f>
        <v>0</v>
      </c>
      <c r="G621" s="95">
        <f t="shared" si="14"/>
        <v>0</v>
      </c>
    </row>
    <row r="622" spans="1:7" ht="24.6" customHeight="1" x14ac:dyDescent="0.3">
      <c r="A622" s="150" t="s">
        <v>971</v>
      </c>
      <c r="B622" s="50" t="s">
        <v>229</v>
      </c>
      <c r="C622" s="51" t="s">
        <v>181</v>
      </c>
      <c r="D622" s="87" t="s">
        <v>292</v>
      </c>
      <c r="E622" s="126">
        <v>0</v>
      </c>
      <c r="F622" s="79">
        <f>BPU!E622</f>
        <v>0</v>
      </c>
      <c r="G622" s="95">
        <f t="shared" si="14"/>
        <v>0</v>
      </c>
    </row>
    <row r="623" spans="1:7" ht="24.6" customHeight="1" x14ac:dyDescent="0.3">
      <c r="A623" s="150" t="s">
        <v>972</v>
      </c>
      <c r="B623" s="50" t="s">
        <v>366</v>
      </c>
      <c r="C623" s="51" t="s">
        <v>181</v>
      </c>
      <c r="D623" s="87" t="s">
        <v>292</v>
      </c>
      <c r="E623" s="126"/>
      <c r="F623" s="79">
        <f>BPU!E623</f>
        <v>0</v>
      </c>
      <c r="G623" s="95">
        <f t="shared" si="14"/>
        <v>0</v>
      </c>
    </row>
    <row r="624" spans="1:7" ht="18.600000000000001" customHeight="1" x14ac:dyDescent="0.3">
      <c r="A624" s="150" t="s">
        <v>973</v>
      </c>
      <c r="B624" s="50" t="s">
        <v>225</v>
      </c>
      <c r="C624" s="51" t="s">
        <v>181</v>
      </c>
      <c r="D624" s="87" t="s">
        <v>292</v>
      </c>
      <c r="E624" s="126">
        <v>0</v>
      </c>
      <c r="F624" s="79">
        <f>BPU!E624</f>
        <v>0</v>
      </c>
      <c r="G624" s="95">
        <f t="shared" si="14"/>
        <v>0</v>
      </c>
    </row>
    <row r="625" spans="1:7" ht="18.600000000000001" customHeight="1" x14ac:dyDescent="0.3">
      <c r="A625" s="150" t="s">
        <v>974</v>
      </c>
      <c r="B625" s="50" t="s">
        <v>226</v>
      </c>
      <c r="C625" s="51" t="s">
        <v>181</v>
      </c>
      <c r="D625" s="87" t="s">
        <v>292</v>
      </c>
      <c r="E625" s="126">
        <v>0</v>
      </c>
      <c r="F625" s="79">
        <f>BPU!E625</f>
        <v>0</v>
      </c>
      <c r="G625" s="95">
        <f t="shared" si="14"/>
        <v>0</v>
      </c>
    </row>
    <row r="626" spans="1:7" ht="18.600000000000001" customHeight="1" x14ac:dyDescent="0.3">
      <c r="A626" s="150" t="s">
        <v>975</v>
      </c>
      <c r="B626" s="50" t="s">
        <v>227</v>
      </c>
      <c r="C626" s="51" t="s">
        <v>181</v>
      </c>
      <c r="D626" s="87" t="s">
        <v>292</v>
      </c>
      <c r="E626" s="126">
        <v>0</v>
      </c>
      <c r="F626" s="79">
        <f>BPU!E626</f>
        <v>0</v>
      </c>
      <c r="G626" s="95">
        <f t="shared" si="14"/>
        <v>0</v>
      </c>
    </row>
    <row r="627" spans="1:7" ht="18.600000000000001" customHeight="1" x14ac:dyDescent="0.3">
      <c r="A627" s="150" t="s">
        <v>976</v>
      </c>
      <c r="B627" s="50" t="s">
        <v>228</v>
      </c>
      <c r="C627" s="51" t="s">
        <v>181</v>
      </c>
      <c r="D627" s="87" t="s">
        <v>292</v>
      </c>
      <c r="E627" s="126">
        <v>0</v>
      </c>
      <c r="F627" s="79">
        <f>BPU!E627</f>
        <v>0</v>
      </c>
      <c r="G627" s="95">
        <f t="shared" ref="G627:G679" si="15">E627*F627</f>
        <v>0</v>
      </c>
    </row>
    <row r="628" spans="1:7" ht="18.600000000000001" customHeight="1" x14ac:dyDescent="0.3">
      <c r="A628" s="52" t="s">
        <v>977</v>
      </c>
      <c r="B628" s="46" t="s">
        <v>172</v>
      </c>
      <c r="C628" s="52"/>
      <c r="D628" s="87"/>
      <c r="E628" s="126"/>
      <c r="F628" s="79">
        <f>BPU!E628</f>
        <v>0</v>
      </c>
      <c r="G628" s="95">
        <f t="shared" si="15"/>
        <v>0</v>
      </c>
    </row>
    <row r="629" spans="1:7" ht="18.600000000000001" customHeight="1" x14ac:dyDescent="0.3">
      <c r="A629" s="150" t="s">
        <v>978</v>
      </c>
      <c r="B629" s="50" t="s">
        <v>231</v>
      </c>
      <c r="C629" s="51" t="s">
        <v>181</v>
      </c>
      <c r="D629" s="87" t="s">
        <v>292</v>
      </c>
      <c r="E629" s="126">
        <v>0</v>
      </c>
      <c r="F629" s="79">
        <f>BPU!E629</f>
        <v>0</v>
      </c>
      <c r="G629" s="95">
        <f t="shared" si="15"/>
        <v>0</v>
      </c>
    </row>
    <row r="630" spans="1:7" ht="18.600000000000001" customHeight="1" x14ac:dyDescent="0.3">
      <c r="A630" s="150" t="s">
        <v>979</v>
      </c>
      <c r="B630" s="50" t="s">
        <v>232</v>
      </c>
      <c r="C630" s="51" t="s">
        <v>181</v>
      </c>
      <c r="D630" s="87" t="s">
        <v>292</v>
      </c>
      <c r="E630" s="126">
        <v>0</v>
      </c>
      <c r="F630" s="79">
        <f>BPU!E630</f>
        <v>0</v>
      </c>
      <c r="G630" s="95">
        <f t="shared" si="15"/>
        <v>0</v>
      </c>
    </row>
    <row r="631" spans="1:7" ht="28.2" customHeight="1" x14ac:dyDescent="0.3">
      <c r="A631" s="150" t="s">
        <v>980</v>
      </c>
      <c r="B631" s="50" t="s">
        <v>233</v>
      </c>
      <c r="C631" s="51" t="s">
        <v>181</v>
      </c>
      <c r="D631" s="87" t="s">
        <v>292</v>
      </c>
      <c r="E631" s="126">
        <v>65.7</v>
      </c>
      <c r="F631" s="79">
        <f>BPU!E631</f>
        <v>0</v>
      </c>
      <c r="G631" s="95">
        <f t="shared" si="15"/>
        <v>0</v>
      </c>
    </row>
    <row r="632" spans="1:7" ht="18.600000000000001" customHeight="1" x14ac:dyDescent="0.3">
      <c r="A632" s="150" t="s">
        <v>981</v>
      </c>
      <c r="B632" s="50" t="s">
        <v>234</v>
      </c>
      <c r="C632" s="51" t="s">
        <v>181</v>
      </c>
      <c r="D632" s="87" t="s">
        <v>292</v>
      </c>
      <c r="E632" s="126">
        <v>0</v>
      </c>
      <c r="F632" s="79">
        <f>BPU!E632</f>
        <v>0</v>
      </c>
      <c r="G632" s="95">
        <f t="shared" si="15"/>
        <v>0</v>
      </c>
    </row>
    <row r="633" spans="1:7" ht="18.600000000000001" customHeight="1" x14ac:dyDescent="0.3">
      <c r="A633" s="52" t="s">
        <v>982</v>
      </c>
      <c r="B633" s="46" t="s">
        <v>173</v>
      </c>
      <c r="C633" s="52"/>
      <c r="D633" s="87"/>
      <c r="E633" s="126"/>
      <c r="F633" s="79">
        <f>BPU!E633</f>
        <v>0</v>
      </c>
      <c r="G633" s="95">
        <f t="shared" si="15"/>
        <v>0</v>
      </c>
    </row>
    <row r="634" spans="1:7" ht="18.600000000000001" customHeight="1" x14ac:dyDescent="0.3">
      <c r="A634" s="150" t="s">
        <v>983</v>
      </c>
      <c r="B634" s="152" t="s">
        <v>1294</v>
      </c>
      <c r="C634" s="51" t="s">
        <v>181</v>
      </c>
      <c r="D634" s="87" t="s">
        <v>292</v>
      </c>
      <c r="E634" s="126">
        <v>0</v>
      </c>
      <c r="F634" s="79">
        <f>BPU!E634</f>
        <v>0</v>
      </c>
      <c r="G634" s="95">
        <f t="shared" si="15"/>
        <v>0</v>
      </c>
    </row>
    <row r="635" spans="1:7" ht="18.600000000000001" customHeight="1" x14ac:dyDescent="0.3">
      <c r="A635" s="150" t="s">
        <v>984</v>
      </c>
      <c r="B635" s="50" t="s">
        <v>235</v>
      </c>
      <c r="C635" s="51" t="s">
        <v>181</v>
      </c>
      <c r="D635" s="87" t="s">
        <v>292</v>
      </c>
      <c r="E635" s="126">
        <v>0</v>
      </c>
      <c r="F635" s="79">
        <f>BPU!E635</f>
        <v>0</v>
      </c>
      <c r="G635" s="95">
        <f t="shared" si="15"/>
        <v>0</v>
      </c>
    </row>
    <row r="636" spans="1:7" ht="18.600000000000001" customHeight="1" x14ac:dyDescent="0.3">
      <c r="A636" s="150" t="s">
        <v>985</v>
      </c>
      <c r="B636" s="50" t="s">
        <v>236</v>
      </c>
      <c r="C636" s="51" t="s">
        <v>181</v>
      </c>
      <c r="D636" s="87" t="s">
        <v>292</v>
      </c>
      <c r="E636" s="126">
        <v>0</v>
      </c>
      <c r="F636" s="79">
        <f>BPU!E636</f>
        <v>0</v>
      </c>
      <c r="G636" s="95">
        <f t="shared" si="15"/>
        <v>0</v>
      </c>
    </row>
    <row r="637" spans="1:7" ht="18.600000000000001" customHeight="1" x14ac:dyDescent="0.3">
      <c r="A637" s="150" t="s">
        <v>986</v>
      </c>
      <c r="B637" s="50" t="s">
        <v>237</v>
      </c>
      <c r="C637" s="51" t="s">
        <v>181</v>
      </c>
      <c r="D637" s="87" t="s">
        <v>292</v>
      </c>
      <c r="E637" s="126">
        <v>0</v>
      </c>
      <c r="F637" s="79">
        <f>BPU!E637</f>
        <v>0</v>
      </c>
      <c r="G637" s="95">
        <f t="shared" si="15"/>
        <v>0</v>
      </c>
    </row>
    <row r="638" spans="1:7" ht="18.600000000000001" customHeight="1" x14ac:dyDescent="0.3">
      <c r="A638" s="150" t="s">
        <v>987</v>
      </c>
      <c r="B638" s="50" t="s">
        <v>238</v>
      </c>
      <c r="C638" s="51" t="s">
        <v>181</v>
      </c>
      <c r="D638" s="87" t="s">
        <v>292</v>
      </c>
      <c r="E638" s="126">
        <v>0</v>
      </c>
      <c r="F638" s="79">
        <f>BPU!E638</f>
        <v>0</v>
      </c>
      <c r="G638" s="95">
        <f t="shared" si="15"/>
        <v>0</v>
      </c>
    </row>
    <row r="639" spans="1:7" ht="18.600000000000001" customHeight="1" x14ac:dyDescent="0.3">
      <c r="A639" s="150" t="s">
        <v>988</v>
      </c>
      <c r="B639" s="50" t="s">
        <v>179</v>
      </c>
      <c r="C639" s="51" t="s">
        <v>181</v>
      </c>
      <c r="D639" s="87" t="s">
        <v>292</v>
      </c>
      <c r="E639" s="126">
        <v>0</v>
      </c>
      <c r="F639" s="79">
        <f>BPU!E639</f>
        <v>0</v>
      </c>
      <c r="G639" s="95">
        <f t="shared" si="15"/>
        <v>0</v>
      </c>
    </row>
    <row r="640" spans="1:7" ht="18.600000000000001" customHeight="1" x14ac:dyDescent="0.3">
      <c r="A640" s="150" t="s">
        <v>989</v>
      </c>
      <c r="B640" s="50" t="s">
        <v>239</v>
      </c>
      <c r="C640" s="51" t="s">
        <v>181</v>
      </c>
      <c r="D640" s="87" t="s">
        <v>292</v>
      </c>
      <c r="E640" s="126">
        <v>0</v>
      </c>
      <c r="F640" s="79">
        <f>BPU!E640</f>
        <v>0</v>
      </c>
      <c r="G640" s="95">
        <f t="shared" si="15"/>
        <v>0</v>
      </c>
    </row>
    <row r="641" spans="1:7" ht="18.600000000000001" customHeight="1" x14ac:dyDescent="0.3">
      <c r="A641" s="52" t="s">
        <v>990</v>
      </c>
      <c r="B641" s="46" t="s">
        <v>174</v>
      </c>
      <c r="C641" s="52"/>
      <c r="D641" s="87"/>
      <c r="E641" s="126"/>
      <c r="F641" s="79">
        <f>BPU!E641</f>
        <v>0</v>
      </c>
      <c r="G641" s="95">
        <f t="shared" si="15"/>
        <v>0</v>
      </c>
    </row>
    <row r="642" spans="1:7" ht="18.600000000000001" customHeight="1" x14ac:dyDescent="0.3">
      <c r="A642" s="150" t="s">
        <v>991</v>
      </c>
      <c r="B642" s="50" t="s">
        <v>240</v>
      </c>
      <c r="C642" s="51" t="s">
        <v>181</v>
      </c>
      <c r="D642" s="87" t="s">
        <v>292</v>
      </c>
      <c r="E642" s="126">
        <v>0</v>
      </c>
      <c r="F642" s="79">
        <f>BPU!E642</f>
        <v>0</v>
      </c>
      <c r="G642" s="95">
        <f t="shared" si="15"/>
        <v>0</v>
      </c>
    </row>
    <row r="643" spans="1:7" ht="18.600000000000001" customHeight="1" x14ac:dyDescent="0.3">
      <c r="A643" s="150" t="s">
        <v>992</v>
      </c>
      <c r="B643" s="50" t="s">
        <v>241</v>
      </c>
      <c r="C643" s="51" t="s">
        <v>181</v>
      </c>
      <c r="D643" s="87" t="s">
        <v>292</v>
      </c>
      <c r="E643" s="126">
        <v>0</v>
      </c>
      <c r="F643" s="79">
        <f>BPU!E643</f>
        <v>0</v>
      </c>
      <c r="G643" s="95">
        <f t="shared" si="15"/>
        <v>0</v>
      </c>
    </row>
    <row r="644" spans="1:7" ht="18.600000000000001" customHeight="1" x14ac:dyDescent="0.3">
      <c r="A644" s="150" t="s">
        <v>993</v>
      </c>
      <c r="B644" s="50" t="s">
        <v>242</v>
      </c>
      <c r="C644" s="51" t="s">
        <v>181</v>
      </c>
      <c r="D644" s="87" t="s">
        <v>292</v>
      </c>
      <c r="E644" s="126">
        <v>0</v>
      </c>
      <c r="F644" s="79">
        <f>BPU!E644</f>
        <v>0</v>
      </c>
      <c r="G644" s="95">
        <f t="shared" si="15"/>
        <v>0</v>
      </c>
    </row>
    <row r="645" spans="1:7" ht="18.600000000000001" customHeight="1" x14ac:dyDescent="0.3">
      <c r="A645" s="150" t="s">
        <v>994</v>
      </c>
      <c r="B645" s="50" t="s">
        <v>243</v>
      </c>
      <c r="C645" s="51" t="s">
        <v>181</v>
      </c>
      <c r="D645" s="87" t="s">
        <v>292</v>
      </c>
      <c r="E645" s="126">
        <v>0</v>
      </c>
      <c r="F645" s="79">
        <f>BPU!E645</f>
        <v>0</v>
      </c>
      <c r="G645" s="95">
        <f t="shared" si="15"/>
        <v>0</v>
      </c>
    </row>
    <row r="646" spans="1:7" ht="18.600000000000001" customHeight="1" x14ac:dyDescent="0.3">
      <c r="A646" s="150" t="s">
        <v>995</v>
      </c>
      <c r="B646" s="50" t="s">
        <v>244</v>
      </c>
      <c r="C646" s="51" t="s">
        <v>181</v>
      </c>
      <c r="D646" s="87" t="s">
        <v>292</v>
      </c>
      <c r="E646" s="126">
        <v>0</v>
      </c>
      <c r="F646" s="79">
        <f>BPU!E646</f>
        <v>0</v>
      </c>
      <c r="G646" s="95">
        <f t="shared" si="15"/>
        <v>0</v>
      </c>
    </row>
    <row r="647" spans="1:7" ht="18.600000000000001" customHeight="1" x14ac:dyDescent="0.3">
      <c r="A647" s="150" t="s">
        <v>996</v>
      </c>
      <c r="B647" s="50" t="s">
        <v>245</v>
      </c>
      <c r="C647" s="51" t="s">
        <v>181</v>
      </c>
      <c r="D647" s="87" t="s">
        <v>292</v>
      </c>
      <c r="E647" s="126">
        <v>0</v>
      </c>
      <c r="F647" s="79">
        <f>BPU!E647</f>
        <v>0</v>
      </c>
      <c r="G647" s="95">
        <f t="shared" si="15"/>
        <v>0</v>
      </c>
    </row>
    <row r="648" spans="1:7" ht="18.600000000000001" customHeight="1" x14ac:dyDescent="0.3">
      <c r="A648" s="150" t="s">
        <v>997</v>
      </c>
      <c r="B648" s="50" t="s">
        <v>246</v>
      </c>
      <c r="C648" s="51" t="s">
        <v>181</v>
      </c>
      <c r="D648" s="87" t="s">
        <v>292</v>
      </c>
      <c r="E648" s="126">
        <v>0</v>
      </c>
      <c r="F648" s="79">
        <f>BPU!E648</f>
        <v>0</v>
      </c>
      <c r="G648" s="95">
        <f t="shared" si="15"/>
        <v>0</v>
      </c>
    </row>
    <row r="649" spans="1:7" ht="18.600000000000001" customHeight="1" x14ac:dyDescent="0.3">
      <c r="A649" s="150" t="s">
        <v>998</v>
      </c>
      <c r="B649" s="50" t="s">
        <v>194</v>
      </c>
      <c r="C649" s="51" t="s">
        <v>181</v>
      </c>
      <c r="D649" s="87" t="s">
        <v>292</v>
      </c>
      <c r="E649" s="126">
        <v>0</v>
      </c>
      <c r="F649" s="79">
        <f>BPU!E649</f>
        <v>0</v>
      </c>
      <c r="G649" s="95">
        <f t="shared" si="15"/>
        <v>0</v>
      </c>
    </row>
    <row r="650" spans="1:7" ht="18.600000000000001" customHeight="1" x14ac:dyDescent="0.3">
      <c r="A650" s="52" t="s">
        <v>999</v>
      </c>
      <c r="B650" s="46" t="s">
        <v>175</v>
      </c>
      <c r="C650" s="52"/>
      <c r="D650" s="87"/>
      <c r="E650" s="126"/>
      <c r="F650" s="79">
        <f>BPU!E650</f>
        <v>0</v>
      </c>
      <c r="G650" s="95">
        <f t="shared" si="15"/>
        <v>0</v>
      </c>
    </row>
    <row r="651" spans="1:7" ht="18.600000000000001" customHeight="1" x14ac:dyDescent="0.3">
      <c r="A651" s="150" t="s">
        <v>1000</v>
      </c>
      <c r="B651" s="50" t="s">
        <v>180</v>
      </c>
      <c r="C651" s="51" t="s">
        <v>181</v>
      </c>
      <c r="D651" s="87" t="s">
        <v>292</v>
      </c>
      <c r="E651" s="126">
        <v>0</v>
      </c>
      <c r="F651" s="79">
        <f>BPU!E651</f>
        <v>0</v>
      </c>
      <c r="G651" s="95">
        <f t="shared" si="15"/>
        <v>0</v>
      </c>
    </row>
    <row r="652" spans="1:7" ht="18.600000000000001" customHeight="1" x14ac:dyDescent="0.3">
      <c r="A652" s="52" t="s">
        <v>1001</v>
      </c>
      <c r="B652" s="46" t="s">
        <v>176</v>
      </c>
      <c r="C652" s="52"/>
      <c r="D652" s="87"/>
      <c r="E652" s="126"/>
      <c r="F652" s="79">
        <f>BPU!E652</f>
        <v>0</v>
      </c>
      <c r="G652" s="95">
        <f t="shared" si="15"/>
        <v>0</v>
      </c>
    </row>
    <row r="653" spans="1:7" ht="18.600000000000001" customHeight="1" x14ac:dyDescent="0.3">
      <c r="A653" s="150" t="s">
        <v>1002</v>
      </c>
      <c r="B653" s="50" t="s">
        <v>257</v>
      </c>
      <c r="C653" s="51" t="s">
        <v>181</v>
      </c>
      <c r="D653" s="87" t="s">
        <v>292</v>
      </c>
      <c r="E653" s="126">
        <v>0</v>
      </c>
      <c r="F653" s="79">
        <f>BPU!E653</f>
        <v>0</v>
      </c>
      <c r="G653" s="95">
        <f t="shared" si="15"/>
        <v>0</v>
      </c>
    </row>
    <row r="654" spans="1:7" ht="18.600000000000001" customHeight="1" x14ac:dyDescent="0.3">
      <c r="A654" s="150" t="s">
        <v>1003</v>
      </c>
      <c r="B654" s="50" t="s">
        <v>253</v>
      </c>
      <c r="C654" s="51" t="s">
        <v>17</v>
      </c>
      <c r="D654" s="87" t="s">
        <v>292</v>
      </c>
      <c r="E654" s="126">
        <v>0</v>
      </c>
      <c r="F654" s="79">
        <f>BPU!E654</f>
        <v>0</v>
      </c>
      <c r="G654" s="95">
        <f t="shared" si="15"/>
        <v>0</v>
      </c>
    </row>
    <row r="655" spans="1:7" ht="18.600000000000001" customHeight="1" x14ac:dyDescent="0.3">
      <c r="A655" s="150" t="s">
        <v>1004</v>
      </c>
      <c r="B655" s="50" t="s">
        <v>252</v>
      </c>
      <c r="C655" s="51" t="s">
        <v>17</v>
      </c>
      <c r="D655" s="87" t="s">
        <v>292</v>
      </c>
      <c r="E655" s="126">
        <v>0</v>
      </c>
      <c r="F655" s="79">
        <f>BPU!E655</f>
        <v>0</v>
      </c>
      <c r="G655" s="95">
        <f t="shared" si="15"/>
        <v>0</v>
      </c>
    </row>
    <row r="656" spans="1:7" ht="18.600000000000001" customHeight="1" x14ac:dyDescent="0.3">
      <c r="A656" s="150" t="s">
        <v>1005</v>
      </c>
      <c r="B656" s="50" t="s">
        <v>254</v>
      </c>
      <c r="C656" s="51" t="s">
        <v>17</v>
      </c>
      <c r="D656" s="87" t="s">
        <v>292</v>
      </c>
      <c r="E656" s="126">
        <v>0</v>
      </c>
      <c r="F656" s="79">
        <f>BPU!E656</f>
        <v>0</v>
      </c>
      <c r="G656" s="95">
        <f t="shared" si="15"/>
        <v>0</v>
      </c>
    </row>
    <row r="657" spans="1:8" ht="18.600000000000001" customHeight="1" x14ac:dyDescent="0.3">
      <c r="A657" s="150" t="s">
        <v>1006</v>
      </c>
      <c r="B657" s="50" t="s">
        <v>255</v>
      </c>
      <c r="C657" s="51" t="s">
        <v>17</v>
      </c>
      <c r="D657" s="87" t="s">
        <v>292</v>
      </c>
      <c r="E657" s="126">
        <v>0</v>
      </c>
      <c r="F657" s="79">
        <f>BPU!E657</f>
        <v>0</v>
      </c>
      <c r="G657" s="95">
        <f t="shared" si="15"/>
        <v>0</v>
      </c>
    </row>
    <row r="658" spans="1:8" ht="28.8" customHeight="1" x14ac:dyDescent="0.3">
      <c r="A658" s="150" t="s">
        <v>1007</v>
      </c>
      <c r="B658" s="50" t="s">
        <v>251</v>
      </c>
      <c r="C658" s="51" t="s">
        <v>17</v>
      </c>
      <c r="D658" s="87" t="s">
        <v>292</v>
      </c>
      <c r="E658" s="126">
        <v>0</v>
      </c>
      <c r="F658" s="79">
        <f>BPU!E658</f>
        <v>0</v>
      </c>
      <c r="G658" s="95">
        <f t="shared" si="15"/>
        <v>0</v>
      </c>
    </row>
    <row r="659" spans="1:8" x14ac:dyDescent="0.3">
      <c r="A659" s="150" t="s">
        <v>1008</v>
      </c>
      <c r="B659" s="50" t="s">
        <v>256</v>
      </c>
      <c r="C659" s="51" t="s">
        <v>181</v>
      </c>
      <c r="D659" s="87" t="s">
        <v>292</v>
      </c>
      <c r="E659" s="126">
        <v>0</v>
      </c>
      <c r="F659" s="79">
        <f>BPU!E659</f>
        <v>0</v>
      </c>
      <c r="G659" s="95">
        <f t="shared" si="15"/>
        <v>0</v>
      </c>
    </row>
    <row r="660" spans="1:8" x14ac:dyDescent="0.3">
      <c r="A660" s="150" t="s">
        <v>1009</v>
      </c>
      <c r="B660" s="50" t="s">
        <v>258</v>
      </c>
      <c r="C660" s="51" t="s">
        <v>17</v>
      </c>
      <c r="D660" s="87" t="s">
        <v>292</v>
      </c>
      <c r="E660" s="126">
        <v>0</v>
      </c>
      <c r="F660" s="79">
        <f>BPU!E660</f>
        <v>0</v>
      </c>
      <c r="G660" s="95">
        <f t="shared" si="15"/>
        <v>0</v>
      </c>
    </row>
    <row r="661" spans="1:8" ht="18.600000000000001" customHeight="1" x14ac:dyDescent="0.3">
      <c r="A661" s="150" t="s">
        <v>1010</v>
      </c>
      <c r="B661" s="50" t="s">
        <v>193</v>
      </c>
      <c r="C661" s="51" t="s">
        <v>181</v>
      </c>
      <c r="D661" s="87" t="s">
        <v>292</v>
      </c>
      <c r="E661" s="126">
        <v>0</v>
      </c>
      <c r="F661" s="79">
        <f>BPU!E661</f>
        <v>0</v>
      </c>
      <c r="G661" s="95">
        <f t="shared" si="15"/>
        <v>0</v>
      </c>
    </row>
    <row r="662" spans="1:8" x14ac:dyDescent="0.3">
      <c r="A662" s="150" t="s">
        <v>1011</v>
      </c>
      <c r="B662" s="50" t="s">
        <v>192</v>
      </c>
      <c r="C662" s="51" t="s">
        <v>181</v>
      </c>
      <c r="D662" s="87" t="s">
        <v>292</v>
      </c>
      <c r="E662" s="126">
        <f>114.61*1.25</f>
        <v>143.26249999999999</v>
      </c>
      <c r="F662" s="79">
        <f>BPU!E662</f>
        <v>0</v>
      </c>
      <c r="G662" s="95">
        <f t="shared" si="15"/>
        <v>0</v>
      </c>
    </row>
    <row r="663" spans="1:8" ht="28.8" x14ac:dyDescent="0.3">
      <c r="A663" s="150" t="s">
        <v>1012</v>
      </c>
      <c r="B663" s="50" t="s">
        <v>260</v>
      </c>
      <c r="C663" s="51" t="s">
        <v>181</v>
      </c>
      <c r="D663" s="87" t="s">
        <v>292</v>
      </c>
      <c r="E663" s="126">
        <v>143.26</v>
      </c>
      <c r="F663" s="79">
        <f>BPU!E663</f>
        <v>0</v>
      </c>
      <c r="G663" s="95">
        <f t="shared" si="15"/>
        <v>0</v>
      </c>
    </row>
    <row r="664" spans="1:8" ht="18.600000000000001" customHeight="1" x14ac:dyDescent="0.3">
      <c r="A664" s="52" t="s">
        <v>1013</v>
      </c>
      <c r="B664" s="46" t="s">
        <v>177</v>
      </c>
      <c r="C664" s="52"/>
      <c r="D664" s="87"/>
      <c r="E664" s="126"/>
      <c r="F664" s="79">
        <f>BPU!E664</f>
        <v>0</v>
      </c>
      <c r="G664" s="95">
        <f t="shared" si="15"/>
        <v>0</v>
      </c>
    </row>
    <row r="665" spans="1:8" ht="18.600000000000001" customHeight="1" x14ac:dyDescent="0.3">
      <c r="A665" s="150" t="s">
        <v>1014</v>
      </c>
      <c r="B665" s="50" t="s">
        <v>182</v>
      </c>
      <c r="C665" s="51" t="s">
        <v>181</v>
      </c>
      <c r="D665" s="87" t="s">
        <v>292</v>
      </c>
      <c r="E665" s="126">
        <v>0</v>
      </c>
      <c r="F665" s="79">
        <f>BPU!E665</f>
        <v>0</v>
      </c>
      <c r="G665" s="95">
        <f t="shared" si="15"/>
        <v>0</v>
      </c>
    </row>
    <row r="666" spans="1:8" x14ac:dyDescent="0.3">
      <c r="A666" s="150" t="s">
        <v>1015</v>
      </c>
      <c r="B666" s="50" t="s">
        <v>1273</v>
      </c>
      <c r="C666" s="51" t="s">
        <v>181</v>
      </c>
      <c r="D666" s="87" t="s">
        <v>292</v>
      </c>
      <c r="E666" s="126">
        <v>0</v>
      </c>
      <c r="F666" s="79">
        <f>BPU!E666</f>
        <v>0</v>
      </c>
      <c r="G666" s="95">
        <f t="shared" si="15"/>
        <v>0</v>
      </c>
    </row>
    <row r="667" spans="1:8" x14ac:dyDescent="0.3">
      <c r="A667" s="150" t="s">
        <v>1016</v>
      </c>
      <c r="B667" s="50" t="s">
        <v>183</v>
      </c>
      <c r="C667" s="51" t="s">
        <v>181</v>
      </c>
      <c r="D667" s="87" t="s">
        <v>292</v>
      </c>
      <c r="E667" s="126">
        <v>0</v>
      </c>
      <c r="F667" s="79">
        <f>BPU!E667</f>
        <v>0</v>
      </c>
      <c r="G667" s="95">
        <f t="shared" si="15"/>
        <v>0</v>
      </c>
    </row>
    <row r="668" spans="1:8" x14ac:dyDescent="0.3">
      <c r="A668" s="150" t="s">
        <v>1017</v>
      </c>
      <c r="B668" s="50" t="s">
        <v>184</v>
      </c>
      <c r="C668" s="51" t="s">
        <v>181</v>
      </c>
      <c r="D668" s="87" t="s">
        <v>292</v>
      </c>
      <c r="E668" s="126">
        <v>0</v>
      </c>
      <c r="F668" s="79">
        <f>BPU!E668</f>
        <v>0</v>
      </c>
      <c r="G668" s="95">
        <f t="shared" si="15"/>
        <v>0</v>
      </c>
    </row>
    <row r="669" spans="1:8" ht="15" thickBot="1" x14ac:dyDescent="0.35">
      <c r="A669" s="150" t="s">
        <v>1018</v>
      </c>
      <c r="B669" s="50" t="s">
        <v>185</v>
      </c>
      <c r="C669" s="51" t="s">
        <v>181</v>
      </c>
      <c r="D669" s="87" t="s">
        <v>292</v>
      </c>
      <c r="E669" s="126">
        <v>0</v>
      </c>
      <c r="F669" s="79">
        <f>BPU!E669</f>
        <v>0</v>
      </c>
      <c r="G669" s="95">
        <f t="shared" si="15"/>
        <v>0</v>
      </c>
    </row>
    <row r="670" spans="1:8" ht="19.8" customHeight="1" thickBot="1" x14ac:dyDescent="0.35">
      <c r="A670" s="52"/>
      <c r="B670" s="96" t="s">
        <v>394</v>
      </c>
      <c r="C670" s="51"/>
      <c r="D670" s="87"/>
      <c r="E670" s="126"/>
      <c r="F670" s="79">
        <f>BPU!E670</f>
        <v>0</v>
      </c>
      <c r="G670" s="146">
        <f>SUM(G594:G669)</f>
        <v>0</v>
      </c>
    </row>
    <row r="671" spans="1:8" s="58" customFormat="1" ht="16.8" customHeight="1" x14ac:dyDescent="0.3">
      <c r="A671" s="70" t="s">
        <v>384</v>
      </c>
      <c r="B671" s="70" t="s">
        <v>150</v>
      </c>
      <c r="C671" s="64"/>
      <c r="D671" s="88"/>
      <c r="E671" s="130"/>
      <c r="F671" s="79">
        <f>BPU!E671</f>
        <v>0</v>
      </c>
      <c r="G671" s="95">
        <f t="shared" si="15"/>
        <v>0</v>
      </c>
      <c r="H671" s="136"/>
    </row>
    <row r="672" spans="1:8" s="65" customFormat="1" ht="24" customHeight="1" x14ac:dyDescent="0.3">
      <c r="A672" s="64" t="s">
        <v>1019</v>
      </c>
      <c r="B672" s="53" t="s">
        <v>1313</v>
      </c>
      <c r="C672" s="64" t="s">
        <v>79</v>
      </c>
      <c r="D672" s="88" t="s">
        <v>292</v>
      </c>
      <c r="E672" s="130">
        <v>1</v>
      </c>
      <c r="F672" s="79">
        <f>BPU!E672</f>
        <v>0</v>
      </c>
      <c r="G672" s="95">
        <f t="shared" si="15"/>
        <v>0</v>
      </c>
      <c r="H672" s="66"/>
    </row>
    <row r="673" spans="1:8" s="65" customFormat="1" ht="16.2" x14ac:dyDescent="0.3">
      <c r="A673" s="64" t="s">
        <v>1020</v>
      </c>
      <c r="B673" s="53" t="s">
        <v>261</v>
      </c>
      <c r="C673" s="64" t="s">
        <v>334</v>
      </c>
      <c r="D673" s="88" t="s">
        <v>292</v>
      </c>
      <c r="E673" s="130">
        <v>0</v>
      </c>
      <c r="F673" s="79">
        <f>BPU!E673</f>
        <v>0</v>
      </c>
      <c r="G673" s="95">
        <f t="shared" si="15"/>
        <v>0</v>
      </c>
      <c r="H673" s="66"/>
    </row>
    <row r="674" spans="1:8" s="65" customFormat="1" ht="16.2" x14ac:dyDescent="0.3">
      <c r="A674" s="64" t="s">
        <v>1021</v>
      </c>
      <c r="B674" s="53" t="s">
        <v>339</v>
      </c>
      <c r="C674" s="64" t="s">
        <v>334</v>
      </c>
      <c r="D674" s="88" t="s">
        <v>292</v>
      </c>
      <c r="E674" s="130">
        <f>108*0.1</f>
        <v>10.8</v>
      </c>
      <c r="F674" s="79">
        <f>BPU!E674</f>
        <v>0</v>
      </c>
      <c r="G674" s="95">
        <f t="shared" si="15"/>
        <v>0</v>
      </c>
      <c r="H674" s="66"/>
    </row>
    <row r="675" spans="1:8" s="65" customFormat="1" ht="16.2" x14ac:dyDescent="0.3">
      <c r="A675" s="64" t="s">
        <v>1022</v>
      </c>
      <c r="B675" s="53" t="s">
        <v>262</v>
      </c>
      <c r="C675" s="64" t="s">
        <v>334</v>
      </c>
      <c r="D675" s="88" t="s">
        <v>292</v>
      </c>
      <c r="E675" s="130">
        <f>108*0.1</f>
        <v>10.8</v>
      </c>
      <c r="F675" s="79">
        <f>BPU!E675</f>
        <v>0</v>
      </c>
      <c r="G675" s="95">
        <f t="shared" si="15"/>
        <v>0</v>
      </c>
      <c r="H675" s="66"/>
    </row>
    <row r="676" spans="1:8" s="65" customFormat="1" ht="18.600000000000001" customHeight="1" x14ac:dyDescent="0.3">
      <c r="A676" s="64" t="s">
        <v>1023</v>
      </c>
      <c r="B676" s="53" t="s">
        <v>263</v>
      </c>
      <c r="C676" s="64" t="s">
        <v>333</v>
      </c>
      <c r="D676" s="88" t="s">
        <v>292</v>
      </c>
      <c r="E676" s="130">
        <f>+(20.8*2)*4</f>
        <v>166.4</v>
      </c>
      <c r="F676" s="79">
        <f>BPU!E676</f>
        <v>0</v>
      </c>
      <c r="G676" s="95">
        <f t="shared" si="15"/>
        <v>0</v>
      </c>
      <c r="H676" s="66"/>
    </row>
    <row r="677" spans="1:8" s="65" customFormat="1" ht="25.8" customHeight="1" x14ac:dyDescent="0.3">
      <c r="A677" s="64" t="s">
        <v>1024</v>
      </c>
      <c r="B677" s="53" t="s">
        <v>383</v>
      </c>
      <c r="C677" s="64" t="s">
        <v>17</v>
      </c>
      <c r="D677" s="88" t="s">
        <v>292</v>
      </c>
      <c r="E677" s="130">
        <v>0</v>
      </c>
      <c r="F677" s="79">
        <f>BPU!E677</f>
        <v>0</v>
      </c>
      <c r="G677" s="95">
        <f t="shared" si="15"/>
        <v>0</v>
      </c>
      <c r="H677" s="66"/>
    </row>
    <row r="678" spans="1:8" s="65" customFormat="1" ht="18.600000000000001" customHeight="1" x14ac:dyDescent="0.3">
      <c r="A678" s="64" t="s">
        <v>1025</v>
      </c>
      <c r="B678" s="53" t="s">
        <v>264</v>
      </c>
      <c r="C678" s="64" t="s">
        <v>333</v>
      </c>
      <c r="D678" s="88" t="s">
        <v>292</v>
      </c>
      <c r="E678" s="130">
        <f>1.2*2.1</f>
        <v>2.52</v>
      </c>
      <c r="F678" s="79">
        <f>BPU!E678</f>
        <v>0</v>
      </c>
      <c r="G678" s="95">
        <f t="shared" si="15"/>
        <v>0</v>
      </c>
      <c r="H678" s="66"/>
    </row>
    <row r="679" spans="1:8" s="65" customFormat="1" ht="29.4" customHeight="1" thickBot="1" x14ac:dyDescent="0.35">
      <c r="A679" s="64" t="s">
        <v>1026</v>
      </c>
      <c r="B679" s="53" t="s">
        <v>265</v>
      </c>
      <c r="C679" s="64" t="s">
        <v>197</v>
      </c>
      <c r="D679" s="88" t="s">
        <v>292</v>
      </c>
      <c r="E679" s="130">
        <v>0</v>
      </c>
      <c r="F679" s="79">
        <f>BPU!E679</f>
        <v>0</v>
      </c>
      <c r="G679" s="95">
        <f t="shared" si="15"/>
        <v>0</v>
      </c>
      <c r="H679" s="66"/>
    </row>
    <row r="680" spans="1:8" ht="19.8" customHeight="1" thickBot="1" x14ac:dyDescent="0.35">
      <c r="A680" s="65"/>
      <c r="B680" s="96" t="s">
        <v>395</v>
      </c>
      <c r="C680" s="51"/>
      <c r="D680" s="87"/>
      <c r="E680" s="126"/>
      <c r="F680" s="79">
        <f>BPU!E680</f>
        <v>0</v>
      </c>
      <c r="G680" s="146">
        <f>SUM(G672:G679)</f>
        <v>0</v>
      </c>
    </row>
    <row r="681" spans="1:8" s="58" customFormat="1" ht="18" customHeight="1" thickBot="1" x14ac:dyDescent="0.35">
      <c r="A681" s="47"/>
      <c r="B681" s="103" t="s">
        <v>358</v>
      </c>
      <c r="C681" s="72"/>
      <c r="D681" s="91"/>
      <c r="E681" s="131"/>
      <c r="F681" s="79">
        <f>BPU!E681</f>
        <v>0</v>
      </c>
      <c r="G681" s="105">
        <f>G680+G670+G591+G513+G413+G324</f>
        <v>0</v>
      </c>
      <c r="H681" s="136"/>
    </row>
    <row r="682" spans="1:8" s="58" customFormat="1" ht="18" customHeight="1" x14ac:dyDescent="0.3">
      <c r="A682" s="47"/>
      <c r="B682" s="114"/>
      <c r="D682" s="115"/>
      <c r="E682" s="132"/>
      <c r="F682" s="79">
        <f>BPU!E682</f>
        <v>0</v>
      </c>
      <c r="G682" s="112"/>
      <c r="H682" s="136"/>
    </row>
    <row r="683" spans="1:8" s="58" customFormat="1" ht="16.8" customHeight="1" x14ac:dyDescent="0.3">
      <c r="A683" s="59" t="s">
        <v>69</v>
      </c>
      <c r="B683" s="59" t="s">
        <v>70</v>
      </c>
      <c r="C683" s="59"/>
      <c r="D683" s="86"/>
      <c r="E683" s="124"/>
      <c r="F683" s="124"/>
      <c r="G683" s="59"/>
      <c r="H683" s="136"/>
    </row>
    <row r="684" spans="1:8" ht="28.8" x14ac:dyDescent="0.3">
      <c r="A684" s="60" t="s">
        <v>2</v>
      </c>
      <c r="B684" s="60" t="s">
        <v>3</v>
      </c>
      <c r="C684" s="60" t="s">
        <v>4</v>
      </c>
      <c r="D684" s="41" t="s">
        <v>152</v>
      </c>
      <c r="E684" s="125" t="s">
        <v>5</v>
      </c>
      <c r="F684" s="125" t="s">
        <v>382</v>
      </c>
      <c r="G684" s="42" t="s">
        <v>350</v>
      </c>
    </row>
    <row r="685" spans="1:8" s="58" customFormat="1" ht="16.8" customHeight="1" x14ac:dyDescent="0.3">
      <c r="A685" s="70" t="s">
        <v>72</v>
      </c>
      <c r="B685" s="70" t="s">
        <v>73</v>
      </c>
      <c r="C685" s="52"/>
      <c r="D685" s="87"/>
      <c r="E685" s="126"/>
      <c r="F685" s="79">
        <f>BPU!E685</f>
        <v>0</v>
      </c>
      <c r="G685" s="52"/>
      <c r="H685" s="136"/>
    </row>
    <row r="686" spans="1:8" ht="18.600000000000001" customHeight="1" x14ac:dyDescent="0.3">
      <c r="A686" s="52" t="s">
        <v>74</v>
      </c>
      <c r="B686" s="54" t="s">
        <v>1314</v>
      </c>
      <c r="C686" s="52"/>
      <c r="D686" s="87"/>
      <c r="E686" s="126"/>
      <c r="F686" s="79">
        <f>BPU!E686</f>
        <v>0</v>
      </c>
      <c r="G686" s="52"/>
    </row>
    <row r="687" spans="1:8" ht="27" customHeight="1" x14ac:dyDescent="0.3">
      <c r="A687" s="150" t="s">
        <v>1027</v>
      </c>
      <c r="B687" s="152" t="s">
        <v>1315</v>
      </c>
      <c r="C687" s="51" t="s">
        <v>76</v>
      </c>
      <c r="D687" s="87" t="s">
        <v>292</v>
      </c>
      <c r="E687" s="126">
        <f>2*0</f>
        <v>0</v>
      </c>
      <c r="F687" s="79">
        <f>BPU!E687</f>
        <v>0</v>
      </c>
      <c r="G687" s="95">
        <f>E687*F687</f>
        <v>0</v>
      </c>
    </row>
    <row r="688" spans="1:8" ht="18.600000000000001" customHeight="1" x14ac:dyDescent="0.3">
      <c r="A688" s="52" t="s">
        <v>84</v>
      </c>
      <c r="B688" s="43" t="s">
        <v>268</v>
      </c>
      <c r="C688" s="52"/>
      <c r="D688" s="87"/>
      <c r="E688" s="126"/>
      <c r="F688" s="79">
        <f>BPU!E688</f>
        <v>0</v>
      </c>
      <c r="G688" s="95">
        <f t="shared" ref="G688:G748" si="16">E688*F688</f>
        <v>0</v>
      </c>
    </row>
    <row r="689" spans="1:9" ht="18.600000000000001" customHeight="1" x14ac:dyDescent="0.3">
      <c r="A689" s="150" t="s">
        <v>1028</v>
      </c>
      <c r="B689" s="50" t="s">
        <v>186</v>
      </c>
      <c r="C689" s="51" t="s">
        <v>230</v>
      </c>
      <c r="D689" s="87" t="s">
        <v>292</v>
      </c>
      <c r="E689" s="126">
        <v>0</v>
      </c>
      <c r="F689" s="79">
        <f>BPU!E689</f>
        <v>0</v>
      </c>
      <c r="G689" s="95">
        <f t="shared" si="16"/>
        <v>0</v>
      </c>
    </row>
    <row r="690" spans="1:9" ht="18.600000000000001" customHeight="1" x14ac:dyDescent="0.3">
      <c r="A690" s="150" t="s">
        <v>1029</v>
      </c>
      <c r="B690" s="50" t="s">
        <v>188</v>
      </c>
      <c r="C690" s="51" t="s">
        <v>230</v>
      </c>
      <c r="D690" s="87" t="s">
        <v>292</v>
      </c>
      <c r="E690" s="126">
        <v>0</v>
      </c>
      <c r="F690" s="79">
        <f>BPU!E690</f>
        <v>0</v>
      </c>
      <c r="G690" s="95">
        <f t="shared" si="16"/>
        <v>0</v>
      </c>
    </row>
    <row r="691" spans="1:9" ht="18.600000000000001" customHeight="1" x14ac:dyDescent="0.3">
      <c r="A691" s="150" t="s">
        <v>1030</v>
      </c>
      <c r="B691" s="50" t="s">
        <v>189</v>
      </c>
      <c r="C691" s="51" t="s">
        <v>230</v>
      </c>
      <c r="D691" s="87" t="s">
        <v>292</v>
      </c>
      <c r="E691" s="126">
        <v>0</v>
      </c>
      <c r="F691" s="79">
        <f>BPU!E691</f>
        <v>0</v>
      </c>
      <c r="G691" s="95">
        <f t="shared" si="16"/>
        <v>0</v>
      </c>
    </row>
    <row r="692" spans="1:9" ht="18.600000000000001" customHeight="1" x14ac:dyDescent="0.3">
      <c r="A692" s="150" t="s">
        <v>1031</v>
      </c>
      <c r="B692" s="50" t="s">
        <v>190</v>
      </c>
      <c r="C692" s="51" t="s">
        <v>230</v>
      </c>
      <c r="D692" s="87" t="s">
        <v>292</v>
      </c>
      <c r="E692" s="126">
        <v>0</v>
      </c>
      <c r="F692" s="79">
        <f>BPU!E692</f>
        <v>0</v>
      </c>
      <c r="G692" s="95">
        <f t="shared" si="16"/>
        <v>0</v>
      </c>
    </row>
    <row r="693" spans="1:9" ht="19.8" customHeight="1" x14ac:dyDescent="0.3">
      <c r="A693" s="150" t="s">
        <v>1032</v>
      </c>
      <c r="B693" s="50" t="s">
        <v>191</v>
      </c>
      <c r="C693" s="51" t="s">
        <v>167</v>
      </c>
      <c r="D693" s="87" t="s">
        <v>292</v>
      </c>
      <c r="E693" s="126">
        <v>0</v>
      </c>
      <c r="F693" s="79">
        <f>BPU!E693</f>
        <v>0</v>
      </c>
      <c r="G693" s="95">
        <f t="shared" si="16"/>
        <v>0</v>
      </c>
      <c r="I693" s="74"/>
    </row>
    <row r="694" spans="1:9" x14ac:dyDescent="0.3">
      <c r="A694" s="52" t="s">
        <v>85</v>
      </c>
      <c r="B694" s="43" t="s">
        <v>297</v>
      </c>
      <c r="C694" s="52"/>
      <c r="D694" s="87"/>
      <c r="E694" s="126"/>
      <c r="F694" s="79">
        <f>BPU!E694</f>
        <v>0</v>
      </c>
      <c r="G694" s="95">
        <f t="shared" si="16"/>
        <v>0</v>
      </c>
    </row>
    <row r="695" spans="1:9" ht="18.600000000000001" customHeight="1" x14ac:dyDescent="0.3">
      <c r="A695" s="52" t="s">
        <v>1033</v>
      </c>
      <c r="B695" s="46" t="s">
        <v>208</v>
      </c>
      <c r="C695" s="51"/>
      <c r="D695" s="87"/>
      <c r="E695" s="126"/>
      <c r="F695" s="79">
        <f>BPU!E695</f>
        <v>0</v>
      </c>
      <c r="G695" s="95">
        <f t="shared" si="16"/>
        <v>0</v>
      </c>
    </row>
    <row r="696" spans="1:9" ht="18.600000000000001" customHeight="1" x14ac:dyDescent="0.3">
      <c r="A696" s="150" t="s">
        <v>1034</v>
      </c>
      <c r="B696" s="52" t="s">
        <v>211</v>
      </c>
      <c r="C696" s="51" t="s">
        <v>230</v>
      </c>
      <c r="D696" s="87" t="s">
        <v>292</v>
      </c>
      <c r="E696" s="126">
        <f>31.2*0.6*0.4*0</f>
        <v>0</v>
      </c>
      <c r="F696" s="79">
        <f>BPU!E696</f>
        <v>0</v>
      </c>
      <c r="G696" s="95">
        <f t="shared" si="16"/>
        <v>0</v>
      </c>
    </row>
    <row r="697" spans="1:9" ht="18.600000000000001" customHeight="1" x14ac:dyDescent="0.3">
      <c r="A697" s="150" t="s">
        <v>1035</v>
      </c>
      <c r="B697" s="52" t="s">
        <v>326</v>
      </c>
      <c r="C697" s="51" t="s">
        <v>230</v>
      </c>
      <c r="D697" s="87" t="s">
        <v>292</v>
      </c>
      <c r="E697" s="126">
        <f>23.92*0.3*0</f>
        <v>0</v>
      </c>
      <c r="F697" s="79">
        <f>BPU!E697</f>
        <v>0</v>
      </c>
      <c r="G697" s="95">
        <f t="shared" si="16"/>
        <v>0</v>
      </c>
    </row>
    <row r="698" spans="1:9" ht="18.600000000000001" customHeight="1" x14ac:dyDescent="0.3">
      <c r="A698" s="52" t="s">
        <v>1036</v>
      </c>
      <c r="B698" s="46" t="s">
        <v>168</v>
      </c>
      <c r="C698" s="52"/>
      <c r="D698" s="87"/>
      <c r="E698" s="126"/>
      <c r="F698" s="79">
        <f>BPU!E698</f>
        <v>0</v>
      </c>
      <c r="G698" s="95">
        <f t="shared" si="16"/>
        <v>0</v>
      </c>
    </row>
    <row r="699" spans="1:9" s="65" customFormat="1" ht="18.600000000000001" customHeight="1" x14ac:dyDescent="0.3">
      <c r="A699" s="150" t="s">
        <v>1037</v>
      </c>
      <c r="B699" s="50" t="s">
        <v>213</v>
      </c>
      <c r="C699" s="51" t="s">
        <v>230</v>
      </c>
      <c r="D699" s="88" t="s">
        <v>292</v>
      </c>
      <c r="E699" s="126">
        <f>31.2*0.05*0.6*0</f>
        <v>0</v>
      </c>
      <c r="F699" s="79">
        <f>BPU!E699</f>
        <v>0</v>
      </c>
      <c r="G699" s="95">
        <f t="shared" si="16"/>
        <v>0</v>
      </c>
      <c r="H699" s="66"/>
    </row>
    <row r="700" spans="1:9" s="65" customFormat="1" ht="18.600000000000001" customHeight="1" x14ac:dyDescent="0.3">
      <c r="A700" s="150" t="s">
        <v>1038</v>
      </c>
      <c r="B700" s="50" t="s">
        <v>187</v>
      </c>
      <c r="C700" s="51" t="s">
        <v>230</v>
      </c>
      <c r="D700" s="88" t="s">
        <v>292</v>
      </c>
      <c r="E700" s="126">
        <f>31.2*0.6*0.4*0</f>
        <v>0</v>
      </c>
      <c r="F700" s="79">
        <f>BPU!E700</f>
        <v>0</v>
      </c>
      <c r="G700" s="95">
        <f t="shared" si="16"/>
        <v>0</v>
      </c>
      <c r="H700" s="66"/>
    </row>
    <row r="701" spans="1:9" s="65" customFormat="1" ht="18.600000000000001" customHeight="1" x14ac:dyDescent="0.3">
      <c r="A701" s="150" t="s">
        <v>1039</v>
      </c>
      <c r="B701" s="50" t="s">
        <v>214</v>
      </c>
      <c r="C701" s="51" t="s">
        <v>230</v>
      </c>
      <c r="D701" s="88" t="s">
        <v>292</v>
      </c>
      <c r="E701" s="126">
        <f>1.2*0.3*0.1*2*0</f>
        <v>0</v>
      </c>
      <c r="F701" s="79">
        <f>BPU!E701</f>
        <v>0</v>
      </c>
      <c r="G701" s="95">
        <f t="shared" si="16"/>
        <v>0</v>
      </c>
      <c r="H701" s="66"/>
    </row>
    <row r="702" spans="1:9" s="65" customFormat="1" ht="33" customHeight="1" x14ac:dyDescent="0.3">
      <c r="A702" s="150" t="s">
        <v>1040</v>
      </c>
      <c r="B702" s="50" t="s">
        <v>215</v>
      </c>
      <c r="C702" s="51" t="s">
        <v>230</v>
      </c>
      <c r="D702" s="88" t="s">
        <v>292</v>
      </c>
      <c r="E702" s="126">
        <f>52.4*1.5*0.1*0</f>
        <v>0</v>
      </c>
      <c r="F702" s="79">
        <f>BPU!E702</f>
        <v>0</v>
      </c>
      <c r="G702" s="95">
        <f t="shared" si="16"/>
        <v>0</v>
      </c>
      <c r="H702" s="66"/>
    </row>
    <row r="703" spans="1:9" ht="18.600000000000001" customHeight="1" x14ac:dyDescent="0.3">
      <c r="A703" s="52" t="s">
        <v>1041</v>
      </c>
      <c r="B703" s="46" t="s">
        <v>169</v>
      </c>
      <c r="C703" s="52"/>
      <c r="D703" s="87"/>
      <c r="E703" s="126"/>
      <c r="F703" s="79">
        <f>BPU!E703</f>
        <v>0</v>
      </c>
      <c r="G703" s="95">
        <f t="shared" si="16"/>
        <v>0</v>
      </c>
    </row>
    <row r="704" spans="1:9" ht="18.600000000000001" customHeight="1" x14ac:dyDescent="0.3">
      <c r="A704" s="150" t="s">
        <v>1042</v>
      </c>
      <c r="B704" s="50" t="s">
        <v>216</v>
      </c>
      <c r="C704" s="51" t="s">
        <v>230</v>
      </c>
      <c r="D704" s="87" t="s">
        <v>292</v>
      </c>
      <c r="E704" s="126">
        <f>23.92*0.1*0</f>
        <v>0</v>
      </c>
      <c r="F704" s="79">
        <f>BPU!E704</f>
        <v>0</v>
      </c>
      <c r="G704" s="95">
        <f t="shared" si="16"/>
        <v>0</v>
      </c>
    </row>
    <row r="705" spans="1:7" ht="18.600000000000001" customHeight="1" x14ac:dyDescent="0.3">
      <c r="A705" s="150" t="s">
        <v>1043</v>
      </c>
      <c r="B705" s="50" t="s">
        <v>217</v>
      </c>
      <c r="C705" s="51" t="s">
        <v>230</v>
      </c>
      <c r="D705" s="87" t="s">
        <v>292</v>
      </c>
      <c r="E705" s="126">
        <f>0.6*0.6*0.15*8*0</f>
        <v>0</v>
      </c>
      <c r="F705" s="79">
        <f>BPU!E705</f>
        <v>0</v>
      </c>
      <c r="G705" s="95">
        <f t="shared" si="16"/>
        <v>0</v>
      </c>
    </row>
    <row r="706" spans="1:7" ht="18.600000000000001" customHeight="1" x14ac:dyDescent="0.3">
      <c r="A706" s="150" t="s">
        <v>1044</v>
      </c>
      <c r="B706" s="50" t="s">
        <v>218</v>
      </c>
      <c r="C706" s="51" t="s">
        <v>230</v>
      </c>
      <c r="D706" s="87" t="s">
        <v>292</v>
      </c>
      <c r="E706" s="126">
        <f>31.2*0.2*0.2*0</f>
        <v>0</v>
      </c>
      <c r="F706" s="79">
        <f>BPU!E706</f>
        <v>0</v>
      </c>
      <c r="G706" s="95">
        <f t="shared" si="16"/>
        <v>0</v>
      </c>
    </row>
    <row r="707" spans="1:7" ht="18.600000000000001" customHeight="1" x14ac:dyDescent="0.3">
      <c r="A707" s="150" t="s">
        <v>1045</v>
      </c>
      <c r="B707" s="50" t="s">
        <v>219</v>
      </c>
      <c r="C707" s="51" t="s">
        <v>230</v>
      </c>
      <c r="D707" s="87" t="s">
        <v>292</v>
      </c>
      <c r="E707" s="126">
        <f>+E706</f>
        <v>0</v>
      </c>
      <c r="F707" s="79">
        <f>BPU!E707</f>
        <v>0</v>
      </c>
      <c r="G707" s="95">
        <f t="shared" si="16"/>
        <v>0</v>
      </c>
    </row>
    <row r="708" spans="1:7" ht="18.600000000000001" customHeight="1" x14ac:dyDescent="0.3">
      <c r="A708" s="150" t="s">
        <v>1046</v>
      </c>
      <c r="B708" s="50" t="s">
        <v>220</v>
      </c>
      <c r="C708" s="51" t="s">
        <v>230</v>
      </c>
      <c r="D708" s="87" t="s">
        <v>292</v>
      </c>
      <c r="E708" s="126">
        <f>2.4*0.2*0.2*0</f>
        <v>0</v>
      </c>
      <c r="F708" s="79">
        <f>BPU!E708</f>
        <v>0</v>
      </c>
      <c r="G708" s="95">
        <f t="shared" si="16"/>
        <v>0</v>
      </c>
    </row>
    <row r="709" spans="1:7" ht="18.600000000000001" customHeight="1" x14ac:dyDescent="0.3">
      <c r="A709" s="150" t="s">
        <v>1047</v>
      </c>
      <c r="B709" s="50" t="s">
        <v>221</v>
      </c>
      <c r="C709" s="51" t="s">
        <v>230</v>
      </c>
      <c r="D709" s="87" t="s">
        <v>292</v>
      </c>
      <c r="E709" s="126">
        <f>0.2*0.2*8*4.5*0</f>
        <v>0</v>
      </c>
      <c r="F709" s="79">
        <f>BPU!E709</f>
        <v>0</v>
      </c>
      <c r="G709" s="95">
        <f t="shared" si="16"/>
        <v>0</v>
      </c>
    </row>
    <row r="710" spans="1:7" ht="18.600000000000001" customHeight="1" x14ac:dyDescent="0.3">
      <c r="A710" s="150" t="s">
        <v>1048</v>
      </c>
      <c r="B710" s="50" t="s">
        <v>222</v>
      </c>
      <c r="C710" s="51" t="s">
        <v>230</v>
      </c>
      <c r="D710" s="87" t="s">
        <v>292</v>
      </c>
      <c r="E710" s="126">
        <v>0</v>
      </c>
      <c r="F710" s="79">
        <f>BPU!E710</f>
        <v>0</v>
      </c>
      <c r="G710" s="95">
        <f t="shared" si="16"/>
        <v>0</v>
      </c>
    </row>
    <row r="711" spans="1:7" ht="18.600000000000001" customHeight="1" x14ac:dyDescent="0.3">
      <c r="A711" s="52" t="s">
        <v>1049</v>
      </c>
      <c r="B711" s="46" t="s">
        <v>170</v>
      </c>
      <c r="C711" s="52"/>
      <c r="D711" s="87"/>
      <c r="E711" s="126"/>
      <c r="F711" s="79">
        <f>BPU!E711</f>
        <v>0</v>
      </c>
      <c r="G711" s="95">
        <f t="shared" si="16"/>
        <v>0</v>
      </c>
    </row>
    <row r="712" spans="1:7" ht="18.600000000000001" customHeight="1" x14ac:dyDescent="0.3">
      <c r="A712" s="150" t="s">
        <v>1050</v>
      </c>
      <c r="B712" s="50" t="s">
        <v>223</v>
      </c>
      <c r="C712" s="51" t="s">
        <v>230</v>
      </c>
      <c r="D712" s="87" t="s">
        <v>292</v>
      </c>
      <c r="E712" s="126">
        <f>23.92*1.25*0.05*0</f>
        <v>0</v>
      </c>
      <c r="F712" s="79">
        <f>BPU!E712</f>
        <v>0</v>
      </c>
      <c r="G712" s="95">
        <f t="shared" si="16"/>
        <v>0</v>
      </c>
    </row>
    <row r="713" spans="1:7" ht="18.600000000000001" customHeight="1" x14ac:dyDescent="0.3">
      <c r="A713" s="150" t="s">
        <v>1051</v>
      </c>
      <c r="B713" s="50" t="s">
        <v>224</v>
      </c>
      <c r="C713" s="51" t="s">
        <v>230</v>
      </c>
      <c r="D713" s="87" t="s">
        <v>292</v>
      </c>
      <c r="E713" s="126">
        <f>23.92*1.25*0.25*0</f>
        <v>0</v>
      </c>
      <c r="F713" s="79">
        <f>BPU!E713</f>
        <v>0</v>
      </c>
      <c r="G713" s="95">
        <f t="shared" si="16"/>
        <v>0</v>
      </c>
    </row>
    <row r="714" spans="1:7" ht="18.600000000000001" customHeight="1" x14ac:dyDescent="0.3">
      <c r="A714" s="150" t="s">
        <v>1052</v>
      </c>
      <c r="B714" s="50" t="s">
        <v>178</v>
      </c>
      <c r="C714" s="51" t="s">
        <v>230</v>
      </c>
      <c r="D714" s="87" t="s">
        <v>292</v>
      </c>
      <c r="E714" s="126">
        <v>0</v>
      </c>
      <c r="F714" s="79">
        <f>BPU!E714</f>
        <v>0</v>
      </c>
      <c r="G714" s="95">
        <f t="shared" si="16"/>
        <v>0</v>
      </c>
    </row>
    <row r="715" spans="1:7" ht="18.600000000000001" customHeight="1" x14ac:dyDescent="0.3">
      <c r="A715" s="52" t="s">
        <v>1053</v>
      </c>
      <c r="B715" s="46" t="s">
        <v>171</v>
      </c>
      <c r="C715" s="52"/>
      <c r="D715" s="87"/>
      <c r="E715" s="126"/>
      <c r="F715" s="79">
        <f>BPU!E715</f>
        <v>0</v>
      </c>
      <c r="G715" s="95">
        <f t="shared" si="16"/>
        <v>0</v>
      </c>
    </row>
    <row r="716" spans="1:7" ht="24.6" customHeight="1" x14ac:dyDescent="0.3">
      <c r="A716" s="150" t="s">
        <v>1054</v>
      </c>
      <c r="B716" s="50" t="s">
        <v>229</v>
      </c>
      <c r="C716" s="51" t="s">
        <v>181</v>
      </c>
      <c r="D716" s="87" t="s">
        <v>292</v>
      </c>
      <c r="E716" s="126">
        <f>31.2*0.4*0</f>
        <v>0</v>
      </c>
      <c r="F716" s="79">
        <f>BPU!E716</f>
        <v>0</v>
      </c>
      <c r="G716" s="95">
        <f t="shared" si="16"/>
        <v>0</v>
      </c>
    </row>
    <row r="717" spans="1:7" ht="18.600000000000001" customHeight="1" x14ac:dyDescent="0.3">
      <c r="A717" s="150" t="s">
        <v>1055</v>
      </c>
      <c r="B717" s="50" t="s">
        <v>225</v>
      </c>
      <c r="C717" s="51" t="s">
        <v>181</v>
      </c>
      <c r="D717" s="87" t="s">
        <v>292</v>
      </c>
      <c r="E717" s="126">
        <f>31.2*4.5*0</f>
        <v>0</v>
      </c>
      <c r="F717" s="79">
        <f>BPU!E717</f>
        <v>0</v>
      </c>
      <c r="G717" s="95">
        <f t="shared" si="16"/>
        <v>0</v>
      </c>
    </row>
    <row r="718" spans="1:7" ht="18.600000000000001" customHeight="1" x14ac:dyDescent="0.3">
      <c r="A718" s="150" t="s">
        <v>1056</v>
      </c>
      <c r="B718" s="50" t="s">
        <v>226</v>
      </c>
      <c r="C718" s="51" t="s">
        <v>181</v>
      </c>
      <c r="D718" s="87" t="s">
        <v>292</v>
      </c>
      <c r="E718" s="126">
        <f>+(1.35+2.4)*3.2*0</f>
        <v>0</v>
      </c>
      <c r="F718" s="79">
        <f>BPU!E718</f>
        <v>0</v>
      </c>
      <c r="G718" s="95">
        <f t="shared" si="16"/>
        <v>0</v>
      </c>
    </row>
    <row r="719" spans="1:7" ht="18.600000000000001" customHeight="1" x14ac:dyDescent="0.3">
      <c r="A719" s="150" t="s">
        <v>1057</v>
      </c>
      <c r="B719" s="50" t="s">
        <v>227</v>
      </c>
      <c r="C719" s="51" t="s">
        <v>181</v>
      </c>
      <c r="D719" s="87" t="s">
        <v>292</v>
      </c>
      <c r="E719" s="126">
        <f>1.2*0.4*3*0</f>
        <v>0</v>
      </c>
      <c r="F719" s="79">
        <f>BPU!E719</f>
        <v>0</v>
      </c>
      <c r="G719" s="95">
        <f t="shared" si="16"/>
        <v>0</v>
      </c>
    </row>
    <row r="720" spans="1:7" ht="18.600000000000001" customHeight="1" x14ac:dyDescent="0.3">
      <c r="A720" s="150" t="s">
        <v>1058</v>
      </c>
      <c r="B720" s="50" t="s">
        <v>228</v>
      </c>
      <c r="C720" s="51" t="s">
        <v>181</v>
      </c>
      <c r="D720" s="87" t="s">
        <v>292</v>
      </c>
      <c r="E720" s="126">
        <v>0</v>
      </c>
      <c r="F720" s="79">
        <f>BPU!E720</f>
        <v>0</v>
      </c>
      <c r="G720" s="95">
        <f t="shared" si="16"/>
        <v>0</v>
      </c>
    </row>
    <row r="721" spans="1:8" ht="18.600000000000001" customHeight="1" x14ac:dyDescent="0.3">
      <c r="A721" s="52" t="s">
        <v>1059</v>
      </c>
      <c r="B721" s="46" t="s">
        <v>172</v>
      </c>
      <c r="C721" s="52"/>
      <c r="D721" s="87"/>
      <c r="E721" s="126"/>
      <c r="F721" s="79">
        <f>BPU!E721</f>
        <v>0</v>
      </c>
      <c r="G721" s="95">
        <f t="shared" si="16"/>
        <v>0</v>
      </c>
    </row>
    <row r="722" spans="1:8" ht="18.600000000000001" customHeight="1" x14ac:dyDescent="0.3">
      <c r="A722" s="150" t="s">
        <v>1060</v>
      </c>
      <c r="B722" s="50" t="s">
        <v>231</v>
      </c>
      <c r="C722" s="51" t="s">
        <v>181</v>
      </c>
      <c r="D722" s="87" t="s">
        <v>292</v>
      </c>
      <c r="E722" s="126">
        <v>0</v>
      </c>
      <c r="F722" s="79">
        <f>BPU!E722</f>
        <v>0</v>
      </c>
      <c r="G722" s="95">
        <f t="shared" si="16"/>
        <v>0</v>
      </c>
    </row>
    <row r="723" spans="1:8" ht="18.600000000000001" customHeight="1" x14ac:dyDescent="0.3">
      <c r="A723" s="150" t="s">
        <v>1061</v>
      </c>
      <c r="B723" s="50" t="s">
        <v>232</v>
      </c>
      <c r="C723" s="51" t="s">
        <v>181</v>
      </c>
      <c r="D723" s="87" t="s">
        <v>292</v>
      </c>
      <c r="E723" s="126">
        <f>23.92*0</f>
        <v>0</v>
      </c>
      <c r="F723" s="79">
        <f>BPU!E723</f>
        <v>0</v>
      </c>
      <c r="G723" s="95">
        <f t="shared" si="16"/>
        <v>0</v>
      </c>
    </row>
    <row r="724" spans="1:8" ht="28.2" customHeight="1" x14ac:dyDescent="0.3">
      <c r="A724" s="150" t="s">
        <v>1062</v>
      </c>
      <c r="B724" s="50" t="s">
        <v>233</v>
      </c>
      <c r="C724" s="51" t="s">
        <v>181</v>
      </c>
      <c r="D724" s="87" t="s">
        <v>292</v>
      </c>
      <c r="E724" s="126">
        <f>52.4*1.5*0</f>
        <v>0</v>
      </c>
      <c r="F724" s="79">
        <f>BPU!E724</f>
        <v>0</v>
      </c>
      <c r="G724" s="95">
        <f t="shared" si="16"/>
        <v>0</v>
      </c>
    </row>
    <row r="725" spans="1:8" ht="18.600000000000001" customHeight="1" x14ac:dyDescent="0.3">
      <c r="A725" s="150" t="s">
        <v>1063</v>
      </c>
      <c r="B725" s="50" t="s">
        <v>234</v>
      </c>
      <c r="C725" s="51" t="s">
        <v>181</v>
      </c>
      <c r="D725" s="87" t="s">
        <v>292</v>
      </c>
      <c r="E725" s="126">
        <f>1.35*1.2*2*0</f>
        <v>0</v>
      </c>
      <c r="F725" s="79">
        <f>BPU!E725</f>
        <v>0</v>
      </c>
      <c r="G725" s="95">
        <f t="shared" si="16"/>
        <v>0</v>
      </c>
    </row>
    <row r="726" spans="1:8" ht="18.600000000000001" customHeight="1" x14ac:dyDescent="0.3">
      <c r="A726" s="52" t="s">
        <v>1064</v>
      </c>
      <c r="B726" s="46" t="s">
        <v>173</v>
      </c>
      <c r="C726" s="52"/>
      <c r="D726" s="87"/>
      <c r="E726" s="126"/>
      <c r="F726" s="79">
        <f>BPU!E726</f>
        <v>0</v>
      </c>
      <c r="G726" s="95">
        <f t="shared" si="16"/>
        <v>0</v>
      </c>
    </row>
    <row r="727" spans="1:8" ht="18.600000000000001" customHeight="1" x14ac:dyDescent="0.3">
      <c r="A727" s="150" t="s">
        <v>1065</v>
      </c>
      <c r="B727" s="50" t="s">
        <v>259</v>
      </c>
      <c r="C727" s="51" t="s">
        <v>181</v>
      </c>
      <c r="D727" s="87" t="s">
        <v>292</v>
      </c>
      <c r="E727" s="126">
        <v>0</v>
      </c>
      <c r="F727" s="79">
        <f>BPU!E727</f>
        <v>0</v>
      </c>
      <c r="G727" s="95">
        <f t="shared" si="16"/>
        <v>0</v>
      </c>
    </row>
    <row r="728" spans="1:8" ht="18.600000000000001" customHeight="1" x14ac:dyDescent="0.3">
      <c r="A728" s="150" t="s">
        <v>1066</v>
      </c>
      <c r="B728" s="50" t="s">
        <v>235</v>
      </c>
      <c r="C728" s="51" t="s">
        <v>181</v>
      </c>
      <c r="D728" s="87" t="s">
        <v>292</v>
      </c>
      <c r="E728" s="126">
        <f>52.4*4.5*0</f>
        <v>0</v>
      </c>
      <c r="F728" s="79">
        <f>BPU!E728</f>
        <v>0</v>
      </c>
      <c r="G728" s="95">
        <f t="shared" si="16"/>
        <v>0</v>
      </c>
    </row>
    <row r="729" spans="1:8" ht="18.600000000000001" customHeight="1" x14ac:dyDescent="0.3">
      <c r="A729" s="150" t="s">
        <v>1067</v>
      </c>
      <c r="B729" s="50" t="s">
        <v>236</v>
      </c>
      <c r="C729" s="51" t="s">
        <v>181</v>
      </c>
      <c r="D729" s="87" t="s">
        <v>292</v>
      </c>
      <c r="E729" s="126">
        <f>52.4*3.2*1.5*0</f>
        <v>0</v>
      </c>
      <c r="F729" s="79">
        <f>BPU!E729</f>
        <v>0</v>
      </c>
      <c r="G729" s="95">
        <f t="shared" si="16"/>
        <v>0</v>
      </c>
      <c r="H729" s="139"/>
    </row>
    <row r="730" spans="1:8" ht="18.600000000000001" customHeight="1" x14ac:dyDescent="0.3">
      <c r="A730" s="150" t="s">
        <v>1068</v>
      </c>
      <c r="B730" s="50" t="s">
        <v>237</v>
      </c>
      <c r="C730" s="51" t="s">
        <v>181</v>
      </c>
      <c r="D730" s="87" t="s">
        <v>292</v>
      </c>
      <c r="E730" s="126">
        <v>0</v>
      </c>
      <c r="F730" s="79">
        <f>BPU!E730</f>
        <v>0</v>
      </c>
      <c r="G730" s="95">
        <f t="shared" si="16"/>
        <v>0</v>
      </c>
    </row>
    <row r="731" spans="1:8" ht="18.600000000000001" customHeight="1" x14ac:dyDescent="0.3">
      <c r="A731" s="150" t="s">
        <v>1069</v>
      </c>
      <c r="B731" s="50" t="s">
        <v>238</v>
      </c>
      <c r="C731" s="51" t="s">
        <v>181</v>
      </c>
      <c r="D731" s="87" t="s">
        <v>292</v>
      </c>
      <c r="E731" s="126">
        <f>+(1.35+1.2)*2*1.8*0</f>
        <v>0</v>
      </c>
      <c r="F731" s="79">
        <f>BPU!E731</f>
        <v>0</v>
      </c>
      <c r="G731" s="95">
        <f t="shared" si="16"/>
        <v>0</v>
      </c>
    </row>
    <row r="732" spans="1:8" ht="18.600000000000001" customHeight="1" x14ac:dyDescent="0.3">
      <c r="A732" s="150" t="s">
        <v>1070</v>
      </c>
      <c r="B732" s="50" t="s">
        <v>179</v>
      </c>
      <c r="C732" s="51" t="s">
        <v>181</v>
      </c>
      <c r="D732" s="87" t="s">
        <v>292</v>
      </c>
      <c r="E732" s="126">
        <f>+(5.3+3.4)*2*0.15*0</f>
        <v>0</v>
      </c>
      <c r="F732" s="79">
        <f>BPU!E732</f>
        <v>0</v>
      </c>
      <c r="G732" s="95">
        <f t="shared" si="16"/>
        <v>0</v>
      </c>
    </row>
    <row r="733" spans="1:8" ht="18.600000000000001" customHeight="1" x14ac:dyDescent="0.3">
      <c r="A733" s="150" t="s">
        <v>1071</v>
      </c>
      <c r="B733" s="50" t="s">
        <v>239</v>
      </c>
      <c r="C733" s="51" t="s">
        <v>181</v>
      </c>
      <c r="D733" s="87" t="s">
        <v>292</v>
      </c>
      <c r="E733" s="126">
        <v>0</v>
      </c>
      <c r="F733" s="79">
        <f>BPU!E733</f>
        <v>0</v>
      </c>
      <c r="G733" s="95">
        <f t="shared" si="16"/>
        <v>0</v>
      </c>
    </row>
    <row r="734" spans="1:8" ht="18.600000000000001" customHeight="1" x14ac:dyDescent="0.3">
      <c r="A734" s="52" t="s">
        <v>1072</v>
      </c>
      <c r="B734" s="46" t="s">
        <v>174</v>
      </c>
      <c r="C734" s="52"/>
      <c r="D734" s="87"/>
      <c r="E734" s="126"/>
      <c r="F734" s="79">
        <f>BPU!E734</f>
        <v>0</v>
      </c>
      <c r="G734" s="95">
        <f t="shared" si="16"/>
        <v>0</v>
      </c>
    </row>
    <row r="735" spans="1:8" ht="18.600000000000001" customHeight="1" x14ac:dyDescent="0.3">
      <c r="A735" s="150" t="s">
        <v>1073</v>
      </c>
      <c r="B735" s="50" t="s">
        <v>240</v>
      </c>
      <c r="C735" s="51" t="s">
        <v>181</v>
      </c>
      <c r="D735" s="87" t="s">
        <v>292</v>
      </c>
      <c r="E735" s="126">
        <f>+((1.2*1.2*2)+(0.6*0.6*2))*0</f>
        <v>0</v>
      </c>
      <c r="F735" s="79">
        <f>BPU!E735</f>
        <v>0</v>
      </c>
      <c r="G735" s="95">
        <f t="shared" si="16"/>
        <v>0</v>
      </c>
    </row>
    <row r="736" spans="1:8" ht="18.600000000000001" customHeight="1" x14ac:dyDescent="0.3">
      <c r="A736" s="150" t="s">
        <v>1074</v>
      </c>
      <c r="B736" s="50" t="s">
        <v>241</v>
      </c>
      <c r="C736" s="51" t="s">
        <v>181</v>
      </c>
      <c r="D736" s="87" t="s">
        <v>292</v>
      </c>
      <c r="E736" s="126">
        <v>0</v>
      </c>
      <c r="F736" s="79">
        <f>BPU!E736</f>
        <v>0</v>
      </c>
      <c r="G736" s="95">
        <f t="shared" si="16"/>
        <v>0</v>
      </c>
    </row>
    <row r="737" spans="1:7" ht="18.600000000000001" customHeight="1" x14ac:dyDescent="0.3">
      <c r="A737" s="150" t="s">
        <v>1075</v>
      </c>
      <c r="B737" s="50" t="s">
        <v>242</v>
      </c>
      <c r="C737" s="51" t="s">
        <v>181</v>
      </c>
      <c r="D737" s="87" t="s">
        <v>292</v>
      </c>
      <c r="E737" s="126">
        <v>0</v>
      </c>
      <c r="F737" s="79">
        <f>BPU!E737</f>
        <v>0</v>
      </c>
      <c r="G737" s="95">
        <f t="shared" si="16"/>
        <v>0</v>
      </c>
    </row>
    <row r="738" spans="1:7" ht="18.600000000000001" customHeight="1" x14ac:dyDescent="0.3">
      <c r="A738" s="150" t="s">
        <v>1076</v>
      </c>
      <c r="B738" s="50" t="s">
        <v>243</v>
      </c>
      <c r="C738" s="51" t="s">
        <v>181</v>
      </c>
      <c r="D738" s="87" t="s">
        <v>292</v>
      </c>
      <c r="E738" s="126">
        <v>0</v>
      </c>
      <c r="F738" s="79">
        <f>BPU!E738</f>
        <v>0</v>
      </c>
      <c r="G738" s="95">
        <f t="shared" si="16"/>
        <v>0</v>
      </c>
    </row>
    <row r="739" spans="1:7" ht="18.600000000000001" customHeight="1" x14ac:dyDescent="0.3">
      <c r="A739" s="150" t="s">
        <v>1077</v>
      </c>
      <c r="B739" s="50" t="s">
        <v>244</v>
      </c>
      <c r="C739" s="51" t="s">
        <v>181</v>
      </c>
      <c r="D739" s="87" t="s">
        <v>292</v>
      </c>
      <c r="E739" s="126">
        <v>0</v>
      </c>
      <c r="F739" s="79">
        <f>BPU!E739</f>
        <v>0</v>
      </c>
      <c r="G739" s="95">
        <f t="shared" si="16"/>
        <v>0</v>
      </c>
    </row>
    <row r="740" spans="1:7" ht="18.600000000000001" customHeight="1" x14ac:dyDescent="0.3">
      <c r="A740" s="150" t="s">
        <v>1078</v>
      </c>
      <c r="B740" s="50" t="s">
        <v>245</v>
      </c>
      <c r="C740" s="51" t="s">
        <v>181</v>
      </c>
      <c r="D740" s="87" t="s">
        <v>292</v>
      </c>
      <c r="E740" s="126">
        <f>0.9*2.1*3*0</f>
        <v>0</v>
      </c>
      <c r="F740" s="79">
        <f>BPU!E740</f>
        <v>0</v>
      </c>
      <c r="G740" s="95">
        <f t="shared" si="16"/>
        <v>0</v>
      </c>
    </row>
    <row r="741" spans="1:7" ht="18.600000000000001" customHeight="1" x14ac:dyDescent="0.3">
      <c r="A741" s="150" t="s">
        <v>1079</v>
      </c>
      <c r="B741" s="50" t="s">
        <v>246</v>
      </c>
      <c r="C741" s="51" t="s">
        <v>181</v>
      </c>
      <c r="D741" s="87" t="s">
        <v>292</v>
      </c>
      <c r="E741" s="126">
        <v>0</v>
      </c>
      <c r="F741" s="79">
        <f>BPU!E741</f>
        <v>0</v>
      </c>
      <c r="G741" s="95">
        <f t="shared" si="16"/>
        <v>0</v>
      </c>
    </row>
    <row r="742" spans="1:7" ht="18.600000000000001" customHeight="1" x14ac:dyDescent="0.3">
      <c r="A742" s="150" t="s">
        <v>1080</v>
      </c>
      <c r="B742" s="50" t="s">
        <v>247</v>
      </c>
      <c r="C742" s="51" t="s">
        <v>181</v>
      </c>
      <c r="D742" s="87" t="s">
        <v>292</v>
      </c>
      <c r="E742" s="126">
        <v>0</v>
      </c>
      <c r="F742" s="79">
        <f>BPU!E742</f>
        <v>0</v>
      </c>
      <c r="G742" s="95">
        <f t="shared" si="16"/>
        <v>0</v>
      </c>
    </row>
    <row r="743" spans="1:7" ht="18.600000000000001" customHeight="1" x14ac:dyDescent="0.3">
      <c r="A743" s="150" t="s">
        <v>1081</v>
      </c>
      <c r="B743" s="50" t="s">
        <v>194</v>
      </c>
      <c r="C743" s="51" t="s">
        <v>181</v>
      </c>
      <c r="D743" s="87" t="s">
        <v>292</v>
      </c>
      <c r="E743" s="126">
        <f>E735</f>
        <v>0</v>
      </c>
      <c r="F743" s="79">
        <f>BPU!E743</f>
        <v>0</v>
      </c>
      <c r="G743" s="95">
        <f t="shared" si="16"/>
        <v>0</v>
      </c>
    </row>
    <row r="744" spans="1:7" ht="18.600000000000001" customHeight="1" x14ac:dyDescent="0.3">
      <c r="A744" s="52" t="s">
        <v>1082</v>
      </c>
      <c r="B744" s="46" t="s">
        <v>175</v>
      </c>
      <c r="C744" s="52"/>
      <c r="D744" s="87"/>
      <c r="E744" s="126"/>
      <c r="F744" s="79">
        <f>BPU!E744</f>
        <v>0</v>
      </c>
      <c r="G744" s="95">
        <f t="shared" si="16"/>
        <v>0</v>
      </c>
    </row>
    <row r="745" spans="1:7" ht="18.600000000000001" customHeight="1" x14ac:dyDescent="0.3">
      <c r="A745" s="150" t="s">
        <v>1083</v>
      </c>
      <c r="B745" s="50" t="s">
        <v>180</v>
      </c>
      <c r="C745" s="51" t="s">
        <v>181</v>
      </c>
      <c r="D745" s="87" t="s">
        <v>292</v>
      </c>
      <c r="E745" s="126">
        <f>23.92*0</f>
        <v>0</v>
      </c>
      <c r="F745" s="79">
        <f>BPU!E745</f>
        <v>0</v>
      </c>
      <c r="G745" s="95">
        <f t="shared" si="16"/>
        <v>0</v>
      </c>
    </row>
    <row r="746" spans="1:7" ht="18.600000000000001" customHeight="1" x14ac:dyDescent="0.3">
      <c r="A746" s="52" t="s">
        <v>1084</v>
      </c>
      <c r="B746" s="46" t="s">
        <v>176</v>
      </c>
      <c r="C746" s="52"/>
      <c r="D746" s="87"/>
      <c r="E746" s="126"/>
      <c r="F746" s="79">
        <f>BPU!E746</f>
        <v>0</v>
      </c>
      <c r="G746" s="95">
        <f t="shared" si="16"/>
        <v>0</v>
      </c>
    </row>
    <row r="747" spans="1:7" ht="18.600000000000001" customHeight="1" x14ac:dyDescent="0.3">
      <c r="A747" s="150" t="s">
        <v>1085</v>
      </c>
      <c r="B747" s="50" t="s">
        <v>257</v>
      </c>
      <c r="C747" s="51" t="s">
        <v>181</v>
      </c>
      <c r="D747" s="87" t="s">
        <v>292</v>
      </c>
      <c r="E747" s="126">
        <v>0</v>
      </c>
      <c r="F747" s="79">
        <f>BPU!E747</f>
        <v>0</v>
      </c>
      <c r="G747" s="95">
        <f t="shared" si="16"/>
        <v>0</v>
      </c>
    </row>
    <row r="748" spans="1:7" ht="18.600000000000001" customHeight="1" x14ac:dyDescent="0.3">
      <c r="A748" s="150" t="s">
        <v>1086</v>
      </c>
      <c r="B748" s="50" t="s">
        <v>253</v>
      </c>
      <c r="C748" s="51" t="s">
        <v>17</v>
      </c>
      <c r="D748" s="87" t="s">
        <v>292</v>
      </c>
      <c r="E748" s="126">
        <f>(3.4+1.6)*0</f>
        <v>0</v>
      </c>
      <c r="F748" s="79">
        <f>BPU!E748</f>
        <v>0</v>
      </c>
      <c r="G748" s="95">
        <f t="shared" si="16"/>
        <v>0</v>
      </c>
    </row>
    <row r="749" spans="1:7" ht="18.600000000000001" customHeight="1" x14ac:dyDescent="0.3">
      <c r="A749" s="150" t="s">
        <v>1087</v>
      </c>
      <c r="B749" s="50" t="s">
        <v>252</v>
      </c>
      <c r="C749" s="51" t="s">
        <v>17</v>
      </c>
      <c r="D749" s="87" t="s">
        <v>292</v>
      </c>
      <c r="E749" s="126">
        <f>(10+(3.85*2))*0</f>
        <v>0</v>
      </c>
      <c r="F749" s="79">
        <f>BPU!E749</f>
        <v>0</v>
      </c>
      <c r="G749" s="95">
        <f t="shared" ref="G749:G810" si="17">E749*F749</f>
        <v>0</v>
      </c>
    </row>
    <row r="750" spans="1:7" ht="18.600000000000001" customHeight="1" x14ac:dyDescent="0.3">
      <c r="A750" s="150" t="s">
        <v>1088</v>
      </c>
      <c r="B750" s="50" t="s">
        <v>254</v>
      </c>
      <c r="C750" s="51" t="s">
        <v>17</v>
      </c>
      <c r="D750" s="87" t="s">
        <v>292</v>
      </c>
      <c r="E750" s="126">
        <f>10.7*3.5*0</f>
        <v>0</v>
      </c>
      <c r="F750" s="79">
        <f>BPU!E750</f>
        <v>0</v>
      </c>
      <c r="G750" s="95">
        <f t="shared" si="17"/>
        <v>0</v>
      </c>
    </row>
    <row r="751" spans="1:7" ht="18.600000000000001" customHeight="1" x14ac:dyDescent="0.3">
      <c r="A751" s="150" t="s">
        <v>1089</v>
      </c>
      <c r="B751" s="50" t="s">
        <v>255</v>
      </c>
      <c r="C751" s="51" t="s">
        <v>17</v>
      </c>
      <c r="D751" s="87" t="s">
        <v>292</v>
      </c>
      <c r="E751" s="126">
        <v>0</v>
      </c>
      <c r="F751" s="79">
        <f>BPU!E751</f>
        <v>0</v>
      </c>
      <c r="G751" s="95">
        <f t="shared" si="17"/>
        <v>0</v>
      </c>
    </row>
    <row r="752" spans="1:7" ht="28.8" customHeight="1" x14ac:dyDescent="0.3">
      <c r="A752" s="150" t="s">
        <v>1090</v>
      </c>
      <c r="B752" s="50" t="s">
        <v>251</v>
      </c>
      <c r="C752" s="51" t="s">
        <v>17</v>
      </c>
      <c r="D752" s="87" t="s">
        <v>292</v>
      </c>
      <c r="E752" s="126">
        <v>0</v>
      </c>
      <c r="F752" s="79">
        <f>BPU!E752</f>
        <v>0</v>
      </c>
      <c r="G752" s="95">
        <f t="shared" si="17"/>
        <v>0</v>
      </c>
    </row>
    <row r="753" spans="1:7" x14ac:dyDescent="0.3">
      <c r="A753" s="150" t="s">
        <v>1091</v>
      </c>
      <c r="B753" s="50" t="s">
        <v>256</v>
      </c>
      <c r="C753" s="51" t="s">
        <v>181</v>
      </c>
      <c r="D753" s="87" t="s">
        <v>292</v>
      </c>
      <c r="E753" s="126">
        <f>35.46*0</f>
        <v>0</v>
      </c>
      <c r="F753" s="79">
        <f>BPU!E753</f>
        <v>0</v>
      </c>
      <c r="G753" s="95">
        <f t="shared" si="17"/>
        <v>0</v>
      </c>
    </row>
    <row r="754" spans="1:7" x14ac:dyDescent="0.3">
      <c r="A754" s="150" t="s">
        <v>1092</v>
      </c>
      <c r="B754" s="50" t="s">
        <v>258</v>
      </c>
      <c r="C754" s="51" t="s">
        <v>17</v>
      </c>
      <c r="D754" s="87" t="s">
        <v>292</v>
      </c>
      <c r="E754" s="126">
        <v>0</v>
      </c>
      <c r="F754" s="79">
        <f>BPU!E754</f>
        <v>0</v>
      </c>
      <c r="G754" s="95">
        <f t="shared" si="17"/>
        <v>0</v>
      </c>
    </row>
    <row r="755" spans="1:7" ht="18.600000000000001" customHeight="1" x14ac:dyDescent="0.3">
      <c r="A755" s="150" t="s">
        <v>1093</v>
      </c>
      <c r="B755" s="50" t="s">
        <v>193</v>
      </c>
      <c r="C755" s="51" t="s">
        <v>181</v>
      </c>
      <c r="D755" s="87" t="s">
        <v>292</v>
      </c>
      <c r="E755" s="126">
        <v>0</v>
      </c>
      <c r="F755" s="79">
        <f>BPU!E755</f>
        <v>0</v>
      </c>
      <c r="G755" s="95">
        <f t="shared" si="17"/>
        <v>0</v>
      </c>
    </row>
    <row r="756" spans="1:7" x14ac:dyDescent="0.3">
      <c r="A756" s="150" t="s">
        <v>1094</v>
      </c>
      <c r="B756" s="50" t="s">
        <v>192</v>
      </c>
      <c r="C756" s="51" t="s">
        <v>181</v>
      </c>
      <c r="D756" s="87" t="s">
        <v>292</v>
      </c>
      <c r="E756" s="126">
        <v>0</v>
      </c>
      <c r="F756" s="79">
        <f>BPU!E756</f>
        <v>0</v>
      </c>
      <c r="G756" s="95">
        <f t="shared" si="17"/>
        <v>0</v>
      </c>
    </row>
    <row r="757" spans="1:7" ht="28.8" x14ac:dyDescent="0.3">
      <c r="A757" s="150" t="s">
        <v>1095</v>
      </c>
      <c r="B757" s="50" t="s">
        <v>260</v>
      </c>
      <c r="C757" s="51" t="s">
        <v>181</v>
      </c>
      <c r="D757" s="87" t="s">
        <v>292</v>
      </c>
      <c r="E757" s="126">
        <v>0</v>
      </c>
      <c r="F757" s="79">
        <f>BPU!E757</f>
        <v>0</v>
      </c>
      <c r="G757" s="95">
        <f t="shared" si="17"/>
        <v>0</v>
      </c>
    </row>
    <row r="758" spans="1:7" ht="18.600000000000001" customHeight="1" x14ac:dyDescent="0.3">
      <c r="A758" s="52" t="s">
        <v>1096</v>
      </c>
      <c r="B758" s="46" t="s">
        <v>177</v>
      </c>
      <c r="C758" s="52"/>
      <c r="D758" s="87"/>
      <c r="E758" s="126"/>
      <c r="F758" s="79">
        <f>BPU!E758</f>
        <v>0</v>
      </c>
      <c r="G758" s="95">
        <f t="shared" si="17"/>
        <v>0</v>
      </c>
    </row>
    <row r="759" spans="1:7" ht="18.600000000000001" customHeight="1" x14ac:dyDescent="0.3">
      <c r="A759" s="150" t="s">
        <v>1097</v>
      </c>
      <c r="B759" s="50" t="s">
        <v>182</v>
      </c>
      <c r="C759" s="51" t="s">
        <v>181</v>
      </c>
      <c r="D759" s="87" t="s">
        <v>292</v>
      </c>
      <c r="E759" s="126">
        <f>251.52*0</f>
        <v>0</v>
      </c>
      <c r="F759" s="79">
        <f>BPU!E759</f>
        <v>0</v>
      </c>
      <c r="G759" s="95">
        <f t="shared" si="17"/>
        <v>0</v>
      </c>
    </row>
    <row r="760" spans="1:7" x14ac:dyDescent="0.3">
      <c r="A760" s="150" t="s">
        <v>1098</v>
      </c>
      <c r="B760" s="50" t="s">
        <v>1273</v>
      </c>
      <c r="C760" s="51" t="s">
        <v>181</v>
      </c>
      <c r="D760" s="87" t="s">
        <v>292</v>
      </c>
      <c r="E760" s="126">
        <f>251.52*0</f>
        <v>0</v>
      </c>
      <c r="F760" s="79">
        <f>BPU!E760</f>
        <v>0</v>
      </c>
      <c r="G760" s="95">
        <f t="shared" si="17"/>
        <v>0</v>
      </c>
    </row>
    <row r="761" spans="1:7" x14ac:dyDescent="0.3">
      <c r="A761" s="150" t="s">
        <v>1099</v>
      </c>
      <c r="B761" s="50" t="s">
        <v>183</v>
      </c>
      <c r="C761" s="51" t="s">
        <v>181</v>
      </c>
      <c r="D761" s="87" t="s">
        <v>292</v>
      </c>
      <c r="E761" s="126">
        <f>23.92*0</f>
        <v>0</v>
      </c>
      <c r="F761" s="79">
        <f>BPU!E761</f>
        <v>0</v>
      </c>
      <c r="G761" s="95">
        <f t="shared" si="17"/>
        <v>0</v>
      </c>
    </row>
    <row r="762" spans="1:7" x14ac:dyDescent="0.3">
      <c r="A762" s="150" t="s">
        <v>1100</v>
      </c>
      <c r="B762" s="50" t="s">
        <v>184</v>
      </c>
      <c r="C762" s="51" t="s">
        <v>181</v>
      </c>
      <c r="D762" s="87" t="s">
        <v>292</v>
      </c>
      <c r="E762" s="126">
        <f>5.67*0</f>
        <v>0</v>
      </c>
      <c r="F762" s="79">
        <f>BPU!E762</f>
        <v>0</v>
      </c>
      <c r="G762" s="95">
        <f t="shared" si="17"/>
        <v>0</v>
      </c>
    </row>
    <row r="763" spans="1:7" x14ac:dyDescent="0.3">
      <c r="A763" s="150" t="s">
        <v>1101</v>
      </c>
      <c r="B763" s="50" t="s">
        <v>185</v>
      </c>
      <c r="C763" s="51" t="s">
        <v>181</v>
      </c>
      <c r="D763" s="87" t="s">
        <v>292</v>
      </c>
      <c r="E763" s="126">
        <f>3.6*0</f>
        <v>0</v>
      </c>
      <c r="F763" s="79">
        <f>BPU!E763</f>
        <v>0</v>
      </c>
      <c r="G763" s="95">
        <f t="shared" si="17"/>
        <v>0</v>
      </c>
    </row>
    <row r="764" spans="1:7" x14ac:dyDescent="0.3">
      <c r="A764" s="52" t="s">
        <v>1102</v>
      </c>
      <c r="B764" s="46" t="s">
        <v>304</v>
      </c>
      <c r="C764" s="51"/>
      <c r="D764" s="87"/>
      <c r="E764" s="126"/>
      <c r="F764" s="79">
        <f>BPU!E764</f>
        <v>0</v>
      </c>
      <c r="G764" s="95">
        <f t="shared" si="17"/>
        <v>0</v>
      </c>
    </row>
    <row r="765" spans="1:7" x14ac:dyDescent="0.3">
      <c r="A765" s="150" t="s">
        <v>1103</v>
      </c>
      <c r="B765" s="50" t="s">
        <v>305</v>
      </c>
      <c r="C765" s="51" t="s">
        <v>197</v>
      </c>
      <c r="D765" s="87" t="s">
        <v>292</v>
      </c>
      <c r="E765" s="126">
        <f>1*0</f>
        <v>0</v>
      </c>
      <c r="F765" s="79">
        <f>BPU!E765</f>
        <v>0</v>
      </c>
      <c r="G765" s="95">
        <f t="shared" si="17"/>
        <v>0</v>
      </c>
    </row>
    <row r="766" spans="1:7" x14ac:dyDescent="0.3">
      <c r="A766" s="150" t="s">
        <v>1104</v>
      </c>
      <c r="B766" s="50" t="s">
        <v>306</v>
      </c>
      <c r="C766" s="51" t="s">
        <v>197</v>
      </c>
      <c r="D766" s="87" t="s">
        <v>292</v>
      </c>
      <c r="E766" s="126">
        <v>0</v>
      </c>
      <c r="F766" s="79">
        <f>BPU!E766</f>
        <v>0</v>
      </c>
      <c r="G766" s="95">
        <f t="shared" si="17"/>
        <v>0</v>
      </c>
    </row>
    <row r="767" spans="1:7" x14ac:dyDescent="0.3">
      <c r="A767" s="150" t="s">
        <v>1105</v>
      </c>
      <c r="B767" s="50" t="s">
        <v>307</v>
      </c>
      <c r="C767" s="51" t="s">
        <v>197</v>
      </c>
      <c r="D767" s="87" t="s">
        <v>292</v>
      </c>
      <c r="E767" s="126">
        <f>1*0</f>
        <v>0</v>
      </c>
      <c r="F767" s="79">
        <f>BPU!E767</f>
        <v>0</v>
      </c>
      <c r="G767" s="95">
        <f t="shared" si="17"/>
        <v>0</v>
      </c>
    </row>
    <row r="768" spans="1:7" x14ac:dyDescent="0.3">
      <c r="A768" s="150" t="s">
        <v>1106</v>
      </c>
      <c r="B768" s="50" t="s">
        <v>308</v>
      </c>
      <c r="C768" s="51" t="s">
        <v>197</v>
      </c>
      <c r="D768" s="87" t="s">
        <v>292</v>
      </c>
      <c r="E768" s="126">
        <v>0</v>
      </c>
      <c r="F768" s="79">
        <f>BPU!E768</f>
        <v>0</v>
      </c>
      <c r="G768" s="95">
        <f t="shared" si="17"/>
        <v>0</v>
      </c>
    </row>
    <row r="769" spans="1:8" x14ac:dyDescent="0.3">
      <c r="A769" s="150" t="s">
        <v>1107</v>
      </c>
      <c r="B769" s="50" t="s">
        <v>315</v>
      </c>
      <c r="C769" s="51" t="s">
        <v>197</v>
      </c>
      <c r="D769" s="87" t="s">
        <v>292</v>
      </c>
      <c r="E769" s="126">
        <v>0</v>
      </c>
      <c r="F769" s="79">
        <f>BPU!E769</f>
        <v>0</v>
      </c>
      <c r="G769" s="95">
        <f t="shared" si="17"/>
        <v>0</v>
      </c>
    </row>
    <row r="770" spans="1:8" x14ac:dyDescent="0.3">
      <c r="A770" s="150" t="s">
        <v>1108</v>
      </c>
      <c r="B770" s="50" t="s">
        <v>309</v>
      </c>
      <c r="C770" s="51" t="s">
        <v>197</v>
      </c>
      <c r="D770" s="87" t="s">
        <v>292</v>
      </c>
      <c r="E770" s="126">
        <v>0</v>
      </c>
      <c r="F770" s="79">
        <f>BPU!E770</f>
        <v>0</v>
      </c>
      <c r="G770" s="95">
        <f t="shared" si="17"/>
        <v>0</v>
      </c>
    </row>
    <row r="771" spans="1:8" x14ac:dyDescent="0.3">
      <c r="A771" s="150" t="s">
        <v>1109</v>
      </c>
      <c r="B771" s="50" t="s">
        <v>310</v>
      </c>
      <c r="C771" s="51" t="s">
        <v>197</v>
      </c>
      <c r="D771" s="87" t="s">
        <v>292</v>
      </c>
      <c r="E771" s="126">
        <f>1*0</f>
        <v>0</v>
      </c>
      <c r="F771" s="79">
        <f>BPU!E771</f>
        <v>0</v>
      </c>
      <c r="G771" s="95">
        <f t="shared" si="17"/>
        <v>0</v>
      </c>
    </row>
    <row r="772" spans="1:8" x14ac:dyDescent="0.3">
      <c r="A772" s="150" t="s">
        <v>1110</v>
      </c>
      <c r="B772" s="50" t="s">
        <v>311</v>
      </c>
      <c r="C772" s="51" t="s">
        <v>197</v>
      </c>
      <c r="D772" s="87" t="s">
        <v>292</v>
      </c>
      <c r="E772" s="126">
        <v>0</v>
      </c>
      <c r="F772" s="79">
        <f>BPU!E772</f>
        <v>0</v>
      </c>
      <c r="G772" s="95">
        <f t="shared" si="17"/>
        <v>0</v>
      </c>
    </row>
    <row r="773" spans="1:8" ht="28.2" customHeight="1" x14ac:dyDescent="0.3">
      <c r="A773" s="150" t="s">
        <v>1111</v>
      </c>
      <c r="B773" s="50" t="s">
        <v>313</v>
      </c>
      <c r="C773" s="51" t="s">
        <v>17</v>
      </c>
      <c r="D773" s="87" t="s">
        <v>292</v>
      </c>
      <c r="E773" s="126">
        <f>12*0</f>
        <v>0</v>
      </c>
      <c r="F773" s="79">
        <f>BPU!E773</f>
        <v>0</v>
      </c>
      <c r="G773" s="95">
        <f t="shared" si="17"/>
        <v>0</v>
      </c>
    </row>
    <row r="774" spans="1:8" ht="27" customHeight="1" thickBot="1" x14ac:dyDescent="0.35">
      <c r="A774" s="150" t="s">
        <v>1112</v>
      </c>
      <c r="B774" s="50" t="s">
        <v>312</v>
      </c>
      <c r="C774" s="51" t="s">
        <v>17</v>
      </c>
      <c r="D774" s="87" t="s">
        <v>292</v>
      </c>
      <c r="E774" s="126">
        <f>15*0</f>
        <v>0</v>
      </c>
      <c r="F774" s="79">
        <f>BPU!E774</f>
        <v>0</v>
      </c>
      <c r="G774" s="95">
        <f t="shared" si="17"/>
        <v>0</v>
      </c>
    </row>
    <row r="775" spans="1:8" ht="19.8" customHeight="1" thickBot="1" x14ac:dyDescent="0.35">
      <c r="A775" s="52"/>
      <c r="B775" s="96" t="s">
        <v>396</v>
      </c>
      <c r="C775" s="51"/>
      <c r="D775" s="87"/>
      <c r="E775" s="126"/>
      <c r="F775" s="79">
        <f>BPU!E775</f>
        <v>0</v>
      </c>
      <c r="G775" s="146">
        <f>SUM(G687:G774)</f>
        <v>0</v>
      </c>
    </row>
    <row r="776" spans="1:8" s="58" customFormat="1" ht="16.8" customHeight="1" x14ac:dyDescent="0.3">
      <c r="A776" s="70" t="s">
        <v>81</v>
      </c>
      <c r="B776" s="70" t="s">
        <v>82</v>
      </c>
      <c r="C776" s="52"/>
      <c r="D776" s="87"/>
      <c r="E776" s="126"/>
      <c r="F776" s="79">
        <f>BPU!E776</f>
        <v>0</v>
      </c>
      <c r="G776" s="95">
        <f t="shared" si="17"/>
        <v>0</v>
      </c>
      <c r="H776" s="136"/>
    </row>
    <row r="777" spans="1:8" ht="18.600000000000001" customHeight="1" x14ac:dyDescent="0.3">
      <c r="A777" s="52" t="s">
        <v>1113</v>
      </c>
      <c r="B777" s="50" t="s">
        <v>405</v>
      </c>
      <c r="C777" s="51" t="s">
        <v>181</v>
      </c>
      <c r="D777" s="87" t="s">
        <v>292</v>
      </c>
      <c r="E777" s="126"/>
      <c r="F777" s="79">
        <f>BPU!E777</f>
        <v>0</v>
      </c>
      <c r="G777" s="95">
        <f>E777*F777</f>
        <v>0</v>
      </c>
    </row>
    <row r="778" spans="1:8" ht="18.600000000000001" customHeight="1" x14ac:dyDescent="0.3">
      <c r="A778" s="52" t="s">
        <v>83</v>
      </c>
      <c r="B778" s="46" t="s">
        <v>174</v>
      </c>
      <c r="C778" s="52"/>
      <c r="D778" s="87"/>
      <c r="E778" s="126"/>
      <c r="F778" s="79">
        <f>BPU!E778</f>
        <v>0</v>
      </c>
      <c r="G778" s="95">
        <f t="shared" si="17"/>
        <v>0</v>
      </c>
    </row>
    <row r="779" spans="1:8" ht="50.4" customHeight="1" x14ac:dyDescent="0.3">
      <c r="A779" s="150" t="s">
        <v>1114</v>
      </c>
      <c r="B779" s="50" t="s">
        <v>145</v>
      </c>
      <c r="C779" s="51" t="s">
        <v>181</v>
      </c>
      <c r="D779" s="87" t="s">
        <v>292</v>
      </c>
      <c r="E779" s="126">
        <v>0</v>
      </c>
      <c r="F779" s="79">
        <f>BPU!E779</f>
        <v>0</v>
      </c>
      <c r="G779" s="95">
        <f t="shared" si="17"/>
        <v>0</v>
      </c>
    </row>
    <row r="780" spans="1:8" ht="18.600000000000001" customHeight="1" x14ac:dyDescent="0.3">
      <c r="A780" s="150" t="s">
        <v>1115</v>
      </c>
      <c r="B780" s="50" t="s">
        <v>240</v>
      </c>
      <c r="C780" s="51" t="s">
        <v>181</v>
      </c>
      <c r="D780" s="87" t="s">
        <v>292</v>
      </c>
      <c r="E780" s="126">
        <v>0</v>
      </c>
      <c r="F780" s="79">
        <f>BPU!E780</f>
        <v>0</v>
      </c>
      <c r="G780" s="95">
        <f t="shared" si="17"/>
        <v>0</v>
      </c>
    </row>
    <row r="781" spans="1:8" ht="18.600000000000001" customHeight="1" x14ac:dyDescent="0.3">
      <c r="A781" s="150" t="s">
        <v>1116</v>
      </c>
      <c r="B781" s="50" t="s">
        <v>241</v>
      </c>
      <c r="C781" s="51" t="s">
        <v>181</v>
      </c>
      <c r="D781" s="87" t="s">
        <v>292</v>
      </c>
      <c r="E781" s="126">
        <v>0</v>
      </c>
      <c r="F781" s="79">
        <f>BPU!E781</f>
        <v>0</v>
      </c>
      <c r="G781" s="95">
        <f t="shared" si="17"/>
        <v>0</v>
      </c>
    </row>
    <row r="782" spans="1:8" ht="18.600000000000001" customHeight="1" x14ac:dyDescent="0.3">
      <c r="A782" s="150" t="s">
        <v>1117</v>
      </c>
      <c r="B782" s="50" t="s">
        <v>242</v>
      </c>
      <c r="C782" s="51" t="s">
        <v>181</v>
      </c>
      <c r="D782" s="87" t="s">
        <v>292</v>
      </c>
      <c r="E782" s="126">
        <v>0</v>
      </c>
      <c r="F782" s="79">
        <f>BPU!E782</f>
        <v>0</v>
      </c>
      <c r="G782" s="95">
        <f t="shared" si="17"/>
        <v>0</v>
      </c>
    </row>
    <row r="783" spans="1:8" ht="18.600000000000001" customHeight="1" x14ac:dyDescent="0.3">
      <c r="A783" s="150" t="s">
        <v>1118</v>
      </c>
      <c r="B783" s="50" t="s">
        <v>243</v>
      </c>
      <c r="C783" s="51" t="s">
        <v>181</v>
      </c>
      <c r="D783" s="87" t="s">
        <v>292</v>
      </c>
      <c r="E783" s="126">
        <v>0</v>
      </c>
      <c r="F783" s="79">
        <f>BPU!E783</f>
        <v>0</v>
      </c>
      <c r="G783" s="95">
        <f t="shared" si="17"/>
        <v>0</v>
      </c>
    </row>
    <row r="784" spans="1:8" ht="18.600000000000001" customHeight="1" x14ac:dyDescent="0.3">
      <c r="A784" s="150" t="s">
        <v>1119</v>
      </c>
      <c r="B784" s="50" t="s">
        <v>244</v>
      </c>
      <c r="C784" s="51" t="s">
        <v>181</v>
      </c>
      <c r="D784" s="87" t="s">
        <v>292</v>
      </c>
      <c r="E784" s="126">
        <v>0</v>
      </c>
      <c r="F784" s="79">
        <f>BPU!E784</f>
        <v>0</v>
      </c>
      <c r="G784" s="95">
        <f t="shared" si="17"/>
        <v>0</v>
      </c>
    </row>
    <row r="785" spans="1:7" ht="18.600000000000001" customHeight="1" x14ac:dyDescent="0.3">
      <c r="A785" s="150" t="s">
        <v>1120</v>
      </c>
      <c r="B785" s="50" t="s">
        <v>245</v>
      </c>
      <c r="C785" s="51" t="s">
        <v>181</v>
      </c>
      <c r="D785" s="87" t="s">
        <v>292</v>
      </c>
      <c r="E785" s="126">
        <v>0</v>
      </c>
      <c r="F785" s="79">
        <f>BPU!E785</f>
        <v>0</v>
      </c>
      <c r="G785" s="95">
        <f t="shared" si="17"/>
        <v>0</v>
      </c>
    </row>
    <row r="786" spans="1:7" ht="18.600000000000001" customHeight="1" x14ac:dyDescent="0.3">
      <c r="A786" s="150" t="s">
        <v>1121</v>
      </c>
      <c r="B786" s="50" t="s">
        <v>246</v>
      </c>
      <c r="C786" s="51" t="s">
        <v>181</v>
      </c>
      <c r="D786" s="87" t="s">
        <v>292</v>
      </c>
      <c r="E786" s="126">
        <v>0</v>
      </c>
      <c r="F786" s="79">
        <f>BPU!E786</f>
        <v>0</v>
      </c>
      <c r="G786" s="95">
        <f t="shared" si="17"/>
        <v>0</v>
      </c>
    </row>
    <row r="787" spans="1:7" ht="18.600000000000001" customHeight="1" x14ac:dyDescent="0.3">
      <c r="A787" s="150" t="s">
        <v>1122</v>
      </c>
      <c r="B787" s="50" t="s">
        <v>247</v>
      </c>
      <c r="C787" s="51" t="s">
        <v>181</v>
      </c>
      <c r="D787" s="87" t="s">
        <v>292</v>
      </c>
      <c r="E787" s="126">
        <f>0.9*2.1</f>
        <v>1.8900000000000001</v>
      </c>
      <c r="F787" s="79">
        <f>BPU!E787</f>
        <v>0</v>
      </c>
      <c r="G787" s="95">
        <f t="shared" si="17"/>
        <v>0</v>
      </c>
    </row>
    <row r="788" spans="1:7" ht="18.600000000000001" customHeight="1" x14ac:dyDescent="0.3">
      <c r="A788" s="150" t="s">
        <v>1123</v>
      </c>
      <c r="B788" s="50" t="s">
        <v>194</v>
      </c>
      <c r="C788" s="51" t="s">
        <v>181</v>
      </c>
      <c r="D788" s="87" t="s">
        <v>292</v>
      </c>
      <c r="E788" s="126">
        <v>0</v>
      </c>
      <c r="F788" s="79">
        <f>BPU!E788</f>
        <v>0</v>
      </c>
      <c r="G788" s="95">
        <f t="shared" si="17"/>
        <v>0</v>
      </c>
    </row>
    <row r="789" spans="1:7" ht="18.600000000000001" customHeight="1" x14ac:dyDescent="0.3">
      <c r="A789" s="52" t="s">
        <v>89</v>
      </c>
      <c r="B789" s="46" t="s">
        <v>175</v>
      </c>
      <c r="C789" s="52"/>
      <c r="D789" s="87"/>
      <c r="E789" s="126"/>
      <c r="F789" s="79">
        <f>BPU!E789</f>
        <v>0</v>
      </c>
      <c r="G789" s="95">
        <f t="shared" si="17"/>
        <v>0</v>
      </c>
    </row>
    <row r="790" spans="1:7" ht="18.600000000000001" customHeight="1" x14ac:dyDescent="0.3">
      <c r="A790" s="150" t="s">
        <v>1124</v>
      </c>
      <c r="B790" s="50" t="s">
        <v>180</v>
      </c>
      <c r="C790" s="51" t="s">
        <v>181</v>
      </c>
      <c r="D790" s="87" t="s">
        <v>292</v>
      </c>
      <c r="E790" s="126">
        <f>17.5*2</f>
        <v>35</v>
      </c>
      <c r="F790" s="79">
        <f>BPU!E790</f>
        <v>0</v>
      </c>
      <c r="G790" s="95">
        <f t="shared" si="17"/>
        <v>0</v>
      </c>
    </row>
    <row r="791" spans="1:7" ht="18.600000000000001" customHeight="1" x14ac:dyDescent="0.3">
      <c r="A791" s="52" t="s">
        <v>1125</v>
      </c>
      <c r="B791" s="46" t="s">
        <v>176</v>
      </c>
      <c r="C791" s="52"/>
      <c r="D791" s="87"/>
      <c r="E791" s="126"/>
      <c r="F791" s="79">
        <f>BPU!E791</f>
        <v>0</v>
      </c>
      <c r="G791" s="95">
        <f t="shared" si="17"/>
        <v>0</v>
      </c>
    </row>
    <row r="792" spans="1:7" ht="18.600000000000001" customHeight="1" x14ac:dyDescent="0.3">
      <c r="A792" s="150" t="s">
        <v>1126</v>
      </c>
      <c r="B792" s="50" t="s">
        <v>257</v>
      </c>
      <c r="C792" s="51" t="s">
        <v>181</v>
      </c>
      <c r="D792" s="87" t="s">
        <v>292</v>
      </c>
      <c r="E792" s="126">
        <v>0</v>
      </c>
      <c r="F792" s="79">
        <f>BPU!E792</f>
        <v>0</v>
      </c>
      <c r="G792" s="95">
        <f t="shared" si="17"/>
        <v>0</v>
      </c>
    </row>
    <row r="793" spans="1:7" ht="18.600000000000001" customHeight="1" x14ac:dyDescent="0.3">
      <c r="A793" s="150" t="s">
        <v>1127</v>
      </c>
      <c r="B793" s="50" t="s">
        <v>253</v>
      </c>
      <c r="C793" s="51" t="s">
        <v>17</v>
      </c>
      <c r="D793" s="87" t="s">
        <v>292</v>
      </c>
      <c r="E793" s="126">
        <v>0</v>
      </c>
      <c r="F793" s="79">
        <f>BPU!E793</f>
        <v>0</v>
      </c>
      <c r="G793" s="95">
        <f t="shared" si="17"/>
        <v>0</v>
      </c>
    </row>
    <row r="794" spans="1:7" ht="18.600000000000001" customHeight="1" x14ac:dyDescent="0.3">
      <c r="A794" s="150" t="s">
        <v>1128</v>
      </c>
      <c r="B794" s="50" t="s">
        <v>252</v>
      </c>
      <c r="C794" s="51" t="s">
        <v>17</v>
      </c>
      <c r="D794" s="87" t="s">
        <v>292</v>
      </c>
      <c r="E794" s="126">
        <v>0</v>
      </c>
      <c r="F794" s="79">
        <f>BPU!E794</f>
        <v>0</v>
      </c>
      <c r="G794" s="95">
        <f t="shared" si="17"/>
        <v>0</v>
      </c>
    </row>
    <row r="795" spans="1:7" ht="18.600000000000001" customHeight="1" x14ac:dyDescent="0.3">
      <c r="A795" s="150" t="s">
        <v>1129</v>
      </c>
      <c r="B795" s="50" t="s">
        <v>254</v>
      </c>
      <c r="C795" s="51" t="s">
        <v>17</v>
      </c>
      <c r="D795" s="87" t="s">
        <v>292</v>
      </c>
      <c r="E795" s="126">
        <v>0</v>
      </c>
      <c r="F795" s="79">
        <f>BPU!E795</f>
        <v>0</v>
      </c>
      <c r="G795" s="95">
        <f t="shared" si="17"/>
        <v>0</v>
      </c>
    </row>
    <row r="796" spans="1:7" ht="18.600000000000001" customHeight="1" x14ac:dyDescent="0.3">
      <c r="A796" s="150" t="s">
        <v>1130</v>
      </c>
      <c r="B796" s="50" t="s">
        <v>255</v>
      </c>
      <c r="C796" s="51" t="s">
        <v>17</v>
      </c>
      <c r="D796" s="87" t="s">
        <v>292</v>
      </c>
      <c r="E796" s="126">
        <v>0</v>
      </c>
      <c r="F796" s="79">
        <f>BPU!E796</f>
        <v>0</v>
      </c>
      <c r="G796" s="95">
        <f t="shared" si="17"/>
        <v>0</v>
      </c>
    </row>
    <row r="797" spans="1:7" ht="28.8" customHeight="1" x14ac:dyDescent="0.3">
      <c r="A797" s="150" t="s">
        <v>1131</v>
      </c>
      <c r="B797" s="50" t="s">
        <v>251</v>
      </c>
      <c r="C797" s="51" t="s">
        <v>17</v>
      </c>
      <c r="D797" s="87" t="s">
        <v>292</v>
      </c>
      <c r="E797" s="126">
        <v>0</v>
      </c>
      <c r="F797" s="79">
        <f>BPU!E797</f>
        <v>0</v>
      </c>
      <c r="G797" s="95">
        <f t="shared" si="17"/>
        <v>0</v>
      </c>
    </row>
    <row r="798" spans="1:7" x14ac:dyDescent="0.3">
      <c r="A798" s="150" t="s">
        <v>1132</v>
      </c>
      <c r="B798" s="50" t="s">
        <v>256</v>
      </c>
      <c r="C798" s="51" t="s">
        <v>181</v>
      </c>
      <c r="D798" s="87" t="s">
        <v>292</v>
      </c>
      <c r="E798" s="126">
        <v>0</v>
      </c>
      <c r="F798" s="79">
        <f>BPU!E798</f>
        <v>0</v>
      </c>
      <c r="G798" s="95">
        <f t="shared" si="17"/>
        <v>0</v>
      </c>
    </row>
    <row r="799" spans="1:7" x14ac:dyDescent="0.3">
      <c r="A799" s="150" t="s">
        <v>1133</v>
      </c>
      <c r="B799" s="50" t="s">
        <v>258</v>
      </c>
      <c r="C799" s="51" t="s">
        <v>17</v>
      </c>
      <c r="D799" s="87" t="s">
        <v>292</v>
      </c>
      <c r="E799" s="126">
        <v>0</v>
      </c>
      <c r="F799" s="79">
        <f>BPU!E799</f>
        <v>0</v>
      </c>
      <c r="G799" s="95">
        <f t="shared" si="17"/>
        <v>0</v>
      </c>
    </row>
    <row r="800" spans="1:7" ht="18.600000000000001" customHeight="1" x14ac:dyDescent="0.3">
      <c r="A800" s="150" t="s">
        <v>1134</v>
      </c>
      <c r="B800" s="50" t="s">
        <v>193</v>
      </c>
      <c r="C800" s="51" t="s">
        <v>181</v>
      </c>
      <c r="D800" s="87" t="s">
        <v>292</v>
      </c>
      <c r="E800" s="126">
        <v>0</v>
      </c>
      <c r="F800" s="79">
        <f>BPU!E800</f>
        <v>0</v>
      </c>
      <c r="G800" s="95">
        <f t="shared" si="17"/>
        <v>0</v>
      </c>
    </row>
    <row r="801" spans="1:7" x14ac:dyDescent="0.3">
      <c r="A801" s="150" t="s">
        <v>1135</v>
      </c>
      <c r="B801" s="50" t="s">
        <v>192</v>
      </c>
      <c r="C801" s="51" t="s">
        <v>181</v>
      </c>
      <c r="D801" s="87" t="s">
        <v>292</v>
      </c>
      <c r="E801" s="126">
        <v>0</v>
      </c>
      <c r="F801" s="79">
        <f>BPU!E801</f>
        <v>0</v>
      </c>
      <c r="G801" s="95">
        <f t="shared" si="17"/>
        <v>0</v>
      </c>
    </row>
    <row r="802" spans="1:7" ht="28.8" x14ac:dyDescent="0.3">
      <c r="A802" s="150" t="s">
        <v>1136</v>
      </c>
      <c r="B802" s="50" t="s">
        <v>260</v>
      </c>
      <c r="C802" s="51" t="s">
        <v>181</v>
      </c>
      <c r="D802" s="87" t="s">
        <v>292</v>
      </c>
      <c r="E802" s="126">
        <v>0</v>
      </c>
      <c r="F802" s="79">
        <f>BPU!E802</f>
        <v>0</v>
      </c>
      <c r="G802" s="95">
        <f t="shared" si="17"/>
        <v>0</v>
      </c>
    </row>
    <row r="803" spans="1:7" ht="18.600000000000001" customHeight="1" x14ac:dyDescent="0.3">
      <c r="A803" s="52" t="s">
        <v>1137</v>
      </c>
      <c r="B803" s="46" t="s">
        <v>177</v>
      </c>
      <c r="C803" s="52"/>
      <c r="D803" s="87"/>
      <c r="E803" s="126"/>
      <c r="F803" s="79">
        <f>BPU!E803</f>
        <v>0</v>
      </c>
      <c r="G803" s="95">
        <f t="shared" si="17"/>
        <v>0</v>
      </c>
    </row>
    <row r="804" spans="1:7" ht="18.600000000000001" customHeight="1" x14ac:dyDescent="0.3">
      <c r="A804" s="150" t="s">
        <v>1138</v>
      </c>
      <c r="B804" s="50" t="s">
        <v>182</v>
      </c>
      <c r="C804" s="51" t="s">
        <v>181</v>
      </c>
      <c r="D804" s="87" t="s">
        <v>292</v>
      </c>
      <c r="E804" s="126">
        <v>0</v>
      </c>
      <c r="F804" s="79">
        <f>BPU!E804</f>
        <v>0</v>
      </c>
      <c r="G804" s="95">
        <f t="shared" si="17"/>
        <v>0</v>
      </c>
    </row>
    <row r="805" spans="1:7" x14ac:dyDescent="0.3">
      <c r="A805" s="150" t="s">
        <v>1139</v>
      </c>
      <c r="B805" s="50" t="s">
        <v>1273</v>
      </c>
      <c r="C805" s="51" t="s">
        <v>181</v>
      </c>
      <c r="D805" s="87" t="s">
        <v>292</v>
      </c>
      <c r="E805" s="126">
        <f>17*3.2*2</f>
        <v>108.80000000000001</v>
      </c>
      <c r="F805" s="79">
        <f>BPU!E805</f>
        <v>0</v>
      </c>
      <c r="G805" s="95">
        <f t="shared" si="17"/>
        <v>0</v>
      </c>
    </row>
    <row r="806" spans="1:7" x14ac:dyDescent="0.3">
      <c r="A806" s="150" t="s">
        <v>1140</v>
      </c>
      <c r="B806" s="50" t="s">
        <v>183</v>
      </c>
      <c r="C806" s="51" t="s">
        <v>181</v>
      </c>
      <c r="D806" s="87" t="s">
        <v>292</v>
      </c>
      <c r="E806" s="126">
        <v>35</v>
      </c>
      <c r="F806" s="79">
        <f>BPU!E806</f>
        <v>0</v>
      </c>
      <c r="G806" s="95">
        <f t="shared" si="17"/>
        <v>0</v>
      </c>
    </row>
    <row r="807" spans="1:7" x14ac:dyDescent="0.3">
      <c r="A807" s="150" t="s">
        <v>1141</v>
      </c>
      <c r="B807" s="50" t="s">
        <v>184</v>
      </c>
      <c r="C807" s="51" t="s">
        <v>181</v>
      </c>
      <c r="D807" s="87" t="s">
        <v>292</v>
      </c>
      <c r="E807" s="126">
        <f>0.9*2.1*2*4</f>
        <v>15.120000000000001</v>
      </c>
      <c r="F807" s="79">
        <f>BPU!E807</f>
        <v>0</v>
      </c>
      <c r="G807" s="95">
        <f t="shared" si="17"/>
        <v>0</v>
      </c>
    </row>
    <row r="808" spans="1:7" x14ac:dyDescent="0.3">
      <c r="A808" s="150" t="s">
        <v>1142</v>
      </c>
      <c r="B808" s="50" t="s">
        <v>185</v>
      </c>
      <c r="C808" s="51" t="s">
        <v>181</v>
      </c>
      <c r="D808" s="87" t="s">
        <v>292</v>
      </c>
      <c r="E808" s="126">
        <f>1.5*1.2*2</f>
        <v>3.5999999999999996</v>
      </c>
      <c r="F808" s="79">
        <f>BPU!E808</f>
        <v>0</v>
      </c>
      <c r="G808" s="95">
        <f t="shared" si="17"/>
        <v>0</v>
      </c>
    </row>
    <row r="809" spans="1:7" x14ac:dyDescent="0.3">
      <c r="A809" s="52" t="s">
        <v>1143</v>
      </c>
      <c r="B809" s="46" t="s">
        <v>304</v>
      </c>
      <c r="C809" s="51"/>
      <c r="D809" s="87"/>
      <c r="E809" s="126"/>
      <c r="F809" s="79">
        <f>BPU!E809</f>
        <v>0</v>
      </c>
      <c r="G809" s="95">
        <f t="shared" si="17"/>
        <v>0</v>
      </c>
    </row>
    <row r="810" spans="1:7" x14ac:dyDescent="0.3">
      <c r="A810" s="150" t="s">
        <v>1144</v>
      </c>
      <c r="B810" s="50" t="s">
        <v>305</v>
      </c>
      <c r="C810" s="51" t="s">
        <v>197</v>
      </c>
      <c r="D810" s="87" t="s">
        <v>292</v>
      </c>
      <c r="E810" s="126">
        <v>1</v>
      </c>
      <c r="F810" s="79">
        <f>BPU!E810</f>
        <v>0</v>
      </c>
      <c r="G810" s="95">
        <f t="shared" si="17"/>
        <v>0</v>
      </c>
    </row>
    <row r="811" spans="1:7" x14ac:dyDescent="0.3">
      <c r="A811" s="150" t="s">
        <v>1145</v>
      </c>
      <c r="B811" s="50" t="s">
        <v>306</v>
      </c>
      <c r="C811" s="51" t="s">
        <v>197</v>
      </c>
      <c r="D811" s="87" t="s">
        <v>292</v>
      </c>
      <c r="E811" s="126">
        <v>0</v>
      </c>
      <c r="F811" s="79">
        <f>BPU!E811</f>
        <v>0</v>
      </c>
      <c r="G811" s="95">
        <f t="shared" ref="G811:G875" si="18">E811*F811</f>
        <v>0</v>
      </c>
    </row>
    <row r="812" spans="1:7" x14ac:dyDescent="0.3">
      <c r="A812" s="150" t="s">
        <v>1146</v>
      </c>
      <c r="B812" s="50" t="s">
        <v>307</v>
      </c>
      <c r="C812" s="51" t="s">
        <v>197</v>
      </c>
      <c r="D812" s="87" t="s">
        <v>292</v>
      </c>
      <c r="E812" s="126">
        <v>0</v>
      </c>
      <c r="F812" s="79">
        <f>BPU!E812</f>
        <v>0</v>
      </c>
      <c r="G812" s="95">
        <f t="shared" si="18"/>
        <v>0</v>
      </c>
    </row>
    <row r="813" spans="1:7" x14ac:dyDescent="0.3">
      <c r="A813" s="150" t="s">
        <v>1147</v>
      </c>
      <c r="B813" s="50" t="s">
        <v>308</v>
      </c>
      <c r="C813" s="51" t="s">
        <v>197</v>
      </c>
      <c r="D813" s="87" t="s">
        <v>292</v>
      </c>
      <c r="E813" s="126">
        <v>0</v>
      </c>
      <c r="F813" s="79">
        <f>BPU!E813</f>
        <v>0</v>
      </c>
      <c r="G813" s="95">
        <f t="shared" si="18"/>
        <v>0</v>
      </c>
    </row>
    <row r="814" spans="1:7" x14ac:dyDescent="0.3">
      <c r="A814" s="150" t="s">
        <v>1148</v>
      </c>
      <c r="B814" s="50" t="s">
        <v>309</v>
      </c>
      <c r="C814" s="51" t="s">
        <v>197</v>
      </c>
      <c r="D814" s="87" t="s">
        <v>292</v>
      </c>
      <c r="E814" s="126">
        <v>0</v>
      </c>
      <c r="F814" s="79">
        <f>BPU!E814</f>
        <v>0</v>
      </c>
      <c r="G814" s="95">
        <f t="shared" si="18"/>
        <v>0</v>
      </c>
    </row>
    <row r="815" spans="1:7" x14ac:dyDescent="0.3">
      <c r="A815" s="150" t="s">
        <v>1149</v>
      </c>
      <c r="B815" s="50" t="s">
        <v>310</v>
      </c>
      <c r="C815" s="51" t="s">
        <v>197</v>
      </c>
      <c r="D815" s="87" t="s">
        <v>292</v>
      </c>
      <c r="E815" s="126">
        <v>1</v>
      </c>
      <c r="F815" s="79">
        <f>BPU!E815</f>
        <v>0</v>
      </c>
      <c r="G815" s="95">
        <f t="shared" si="18"/>
        <v>0</v>
      </c>
    </row>
    <row r="816" spans="1:7" x14ac:dyDescent="0.3">
      <c r="A816" s="150" t="s">
        <v>1150</v>
      </c>
      <c r="B816" s="50" t="s">
        <v>311</v>
      </c>
      <c r="C816" s="51" t="s">
        <v>197</v>
      </c>
      <c r="D816" s="87" t="s">
        <v>292</v>
      </c>
      <c r="E816" s="126">
        <v>0</v>
      </c>
      <c r="F816" s="79">
        <f>BPU!E816</f>
        <v>0</v>
      </c>
      <c r="G816" s="95">
        <f t="shared" si="18"/>
        <v>0</v>
      </c>
    </row>
    <row r="817" spans="1:8" ht="28.2" customHeight="1" x14ac:dyDescent="0.3">
      <c r="A817" s="150" t="s">
        <v>1151</v>
      </c>
      <c r="B817" s="50" t="s">
        <v>313</v>
      </c>
      <c r="C817" s="51" t="s">
        <v>17</v>
      </c>
      <c r="D817" s="87" t="s">
        <v>292</v>
      </c>
      <c r="E817" s="126">
        <v>24</v>
      </c>
      <c r="F817" s="79">
        <f>BPU!E817</f>
        <v>0</v>
      </c>
      <c r="G817" s="95">
        <f t="shared" si="18"/>
        <v>0</v>
      </c>
    </row>
    <row r="818" spans="1:8" ht="25.2" customHeight="1" thickBot="1" x14ac:dyDescent="0.35">
      <c r="A818" s="150" t="s">
        <v>1152</v>
      </c>
      <c r="B818" s="50" t="s">
        <v>312</v>
      </c>
      <c r="C818" s="51" t="s">
        <v>17</v>
      </c>
      <c r="D818" s="87" t="s">
        <v>292</v>
      </c>
      <c r="E818" s="126">
        <v>60</v>
      </c>
      <c r="F818" s="79">
        <f>BPU!E818</f>
        <v>0</v>
      </c>
      <c r="G818" s="95">
        <f t="shared" si="18"/>
        <v>0</v>
      </c>
    </row>
    <row r="819" spans="1:8" ht="19.8" customHeight="1" thickBot="1" x14ac:dyDescent="0.35">
      <c r="A819" s="52"/>
      <c r="B819" s="96" t="s">
        <v>397</v>
      </c>
      <c r="C819" s="51"/>
      <c r="D819" s="87"/>
      <c r="E819" s="126"/>
      <c r="F819" s="79">
        <f>BPU!E819</f>
        <v>0</v>
      </c>
      <c r="G819" s="146">
        <f>SUM(G777:G818)</f>
        <v>0</v>
      </c>
    </row>
    <row r="820" spans="1:8" s="58" customFormat="1" ht="16.8" customHeight="1" x14ac:dyDescent="0.3">
      <c r="A820" s="70" t="s">
        <v>91</v>
      </c>
      <c r="B820" s="70" t="s">
        <v>303</v>
      </c>
      <c r="C820" s="52"/>
      <c r="D820" s="87"/>
      <c r="E820" s="126"/>
      <c r="F820" s="79">
        <f>BPU!E820</f>
        <v>0</v>
      </c>
      <c r="G820" s="95">
        <f t="shared" si="18"/>
        <v>0</v>
      </c>
      <c r="H820" s="136"/>
    </row>
    <row r="821" spans="1:8" ht="28.8" x14ac:dyDescent="0.3">
      <c r="A821" s="150" t="s">
        <v>93</v>
      </c>
      <c r="B821" s="61" t="s">
        <v>316</v>
      </c>
      <c r="C821" s="52" t="s">
        <v>79</v>
      </c>
      <c r="D821" s="87" t="s">
        <v>158</v>
      </c>
      <c r="E821" s="126">
        <v>1</v>
      </c>
      <c r="F821" s="79">
        <f>BPU!E821</f>
        <v>0</v>
      </c>
      <c r="G821" s="95">
        <f t="shared" si="18"/>
        <v>0</v>
      </c>
      <c r="H821" s="139"/>
    </row>
    <row r="822" spans="1:8" x14ac:dyDescent="0.3">
      <c r="A822" s="150" t="s">
        <v>94</v>
      </c>
      <c r="B822" s="52" t="s">
        <v>346</v>
      </c>
      <c r="C822" s="52" t="s">
        <v>17</v>
      </c>
      <c r="D822" s="87" t="s">
        <v>292</v>
      </c>
      <c r="E822" s="126">
        <v>115</v>
      </c>
      <c r="F822" s="79">
        <f>BPU!E822</f>
        <v>0</v>
      </c>
      <c r="G822" s="95">
        <f t="shared" si="18"/>
        <v>0</v>
      </c>
    </row>
    <row r="823" spans="1:8" x14ac:dyDescent="0.3">
      <c r="A823" s="150" t="s">
        <v>101</v>
      </c>
      <c r="B823" s="52" t="s">
        <v>345</v>
      </c>
      <c r="C823" s="52" t="s">
        <v>17</v>
      </c>
      <c r="D823" s="87" t="s">
        <v>292</v>
      </c>
      <c r="E823" s="126">
        <v>55</v>
      </c>
      <c r="F823" s="79">
        <f>BPU!E823</f>
        <v>0</v>
      </c>
      <c r="G823" s="95">
        <f t="shared" si="18"/>
        <v>0</v>
      </c>
      <c r="H823" s="139"/>
    </row>
    <row r="824" spans="1:8" x14ac:dyDescent="0.3">
      <c r="A824" s="150" t="s">
        <v>102</v>
      </c>
      <c r="B824" s="61" t="s">
        <v>325</v>
      </c>
      <c r="C824" s="52" t="s">
        <v>197</v>
      </c>
      <c r="D824" s="87" t="s">
        <v>292</v>
      </c>
      <c r="E824" s="126">
        <v>20</v>
      </c>
      <c r="F824" s="79">
        <f>BPU!E824</f>
        <v>0</v>
      </c>
      <c r="G824" s="95">
        <f t="shared" si="18"/>
        <v>0</v>
      </c>
    </row>
    <row r="825" spans="1:8" x14ac:dyDescent="0.3">
      <c r="A825" s="150" t="s">
        <v>103</v>
      </c>
      <c r="B825" s="61" t="s">
        <v>340</v>
      </c>
      <c r="C825" s="52" t="s">
        <v>197</v>
      </c>
      <c r="D825" s="87" t="s">
        <v>292</v>
      </c>
      <c r="E825" s="126">
        <v>1</v>
      </c>
      <c r="F825" s="79">
        <f>BPU!E825</f>
        <v>0</v>
      </c>
      <c r="G825" s="95">
        <f t="shared" si="18"/>
        <v>0</v>
      </c>
    </row>
    <row r="826" spans="1:8" ht="28.8" x14ac:dyDescent="0.3">
      <c r="A826" s="150" t="s">
        <v>104</v>
      </c>
      <c r="B826" s="61" t="s">
        <v>341</v>
      </c>
      <c r="C826" s="52" t="s">
        <v>197</v>
      </c>
      <c r="D826" s="87" t="s">
        <v>292</v>
      </c>
      <c r="E826" s="126">
        <v>0</v>
      </c>
      <c r="F826" s="79">
        <f>BPU!E826</f>
        <v>0</v>
      </c>
      <c r="G826" s="95">
        <f t="shared" si="18"/>
        <v>0</v>
      </c>
    </row>
    <row r="827" spans="1:8" ht="28.8" x14ac:dyDescent="0.3">
      <c r="A827" s="150" t="s">
        <v>1153</v>
      </c>
      <c r="B827" s="68" t="s">
        <v>342</v>
      </c>
      <c r="C827" s="52" t="s">
        <v>197</v>
      </c>
      <c r="D827" s="87" t="s">
        <v>292</v>
      </c>
      <c r="E827" s="126">
        <v>1</v>
      </c>
      <c r="F827" s="79">
        <f>BPU!E827</f>
        <v>0</v>
      </c>
      <c r="G827" s="95">
        <f t="shared" si="18"/>
        <v>0</v>
      </c>
    </row>
    <row r="828" spans="1:8" ht="28.8" x14ac:dyDescent="0.3">
      <c r="A828" s="150" t="s">
        <v>1154</v>
      </c>
      <c r="B828" s="68" t="s">
        <v>343</v>
      </c>
      <c r="C828" s="52" t="s">
        <v>197</v>
      </c>
      <c r="D828" s="87" t="s">
        <v>292</v>
      </c>
      <c r="E828" s="126">
        <v>1</v>
      </c>
      <c r="F828" s="79">
        <f>BPU!E828</f>
        <v>0</v>
      </c>
      <c r="G828" s="95">
        <f t="shared" si="18"/>
        <v>0</v>
      </c>
    </row>
    <row r="829" spans="1:8" x14ac:dyDescent="0.3">
      <c r="A829" s="150" t="s">
        <v>1155</v>
      </c>
      <c r="B829" s="61" t="s">
        <v>318</v>
      </c>
      <c r="C829" s="52" t="s">
        <v>317</v>
      </c>
      <c r="D829" s="87" t="s">
        <v>292</v>
      </c>
      <c r="E829" s="126">
        <v>1</v>
      </c>
      <c r="F829" s="79">
        <f>BPU!E829</f>
        <v>0</v>
      </c>
      <c r="G829" s="95">
        <f t="shared" si="18"/>
        <v>0</v>
      </c>
    </row>
    <row r="830" spans="1:8" ht="29.4" thickBot="1" x14ac:dyDescent="0.35">
      <c r="A830" s="150" t="s">
        <v>1156</v>
      </c>
      <c r="B830" s="61" t="s">
        <v>344</v>
      </c>
      <c r="C830" s="52" t="s">
        <v>197</v>
      </c>
      <c r="D830" s="87" t="s">
        <v>292</v>
      </c>
      <c r="E830" s="126">
        <v>1</v>
      </c>
      <c r="F830" s="79">
        <f>BPU!E830</f>
        <v>0</v>
      </c>
      <c r="G830" s="95">
        <f t="shared" si="18"/>
        <v>0</v>
      </c>
    </row>
    <row r="831" spans="1:8" ht="19.8" customHeight="1" thickBot="1" x14ac:dyDescent="0.35">
      <c r="A831" s="52"/>
      <c r="B831" s="96" t="s">
        <v>398</v>
      </c>
      <c r="C831" s="51"/>
      <c r="D831" s="87"/>
      <c r="E831" s="126"/>
      <c r="F831" s="79">
        <f>BPU!E831</f>
        <v>0</v>
      </c>
      <c r="G831" s="146">
        <f>SUM(G821:G830)</f>
        <v>0</v>
      </c>
    </row>
    <row r="832" spans="1:8" s="58" customFormat="1" ht="16.8" customHeight="1" x14ac:dyDescent="0.3">
      <c r="A832" s="70" t="s">
        <v>105</v>
      </c>
      <c r="B832" s="70" t="s">
        <v>301</v>
      </c>
      <c r="C832" s="52"/>
      <c r="D832" s="87"/>
      <c r="E832" s="126"/>
      <c r="F832" s="79">
        <f>BPU!E832</f>
        <v>0</v>
      </c>
      <c r="G832" s="95">
        <f t="shared" si="18"/>
        <v>0</v>
      </c>
      <c r="H832" s="136"/>
    </row>
    <row r="833" spans="1:10" x14ac:dyDescent="0.3">
      <c r="A833" s="150" t="s">
        <v>107</v>
      </c>
      <c r="B833" s="61" t="s">
        <v>298</v>
      </c>
      <c r="C833" s="52" t="s">
        <v>79</v>
      </c>
      <c r="D833" s="87" t="s">
        <v>158</v>
      </c>
      <c r="E833" s="126">
        <v>1</v>
      </c>
      <c r="F833" s="79">
        <f>BPU!E833</f>
        <v>0</v>
      </c>
      <c r="G833" s="95">
        <f t="shared" si="18"/>
        <v>0</v>
      </c>
    </row>
    <row r="834" spans="1:10" x14ac:dyDescent="0.3">
      <c r="A834" s="150" t="s">
        <v>128</v>
      </c>
      <c r="B834" s="61" t="s">
        <v>299</v>
      </c>
      <c r="C834" s="52" t="s">
        <v>17</v>
      </c>
      <c r="D834" s="87" t="s">
        <v>292</v>
      </c>
      <c r="E834" s="126">
        <f>(7.5+19+35+40+50+18+11+7+7.5+10)</f>
        <v>205</v>
      </c>
      <c r="F834" s="79">
        <f>BPU!E834</f>
        <v>0</v>
      </c>
      <c r="G834" s="95">
        <f t="shared" si="18"/>
        <v>0</v>
      </c>
    </row>
    <row r="835" spans="1:10" ht="16.2" x14ac:dyDescent="0.3">
      <c r="A835" s="150" t="s">
        <v>129</v>
      </c>
      <c r="B835" s="61" t="s">
        <v>335</v>
      </c>
      <c r="C835" s="52" t="s">
        <v>110</v>
      </c>
      <c r="D835" s="87" t="s">
        <v>292</v>
      </c>
      <c r="E835" s="126">
        <v>2</v>
      </c>
      <c r="F835" s="79">
        <f>BPU!E835</f>
        <v>0</v>
      </c>
      <c r="G835" s="95">
        <f t="shared" si="18"/>
        <v>0</v>
      </c>
    </row>
    <row r="836" spans="1:10" ht="16.2" x14ac:dyDescent="0.3">
      <c r="A836" s="150" t="s">
        <v>130</v>
      </c>
      <c r="B836" s="61" t="s">
        <v>336</v>
      </c>
      <c r="C836" s="52" t="s">
        <v>110</v>
      </c>
      <c r="D836" s="87" t="s">
        <v>292</v>
      </c>
      <c r="E836" s="126">
        <v>0</v>
      </c>
      <c r="F836" s="79">
        <f>BPU!E836</f>
        <v>0</v>
      </c>
      <c r="G836" s="95">
        <f t="shared" si="18"/>
        <v>0</v>
      </c>
    </row>
    <row r="837" spans="1:10" ht="15" thickBot="1" x14ac:dyDescent="0.35">
      <c r="A837" s="150" t="s">
        <v>1157</v>
      </c>
      <c r="B837" s="61" t="s">
        <v>300</v>
      </c>
      <c r="C837" s="52" t="s">
        <v>110</v>
      </c>
      <c r="D837" s="87" t="s">
        <v>292</v>
      </c>
      <c r="E837" s="126">
        <v>0</v>
      </c>
      <c r="F837" s="79">
        <f>BPU!E837</f>
        <v>0</v>
      </c>
      <c r="G837" s="95">
        <f t="shared" si="18"/>
        <v>0</v>
      </c>
      <c r="H837" s="139"/>
    </row>
    <row r="838" spans="1:10" ht="19.8" customHeight="1" thickBot="1" x14ac:dyDescent="0.35">
      <c r="A838" s="52"/>
      <c r="B838" s="96" t="s">
        <v>399</v>
      </c>
      <c r="C838" s="51"/>
      <c r="D838" s="87"/>
      <c r="E838" s="126"/>
      <c r="F838" s="79">
        <f>BPU!E838</f>
        <v>0</v>
      </c>
      <c r="G838" s="146">
        <f>SUM(G833:G837)</f>
        <v>0</v>
      </c>
    </row>
    <row r="839" spans="1:10" s="58" customFormat="1" ht="16.8" customHeight="1" x14ac:dyDescent="0.3">
      <c r="A839" s="70" t="s">
        <v>112</v>
      </c>
      <c r="B839" s="70" t="s">
        <v>302</v>
      </c>
      <c r="C839" s="52"/>
      <c r="D839" s="87"/>
      <c r="E839" s="126"/>
      <c r="F839" s="79">
        <f>BPU!E839</f>
        <v>0</v>
      </c>
      <c r="G839" s="95">
        <f t="shared" si="18"/>
        <v>0</v>
      </c>
      <c r="H839" s="136"/>
    </row>
    <row r="840" spans="1:10" x14ac:dyDescent="0.3">
      <c r="A840" s="150" t="s">
        <v>131</v>
      </c>
      <c r="B840" s="52" t="s">
        <v>319</v>
      </c>
      <c r="C840" s="52" t="s">
        <v>17</v>
      </c>
      <c r="D840" s="87" t="s">
        <v>292</v>
      </c>
      <c r="E840" s="126">
        <v>75</v>
      </c>
      <c r="F840" s="79">
        <f>BPU!E840</f>
        <v>0</v>
      </c>
      <c r="G840" s="95">
        <f t="shared" si="18"/>
        <v>0</v>
      </c>
    </row>
    <row r="841" spans="1:10" x14ac:dyDescent="0.3">
      <c r="A841" s="150" t="s">
        <v>1158</v>
      </c>
      <c r="B841" s="52" t="s">
        <v>324</v>
      </c>
      <c r="C841" s="52" t="s">
        <v>17</v>
      </c>
      <c r="D841" s="87" t="s">
        <v>292</v>
      </c>
      <c r="E841" s="126">
        <v>95</v>
      </c>
      <c r="F841" s="79">
        <f>BPU!E841</f>
        <v>0</v>
      </c>
      <c r="G841" s="95">
        <f t="shared" si="18"/>
        <v>0</v>
      </c>
    </row>
    <row r="842" spans="1:10" x14ac:dyDescent="0.3">
      <c r="A842" s="150" t="s">
        <v>1159</v>
      </c>
      <c r="B842" s="52" t="s">
        <v>323</v>
      </c>
      <c r="C842" s="52" t="s">
        <v>317</v>
      </c>
      <c r="D842" s="87" t="s">
        <v>292</v>
      </c>
      <c r="E842" s="126">
        <v>6</v>
      </c>
      <c r="F842" s="79">
        <f>BPU!E842</f>
        <v>0</v>
      </c>
      <c r="G842" s="95">
        <f t="shared" si="18"/>
        <v>0</v>
      </c>
    </row>
    <row r="843" spans="1:10" x14ac:dyDescent="0.3">
      <c r="A843" s="150" t="s">
        <v>1160</v>
      </c>
      <c r="B843" s="52" t="s">
        <v>355</v>
      </c>
      <c r="C843" s="52" t="s">
        <v>317</v>
      </c>
      <c r="D843" s="87" t="s">
        <v>292</v>
      </c>
      <c r="E843" s="126">
        <v>4</v>
      </c>
      <c r="F843" s="79">
        <f>BPU!E843</f>
        <v>0</v>
      </c>
      <c r="G843" s="95">
        <f t="shared" si="18"/>
        <v>0</v>
      </c>
    </row>
    <row r="844" spans="1:10" x14ac:dyDescent="0.3">
      <c r="A844" s="150" t="s">
        <v>1161</v>
      </c>
      <c r="B844" s="52" t="s">
        <v>321</v>
      </c>
      <c r="C844" s="52" t="s">
        <v>317</v>
      </c>
      <c r="D844" s="87" t="s">
        <v>292</v>
      </c>
      <c r="E844" s="126">
        <v>1</v>
      </c>
      <c r="F844" s="79">
        <f>BPU!E844</f>
        <v>0</v>
      </c>
      <c r="G844" s="95">
        <f t="shared" si="18"/>
        <v>0</v>
      </c>
    </row>
    <row r="845" spans="1:10" x14ac:dyDescent="0.3">
      <c r="A845" s="150" t="s">
        <v>1162</v>
      </c>
      <c r="B845" s="52" t="s">
        <v>322</v>
      </c>
      <c r="C845" s="52" t="s">
        <v>317</v>
      </c>
      <c r="D845" s="87" t="s">
        <v>292</v>
      </c>
      <c r="E845" s="126">
        <v>0</v>
      </c>
      <c r="F845" s="79">
        <f>BPU!E845</f>
        <v>0</v>
      </c>
      <c r="G845" s="95">
        <f t="shared" si="18"/>
        <v>0</v>
      </c>
    </row>
    <row r="846" spans="1:10" ht="31.2" thickBot="1" x14ac:dyDescent="0.35">
      <c r="A846" s="150" t="s">
        <v>1163</v>
      </c>
      <c r="B846" s="61" t="s">
        <v>337</v>
      </c>
      <c r="C846" s="52" t="s">
        <v>197</v>
      </c>
      <c r="D846" s="87" t="s">
        <v>292</v>
      </c>
      <c r="E846" s="126">
        <v>2</v>
      </c>
      <c r="F846" s="79">
        <f>BPU!E846</f>
        <v>0</v>
      </c>
      <c r="G846" s="95">
        <f t="shared" si="18"/>
        <v>0</v>
      </c>
      <c r="J846" s="74"/>
    </row>
    <row r="847" spans="1:10" ht="19.8" customHeight="1" thickBot="1" x14ac:dyDescent="0.35">
      <c r="A847" s="52"/>
      <c r="B847" s="96" t="s">
        <v>400</v>
      </c>
      <c r="C847" s="51"/>
      <c r="D847" s="87"/>
      <c r="E847" s="126"/>
      <c r="F847" s="79">
        <f>BPU!E847</f>
        <v>0</v>
      </c>
      <c r="G847" s="146">
        <f>SUM(G840:G846)</f>
        <v>0</v>
      </c>
    </row>
    <row r="848" spans="1:10" s="58" customFormat="1" ht="16.8" customHeight="1" x14ac:dyDescent="0.3">
      <c r="A848" s="70" t="s">
        <v>115</v>
      </c>
      <c r="B848" s="70" t="s">
        <v>116</v>
      </c>
      <c r="C848" s="52"/>
      <c r="D848" s="87"/>
      <c r="E848" s="126"/>
      <c r="F848" s="79">
        <f>BPU!E848</f>
        <v>0</v>
      </c>
      <c r="G848" s="95">
        <f t="shared" si="18"/>
        <v>0</v>
      </c>
      <c r="H848" s="136"/>
    </row>
    <row r="849" spans="1:8" ht="18.600000000000001" customHeight="1" x14ac:dyDescent="0.3">
      <c r="A849" s="52" t="s">
        <v>119</v>
      </c>
      <c r="B849" s="46" t="s">
        <v>208</v>
      </c>
      <c r="C849" s="51"/>
      <c r="D849" s="87"/>
      <c r="E849" s="126"/>
      <c r="F849" s="79">
        <f>BPU!E849</f>
        <v>0</v>
      </c>
      <c r="G849" s="95">
        <f t="shared" si="18"/>
        <v>0</v>
      </c>
    </row>
    <row r="850" spans="1:8" ht="18.600000000000001" customHeight="1" x14ac:dyDescent="0.3">
      <c r="A850" s="150" t="s">
        <v>1164</v>
      </c>
      <c r="B850" s="52" t="s">
        <v>211</v>
      </c>
      <c r="C850" s="51" t="s">
        <v>230</v>
      </c>
      <c r="D850" s="87" t="s">
        <v>292</v>
      </c>
      <c r="E850" s="126">
        <f>18.8*0.4*0.6</f>
        <v>4.5120000000000005</v>
      </c>
      <c r="F850" s="79">
        <f>BPU!E850</f>
        <v>0</v>
      </c>
      <c r="G850" s="95">
        <f t="shared" si="18"/>
        <v>0</v>
      </c>
    </row>
    <row r="851" spans="1:8" ht="18.600000000000001" customHeight="1" x14ac:dyDescent="0.3">
      <c r="A851" s="150" t="s">
        <v>1165</v>
      </c>
      <c r="B851" s="52" t="s">
        <v>326</v>
      </c>
      <c r="C851" s="51" t="s">
        <v>230</v>
      </c>
      <c r="D851" s="87" t="s">
        <v>292</v>
      </c>
      <c r="E851" s="126">
        <f>7.65*2.45*0.3</f>
        <v>5.6227500000000008</v>
      </c>
      <c r="F851" s="79">
        <f>BPU!E851</f>
        <v>0</v>
      </c>
      <c r="G851" s="95">
        <f t="shared" si="18"/>
        <v>0</v>
      </c>
    </row>
    <row r="852" spans="1:8" ht="18.600000000000001" customHeight="1" x14ac:dyDescent="0.3">
      <c r="A852" s="52" t="s">
        <v>1166</v>
      </c>
      <c r="B852" s="46" t="s">
        <v>168</v>
      </c>
      <c r="C852" s="52"/>
      <c r="D852" s="87"/>
      <c r="E852" s="126"/>
      <c r="F852" s="79">
        <f>BPU!E852</f>
        <v>0</v>
      </c>
      <c r="G852" s="95">
        <f t="shared" si="18"/>
        <v>0</v>
      </c>
    </row>
    <row r="853" spans="1:8" s="65" customFormat="1" ht="18.600000000000001" customHeight="1" x14ac:dyDescent="0.3">
      <c r="A853" s="150" t="s">
        <v>1167</v>
      </c>
      <c r="B853" s="50" t="s">
        <v>213</v>
      </c>
      <c r="C853" s="51" t="s">
        <v>230</v>
      </c>
      <c r="D853" s="88" t="s">
        <v>292</v>
      </c>
      <c r="E853" s="130">
        <f>18.8*0.05*0.4</f>
        <v>0.37600000000000006</v>
      </c>
      <c r="F853" s="79">
        <f>BPU!E853</f>
        <v>0</v>
      </c>
      <c r="G853" s="95">
        <f t="shared" si="18"/>
        <v>0</v>
      </c>
      <c r="H853" s="66"/>
    </row>
    <row r="854" spans="1:8" s="65" customFormat="1" ht="18.600000000000001" customHeight="1" x14ac:dyDescent="0.3">
      <c r="A854" s="150" t="s">
        <v>1168</v>
      </c>
      <c r="B854" s="50" t="s">
        <v>187</v>
      </c>
      <c r="C854" s="51" t="s">
        <v>230</v>
      </c>
      <c r="D854" s="88" t="s">
        <v>292</v>
      </c>
      <c r="E854" s="130">
        <f>18.8*0.4*0.4</f>
        <v>3.0080000000000005</v>
      </c>
      <c r="F854" s="79">
        <f>BPU!E854</f>
        <v>0</v>
      </c>
      <c r="G854" s="95">
        <f t="shared" si="18"/>
        <v>0</v>
      </c>
      <c r="H854" s="66"/>
    </row>
    <row r="855" spans="1:8" s="65" customFormat="1" ht="18.600000000000001" customHeight="1" x14ac:dyDescent="0.3">
      <c r="A855" s="150" t="s">
        <v>1169</v>
      </c>
      <c r="B855" s="50" t="s">
        <v>214</v>
      </c>
      <c r="C855" s="51" t="s">
        <v>230</v>
      </c>
      <c r="D855" s="88" t="s">
        <v>292</v>
      </c>
      <c r="E855" s="130">
        <v>0</v>
      </c>
      <c r="F855" s="79">
        <f>BPU!E855</f>
        <v>0</v>
      </c>
      <c r="G855" s="95">
        <f t="shared" si="18"/>
        <v>0</v>
      </c>
      <c r="H855" s="66"/>
    </row>
    <row r="856" spans="1:8" s="65" customFormat="1" ht="33" customHeight="1" x14ac:dyDescent="0.3">
      <c r="A856" s="150" t="s">
        <v>1170</v>
      </c>
      <c r="B856" s="50" t="s">
        <v>215</v>
      </c>
      <c r="C856" s="51" t="s">
        <v>230</v>
      </c>
      <c r="D856" s="88" t="s">
        <v>292</v>
      </c>
      <c r="E856" s="130">
        <f>13.4*1.5*0.1</f>
        <v>2.0100000000000002</v>
      </c>
      <c r="F856" s="79">
        <f>BPU!E856</f>
        <v>0</v>
      </c>
      <c r="G856" s="95">
        <f t="shared" si="18"/>
        <v>0</v>
      </c>
      <c r="H856" s="66"/>
    </row>
    <row r="857" spans="1:8" ht="18.600000000000001" customHeight="1" x14ac:dyDescent="0.3">
      <c r="A857" s="52" t="s">
        <v>1171</v>
      </c>
      <c r="B857" s="46" t="s">
        <v>169</v>
      </c>
      <c r="C857" s="52"/>
      <c r="D857" s="87"/>
      <c r="E857" s="126"/>
      <c r="F857" s="79">
        <f>BPU!E857</f>
        <v>0</v>
      </c>
      <c r="G857" s="95">
        <f t="shared" si="18"/>
        <v>0</v>
      </c>
    </row>
    <row r="858" spans="1:8" ht="18.600000000000001" customHeight="1" x14ac:dyDescent="0.3">
      <c r="A858" s="150" t="s">
        <v>1172</v>
      </c>
      <c r="B858" s="50" t="s">
        <v>216</v>
      </c>
      <c r="C858" s="51" t="s">
        <v>230</v>
      </c>
      <c r="D858" s="87" t="s">
        <v>292</v>
      </c>
      <c r="E858" s="126">
        <f>7.85*2.65*0.1</f>
        <v>2.0802499999999999</v>
      </c>
      <c r="F858" s="79">
        <f>BPU!E858</f>
        <v>0</v>
      </c>
      <c r="G858" s="95">
        <f t="shared" si="18"/>
        <v>0</v>
      </c>
    </row>
    <row r="859" spans="1:8" ht="18.600000000000001" customHeight="1" x14ac:dyDescent="0.3">
      <c r="A859" s="150" t="s">
        <v>1173</v>
      </c>
      <c r="B859" s="50" t="s">
        <v>217</v>
      </c>
      <c r="C859" s="51" t="s">
        <v>230</v>
      </c>
      <c r="D859" s="87" t="s">
        <v>292</v>
      </c>
      <c r="E859" s="126">
        <f>0.6*0.6*0.15*6</f>
        <v>0.32400000000000001</v>
      </c>
      <c r="F859" s="79">
        <f>BPU!E859</f>
        <v>0</v>
      </c>
      <c r="G859" s="95">
        <f t="shared" si="18"/>
        <v>0</v>
      </c>
    </row>
    <row r="860" spans="1:8" ht="18.600000000000001" customHeight="1" x14ac:dyDescent="0.3">
      <c r="A860" s="150" t="s">
        <v>1174</v>
      </c>
      <c r="B860" s="50" t="s">
        <v>218</v>
      </c>
      <c r="C860" s="51" t="s">
        <v>230</v>
      </c>
      <c r="D860" s="87" t="s">
        <v>292</v>
      </c>
      <c r="E860" s="126">
        <f>18.8*0.2*0.2</f>
        <v>0.75200000000000011</v>
      </c>
      <c r="F860" s="79">
        <f>BPU!E860</f>
        <v>0</v>
      </c>
      <c r="G860" s="95">
        <f t="shared" si="18"/>
        <v>0</v>
      </c>
    </row>
    <row r="861" spans="1:8" ht="18.600000000000001" customHeight="1" x14ac:dyDescent="0.3">
      <c r="A861" s="150" t="s">
        <v>1175</v>
      </c>
      <c r="B861" s="50" t="s">
        <v>219</v>
      </c>
      <c r="C861" s="51" t="s">
        <v>230</v>
      </c>
      <c r="D861" s="87" t="s">
        <v>292</v>
      </c>
      <c r="E861" s="126">
        <f>+E860</f>
        <v>0.75200000000000011</v>
      </c>
      <c r="F861" s="79">
        <f>BPU!E861</f>
        <v>0</v>
      </c>
      <c r="G861" s="95">
        <f t="shared" si="18"/>
        <v>0</v>
      </c>
    </row>
    <row r="862" spans="1:8" ht="18.600000000000001" customHeight="1" x14ac:dyDescent="0.3">
      <c r="A862" s="150" t="s">
        <v>1176</v>
      </c>
      <c r="B862" s="50" t="s">
        <v>220</v>
      </c>
      <c r="C862" s="51" t="s">
        <v>230</v>
      </c>
      <c r="D862" s="87" t="s">
        <v>292</v>
      </c>
      <c r="E862" s="126">
        <v>0</v>
      </c>
      <c r="F862" s="79">
        <f>BPU!E862</f>
        <v>0</v>
      </c>
      <c r="G862" s="95">
        <f t="shared" si="18"/>
        <v>0</v>
      </c>
    </row>
    <row r="863" spans="1:8" ht="18.600000000000001" customHeight="1" x14ac:dyDescent="0.3">
      <c r="A863" s="150" t="s">
        <v>1177</v>
      </c>
      <c r="B863" s="50" t="s">
        <v>221</v>
      </c>
      <c r="C863" s="51" t="s">
        <v>230</v>
      </c>
      <c r="D863" s="87" t="s">
        <v>292</v>
      </c>
      <c r="E863" s="126">
        <f>6*0.2*0.2*4.5</f>
        <v>1.0800000000000003</v>
      </c>
      <c r="F863" s="79">
        <f>BPU!E863</f>
        <v>0</v>
      </c>
      <c r="G863" s="95">
        <f t="shared" si="18"/>
        <v>0</v>
      </c>
    </row>
    <row r="864" spans="1:8" ht="18.600000000000001" customHeight="1" x14ac:dyDescent="0.3">
      <c r="A864" s="150" t="s">
        <v>1178</v>
      </c>
      <c r="B864" s="50" t="s">
        <v>222</v>
      </c>
      <c r="C864" s="51" t="s">
        <v>230</v>
      </c>
      <c r="D864" s="87" t="s">
        <v>292</v>
      </c>
      <c r="E864" s="126">
        <v>0</v>
      </c>
      <c r="F864" s="79">
        <f>BPU!E864</f>
        <v>0</v>
      </c>
      <c r="G864" s="95">
        <f t="shared" si="18"/>
        <v>0</v>
      </c>
    </row>
    <row r="865" spans="1:7" ht="18.600000000000001" customHeight="1" x14ac:dyDescent="0.3">
      <c r="A865" s="52" t="s">
        <v>1179</v>
      </c>
      <c r="B865" s="46" t="s">
        <v>170</v>
      </c>
      <c r="C865" s="52"/>
      <c r="D865" s="87"/>
      <c r="E865" s="126"/>
      <c r="F865" s="79">
        <f>BPU!E865</f>
        <v>0</v>
      </c>
      <c r="G865" s="95">
        <f t="shared" si="18"/>
        <v>0</v>
      </c>
    </row>
    <row r="866" spans="1:7" ht="18.600000000000001" customHeight="1" x14ac:dyDescent="0.3">
      <c r="A866" s="150" t="s">
        <v>1180</v>
      </c>
      <c r="B866" s="50" t="s">
        <v>223</v>
      </c>
      <c r="C866" s="51" t="s">
        <v>230</v>
      </c>
      <c r="D866" s="87" t="s">
        <v>292</v>
      </c>
      <c r="E866" s="126">
        <f>2.4*7.85*0.05</f>
        <v>0.94200000000000006</v>
      </c>
      <c r="F866" s="79">
        <f>BPU!E866</f>
        <v>0</v>
      </c>
      <c r="G866" s="95">
        <f t="shared" si="18"/>
        <v>0</v>
      </c>
    </row>
    <row r="867" spans="1:7" ht="18.600000000000001" customHeight="1" x14ac:dyDescent="0.3">
      <c r="A867" s="150" t="s">
        <v>1181</v>
      </c>
      <c r="B867" s="50" t="s">
        <v>224</v>
      </c>
      <c r="C867" s="51" t="s">
        <v>230</v>
      </c>
      <c r="D867" s="87" t="s">
        <v>292</v>
      </c>
      <c r="E867" s="126">
        <f>3.9*10.85*0.25</f>
        <v>10.578749999999999</v>
      </c>
      <c r="F867" s="79">
        <f>BPU!E867</f>
        <v>0</v>
      </c>
      <c r="G867" s="95">
        <f t="shared" si="18"/>
        <v>0</v>
      </c>
    </row>
    <row r="868" spans="1:7" ht="18.600000000000001" customHeight="1" x14ac:dyDescent="0.3">
      <c r="A868" s="150" t="s">
        <v>1182</v>
      </c>
      <c r="B868" s="50" t="s">
        <v>178</v>
      </c>
      <c r="C868" s="51" t="s">
        <v>230</v>
      </c>
      <c r="D868" s="87" t="s">
        <v>292</v>
      </c>
      <c r="E868" s="126">
        <v>0</v>
      </c>
      <c r="F868" s="79">
        <f>BPU!E868</f>
        <v>0</v>
      </c>
      <c r="G868" s="95">
        <f t="shared" si="18"/>
        <v>0</v>
      </c>
    </row>
    <row r="869" spans="1:7" ht="18.600000000000001" customHeight="1" x14ac:dyDescent="0.3">
      <c r="A869" s="52" t="s">
        <v>1183</v>
      </c>
      <c r="B869" s="46" t="s">
        <v>171</v>
      </c>
      <c r="C869" s="52"/>
      <c r="D869" s="87"/>
      <c r="E869" s="126"/>
      <c r="F869" s="79">
        <f>BPU!E869</f>
        <v>0</v>
      </c>
      <c r="G869" s="95">
        <f t="shared" si="18"/>
        <v>0</v>
      </c>
    </row>
    <row r="870" spans="1:7" ht="24.6" customHeight="1" x14ac:dyDescent="0.3">
      <c r="A870" s="150" t="s">
        <v>1184</v>
      </c>
      <c r="B870" s="50" t="s">
        <v>229</v>
      </c>
      <c r="C870" s="51" t="s">
        <v>181</v>
      </c>
      <c r="D870" s="87" t="s">
        <v>292</v>
      </c>
      <c r="E870" s="126">
        <f>13.4*0.4</f>
        <v>5.36</v>
      </c>
      <c r="F870" s="79">
        <f>BPU!E870</f>
        <v>0</v>
      </c>
      <c r="G870" s="95">
        <f t="shared" si="18"/>
        <v>0</v>
      </c>
    </row>
    <row r="871" spans="1:7" ht="24.6" customHeight="1" x14ac:dyDescent="0.3">
      <c r="A871" s="150" t="s">
        <v>1185</v>
      </c>
      <c r="B871" s="50" t="s">
        <v>366</v>
      </c>
      <c r="C871" s="51" t="s">
        <v>181</v>
      </c>
      <c r="D871" s="87" t="s">
        <v>292</v>
      </c>
      <c r="E871" s="126"/>
      <c r="F871" s="79">
        <f>BPU!E871</f>
        <v>0</v>
      </c>
      <c r="G871" s="95">
        <f t="shared" si="18"/>
        <v>0</v>
      </c>
    </row>
    <row r="872" spans="1:7" ht="18.600000000000001" customHeight="1" x14ac:dyDescent="0.3">
      <c r="A872" s="150" t="s">
        <v>1186</v>
      </c>
      <c r="B872" s="50" t="s">
        <v>225</v>
      </c>
      <c r="C872" s="51" t="s">
        <v>181</v>
      </c>
      <c r="D872" s="87" t="s">
        <v>292</v>
      </c>
      <c r="E872" s="126">
        <f>18.8*4.5</f>
        <v>84.600000000000009</v>
      </c>
      <c r="F872" s="79">
        <f>BPU!E872</f>
        <v>0</v>
      </c>
      <c r="G872" s="95">
        <f t="shared" si="18"/>
        <v>0</v>
      </c>
    </row>
    <row r="873" spans="1:7" ht="18.600000000000001" customHeight="1" x14ac:dyDescent="0.3">
      <c r="A873" s="150" t="s">
        <v>1187</v>
      </c>
      <c r="B873" s="50" t="s">
        <v>226</v>
      </c>
      <c r="C873" s="51" t="s">
        <v>181</v>
      </c>
      <c r="D873" s="87" t="s">
        <v>292</v>
      </c>
      <c r="E873" s="126">
        <f>1.5*0.4*3</f>
        <v>1.8000000000000003</v>
      </c>
      <c r="F873" s="79">
        <f>BPU!E873</f>
        <v>0</v>
      </c>
      <c r="G873" s="95">
        <f t="shared" si="18"/>
        <v>0</v>
      </c>
    </row>
    <row r="874" spans="1:7" ht="18.600000000000001" customHeight="1" x14ac:dyDescent="0.3">
      <c r="A874" s="150" t="s">
        <v>1188</v>
      </c>
      <c r="B874" s="50" t="s">
        <v>227</v>
      </c>
      <c r="C874" s="51" t="s">
        <v>181</v>
      </c>
      <c r="D874" s="87" t="s">
        <v>292</v>
      </c>
      <c r="E874" s="126">
        <f>2.4*3.2</f>
        <v>7.68</v>
      </c>
      <c r="F874" s="79">
        <f>BPU!E874</f>
        <v>0</v>
      </c>
      <c r="G874" s="95">
        <f>E874*F874</f>
        <v>0</v>
      </c>
    </row>
    <row r="875" spans="1:7" ht="18.600000000000001" customHeight="1" x14ac:dyDescent="0.3">
      <c r="A875" s="150" t="s">
        <v>1189</v>
      </c>
      <c r="B875" s="50" t="s">
        <v>228</v>
      </c>
      <c r="C875" s="51" t="s">
        <v>181</v>
      </c>
      <c r="D875" s="87" t="s">
        <v>292</v>
      </c>
      <c r="E875" s="126">
        <v>0</v>
      </c>
      <c r="F875" s="79">
        <f>BPU!E875</f>
        <v>0</v>
      </c>
      <c r="G875" s="95">
        <f t="shared" si="18"/>
        <v>0</v>
      </c>
    </row>
    <row r="876" spans="1:7" ht="18.600000000000001" customHeight="1" x14ac:dyDescent="0.3">
      <c r="A876" s="52" t="s">
        <v>1190</v>
      </c>
      <c r="B876" s="46" t="s">
        <v>172</v>
      </c>
      <c r="C876" s="52"/>
      <c r="D876" s="87"/>
      <c r="E876" s="126"/>
      <c r="F876" s="79">
        <f>BPU!E876</f>
        <v>0</v>
      </c>
      <c r="G876" s="95">
        <f t="shared" ref="G876:G939" si="19">E876*F876</f>
        <v>0</v>
      </c>
    </row>
    <row r="877" spans="1:7" ht="18.600000000000001" customHeight="1" x14ac:dyDescent="0.3">
      <c r="A877" s="150" t="s">
        <v>1191</v>
      </c>
      <c r="B877" s="50" t="s">
        <v>231</v>
      </c>
      <c r="C877" s="51" t="s">
        <v>181</v>
      </c>
      <c r="D877" s="87" t="s">
        <v>292</v>
      </c>
      <c r="E877" s="126">
        <v>0</v>
      </c>
      <c r="F877" s="79">
        <f>BPU!E877</f>
        <v>0</v>
      </c>
      <c r="G877" s="95">
        <f t="shared" si="19"/>
        <v>0</v>
      </c>
    </row>
    <row r="878" spans="1:7" ht="18.600000000000001" customHeight="1" x14ac:dyDescent="0.3">
      <c r="A878" s="150" t="s">
        <v>1192</v>
      </c>
      <c r="B878" s="50" t="s">
        <v>232</v>
      </c>
      <c r="C878" s="51" t="s">
        <v>181</v>
      </c>
      <c r="D878" s="87" t="s">
        <v>292</v>
      </c>
      <c r="E878" s="126">
        <f>2.4*7.85</f>
        <v>18.84</v>
      </c>
      <c r="F878" s="79">
        <f>BPU!E878</f>
        <v>0</v>
      </c>
      <c r="G878" s="95">
        <f t="shared" si="19"/>
        <v>0</v>
      </c>
    </row>
    <row r="879" spans="1:7" ht="28.2" customHeight="1" x14ac:dyDescent="0.3">
      <c r="A879" s="150" t="s">
        <v>1193</v>
      </c>
      <c r="B879" s="50" t="s">
        <v>233</v>
      </c>
      <c r="C879" s="51" t="s">
        <v>181</v>
      </c>
      <c r="D879" s="87" t="s">
        <v>292</v>
      </c>
      <c r="E879" s="126">
        <f>13.4*1.5</f>
        <v>20.100000000000001</v>
      </c>
      <c r="F879" s="79">
        <f>BPU!E879</f>
        <v>0</v>
      </c>
      <c r="G879" s="95">
        <f t="shared" si="19"/>
        <v>0</v>
      </c>
    </row>
    <row r="880" spans="1:7" ht="18.600000000000001" customHeight="1" x14ac:dyDescent="0.3">
      <c r="A880" s="150" t="s">
        <v>1194</v>
      </c>
      <c r="B880" s="50" t="s">
        <v>234</v>
      </c>
      <c r="C880" s="51" t="s">
        <v>181</v>
      </c>
      <c r="D880" s="87" t="s">
        <v>292</v>
      </c>
      <c r="E880" s="126">
        <f>2.4*2.75</f>
        <v>6.6</v>
      </c>
      <c r="F880" s="79">
        <f>BPU!E880</f>
        <v>0</v>
      </c>
      <c r="G880" s="95">
        <f t="shared" si="19"/>
        <v>0</v>
      </c>
    </row>
    <row r="881" spans="1:7" ht="18.600000000000001" customHeight="1" x14ac:dyDescent="0.3">
      <c r="A881" s="52" t="s">
        <v>1195</v>
      </c>
      <c r="B881" s="46" t="s">
        <v>173</v>
      </c>
      <c r="C881" s="52"/>
      <c r="D881" s="87"/>
      <c r="E881" s="126"/>
      <c r="F881" s="79">
        <f>BPU!E881</f>
        <v>0</v>
      </c>
      <c r="G881" s="95">
        <f t="shared" si="19"/>
        <v>0</v>
      </c>
    </row>
    <row r="882" spans="1:7" ht="18.600000000000001" customHeight="1" x14ac:dyDescent="0.3">
      <c r="A882" s="150" t="s">
        <v>1196</v>
      </c>
      <c r="B882" s="50" t="s">
        <v>259</v>
      </c>
      <c r="C882" s="51" t="s">
        <v>181</v>
      </c>
      <c r="D882" s="87" t="s">
        <v>292</v>
      </c>
      <c r="E882" s="126">
        <v>0</v>
      </c>
      <c r="F882" s="79">
        <f>BPU!E882</f>
        <v>0</v>
      </c>
      <c r="G882" s="95">
        <f t="shared" si="19"/>
        <v>0</v>
      </c>
    </row>
    <row r="883" spans="1:7" ht="18.600000000000001" customHeight="1" x14ac:dyDescent="0.3">
      <c r="A883" s="150" t="s">
        <v>1197</v>
      </c>
      <c r="B883" s="50" t="s">
        <v>235</v>
      </c>
      <c r="C883" s="51" t="s">
        <v>181</v>
      </c>
      <c r="D883" s="87" t="s">
        <v>292</v>
      </c>
      <c r="E883" s="126">
        <f>13.4*4.5</f>
        <v>60.300000000000004</v>
      </c>
      <c r="F883" s="79">
        <f>BPU!E883</f>
        <v>0</v>
      </c>
      <c r="G883" s="95">
        <f t="shared" si="19"/>
        <v>0</v>
      </c>
    </row>
    <row r="884" spans="1:7" ht="18.600000000000001" customHeight="1" x14ac:dyDescent="0.3">
      <c r="A884" s="150" t="s">
        <v>1198</v>
      </c>
      <c r="B884" s="50" t="s">
        <v>236</v>
      </c>
      <c r="C884" s="51" t="s">
        <v>181</v>
      </c>
      <c r="D884" s="87" t="s">
        <v>292</v>
      </c>
      <c r="E884" s="126">
        <f>(4.9+2.4)*2*3.2+(3.55*2*3.2)*2</f>
        <v>92.16</v>
      </c>
      <c r="F884" s="79">
        <f>BPU!E884</f>
        <v>0</v>
      </c>
      <c r="G884" s="95">
        <f t="shared" si="19"/>
        <v>0</v>
      </c>
    </row>
    <row r="885" spans="1:7" ht="18.600000000000001" customHeight="1" x14ac:dyDescent="0.3">
      <c r="A885" s="150" t="s">
        <v>1199</v>
      </c>
      <c r="B885" s="50" t="s">
        <v>237</v>
      </c>
      <c r="C885" s="51" t="s">
        <v>181</v>
      </c>
      <c r="D885" s="87" t="s">
        <v>292</v>
      </c>
      <c r="E885" s="126">
        <v>0</v>
      </c>
      <c r="F885" s="79">
        <f>BPU!E885</f>
        <v>0</v>
      </c>
      <c r="G885" s="95">
        <f t="shared" si="19"/>
        <v>0</v>
      </c>
    </row>
    <row r="886" spans="1:7" ht="18.600000000000001" customHeight="1" x14ac:dyDescent="0.3">
      <c r="A886" s="150" t="s">
        <v>1200</v>
      </c>
      <c r="B886" s="50" t="s">
        <v>238</v>
      </c>
      <c r="C886" s="51" t="s">
        <v>181</v>
      </c>
      <c r="D886" s="87" t="s">
        <v>292</v>
      </c>
      <c r="E886" s="126">
        <f>+(2.4+1.3)*2*1.5*2</f>
        <v>22.200000000000003</v>
      </c>
      <c r="F886" s="79">
        <f>BPU!E886</f>
        <v>0</v>
      </c>
      <c r="G886" s="95">
        <f t="shared" si="19"/>
        <v>0</v>
      </c>
    </row>
    <row r="887" spans="1:7" ht="18.600000000000001" customHeight="1" x14ac:dyDescent="0.3">
      <c r="A887" s="150" t="s">
        <v>1201</v>
      </c>
      <c r="B887" s="50" t="s">
        <v>179</v>
      </c>
      <c r="C887" s="51" t="s">
        <v>181</v>
      </c>
      <c r="D887" s="87" t="s">
        <v>292</v>
      </c>
      <c r="E887" s="126">
        <f>+(4.9+2.4)*2*0.15</f>
        <v>2.19</v>
      </c>
      <c r="F887" s="79">
        <f>BPU!E887</f>
        <v>0</v>
      </c>
      <c r="G887" s="95">
        <f t="shared" si="19"/>
        <v>0</v>
      </c>
    </row>
    <row r="888" spans="1:7" ht="18.600000000000001" customHeight="1" x14ac:dyDescent="0.3">
      <c r="A888" s="150" t="s">
        <v>1202</v>
      </c>
      <c r="B888" s="50" t="s">
        <v>239</v>
      </c>
      <c r="C888" s="51" t="s">
        <v>181</v>
      </c>
      <c r="D888" s="87" t="s">
        <v>292</v>
      </c>
      <c r="E888" s="126">
        <v>0</v>
      </c>
      <c r="F888" s="79">
        <f>BPU!E888</f>
        <v>0</v>
      </c>
      <c r="G888" s="95">
        <f t="shared" si="19"/>
        <v>0</v>
      </c>
    </row>
    <row r="889" spans="1:7" ht="18.600000000000001" customHeight="1" x14ac:dyDescent="0.3">
      <c r="A889" s="52" t="s">
        <v>1203</v>
      </c>
      <c r="B889" s="46" t="s">
        <v>174</v>
      </c>
      <c r="C889" s="52"/>
      <c r="D889" s="87"/>
      <c r="E889" s="126"/>
      <c r="F889" s="79">
        <f>BPU!E889</f>
        <v>0</v>
      </c>
      <c r="G889" s="95">
        <f t="shared" si="19"/>
        <v>0</v>
      </c>
    </row>
    <row r="890" spans="1:7" ht="18.600000000000001" customHeight="1" x14ac:dyDescent="0.3">
      <c r="A890" s="150" t="s">
        <v>1204</v>
      </c>
      <c r="B890" s="50" t="s">
        <v>240</v>
      </c>
      <c r="C890" s="51" t="s">
        <v>181</v>
      </c>
      <c r="D890" s="87" t="s">
        <v>292</v>
      </c>
      <c r="E890" s="126">
        <f>+(1.5*1.2)+(0.6*0.6*2)</f>
        <v>2.5199999999999996</v>
      </c>
      <c r="F890" s="79">
        <f>BPU!E890</f>
        <v>0</v>
      </c>
      <c r="G890" s="95">
        <f t="shared" si="19"/>
        <v>0</v>
      </c>
    </row>
    <row r="891" spans="1:7" ht="18.600000000000001" customHeight="1" x14ac:dyDescent="0.3">
      <c r="A891" s="150" t="s">
        <v>1205</v>
      </c>
      <c r="B891" s="50" t="s">
        <v>241</v>
      </c>
      <c r="C891" s="51" t="s">
        <v>181</v>
      </c>
      <c r="D891" s="87" t="s">
        <v>292</v>
      </c>
      <c r="E891" s="126">
        <v>0</v>
      </c>
      <c r="F891" s="79">
        <f>BPU!E891</f>
        <v>0</v>
      </c>
      <c r="G891" s="95">
        <f t="shared" si="19"/>
        <v>0</v>
      </c>
    </row>
    <row r="892" spans="1:7" ht="18.600000000000001" customHeight="1" x14ac:dyDescent="0.3">
      <c r="A892" s="150" t="s">
        <v>1206</v>
      </c>
      <c r="B892" s="50" t="s">
        <v>242</v>
      </c>
      <c r="C892" s="51" t="s">
        <v>181</v>
      </c>
      <c r="D892" s="87" t="s">
        <v>292</v>
      </c>
      <c r="E892" s="126">
        <v>0</v>
      </c>
      <c r="F892" s="79">
        <f>BPU!E892</f>
        <v>0</v>
      </c>
      <c r="G892" s="95">
        <f t="shared" si="19"/>
        <v>0</v>
      </c>
    </row>
    <row r="893" spans="1:7" ht="18.600000000000001" customHeight="1" x14ac:dyDescent="0.3">
      <c r="A893" s="150" t="s">
        <v>1207</v>
      </c>
      <c r="B893" s="50" t="s">
        <v>243</v>
      </c>
      <c r="C893" s="51" t="s">
        <v>181</v>
      </c>
      <c r="D893" s="87" t="s">
        <v>292</v>
      </c>
      <c r="E893" s="126">
        <v>0</v>
      </c>
      <c r="F893" s="79">
        <f>BPU!E893</f>
        <v>0</v>
      </c>
      <c r="G893" s="95">
        <f t="shared" si="19"/>
        <v>0</v>
      </c>
    </row>
    <row r="894" spans="1:7" ht="18.600000000000001" customHeight="1" x14ac:dyDescent="0.3">
      <c r="A894" s="150" t="s">
        <v>1208</v>
      </c>
      <c r="B894" s="50" t="s">
        <v>244</v>
      </c>
      <c r="C894" s="51" t="s">
        <v>181</v>
      </c>
      <c r="D894" s="87" t="s">
        <v>292</v>
      </c>
      <c r="E894" s="126">
        <v>0</v>
      </c>
      <c r="F894" s="79">
        <f>BPU!E894</f>
        <v>0</v>
      </c>
      <c r="G894" s="95">
        <f t="shared" si="19"/>
        <v>0</v>
      </c>
    </row>
    <row r="895" spans="1:7" ht="18.600000000000001" customHeight="1" x14ac:dyDescent="0.3">
      <c r="A895" s="150" t="s">
        <v>1209</v>
      </c>
      <c r="B895" s="50" t="s">
        <v>245</v>
      </c>
      <c r="C895" s="51" t="s">
        <v>181</v>
      </c>
      <c r="D895" s="87" t="s">
        <v>292</v>
      </c>
      <c r="E895" s="126">
        <f>2.1*0.9*3</f>
        <v>5.67</v>
      </c>
      <c r="F895" s="79">
        <f>BPU!E895</f>
        <v>0</v>
      </c>
      <c r="G895" s="95">
        <f t="shared" si="19"/>
        <v>0</v>
      </c>
    </row>
    <row r="896" spans="1:7" ht="18.600000000000001" customHeight="1" x14ac:dyDescent="0.3">
      <c r="A896" s="150" t="s">
        <v>1210</v>
      </c>
      <c r="B896" s="50" t="s">
        <v>246</v>
      </c>
      <c r="C896" s="51" t="s">
        <v>181</v>
      </c>
      <c r="D896" s="87" t="s">
        <v>292</v>
      </c>
      <c r="E896" s="126">
        <v>0</v>
      </c>
      <c r="F896" s="79">
        <f>BPU!E896</f>
        <v>0</v>
      </c>
      <c r="G896" s="95">
        <f t="shared" si="19"/>
        <v>0</v>
      </c>
    </row>
    <row r="897" spans="1:7" ht="18.600000000000001" customHeight="1" x14ac:dyDescent="0.3">
      <c r="A897" s="150" t="s">
        <v>1211</v>
      </c>
      <c r="B897" s="50" t="s">
        <v>247</v>
      </c>
      <c r="C897" s="51" t="s">
        <v>181</v>
      </c>
      <c r="D897" s="87" t="s">
        <v>292</v>
      </c>
      <c r="E897" s="126">
        <v>0</v>
      </c>
      <c r="F897" s="79">
        <f>BPU!E897</f>
        <v>0</v>
      </c>
      <c r="G897" s="95">
        <f t="shared" si="19"/>
        <v>0</v>
      </c>
    </row>
    <row r="898" spans="1:7" ht="18.600000000000001" customHeight="1" x14ac:dyDescent="0.3">
      <c r="A898" s="150" t="s">
        <v>1212</v>
      </c>
      <c r="B898" s="50" t="s">
        <v>248</v>
      </c>
      <c r="C898" s="51" t="s">
        <v>181</v>
      </c>
      <c r="D898" s="87" t="s">
        <v>292</v>
      </c>
      <c r="E898" s="126">
        <v>0</v>
      </c>
      <c r="F898" s="79">
        <f>BPU!E898</f>
        <v>0</v>
      </c>
      <c r="G898" s="95">
        <f t="shared" si="19"/>
        <v>0</v>
      </c>
    </row>
    <row r="899" spans="1:7" ht="28.8" customHeight="1" x14ac:dyDescent="0.3">
      <c r="A899" s="150" t="s">
        <v>1213</v>
      </c>
      <c r="B899" s="50" t="s">
        <v>249</v>
      </c>
      <c r="C899" s="51" t="s">
        <v>181</v>
      </c>
      <c r="D899" s="87" t="s">
        <v>292</v>
      </c>
      <c r="E899" s="126">
        <v>0</v>
      </c>
      <c r="F899" s="79">
        <f>BPU!E899</f>
        <v>0</v>
      </c>
      <c r="G899" s="95">
        <f t="shared" si="19"/>
        <v>0</v>
      </c>
    </row>
    <row r="900" spans="1:7" ht="18.600000000000001" customHeight="1" x14ac:dyDescent="0.3">
      <c r="A900" s="150" t="s">
        <v>1214</v>
      </c>
      <c r="B900" s="50" t="s">
        <v>250</v>
      </c>
      <c r="C900" s="51" t="s">
        <v>17</v>
      </c>
      <c r="D900" s="87" t="s">
        <v>292</v>
      </c>
      <c r="E900" s="126">
        <v>0</v>
      </c>
      <c r="F900" s="79">
        <f>BPU!E900</f>
        <v>0</v>
      </c>
      <c r="G900" s="95">
        <f t="shared" si="19"/>
        <v>0</v>
      </c>
    </row>
    <row r="901" spans="1:7" ht="18.600000000000001" customHeight="1" x14ac:dyDescent="0.3">
      <c r="A901" s="150" t="s">
        <v>1215</v>
      </c>
      <c r="B901" s="50" t="s">
        <v>194</v>
      </c>
      <c r="C901" s="51" t="s">
        <v>181</v>
      </c>
      <c r="D901" s="87" t="s">
        <v>292</v>
      </c>
      <c r="E901" s="126">
        <v>0</v>
      </c>
      <c r="F901" s="79">
        <f>BPU!E901</f>
        <v>0</v>
      </c>
      <c r="G901" s="95">
        <f t="shared" si="19"/>
        <v>0</v>
      </c>
    </row>
    <row r="902" spans="1:7" ht="18.600000000000001" customHeight="1" x14ac:dyDescent="0.3">
      <c r="A902" s="52" t="s">
        <v>1216</v>
      </c>
      <c r="B902" s="46" t="s">
        <v>175</v>
      </c>
      <c r="C902" s="52"/>
      <c r="D902" s="87"/>
      <c r="E902" s="126"/>
      <c r="F902" s="79">
        <f>BPU!E902</f>
        <v>0</v>
      </c>
      <c r="G902" s="95">
        <f t="shared" si="19"/>
        <v>0</v>
      </c>
    </row>
    <row r="903" spans="1:7" ht="18.600000000000001" customHeight="1" x14ac:dyDescent="0.3">
      <c r="A903" s="150" t="s">
        <v>1217</v>
      </c>
      <c r="B903" s="50" t="s">
        <v>180</v>
      </c>
      <c r="C903" s="51" t="s">
        <v>181</v>
      </c>
      <c r="D903" s="87" t="s">
        <v>292</v>
      </c>
      <c r="E903" s="126">
        <f>2.4*4.9</f>
        <v>11.76</v>
      </c>
      <c r="F903" s="79">
        <f>BPU!E903</f>
        <v>0</v>
      </c>
      <c r="G903" s="95">
        <f t="shared" si="19"/>
        <v>0</v>
      </c>
    </row>
    <row r="904" spans="1:7" ht="18.600000000000001" customHeight="1" x14ac:dyDescent="0.3">
      <c r="A904" s="52" t="s">
        <v>1218</v>
      </c>
      <c r="B904" s="46" t="s">
        <v>176</v>
      </c>
      <c r="C904" s="52"/>
      <c r="D904" s="87"/>
      <c r="E904" s="126"/>
      <c r="F904" s="79">
        <f>BPU!E904</f>
        <v>0</v>
      </c>
      <c r="G904" s="95">
        <f t="shared" si="19"/>
        <v>0</v>
      </c>
    </row>
    <row r="905" spans="1:7" ht="18.600000000000001" customHeight="1" x14ac:dyDescent="0.3">
      <c r="A905" s="150" t="s">
        <v>1219</v>
      </c>
      <c r="B905" s="50" t="s">
        <v>257</v>
      </c>
      <c r="C905" s="51" t="s">
        <v>181</v>
      </c>
      <c r="D905" s="87" t="s">
        <v>292</v>
      </c>
      <c r="E905" s="126">
        <v>0</v>
      </c>
      <c r="F905" s="79">
        <f>BPU!E905</f>
        <v>0</v>
      </c>
      <c r="G905" s="95">
        <f t="shared" si="19"/>
        <v>0</v>
      </c>
    </row>
    <row r="906" spans="1:7" ht="18.600000000000001" customHeight="1" x14ac:dyDescent="0.3">
      <c r="A906" s="150" t="s">
        <v>1220</v>
      </c>
      <c r="B906" s="50" t="s">
        <v>253</v>
      </c>
      <c r="C906" s="51" t="s">
        <v>17</v>
      </c>
      <c r="D906" s="87" t="s">
        <v>292</v>
      </c>
      <c r="E906" s="126">
        <f>2.4*0.5</f>
        <v>1.2</v>
      </c>
      <c r="F906" s="79">
        <f>BPU!E906</f>
        <v>0</v>
      </c>
      <c r="G906" s="95">
        <f t="shared" si="19"/>
        <v>0</v>
      </c>
    </row>
    <row r="907" spans="1:7" ht="18.600000000000001" customHeight="1" x14ac:dyDescent="0.3">
      <c r="A907" s="150" t="s">
        <v>1221</v>
      </c>
      <c r="B907" s="50" t="s">
        <v>252</v>
      </c>
      <c r="C907" s="51" t="s">
        <v>17</v>
      </c>
      <c r="D907" s="87" t="s">
        <v>292</v>
      </c>
      <c r="E907" s="126">
        <f>2.9*3</f>
        <v>8.6999999999999993</v>
      </c>
      <c r="F907" s="79">
        <f>BPU!E907</f>
        <v>0</v>
      </c>
      <c r="G907" s="95">
        <f t="shared" si="19"/>
        <v>0</v>
      </c>
    </row>
    <row r="908" spans="1:7" ht="18.600000000000001" customHeight="1" x14ac:dyDescent="0.3">
      <c r="A908" s="150" t="s">
        <v>1222</v>
      </c>
      <c r="B908" s="50" t="s">
        <v>254</v>
      </c>
      <c r="C908" s="51" t="s">
        <v>17</v>
      </c>
      <c r="D908" s="87" t="s">
        <v>292</v>
      </c>
      <c r="E908" s="126">
        <f>8.9*3</f>
        <v>26.700000000000003</v>
      </c>
      <c r="F908" s="79">
        <f>BPU!E908</f>
        <v>0</v>
      </c>
      <c r="G908" s="95">
        <f t="shared" si="19"/>
        <v>0</v>
      </c>
    </row>
    <row r="909" spans="1:7" ht="18.600000000000001" customHeight="1" x14ac:dyDescent="0.3">
      <c r="A909" s="150" t="s">
        <v>1223</v>
      </c>
      <c r="B909" s="50" t="s">
        <v>255</v>
      </c>
      <c r="C909" s="51" t="s">
        <v>17</v>
      </c>
      <c r="D909" s="87" t="s">
        <v>292</v>
      </c>
      <c r="E909" s="126">
        <v>0</v>
      </c>
      <c r="F909" s="79">
        <f>BPU!E909</f>
        <v>0</v>
      </c>
      <c r="G909" s="95">
        <f t="shared" si="19"/>
        <v>0</v>
      </c>
    </row>
    <row r="910" spans="1:7" ht="28.8" customHeight="1" x14ac:dyDescent="0.3">
      <c r="A910" s="150" t="s">
        <v>1224</v>
      </c>
      <c r="B910" s="50" t="s">
        <v>251</v>
      </c>
      <c r="C910" s="51" t="s">
        <v>17</v>
      </c>
      <c r="D910" s="87" t="s">
        <v>292</v>
      </c>
      <c r="E910" s="126">
        <v>0</v>
      </c>
      <c r="F910" s="79">
        <f>BPU!E910</f>
        <v>0</v>
      </c>
      <c r="G910" s="95">
        <f t="shared" si="19"/>
        <v>0</v>
      </c>
    </row>
    <row r="911" spans="1:7" x14ac:dyDescent="0.3">
      <c r="A911" s="150" t="s">
        <v>1225</v>
      </c>
      <c r="B911" s="50" t="s">
        <v>256</v>
      </c>
      <c r="C911" s="51" t="s">
        <v>181</v>
      </c>
      <c r="D911" s="87" t="s">
        <v>292</v>
      </c>
      <c r="E911" s="126">
        <f>30.03*1.25</f>
        <v>37.537500000000001</v>
      </c>
      <c r="F911" s="79">
        <f>BPU!E911</f>
        <v>0</v>
      </c>
      <c r="G911" s="95">
        <f t="shared" si="19"/>
        <v>0</v>
      </c>
    </row>
    <row r="912" spans="1:7" x14ac:dyDescent="0.3">
      <c r="A912" s="150" t="s">
        <v>1226</v>
      </c>
      <c r="B912" s="50" t="s">
        <v>258</v>
      </c>
      <c r="C912" s="51" t="s">
        <v>17</v>
      </c>
      <c r="D912" s="87" t="s">
        <v>292</v>
      </c>
      <c r="E912" s="126">
        <v>0</v>
      </c>
      <c r="F912" s="79">
        <f>BPU!E912</f>
        <v>0</v>
      </c>
      <c r="G912" s="95">
        <f t="shared" si="19"/>
        <v>0</v>
      </c>
    </row>
    <row r="913" spans="1:7" ht="18.600000000000001" customHeight="1" x14ac:dyDescent="0.3">
      <c r="A913" s="150" t="s">
        <v>1227</v>
      </c>
      <c r="B913" s="50" t="s">
        <v>193</v>
      </c>
      <c r="C913" s="51" t="s">
        <v>181</v>
      </c>
      <c r="D913" s="87" t="s">
        <v>292</v>
      </c>
      <c r="E913" s="126">
        <v>0</v>
      </c>
      <c r="F913" s="79">
        <f>BPU!E913</f>
        <v>0</v>
      </c>
      <c r="G913" s="95">
        <f t="shared" si="19"/>
        <v>0</v>
      </c>
    </row>
    <row r="914" spans="1:7" x14ac:dyDescent="0.3">
      <c r="A914" s="150" t="s">
        <v>1228</v>
      </c>
      <c r="B914" s="50" t="s">
        <v>192</v>
      </c>
      <c r="C914" s="51" t="s">
        <v>181</v>
      </c>
      <c r="D914" s="87" t="s">
        <v>292</v>
      </c>
      <c r="E914" s="126">
        <v>0</v>
      </c>
      <c r="F914" s="79">
        <f>BPU!E914</f>
        <v>0</v>
      </c>
      <c r="G914" s="95">
        <f t="shared" si="19"/>
        <v>0</v>
      </c>
    </row>
    <row r="915" spans="1:7" ht="28.8" x14ac:dyDescent="0.3">
      <c r="A915" s="150" t="s">
        <v>1229</v>
      </c>
      <c r="B915" s="50" t="s">
        <v>260</v>
      </c>
      <c r="C915" s="51" t="s">
        <v>181</v>
      </c>
      <c r="D915" s="87" t="s">
        <v>292</v>
      </c>
      <c r="E915" s="126">
        <v>0</v>
      </c>
      <c r="F915" s="79">
        <f>BPU!E915</f>
        <v>0</v>
      </c>
      <c r="G915" s="95">
        <f t="shared" si="19"/>
        <v>0</v>
      </c>
    </row>
    <row r="916" spans="1:7" ht="18.600000000000001" customHeight="1" x14ac:dyDescent="0.3">
      <c r="A916" s="52" t="s">
        <v>1230</v>
      </c>
      <c r="B916" s="46" t="s">
        <v>177</v>
      </c>
      <c r="C916" s="52"/>
      <c r="D916" s="87"/>
      <c r="E916" s="126"/>
      <c r="F916" s="79">
        <f>BPU!E916</f>
        <v>0</v>
      </c>
      <c r="G916" s="95">
        <f t="shared" si="19"/>
        <v>0</v>
      </c>
    </row>
    <row r="917" spans="1:7" ht="18.600000000000001" customHeight="1" x14ac:dyDescent="0.3">
      <c r="A917" s="150" t="s">
        <v>1231</v>
      </c>
      <c r="B917" s="50" t="s">
        <v>182</v>
      </c>
      <c r="C917" s="51" t="s">
        <v>181</v>
      </c>
      <c r="D917" s="87" t="s">
        <v>292</v>
      </c>
      <c r="E917" s="126">
        <v>92.16</v>
      </c>
      <c r="F917" s="79">
        <f>BPU!E917</f>
        <v>0</v>
      </c>
      <c r="G917" s="95">
        <f t="shared" si="19"/>
        <v>0</v>
      </c>
    </row>
    <row r="918" spans="1:7" x14ac:dyDescent="0.3">
      <c r="A918" s="150" t="s">
        <v>1232</v>
      </c>
      <c r="B918" s="50" t="s">
        <v>1273</v>
      </c>
      <c r="C918" s="51" t="s">
        <v>181</v>
      </c>
      <c r="D918" s="87" t="s">
        <v>292</v>
      </c>
      <c r="E918" s="126">
        <v>92.16</v>
      </c>
      <c r="F918" s="79">
        <f>BPU!E918</f>
        <v>0</v>
      </c>
      <c r="G918" s="95">
        <f t="shared" si="19"/>
        <v>0</v>
      </c>
    </row>
    <row r="919" spans="1:7" x14ac:dyDescent="0.3">
      <c r="A919" s="150" t="s">
        <v>1233</v>
      </c>
      <c r="B919" s="50" t="s">
        <v>183</v>
      </c>
      <c r="C919" s="51" t="s">
        <v>181</v>
      </c>
      <c r="D919" s="87" t="s">
        <v>292</v>
      </c>
      <c r="E919" s="126">
        <v>11.76</v>
      </c>
      <c r="F919" s="79">
        <f>BPU!E919</f>
        <v>0</v>
      </c>
      <c r="G919" s="95">
        <f t="shared" si="19"/>
        <v>0</v>
      </c>
    </row>
    <row r="920" spans="1:7" x14ac:dyDescent="0.3">
      <c r="A920" s="150" t="s">
        <v>1234</v>
      </c>
      <c r="B920" s="50" t="s">
        <v>184</v>
      </c>
      <c r="C920" s="51" t="s">
        <v>181</v>
      </c>
      <c r="D920" s="87" t="s">
        <v>292</v>
      </c>
      <c r="E920" s="126">
        <v>5.67</v>
      </c>
      <c r="F920" s="79">
        <f>BPU!E920</f>
        <v>0</v>
      </c>
      <c r="G920" s="95">
        <f t="shared" si="19"/>
        <v>0</v>
      </c>
    </row>
    <row r="921" spans="1:7" x14ac:dyDescent="0.3">
      <c r="A921" s="150" t="s">
        <v>1235</v>
      </c>
      <c r="B921" s="50" t="s">
        <v>185</v>
      </c>
      <c r="C921" s="51" t="s">
        <v>181</v>
      </c>
      <c r="D921" s="87" t="s">
        <v>292</v>
      </c>
      <c r="E921" s="126">
        <v>2.52</v>
      </c>
      <c r="F921" s="79">
        <f>BPU!E921</f>
        <v>0</v>
      </c>
      <c r="G921" s="95">
        <f t="shared" si="19"/>
        <v>0</v>
      </c>
    </row>
    <row r="922" spans="1:7" x14ac:dyDescent="0.3">
      <c r="A922" s="52" t="s">
        <v>1236</v>
      </c>
      <c r="B922" s="46" t="s">
        <v>304</v>
      </c>
      <c r="C922" s="51"/>
      <c r="D922" s="87"/>
      <c r="E922" s="126"/>
      <c r="F922" s="79">
        <f>BPU!E922</f>
        <v>0</v>
      </c>
      <c r="G922" s="95">
        <f t="shared" si="19"/>
        <v>0</v>
      </c>
    </row>
    <row r="923" spans="1:7" x14ac:dyDescent="0.3">
      <c r="A923" s="150" t="s">
        <v>1237</v>
      </c>
      <c r="B923" s="50" t="s">
        <v>305</v>
      </c>
      <c r="C923" s="51" t="s">
        <v>197</v>
      </c>
      <c r="D923" s="87" t="s">
        <v>292</v>
      </c>
      <c r="E923" s="126">
        <v>2</v>
      </c>
      <c r="F923" s="79">
        <f>BPU!E923</f>
        <v>0</v>
      </c>
      <c r="G923" s="95">
        <f t="shared" si="19"/>
        <v>0</v>
      </c>
    </row>
    <row r="924" spans="1:7" x14ac:dyDescent="0.3">
      <c r="A924" s="150" t="s">
        <v>1238</v>
      </c>
      <c r="B924" s="50" t="s">
        <v>306</v>
      </c>
      <c r="C924" s="51" t="s">
        <v>197</v>
      </c>
      <c r="D924" s="87" t="s">
        <v>292</v>
      </c>
      <c r="E924" s="126">
        <v>0</v>
      </c>
      <c r="F924" s="79">
        <f>BPU!E924</f>
        <v>0</v>
      </c>
      <c r="G924" s="95">
        <f t="shared" si="19"/>
        <v>0</v>
      </c>
    </row>
    <row r="925" spans="1:7" x14ac:dyDescent="0.3">
      <c r="A925" s="150" t="s">
        <v>1239</v>
      </c>
      <c r="B925" s="50" t="s">
        <v>307</v>
      </c>
      <c r="C925" s="51" t="s">
        <v>197</v>
      </c>
      <c r="D925" s="87" t="s">
        <v>292</v>
      </c>
      <c r="E925" s="126">
        <v>0</v>
      </c>
      <c r="F925" s="79">
        <f>BPU!E925</f>
        <v>0</v>
      </c>
      <c r="G925" s="95">
        <f t="shared" si="19"/>
        <v>0</v>
      </c>
    </row>
    <row r="926" spans="1:7" x14ac:dyDescent="0.3">
      <c r="A926" s="150" t="s">
        <v>1240</v>
      </c>
      <c r="B926" s="50" t="s">
        <v>308</v>
      </c>
      <c r="C926" s="51" t="s">
        <v>197</v>
      </c>
      <c r="D926" s="87" t="s">
        <v>292</v>
      </c>
      <c r="E926" s="126">
        <v>0</v>
      </c>
      <c r="F926" s="79">
        <f>BPU!E926</f>
        <v>0</v>
      </c>
      <c r="G926" s="95">
        <f t="shared" si="19"/>
        <v>0</v>
      </c>
    </row>
    <row r="927" spans="1:7" x14ac:dyDescent="0.3">
      <c r="A927" s="150" t="s">
        <v>1241</v>
      </c>
      <c r="B927" s="50" t="s">
        <v>315</v>
      </c>
      <c r="C927" s="51" t="s">
        <v>197</v>
      </c>
      <c r="D927" s="87" t="s">
        <v>292</v>
      </c>
      <c r="E927" s="126">
        <v>0</v>
      </c>
      <c r="F927" s="79">
        <f>BPU!E927</f>
        <v>0</v>
      </c>
      <c r="G927" s="95">
        <f t="shared" si="19"/>
        <v>0</v>
      </c>
    </row>
    <row r="928" spans="1:7" x14ac:dyDescent="0.3">
      <c r="A928" s="150" t="s">
        <v>1242</v>
      </c>
      <c r="B928" s="50" t="s">
        <v>309</v>
      </c>
      <c r="C928" s="51" t="s">
        <v>197</v>
      </c>
      <c r="D928" s="87" t="s">
        <v>292</v>
      </c>
      <c r="E928" s="126">
        <v>0</v>
      </c>
      <c r="F928" s="79">
        <f>BPU!E928</f>
        <v>0</v>
      </c>
      <c r="G928" s="95">
        <f t="shared" si="19"/>
        <v>0</v>
      </c>
    </row>
    <row r="929" spans="1:8" x14ac:dyDescent="0.3">
      <c r="A929" s="150" t="s">
        <v>1243</v>
      </c>
      <c r="B929" s="50" t="s">
        <v>310</v>
      </c>
      <c r="C929" s="51" t="s">
        <v>197</v>
      </c>
      <c r="D929" s="87" t="s">
        <v>292</v>
      </c>
      <c r="E929" s="126">
        <v>2</v>
      </c>
      <c r="F929" s="79">
        <f>BPU!E929</f>
        <v>0</v>
      </c>
      <c r="G929" s="95">
        <f t="shared" si="19"/>
        <v>0</v>
      </c>
    </row>
    <row r="930" spans="1:8" x14ac:dyDescent="0.3">
      <c r="A930" s="150" t="s">
        <v>1244</v>
      </c>
      <c r="B930" s="50" t="s">
        <v>311</v>
      </c>
      <c r="C930" s="51" t="s">
        <v>197</v>
      </c>
      <c r="D930" s="87" t="s">
        <v>292</v>
      </c>
      <c r="E930" s="126">
        <v>0</v>
      </c>
      <c r="F930" s="79">
        <f>BPU!E930</f>
        <v>0</v>
      </c>
      <c r="G930" s="95">
        <f t="shared" si="19"/>
        <v>0</v>
      </c>
    </row>
    <row r="931" spans="1:8" ht="26.4" customHeight="1" x14ac:dyDescent="0.3">
      <c r="A931" s="150" t="s">
        <v>1245</v>
      </c>
      <c r="B931" s="50" t="s">
        <v>313</v>
      </c>
      <c r="C931" s="51" t="s">
        <v>17</v>
      </c>
      <c r="D931" s="87" t="s">
        <v>292</v>
      </c>
      <c r="E931" s="126">
        <v>30</v>
      </c>
      <c r="F931" s="79">
        <f>BPU!E931</f>
        <v>0</v>
      </c>
      <c r="G931" s="95">
        <f t="shared" si="19"/>
        <v>0</v>
      </c>
    </row>
    <row r="932" spans="1:8" ht="28.2" customHeight="1" thickBot="1" x14ac:dyDescent="0.35">
      <c r="A932" s="150" t="s">
        <v>1246</v>
      </c>
      <c r="B932" s="50" t="s">
        <v>312</v>
      </c>
      <c r="C932" s="51" t="s">
        <v>17</v>
      </c>
      <c r="D932" s="87" t="s">
        <v>292</v>
      </c>
      <c r="E932" s="126">
        <v>45</v>
      </c>
      <c r="F932" s="79">
        <f>BPU!E932</f>
        <v>0</v>
      </c>
      <c r="G932" s="95">
        <f t="shared" si="19"/>
        <v>0</v>
      </c>
    </row>
    <row r="933" spans="1:8" ht="19.8" customHeight="1" thickBot="1" x14ac:dyDescent="0.35">
      <c r="A933" s="52"/>
      <c r="B933" s="96" t="s">
        <v>401</v>
      </c>
      <c r="C933" s="51"/>
      <c r="D933" s="87"/>
      <c r="E933" s="126"/>
      <c r="F933" s="79">
        <f>BPU!E933</f>
        <v>0</v>
      </c>
      <c r="G933" s="146">
        <f>SUM(G850:G932)</f>
        <v>0</v>
      </c>
    </row>
    <row r="934" spans="1:8" s="58" customFormat="1" ht="16.8" customHeight="1" x14ac:dyDescent="0.3">
      <c r="A934" s="70" t="s">
        <v>121</v>
      </c>
      <c r="B934" s="70" t="s">
        <v>296</v>
      </c>
      <c r="C934" s="72"/>
      <c r="D934" s="91"/>
      <c r="E934" s="131"/>
      <c r="F934" s="79">
        <f>BPU!E934</f>
        <v>0</v>
      </c>
      <c r="G934" s="95">
        <f t="shared" si="19"/>
        <v>0</v>
      </c>
      <c r="H934" s="136"/>
    </row>
    <row r="935" spans="1:8" x14ac:dyDescent="0.3">
      <c r="A935" s="150" t="s">
        <v>123</v>
      </c>
      <c r="B935" s="50" t="s">
        <v>269</v>
      </c>
      <c r="C935" s="51" t="s">
        <v>17</v>
      </c>
      <c r="D935" s="87" t="s">
        <v>292</v>
      </c>
      <c r="E935" s="126">
        <v>4500</v>
      </c>
      <c r="F935" s="79">
        <f>BPU!E935</f>
        <v>0</v>
      </c>
      <c r="G935" s="95">
        <f t="shared" si="19"/>
        <v>0</v>
      </c>
    </row>
    <row r="936" spans="1:8" x14ac:dyDescent="0.3">
      <c r="A936" s="150" t="s">
        <v>1247</v>
      </c>
      <c r="B936" s="50" t="s">
        <v>270</v>
      </c>
      <c r="C936" s="51" t="s">
        <v>17</v>
      </c>
      <c r="D936" s="87" t="s">
        <v>292</v>
      </c>
      <c r="E936" s="126">
        <v>2500</v>
      </c>
      <c r="F936" s="79">
        <f>BPU!E936</f>
        <v>0</v>
      </c>
      <c r="G936" s="95">
        <f t="shared" si="19"/>
        <v>0</v>
      </c>
    </row>
    <row r="937" spans="1:8" x14ac:dyDescent="0.3">
      <c r="A937" s="150" t="s">
        <v>1248</v>
      </c>
      <c r="B937" s="53" t="s">
        <v>360</v>
      </c>
      <c r="C937" s="51" t="s">
        <v>17</v>
      </c>
      <c r="D937" s="87" t="s">
        <v>292</v>
      </c>
      <c r="E937" s="126">
        <f>100*2.5</f>
        <v>250</v>
      </c>
      <c r="F937" s="79">
        <f>BPU!E937</f>
        <v>0</v>
      </c>
      <c r="G937" s="95">
        <f t="shared" si="19"/>
        <v>0</v>
      </c>
    </row>
    <row r="938" spans="1:8" x14ac:dyDescent="0.3">
      <c r="A938" s="150" t="s">
        <v>1249</v>
      </c>
      <c r="B938" s="50" t="s">
        <v>284</v>
      </c>
      <c r="C938" s="51" t="s">
        <v>17</v>
      </c>
      <c r="D938" s="87" t="s">
        <v>292</v>
      </c>
      <c r="E938" s="126">
        <f>30*2.5</f>
        <v>75</v>
      </c>
      <c r="F938" s="79">
        <f>BPU!E938</f>
        <v>0</v>
      </c>
      <c r="G938" s="95">
        <f t="shared" si="19"/>
        <v>0</v>
      </c>
    </row>
    <row r="939" spans="1:8" x14ac:dyDescent="0.3">
      <c r="A939" s="150" t="s">
        <v>1250</v>
      </c>
      <c r="B939" s="50" t="s">
        <v>271</v>
      </c>
      <c r="C939" s="51" t="s">
        <v>110</v>
      </c>
      <c r="D939" s="87" t="s">
        <v>292</v>
      </c>
      <c r="E939" s="126">
        <v>40</v>
      </c>
      <c r="F939" s="79">
        <f>BPU!E939</f>
        <v>0</v>
      </c>
      <c r="G939" s="95">
        <f t="shared" si="19"/>
        <v>0</v>
      </c>
    </row>
    <row r="940" spans="1:8" x14ac:dyDescent="0.3">
      <c r="A940" s="150" t="s">
        <v>1251</v>
      </c>
      <c r="B940" s="50" t="s">
        <v>286</v>
      </c>
      <c r="C940" s="51" t="s">
        <v>110</v>
      </c>
      <c r="D940" s="87" t="s">
        <v>292</v>
      </c>
      <c r="E940" s="126">
        <v>130</v>
      </c>
      <c r="F940" s="79">
        <f>BPU!E940</f>
        <v>0</v>
      </c>
      <c r="G940" s="95">
        <f t="shared" ref="G940:G961" si="20">E940*F940</f>
        <v>0</v>
      </c>
    </row>
    <row r="941" spans="1:8" x14ac:dyDescent="0.3">
      <c r="A941" s="150" t="s">
        <v>1252</v>
      </c>
      <c r="B941" s="50" t="s">
        <v>285</v>
      </c>
      <c r="C941" s="51" t="s">
        <v>110</v>
      </c>
      <c r="D941" s="87" t="s">
        <v>292</v>
      </c>
      <c r="E941" s="126">
        <v>130</v>
      </c>
      <c r="F941" s="79">
        <f>BPU!E941</f>
        <v>0</v>
      </c>
      <c r="G941" s="95">
        <f t="shared" si="20"/>
        <v>0</v>
      </c>
    </row>
    <row r="942" spans="1:8" x14ac:dyDescent="0.3">
      <c r="A942" s="150" t="s">
        <v>1253</v>
      </c>
      <c r="B942" s="50" t="s">
        <v>287</v>
      </c>
      <c r="C942" s="51" t="s">
        <v>110</v>
      </c>
      <c r="D942" s="87" t="s">
        <v>292</v>
      </c>
      <c r="E942" s="126">
        <v>12</v>
      </c>
      <c r="F942" s="79">
        <f>BPU!E942</f>
        <v>0</v>
      </c>
      <c r="G942" s="95">
        <f t="shared" si="20"/>
        <v>0</v>
      </c>
    </row>
    <row r="943" spans="1:8" x14ac:dyDescent="0.3">
      <c r="A943" s="150" t="s">
        <v>1254</v>
      </c>
      <c r="B943" s="50" t="s">
        <v>272</v>
      </c>
      <c r="C943" s="51" t="s">
        <v>110</v>
      </c>
      <c r="D943" s="87" t="s">
        <v>292</v>
      </c>
      <c r="E943" s="126">
        <v>0</v>
      </c>
      <c r="F943" s="79">
        <f>BPU!E943</f>
        <v>0</v>
      </c>
      <c r="G943" s="95">
        <f t="shared" si="20"/>
        <v>0</v>
      </c>
    </row>
    <row r="944" spans="1:8" x14ac:dyDescent="0.3">
      <c r="A944" s="150" t="s">
        <v>1255</v>
      </c>
      <c r="B944" s="50" t="s">
        <v>273</v>
      </c>
      <c r="C944" s="51" t="s">
        <v>110</v>
      </c>
      <c r="D944" s="87" t="s">
        <v>292</v>
      </c>
      <c r="E944" s="140">
        <v>80</v>
      </c>
      <c r="F944" s="79">
        <f>BPU!E944</f>
        <v>0</v>
      </c>
      <c r="G944" s="95">
        <f t="shared" si="20"/>
        <v>0</v>
      </c>
    </row>
    <row r="945" spans="1:7" x14ac:dyDescent="0.3">
      <c r="A945" s="150" t="s">
        <v>1256</v>
      </c>
      <c r="B945" s="50" t="s">
        <v>274</v>
      </c>
      <c r="C945" s="51" t="s">
        <v>110</v>
      </c>
      <c r="D945" s="87" t="s">
        <v>292</v>
      </c>
      <c r="E945" s="126">
        <v>10</v>
      </c>
      <c r="F945" s="79">
        <f>BPU!E945</f>
        <v>0</v>
      </c>
      <c r="G945" s="95">
        <f t="shared" si="20"/>
        <v>0</v>
      </c>
    </row>
    <row r="946" spans="1:7" x14ac:dyDescent="0.3">
      <c r="A946" s="150" t="s">
        <v>1257</v>
      </c>
      <c r="B946" s="50" t="s">
        <v>275</v>
      </c>
      <c r="C946" s="51" t="s">
        <v>110</v>
      </c>
      <c r="D946" s="87" t="s">
        <v>292</v>
      </c>
      <c r="E946" s="126">
        <v>0</v>
      </c>
      <c r="F946" s="79">
        <f>BPU!E946</f>
        <v>0</v>
      </c>
      <c r="G946" s="95">
        <f t="shared" si="20"/>
        <v>0</v>
      </c>
    </row>
    <row r="947" spans="1:7" x14ac:dyDescent="0.3">
      <c r="A947" s="150" t="s">
        <v>1258</v>
      </c>
      <c r="B947" s="50" t="s">
        <v>276</v>
      </c>
      <c r="C947" s="51" t="s">
        <v>110</v>
      </c>
      <c r="D947" s="87" t="s">
        <v>292</v>
      </c>
      <c r="E947" s="126">
        <v>0</v>
      </c>
      <c r="F947" s="79">
        <f>BPU!E947</f>
        <v>0</v>
      </c>
      <c r="G947" s="95">
        <f t="shared" si="20"/>
        <v>0</v>
      </c>
    </row>
    <row r="948" spans="1:7" x14ac:dyDescent="0.3">
      <c r="A948" s="150" t="s">
        <v>1259</v>
      </c>
      <c r="B948" s="50" t="s">
        <v>277</v>
      </c>
      <c r="C948" s="51" t="s">
        <v>17</v>
      </c>
      <c r="D948" s="87" t="s">
        <v>292</v>
      </c>
      <c r="E948" s="126">
        <v>0</v>
      </c>
      <c r="F948" s="79">
        <f>BPU!E948</f>
        <v>0</v>
      </c>
      <c r="G948" s="95">
        <f t="shared" si="20"/>
        <v>0</v>
      </c>
    </row>
    <row r="949" spans="1:7" x14ac:dyDescent="0.3">
      <c r="A949" s="150" t="s">
        <v>1260</v>
      </c>
      <c r="B949" s="50" t="s">
        <v>278</v>
      </c>
      <c r="C949" s="51" t="s">
        <v>17</v>
      </c>
      <c r="D949" s="87" t="s">
        <v>292</v>
      </c>
      <c r="E949" s="126">
        <f>500*1.5</f>
        <v>750</v>
      </c>
      <c r="F949" s="79">
        <f>BPU!E949</f>
        <v>0</v>
      </c>
      <c r="G949" s="95">
        <f t="shared" si="20"/>
        <v>0</v>
      </c>
    </row>
    <row r="950" spans="1:7" x14ac:dyDescent="0.3">
      <c r="A950" s="150" t="s">
        <v>1261</v>
      </c>
      <c r="B950" s="50" t="s">
        <v>279</v>
      </c>
      <c r="C950" s="51" t="s">
        <v>110</v>
      </c>
      <c r="D950" s="87" t="s">
        <v>292</v>
      </c>
      <c r="E950" s="126">
        <v>10</v>
      </c>
      <c r="F950" s="79">
        <f>BPU!E950</f>
        <v>0</v>
      </c>
      <c r="G950" s="95">
        <f t="shared" si="20"/>
        <v>0</v>
      </c>
    </row>
    <row r="951" spans="1:7" x14ac:dyDescent="0.3">
      <c r="A951" s="150" t="s">
        <v>1262</v>
      </c>
      <c r="B951" s="50" t="s">
        <v>280</v>
      </c>
      <c r="C951" s="51" t="s">
        <v>17</v>
      </c>
      <c r="D951" s="87" t="s">
        <v>292</v>
      </c>
      <c r="E951" s="126">
        <v>200</v>
      </c>
      <c r="F951" s="79">
        <f>BPU!E951</f>
        <v>0</v>
      </c>
      <c r="G951" s="95">
        <f t="shared" si="20"/>
        <v>0</v>
      </c>
    </row>
    <row r="952" spans="1:7" x14ac:dyDescent="0.3">
      <c r="A952" s="150" t="s">
        <v>1263</v>
      </c>
      <c r="B952" s="50" t="s">
        <v>281</v>
      </c>
      <c r="C952" s="51" t="s">
        <v>110</v>
      </c>
      <c r="D952" s="87" t="s">
        <v>292</v>
      </c>
      <c r="E952" s="126">
        <v>4</v>
      </c>
      <c r="F952" s="79">
        <f>BPU!E952</f>
        <v>0</v>
      </c>
      <c r="G952" s="95">
        <f t="shared" si="20"/>
        <v>0</v>
      </c>
    </row>
    <row r="953" spans="1:7" x14ac:dyDescent="0.3">
      <c r="A953" s="150" t="s">
        <v>1264</v>
      </c>
      <c r="B953" s="50" t="s">
        <v>288</v>
      </c>
      <c r="C953" s="51" t="s">
        <v>110</v>
      </c>
      <c r="D953" s="87" t="s">
        <v>292</v>
      </c>
      <c r="E953" s="126">
        <v>2</v>
      </c>
      <c r="F953" s="79">
        <f>BPU!E953</f>
        <v>0</v>
      </c>
      <c r="G953" s="95">
        <f t="shared" si="20"/>
        <v>0</v>
      </c>
    </row>
    <row r="954" spans="1:7" x14ac:dyDescent="0.3">
      <c r="A954" s="150" t="s">
        <v>1265</v>
      </c>
      <c r="B954" s="50" t="s">
        <v>291</v>
      </c>
      <c r="C954" s="51" t="s">
        <v>110</v>
      </c>
      <c r="D954" s="87" t="s">
        <v>292</v>
      </c>
      <c r="E954" s="126">
        <v>4</v>
      </c>
      <c r="F954" s="79">
        <f>BPU!E954</f>
        <v>0</v>
      </c>
      <c r="G954" s="95">
        <f t="shared" si="20"/>
        <v>0</v>
      </c>
    </row>
    <row r="955" spans="1:7" x14ac:dyDescent="0.3">
      <c r="A955" s="150" t="s">
        <v>1266</v>
      </c>
      <c r="B955" s="50" t="s">
        <v>282</v>
      </c>
      <c r="C955" s="51" t="s">
        <v>110</v>
      </c>
      <c r="D955" s="87" t="s">
        <v>292</v>
      </c>
      <c r="E955" s="126">
        <v>10</v>
      </c>
      <c r="F955" s="79">
        <f>BPU!E955</f>
        <v>0</v>
      </c>
      <c r="G955" s="95">
        <f t="shared" si="20"/>
        <v>0</v>
      </c>
    </row>
    <row r="956" spans="1:7" x14ac:dyDescent="0.3">
      <c r="A956" s="150" t="s">
        <v>1267</v>
      </c>
      <c r="B956" s="50" t="s">
        <v>283</v>
      </c>
      <c r="C956" s="51" t="s">
        <v>110</v>
      </c>
      <c r="D956" s="87" t="s">
        <v>292</v>
      </c>
      <c r="E956" s="126">
        <v>25</v>
      </c>
      <c r="F956" s="79">
        <f>BPU!E956</f>
        <v>0</v>
      </c>
      <c r="G956" s="95">
        <f t="shared" si="20"/>
        <v>0</v>
      </c>
    </row>
    <row r="957" spans="1:7" ht="27" customHeight="1" x14ac:dyDescent="0.3">
      <c r="A957" s="150" t="s">
        <v>1268</v>
      </c>
      <c r="B957" s="50" t="s">
        <v>361</v>
      </c>
      <c r="C957" s="51" t="s">
        <v>110</v>
      </c>
      <c r="D957" s="87" t="s">
        <v>292</v>
      </c>
      <c r="E957" s="126">
        <v>1</v>
      </c>
      <c r="F957" s="79">
        <f>BPU!E957</f>
        <v>0</v>
      </c>
      <c r="G957" s="95">
        <f t="shared" si="20"/>
        <v>0</v>
      </c>
    </row>
    <row r="958" spans="1:7" ht="27" customHeight="1" x14ac:dyDescent="0.3">
      <c r="A958" s="150" t="s">
        <v>1269</v>
      </c>
      <c r="B958" s="50" t="s">
        <v>362</v>
      </c>
      <c r="C958" s="51" t="s">
        <v>110</v>
      </c>
      <c r="D958" s="87" t="s">
        <v>292</v>
      </c>
      <c r="E958" s="126">
        <v>3</v>
      </c>
      <c r="F958" s="79">
        <f>BPU!E958</f>
        <v>0</v>
      </c>
      <c r="G958" s="95">
        <f t="shared" si="20"/>
        <v>0</v>
      </c>
    </row>
    <row r="959" spans="1:7" ht="25.8" customHeight="1" x14ac:dyDescent="0.3">
      <c r="A959" s="150" t="s">
        <v>1270</v>
      </c>
      <c r="B959" s="50" t="s">
        <v>289</v>
      </c>
      <c r="C959" s="51" t="s">
        <v>110</v>
      </c>
      <c r="D959" s="87" t="s">
        <v>292</v>
      </c>
      <c r="E959" s="126">
        <v>3</v>
      </c>
      <c r="F959" s="79">
        <f>BPU!E959</f>
        <v>0</v>
      </c>
      <c r="G959" s="95">
        <f t="shared" si="20"/>
        <v>0</v>
      </c>
    </row>
    <row r="960" spans="1:7" ht="28.8" customHeight="1" x14ac:dyDescent="0.3">
      <c r="A960" s="150" t="s">
        <v>1271</v>
      </c>
      <c r="B960" s="50" t="s">
        <v>290</v>
      </c>
      <c r="C960" s="51" t="s">
        <v>110</v>
      </c>
      <c r="D960" s="87" t="s">
        <v>292</v>
      </c>
      <c r="E960" s="126">
        <v>0</v>
      </c>
      <c r="F960" s="79">
        <f>BPU!E960</f>
        <v>0</v>
      </c>
      <c r="G960" s="95">
        <f t="shared" si="20"/>
        <v>0</v>
      </c>
    </row>
    <row r="961" spans="1:9" ht="28.8" customHeight="1" thickBot="1" x14ac:dyDescent="0.35">
      <c r="A961" s="150" t="s">
        <v>1272</v>
      </c>
      <c r="B961" s="50" t="s">
        <v>406</v>
      </c>
      <c r="C961" s="51" t="s">
        <v>110</v>
      </c>
      <c r="D961" s="87" t="s">
        <v>292</v>
      </c>
      <c r="E961" s="126">
        <v>1</v>
      </c>
      <c r="F961" s="79">
        <f>BPU!E961</f>
        <v>0</v>
      </c>
      <c r="G961" s="95">
        <f t="shared" si="20"/>
        <v>0</v>
      </c>
    </row>
    <row r="962" spans="1:9" ht="19.8" customHeight="1" thickBot="1" x14ac:dyDescent="0.35">
      <c r="A962" s="52"/>
      <c r="B962" s="96" t="s">
        <v>402</v>
      </c>
      <c r="C962" s="51"/>
      <c r="D962" s="87"/>
      <c r="E962" s="126"/>
      <c r="F962" s="79"/>
      <c r="G962" s="146">
        <f>SUM(G935:G961)</f>
        <v>0</v>
      </c>
    </row>
    <row r="963" spans="1:9" s="58" customFormat="1" ht="18" customHeight="1" thickBot="1" x14ac:dyDescent="0.35">
      <c r="A963" s="72"/>
      <c r="B963" s="103" t="s">
        <v>359</v>
      </c>
      <c r="C963" s="72"/>
      <c r="D963" s="91"/>
      <c r="E963" s="131"/>
      <c r="F963" s="104"/>
      <c r="G963" s="105">
        <f>G962+G933+G847+G838+G831+G819+G775</f>
        <v>0</v>
      </c>
      <c r="H963" s="136"/>
    </row>
    <row r="964" spans="1:9" ht="15" thickBot="1" x14ac:dyDescent="0.35"/>
    <row r="965" spans="1:9" ht="15" thickBot="1" x14ac:dyDescent="0.35">
      <c r="A965" s="116"/>
      <c r="B965" s="120" t="s">
        <v>363</v>
      </c>
      <c r="C965" s="117"/>
      <c r="D965" s="118"/>
      <c r="E965" s="135"/>
      <c r="F965" s="119"/>
      <c r="G965" s="121">
        <f>G963+G681+G242+G23</f>
        <v>0</v>
      </c>
      <c r="I965" s="147"/>
    </row>
  </sheetData>
  <mergeCells count="1">
    <mergeCell ref="A4:G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5" fitToHeight="18" orientation="portrait" r:id="rId1"/>
  <headerFooter>
    <oddHeader>&amp;CDQE-Lot N°1 (18 pages au total )</oddHeader>
    <oddFooter>&amp;CDQE Lot N°1 : &amp;P/&amp;N Pages</oddFooter>
  </headerFooter>
  <ignoredErrors>
    <ignoredError sqref="G13 G108 G14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D54B-EF29-4922-8A02-54F95FA10CD1}">
  <sheetPr>
    <pageSetUpPr fitToPage="1"/>
  </sheetPr>
  <dimension ref="A4:W966"/>
  <sheetViews>
    <sheetView view="pageLayout" topLeftCell="A592" zoomScaleNormal="160" workbookViewId="0">
      <selection activeCell="B692" sqref="B692"/>
    </sheetView>
  </sheetViews>
  <sheetFormatPr baseColWidth="10" defaultColWidth="10.90625" defaultRowHeight="14.4" x14ac:dyDescent="0.3"/>
  <cols>
    <col min="1" max="1" width="7.453125" style="47" customWidth="1"/>
    <col min="2" max="2" width="36.81640625" style="47" customWidth="1"/>
    <col min="3" max="3" width="3.7265625" style="47" customWidth="1"/>
    <col min="4" max="4" width="4" style="85" customWidth="1"/>
    <col min="5" max="5" width="8.54296875" style="134" customWidth="1"/>
    <col min="6" max="6" width="6.26953125" style="55" customWidth="1"/>
    <col min="7" max="7" width="5.81640625" style="47" customWidth="1"/>
    <col min="8" max="8" width="13.36328125" style="66" bestFit="1" customWidth="1"/>
    <col min="9" max="9" width="12.6328125" style="47" bestFit="1" customWidth="1"/>
    <col min="10" max="16384" width="10.90625" style="47"/>
  </cols>
  <sheetData>
    <row r="4" spans="1:23" ht="31.8" customHeight="1" x14ac:dyDescent="0.3">
      <c r="A4" s="155" t="s">
        <v>155</v>
      </c>
      <c r="B4" s="156"/>
      <c r="C4" s="156"/>
      <c r="D4" s="156"/>
      <c r="E4" s="156"/>
      <c r="F4" s="156"/>
      <c r="G4" s="157"/>
    </row>
    <row r="5" spans="1:23" ht="13.8" customHeight="1" x14ac:dyDescent="0.3">
      <c r="A5" s="45"/>
      <c r="B5" s="57"/>
      <c r="C5" s="45"/>
      <c r="D5" s="84"/>
      <c r="E5" s="122"/>
      <c r="F5" s="76"/>
      <c r="G5" s="45"/>
    </row>
    <row r="6" spans="1:23" x14ac:dyDescent="0.3">
      <c r="B6" s="58" t="s">
        <v>347</v>
      </c>
      <c r="C6" s="73" t="s">
        <v>351</v>
      </c>
      <c r="D6" s="92"/>
      <c r="E6" s="123"/>
      <c r="F6" s="93"/>
      <c r="G6" s="73"/>
    </row>
    <row r="8" spans="1:23" s="58" customFormat="1" ht="16.8" customHeight="1" x14ac:dyDescent="0.3">
      <c r="A8" s="69">
        <v>0</v>
      </c>
      <c r="B8" s="59" t="s">
        <v>294</v>
      </c>
      <c r="C8" s="59"/>
      <c r="D8" s="86"/>
      <c r="E8" s="124"/>
      <c r="F8" s="77"/>
      <c r="G8" s="59"/>
      <c r="H8" s="136"/>
    </row>
    <row r="9" spans="1:23" ht="43.2" x14ac:dyDescent="0.3">
      <c r="A9" s="60" t="s">
        <v>2</v>
      </c>
      <c r="B9" s="60" t="s">
        <v>3</v>
      </c>
      <c r="C9" s="60" t="s">
        <v>4</v>
      </c>
      <c r="D9" s="41" t="s">
        <v>152</v>
      </c>
      <c r="E9" s="125" t="s">
        <v>5</v>
      </c>
      <c r="F9" s="78" t="s">
        <v>349</v>
      </c>
      <c r="G9" s="42" t="s">
        <v>350</v>
      </c>
    </row>
    <row r="10" spans="1:23" s="58" customFormat="1" ht="16.8" customHeight="1" x14ac:dyDescent="0.3">
      <c r="A10" s="70" t="s">
        <v>156</v>
      </c>
      <c r="B10" s="70" t="s">
        <v>195</v>
      </c>
      <c r="C10" s="52"/>
      <c r="D10" s="87"/>
      <c r="E10" s="126"/>
      <c r="F10" s="49"/>
      <c r="G10" s="52"/>
      <c r="H10" s="136"/>
    </row>
    <row r="11" spans="1:23" s="48" customFormat="1" x14ac:dyDescent="0.3">
      <c r="A11" s="149" t="s">
        <v>407</v>
      </c>
      <c r="B11" s="50" t="s">
        <v>157</v>
      </c>
      <c r="C11" s="51" t="s">
        <v>79</v>
      </c>
      <c r="D11" s="51" t="s">
        <v>158</v>
      </c>
      <c r="E11" s="127">
        <v>1</v>
      </c>
      <c r="F11" s="79">
        <f>BPU!E11</f>
        <v>0</v>
      </c>
      <c r="G11" s="94">
        <f>E11*F11</f>
        <v>0</v>
      </c>
      <c r="H11" s="137"/>
      <c r="J11" s="63"/>
      <c r="K11" s="75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44"/>
      <c r="W11" s="44"/>
    </row>
    <row r="12" spans="1:23" s="48" customFormat="1" ht="15" thickBot="1" x14ac:dyDescent="0.35">
      <c r="A12" s="149" t="s">
        <v>408</v>
      </c>
      <c r="B12" s="50" t="s">
        <v>160</v>
      </c>
      <c r="C12" s="51" t="s">
        <v>79</v>
      </c>
      <c r="D12" s="51" t="s">
        <v>158</v>
      </c>
      <c r="E12" s="127">
        <v>1</v>
      </c>
      <c r="F12" s="79">
        <f>BPU!E12</f>
        <v>0</v>
      </c>
      <c r="G12" s="101">
        <f t="shared" ref="G12:G21" si="0">E12*F12</f>
        <v>0</v>
      </c>
      <c r="H12" s="137"/>
      <c r="J12" s="63"/>
      <c r="K12" s="75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44"/>
      <c r="W12" s="44"/>
    </row>
    <row r="13" spans="1:23" s="98" customFormat="1" ht="15" thickBot="1" x14ac:dyDescent="0.35">
      <c r="A13" s="50"/>
      <c r="B13" s="96" t="s">
        <v>385</v>
      </c>
      <c r="C13" s="97"/>
      <c r="D13" s="97"/>
      <c r="E13" s="128"/>
      <c r="F13" s="145">
        <f>BPU!E13</f>
        <v>0</v>
      </c>
      <c r="G13" s="146">
        <f>SUM(G11:G12)</f>
        <v>0</v>
      </c>
      <c r="H13" s="138"/>
      <c r="J13" s="99"/>
      <c r="K13" s="75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0"/>
      <c r="W13" s="100"/>
    </row>
    <row r="14" spans="1:23" s="58" customFormat="1" ht="16.8" customHeight="1" x14ac:dyDescent="0.3">
      <c r="A14" s="70" t="s">
        <v>159</v>
      </c>
      <c r="B14" s="70" t="s">
        <v>295</v>
      </c>
      <c r="C14" s="52"/>
      <c r="D14" s="87"/>
      <c r="E14" s="126"/>
      <c r="F14" s="79">
        <f>BPU!E14</f>
        <v>0</v>
      </c>
      <c r="G14" s="102">
        <f t="shared" si="0"/>
        <v>0</v>
      </c>
      <c r="H14" s="136"/>
    </row>
    <row r="15" spans="1:23" s="48" customFormat="1" ht="16.2" x14ac:dyDescent="0.3">
      <c r="A15" s="149" t="s">
        <v>409</v>
      </c>
      <c r="B15" s="50" t="s">
        <v>165</v>
      </c>
      <c r="C15" s="51" t="s">
        <v>167</v>
      </c>
      <c r="D15" s="51" t="s">
        <v>292</v>
      </c>
      <c r="E15" s="127">
        <v>0</v>
      </c>
      <c r="F15" s="79">
        <f>BPU!E15</f>
        <v>0</v>
      </c>
      <c r="G15" s="94">
        <f t="shared" si="0"/>
        <v>0</v>
      </c>
      <c r="H15" s="137"/>
      <c r="J15" s="63"/>
      <c r="K15" s="75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44"/>
      <c r="W15" s="44"/>
    </row>
    <row r="16" spans="1:23" s="48" customFormat="1" ht="16.2" x14ac:dyDescent="0.3">
      <c r="A16" s="149" t="s">
        <v>410</v>
      </c>
      <c r="B16" s="152" t="s">
        <v>1281</v>
      </c>
      <c r="C16" s="51" t="s">
        <v>162</v>
      </c>
      <c r="D16" s="51" t="s">
        <v>292</v>
      </c>
      <c r="E16" s="127">
        <v>0</v>
      </c>
      <c r="F16" s="79">
        <f>BPU!E16</f>
        <v>0</v>
      </c>
      <c r="G16" s="94">
        <f t="shared" si="0"/>
        <v>0</v>
      </c>
      <c r="H16" s="137"/>
      <c r="J16" s="63"/>
      <c r="K16" s="75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4"/>
      <c r="W16" s="44"/>
    </row>
    <row r="17" spans="1:23" s="48" customFormat="1" ht="16.2" x14ac:dyDescent="0.3">
      <c r="A17" s="149" t="s">
        <v>411</v>
      </c>
      <c r="B17" s="152" t="s">
        <v>1282</v>
      </c>
      <c r="C17" s="51" t="s">
        <v>162</v>
      </c>
      <c r="D17" s="51" t="s">
        <v>292</v>
      </c>
      <c r="E17" s="127">
        <v>0</v>
      </c>
      <c r="F17" s="79">
        <f>BPU!E17</f>
        <v>0</v>
      </c>
      <c r="G17" s="94">
        <f t="shared" si="0"/>
        <v>0</v>
      </c>
      <c r="H17" s="137"/>
      <c r="J17" s="63"/>
      <c r="K17" s="75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44"/>
      <c r="W17" s="44"/>
    </row>
    <row r="18" spans="1:23" s="48" customFormat="1" x14ac:dyDescent="0.3">
      <c r="A18" s="149" t="s">
        <v>412</v>
      </c>
      <c r="B18" s="152" t="s">
        <v>1317</v>
      </c>
      <c r="C18" s="51" t="s">
        <v>79</v>
      </c>
      <c r="D18" s="51" t="s">
        <v>158</v>
      </c>
      <c r="E18" s="127">
        <v>0</v>
      </c>
      <c r="F18" s="79">
        <f>BPU!E18</f>
        <v>0</v>
      </c>
      <c r="G18" s="94">
        <f t="shared" si="0"/>
        <v>0</v>
      </c>
      <c r="H18" s="137"/>
      <c r="J18" s="63"/>
      <c r="K18" s="75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4"/>
      <c r="W18" s="44"/>
    </row>
    <row r="19" spans="1:23" s="48" customFormat="1" x14ac:dyDescent="0.3">
      <c r="A19" s="149" t="s">
        <v>413</v>
      </c>
      <c r="B19" s="152" t="s">
        <v>1284</v>
      </c>
      <c r="C19" s="51" t="s">
        <v>164</v>
      </c>
      <c r="D19" s="51" t="s">
        <v>292</v>
      </c>
      <c r="E19" s="127">
        <v>0</v>
      </c>
      <c r="F19" s="79">
        <f>BPU!E19</f>
        <v>0</v>
      </c>
      <c r="G19" s="94">
        <f t="shared" si="0"/>
        <v>0</v>
      </c>
      <c r="H19" s="137"/>
      <c r="J19" s="63"/>
      <c r="K19" s="75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44"/>
      <c r="W19" s="44"/>
    </row>
    <row r="20" spans="1:23" s="48" customFormat="1" x14ac:dyDescent="0.3">
      <c r="A20" s="149" t="s">
        <v>414</v>
      </c>
      <c r="B20" s="50" t="s">
        <v>163</v>
      </c>
      <c r="C20" s="51" t="s">
        <v>79</v>
      </c>
      <c r="D20" s="51" t="s">
        <v>158</v>
      </c>
      <c r="E20" s="127">
        <v>0</v>
      </c>
      <c r="F20" s="79">
        <f>BPU!E20</f>
        <v>0</v>
      </c>
      <c r="G20" s="94">
        <f t="shared" si="0"/>
        <v>0</v>
      </c>
      <c r="H20" s="137"/>
      <c r="J20" s="63"/>
      <c r="K20" s="75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44"/>
      <c r="W20" s="44"/>
    </row>
    <row r="21" spans="1:23" s="48" customFormat="1" ht="16.8" thickBot="1" x14ac:dyDescent="0.35">
      <c r="A21" s="149" t="s">
        <v>415</v>
      </c>
      <c r="B21" s="50" t="s">
        <v>166</v>
      </c>
      <c r="C21" s="51" t="s">
        <v>167</v>
      </c>
      <c r="D21" s="51" t="s">
        <v>292</v>
      </c>
      <c r="E21" s="127">
        <f>1022.82*1.25</f>
        <v>1278.5250000000001</v>
      </c>
      <c r="F21" s="79">
        <f>BPU!E21</f>
        <v>0</v>
      </c>
      <c r="G21" s="101">
        <f t="shared" si="0"/>
        <v>0</v>
      </c>
      <c r="H21" s="137"/>
      <c r="J21" s="63"/>
      <c r="K21" s="75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44"/>
      <c r="W21" s="44"/>
    </row>
    <row r="22" spans="1:23" s="98" customFormat="1" ht="15" thickBot="1" x14ac:dyDescent="0.35">
      <c r="A22" s="50"/>
      <c r="B22" s="96" t="s">
        <v>386</v>
      </c>
      <c r="C22" s="97"/>
      <c r="D22" s="97"/>
      <c r="E22" s="128"/>
      <c r="F22" s="145">
        <f>BPU!E22</f>
        <v>0</v>
      </c>
      <c r="G22" s="146">
        <f>SUM(G15:G21)</f>
        <v>0</v>
      </c>
      <c r="H22" s="138"/>
      <c r="J22" s="99"/>
      <c r="K22" s="75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  <c r="W22" s="100"/>
    </row>
    <row r="23" spans="1:23" s="98" customFormat="1" ht="15" thickBot="1" x14ac:dyDescent="0.35">
      <c r="A23" s="50"/>
      <c r="B23" s="96" t="s">
        <v>356</v>
      </c>
      <c r="C23" s="97"/>
      <c r="D23" s="97"/>
      <c r="E23" s="128"/>
      <c r="F23" s="79">
        <f>BPU!E23</f>
        <v>0</v>
      </c>
      <c r="G23" s="105">
        <f>G13+G22</f>
        <v>0</v>
      </c>
      <c r="H23" s="138"/>
      <c r="J23" s="99"/>
      <c r="K23" s="75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100"/>
      <c r="W23" s="100"/>
    </row>
    <row r="24" spans="1:23" s="98" customFormat="1" x14ac:dyDescent="0.3">
      <c r="A24" s="106"/>
      <c r="B24" s="110"/>
      <c r="C24" s="111"/>
      <c r="D24" s="111"/>
      <c r="E24" s="129"/>
      <c r="F24" s="79">
        <f>BPU!E24</f>
        <v>0</v>
      </c>
      <c r="G24" s="138"/>
      <c r="H24" s="138"/>
      <c r="J24" s="99"/>
      <c r="K24" s="75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100"/>
      <c r="W24" s="100"/>
    </row>
    <row r="25" spans="1:23" s="58" customFormat="1" ht="16.8" customHeight="1" x14ac:dyDescent="0.3">
      <c r="A25" s="59" t="s">
        <v>13</v>
      </c>
      <c r="B25" s="59" t="s">
        <v>23</v>
      </c>
      <c r="C25" s="59"/>
      <c r="D25" s="86"/>
      <c r="E25" s="124"/>
      <c r="F25" s="124"/>
      <c r="G25" s="59"/>
      <c r="H25" s="136"/>
    </row>
    <row r="26" spans="1:23" ht="43.2" x14ac:dyDescent="0.3">
      <c r="A26" s="60" t="s">
        <v>2</v>
      </c>
      <c r="B26" s="60" t="s">
        <v>3</v>
      </c>
      <c r="C26" s="60" t="s">
        <v>4</v>
      </c>
      <c r="D26" s="41" t="s">
        <v>152</v>
      </c>
      <c r="E26" s="125" t="s">
        <v>5</v>
      </c>
      <c r="F26" s="125" t="s">
        <v>349</v>
      </c>
      <c r="G26" s="42" t="s">
        <v>350</v>
      </c>
    </row>
    <row r="27" spans="1:23" s="58" customFormat="1" ht="16.8" customHeight="1" x14ac:dyDescent="0.3">
      <c r="A27" s="70" t="s">
        <v>18</v>
      </c>
      <c r="B27" s="70" t="s">
        <v>151</v>
      </c>
      <c r="C27" s="52"/>
      <c r="D27" s="87"/>
      <c r="E27" s="126"/>
      <c r="F27" s="79">
        <f>BPU!E27</f>
        <v>0</v>
      </c>
      <c r="G27" s="52"/>
      <c r="H27" s="136"/>
    </row>
    <row r="28" spans="1:23" ht="18.600000000000001" customHeight="1" x14ac:dyDescent="0.3">
      <c r="A28" s="52" t="s">
        <v>24</v>
      </c>
      <c r="B28" s="46" t="s">
        <v>161</v>
      </c>
      <c r="C28" s="52"/>
      <c r="D28" s="87"/>
      <c r="E28" s="126"/>
      <c r="F28" s="79">
        <f>BPU!E28</f>
        <v>0</v>
      </c>
      <c r="G28" s="52"/>
    </row>
    <row r="29" spans="1:23" ht="28.8" customHeight="1" x14ac:dyDescent="0.3">
      <c r="A29" s="150" t="s">
        <v>416</v>
      </c>
      <c r="B29" s="153" t="s">
        <v>1308</v>
      </c>
      <c r="C29" s="51" t="s">
        <v>181</v>
      </c>
      <c r="D29" s="87" t="s">
        <v>292</v>
      </c>
      <c r="E29" s="126">
        <f>1335.6*0</f>
        <v>0</v>
      </c>
      <c r="F29" s="79">
        <f>BPU!E29</f>
        <v>0</v>
      </c>
      <c r="G29" s="95">
        <f>E29*F29</f>
        <v>0</v>
      </c>
    </row>
    <row r="30" spans="1:23" ht="18.600000000000001" customHeight="1" x14ac:dyDescent="0.3">
      <c r="A30" s="150" t="s">
        <v>417</v>
      </c>
      <c r="B30" s="52" t="s">
        <v>196</v>
      </c>
      <c r="C30" s="51" t="s">
        <v>17</v>
      </c>
      <c r="D30" s="87" t="s">
        <v>292</v>
      </c>
      <c r="E30" s="126">
        <v>0</v>
      </c>
      <c r="F30" s="79">
        <f>BPU!E30</f>
        <v>0</v>
      </c>
      <c r="G30" s="95">
        <f t="shared" ref="G30:G93" si="1">E30*F30</f>
        <v>0</v>
      </c>
    </row>
    <row r="31" spans="1:23" ht="18.600000000000001" customHeight="1" x14ac:dyDescent="0.3">
      <c r="A31" s="150" t="s">
        <v>418</v>
      </c>
      <c r="B31" s="52" t="s">
        <v>210</v>
      </c>
      <c r="C31" s="51" t="s">
        <v>197</v>
      </c>
      <c r="D31" s="87" t="s">
        <v>292</v>
      </c>
      <c r="E31" s="126">
        <v>37.799999999999997</v>
      </c>
      <c r="F31" s="79">
        <f>BPU!E31</f>
        <v>0</v>
      </c>
      <c r="G31" s="95">
        <f t="shared" si="1"/>
        <v>0</v>
      </c>
    </row>
    <row r="32" spans="1:23" ht="18.600000000000001" customHeight="1" x14ac:dyDescent="0.3">
      <c r="A32" s="150" t="s">
        <v>419</v>
      </c>
      <c r="B32" s="52" t="s">
        <v>209</v>
      </c>
      <c r="C32" s="51" t="s">
        <v>197</v>
      </c>
      <c r="D32" s="87" t="s">
        <v>292</v>
      </c>
      <c r="E32" s="126">
        <v>0</v>
      </c>
      <c r="F32" s="79">
        <f>BPU!E32</f>
        <v>0</v>
      </c>
      <c r="G32" s="95">
        <f t="shared" si="1"/>
        <v>0</v>
      </c>
    </row>
    <row r="33" spans="1:8" ht="18.600000000000001" customHeight="1" x14ac:dyDescent="0.3">
      <c r="A33" s="150" t="s">
        <v>420</v>
      </c>
      <c r="B33" s="52" t="s">
        <v>199</v>
      </c>
      <c r="C33" s="51" t="s">
        <v>181</v>
      </c>
      <c r="D33" s="87" t="s">
        <v>292</v>
      </c>
      <c r="E33" s="126">
        <v>0</v>
      </c>
      <c r="F33" s="79">
        <f>BPU!E33</f>
        <v>0</v>
      </c>
      <c r="G33" s="95">
        <f t="shared" si="1"/>
        <v>0</v>
      </c>
    </row>
    <row r="34" spans="1:8" ht="18.600000000000001" customHeight="1" x14ac:dyDescent="0.3">
      <c r="A34" s="150" t="s">
        <v>421</v>
      </c>
      <c r="B34" s="52" t="s">
        <v>293</v>
      </c>
      <c r="C34" s="51" t="s">
        <v>181</v>
      </c>
      <c r="D34" s="87" t="s">
        <v>292</v>
      </c>
      <c r="E34" s="126">
        <v>0</v>
      </c>
      <c r="F34" s="79">
        <f>BPU!E34</f>
        <v>0</v>
      </c>
      <c r="G34" s="95">
        <f t="shared" si="1"/>
        <v>0</v>
      </c>
    </row>
    <row r="35" spans="1:8" ht="28.2" customHeight="1" x14ac:dyDescent="0.3">
      <c r="A35" s="150" t="s">
        <v>422</v>
      </c>
      <c r="B35" s="61" t="s">
        <v>198</v>
      </c>
      <c r="C35" s="51" t="s">
        <v>79</v>
      </c>
      <c r="D35" s="87" t="s">
        <v>158</v>
      </c>
      <c r="E35" s="126">
        <v>1</v>
      </c>
      <c r="F35" s="79">
        <f>BPU!E35</f>
        <v>0</v>
      </c>
      <c r="G35" s="95">
        <f t="shared" si="1"/>
        <v>0</v>
      </c>
    </row>
    <row r="36" spans="1:8" ht="18.600000000000001" customHeight="1" x14ac:dyDescent="0.3">
      <c r="A36" s="52" t="s">
        <v>25</v>
      </c>
      <c r="B36" s="46" t="s">
        <v>208</v>
      </c>
      <c r="C36" s="51"/>
      <c r="D36" s="87"/>
      <c r="E36" s="126"/>
      <c r="F36" s="79">
        <f>BPU!E36</f>
        <v>0</v>
      </c>
      <c r="G36" s="95">
        <f t="shared" si="1"/>
        <v>0</v>
      </c>
    </row>
    <row r="37" spans="1:8" ht="18.600000000000001" customHeight="1" x14ac:dyDescent="0.3">
      <c r="A37" s="150" t="s">
        <v>423</v>
      </c>
      <c r="B37" s="52" t="s">
        <v>211</v>
      </c>
      <c r="C37" s="51" t="s">
        <v>230</v>
      </c>
      <c r="D37" s="87" t="s">
        <v>292</v>
      </c>
      <c r="E37" s="126">
        <v>0</v>
      </c>
      <c r="F37" s="79">
        <f>BPU!E37</f>
        <v>0</v>
      </c>
      <c r="G37" s="95">
        <f t="shared" si="1"/>
        <v>0</v>
      </c>
    </row>
    <row r="38" spans="1:8" ht="18.600000000000001" customHeight="1" x14ac:dyDescent="0.3">
      <c r="A38" s="150" t="s">
        <v>424</v>
      </c>
      <c r="B38" s="52" t="s">
        <v>212</v>
      </c>
      <c r="C38" s="51" t="s">
        <v>230</v>
      </c>
      <c r="D38" s="87" t="s">
        <v>292</v>
      </c>
      <c r="E38" s="126">
        <v>0</v>
      </c>
      <c r="F38" s="79">
        <f>BPU!E38</f>
        <v>0</v>
      </c>
      <c r="G38" s="95">
        <f t="shared" si="1"/>
        <v>0</v>
      </c>
    </row>
    <row r="39" spans="1:8" ht="18.600000000000001" customHeight="1" x14ac:dyDescent="0.3">
      <c r="A39" s="52" t="s">
        <v>26</v>
      </c>
      <c r="B39" s="46" t="s">
        <v>168</v>
      </c>
      <c r="C39" s="52"/>
      <c r="D39" s="87"/>
      <c r="E39" s="126"/>
      <c r="F39" s="79">
        <f>BPU!E39</f>
        <v>0</v>
      </c>
      <c r="G39" s="95">
        <f t="shared" si="1"/>
        <v>0</v>
      </c>
    </row>
    <row r="40" spans="1:8" s="65" customFormat="1" ht="18.600000000000001" customHeight="1" x14ac:dyDescent="0.3">
      <c r="A40" s="150" t="s">
        <v>425</v>
      </c>
      <c r="B40" s="50" t="s">
        <v>213</v>
      </c>
      <c r="C40" s="51" t="s">
        <v>230</v>
      </c>
      <c r="D40" s="88" t="s">
        <v>292</v>
      </c>
      <c r="E40" s="130">
        <v>0</v>
      </c>
      <c r="F40" s="79">
        <f>BPU!E40</f>
        <v>0</v>
      </c>
      <c r="G40" s="95">
        <f t="shared" si="1"/>
        <v>0</v>
      </c>
      <c r="H40" s="66"/>
    </row>
    <row r="41" spans="1:8" s="65" customFormat="1" ht="18.600000000000001" customHeight="1" x14ac:dyDescent="0.3">
      <c r="A41" s="150" t="s">
        <v>426</v>
      </c>
      <c r="B41" s="50" t="s">
        <v>187</v>
      </c>
      <c r="C41" s="51" t="s">
        <v>230</v>
      </c>
      <c r="D41" s="88" t="s">
        <v>292</v>
      </c>
      <c r="E41" s="130">
        <v>0</v>
      </c>
      <c r="F41" s="79">
        <f>BPU!E41</f>
        <v>0</v>
      </c>
      <c r="G41" s="95">
        <f t="shared" si="1"/>
        <v>0</v>
      </c>
      <c r="H41" s="66"/>
    </row>
    <row r="42" spans="1:8" s="65" customFormat="1" ht="18.600000000000001" customHeight="1" x14ac:dyDescent="0.3">
      <c r="A42" s="150" t="s">
        <v>427</v>
      </c>
      <c r="B42" s="50" t="s">
        <v>214</v>
      </c>
      <c r="C42" s="51" t="s">
        <v>230</v>
      </c>
      <c r="D42" s="88" t="s">
        <v>292</v>
      </c>
      <c r="E42" s="130">
        <v>0</v>
      </c>
      <c r="F42" s="79">
        <f>BPU!E42</f>
        <v>0</v>
      </c>
      <c r="G42" s="95">
        <f t="shared" si="1"/>
        <v>0</v>
      </c>
      <c r="H42" s="66"/>
    </row>
    <row r="43" spans="1:8" s="65" customFormat="1" ht="33" customHeight="1" x14ac:dyDescent="0.3">
      <c r="A43" s="150" t="s">
        <v>428</v>
      </c>
      <c r="B43" s="50" t="s">
        <v>215</v>
      </c>
      <c r="C43" s="51" t="s">
        <v>230</v>
      </c>
      <c r="D43" s="88" t="s">
        <v>292</v>
      </c>
      <c r="E43" s="130">
        <f>1335.6*0.1*0.5*0</f>
        <v>0</v>
      </c>
      <c r="F43" s="79">
        <f>BPU!E43</f>
        <v>0</v>
      </c>
      <c r="G43" s="95">
        <f t="shared" si="1"/>
        <v>0</v>
      </c>
      <c r="H43" s="66"/>
    </row>
    <row r="44" spans="1:8" ht="18.600000000000001" customHeight="1" x14ac:dyDescent="0.3">
      <c r="A44" s="52" t="s">
        <v>27</v>
      </c>
      <c r="B44" s="46" t="s">
        <v>169</v>
      </c>
      <c r="C44" s="52"/>
      <c r="D44" s="87"/>
      <c r="E44" s="126"/>
      <c r="F44" s="79">
        <f>BPU!E44</f>
        <v>0</v>
      </c>
      <c r="G44" s="95">
        <f t="shared" si="1"/>
        <v>0</v>
      </c>
    </row>
    <row r="45" spans="1:8" ht="18.600000000000001" customHeight="1" x14ac:dyDescent="0.3">
      <c r="A45" s="150" t="s">
        <v>429</v>
      </c>
      <c r="B45" s="50" t="s">
        <v>216</v>
      </c>
      <c r="C45" s="51" t="s">
        <v>230</v>
      </c>
      <c r="D45" s="87" t="s">
        <v>292</v>
      </c>
      <c r="E45" s="126">
        <v>0</v>
      </c>
      <c r="F45" s="79">
        <f>BPU!E45</f>
        <v>0</v>
      </c>
      <c r="G45" s="95">
        <f t="shared" si="1"/>
        <v>0</v>
      </c>
    </row>
    <row r="46" spans="1:8" ht="18.600000000000001" customHeight="1" x14ac:dyDescent="0.3">
      <c r="A46" s="150" t="s">
        <v>430</v>
      </c>
      <c r="B46" s="50" t="s">
        <v>217</v>
      </c>
      <c r="C46" s="51" t="s">
        <v>230</v>
      </c>
      <c r="D46" s="87" t="s">
        <v>292</v>
      </c>
      <c r="E46" s="126">
        <v>0</v>
      </c>
      <c r="F46" s="79">
        <f>BPU!E46</f>
        <v>0</v>
      </c>
      <c r="G46" s="95">
        <f t="shared" si="1"/>
        <v>0</v>
      </c>
    </row>
    <row r="47" spans="1:8" ht="18.600000000000001" customHeight="1" x14ac:dyDescent="0.3">
      <c r="A47" s="150" t="s">
        <v>431</v>
      </c>
      <c r="B47" s="50" t="s">
        <v>218</v>
      </c>
      <c r="C47" s="51" t="s">
        <v>230</v>
      </c>
      <c r="D47" s="87" t="s">
        <v>292</v>
      </c>
      <c r="E47" s="126">
        <v>0</v>
      </c>
      <c r="F47" s="79">
        <f>BPU!E47</f>
        <v>0</v>
      </c>
      <c r="G47" s="95">
        <f t="shared" si="1"/>
        <v>0</v>
      </c>
    </row>
    <row r="48" spans="1:8" ht="18.600000000000001" customHeight="1" x14ac:dyDescent="0.3">
      <c r="A48" s="150" t="s">
        <v>432</v>
      </c>
      <c r="B48" s="50" t="s">
        <v>219</v>
      </c>
      <c r="C48" s="51" t="s">
        <v>230</v>
      </c>
      <c r="D48" s="87" t="s">
        <v>292</v>
      </c>
      <c r="E48" s="126">
        <v>0</v>
      </c>
      <c r="F48" s="79">
        <f>BPU!E48</f>
        <v>0</v>
      </c>
      <c r="G48" s="95">
        <f t="shared" si="1"/>
        <v>0</v>
      </c>
    </row>
    <row r="49" spans="1:7" ht="18.600000000000001" customHeight="1" x14ac:dyDescent="0.3">
      <c r="A49" s="150" t="s">
        <v>433</v>
      </c>
      <c r="B49" s="50" t="s">
        <v>220</v>
      </c>
      <c r="C49" s="51" t="s">
        <v>230</v>
      </c>
      <c r="D49" s="87" t="s">
        <v>292</v>
      </c>
      <c r="E49" s="126">
        <v>0</v>
      </c>
      <c r="F49" s="79">
        <f>BPU!E49</f>
        <v>0</v>
      </c>
      <c r="G49" s="95">
        <f t="shared" si="1"/>
        <v>0</v>
      </c>
    </row>
    <row r="50" spans="1:7" ht="18.600000000000001" customHeight="1" x14ac:dyDescent="0.3">
      <c r="A50" s="150" t="s">
        <v>434</v>
      </c>
      <c r="B50" s="50" t="s">
        <v>221</v>
      </c>
      <c r="C50" s="51" t="s">
        <v>230</v>
      </c>
      <c r="D50" s="87" t="s">
        <v>292</v>
      </c>
      <c r="E50" s="126">
        <v>0</v>
      </c>
      <c r="F50" s="79">
        <f>BPU!E50</f>
        <v>0</v>
      </c>
      <c r="G50" s="95">
        <f t="shared" si="1"/>
        <v>0</v>
      </c>
    </row>
    <row r="51" spans="1:7" ht="18.600000000000001" customHeight="1" x14ac:dyDescent="0.3">
      <c r="A51" s="150" t="s">
        <v>435</v>
      </c>
      <c r="B51" s="50" t="s">
        <v>222</v>
      </c>
      <c r="C51" s="51" t="s">
        <v>230</v>
      </c>
      <c r="D51" s="87" t="s">
        <v>292</v>
      </c>
      <c r="E51" s="126">
        <v>0</v>
      </c>
      <c r="F51" s="79">
        <f>BPU!E51</f>
        <v>0</v>
      </c>
      <c r="G51" s="95">
        <f t="shared" si="1"/>
        <v>0</v>
      </c>
    </row>
    <row r="52" spans="1:7" ht="18.600000000000001" customHeight="1" x14ac:dyDescent="0.3">
      <c r="A52" s="52" t="s">
        <v>28</v>
      </c>
      <c r="B52" s="46" t="s">
        <v>170</v>
      </c>
      <c r="C52" s="52"/>
      <c r="D52" s="87"/>
      <c r="E52" s="126"/>
      <c r="F52" s="79">
        <f>BPU!E52</f>
        <v>0</v>
      </c>
      <c r="G52" s="95">
        <f t="shared" si="1"/>
        <v>0</v>
      </c>
    </row>
    <row r="53" spans="1:7" ht="18.600000000000001" customHeight="1" x14ac:dyDescent="0.3">
      <c r="A53" s="150" t="s">
        <v>436</v>
      </c>
      <c r="B53" s="50" t="s">
        <v>223</v>
      </c>
      <c r="C53" s="51" t="s">
        <v>230</v>
      </c>
      <c r="D53" s="87" t="s">
        <v>292</v>
      </c>
      <c r="E53" s="126">
        <v>0</v>
      </c>
      <c r="F53" s="79">
        <f>BPU!E53</f>
        <v>0</v>
      </c>
      <c r="G53" s="95">
        <f t="shared" si="1"/>
        <v>0</v>
      </c>
    </row>
    <row r="54" spans="1:7" ht="18.600000000000001" customHeight="1" x14ac:dyDescent="0.3">
      <c r="A54" s="150" t="s">
        <v>437</v>
      </c>
      <c r="B54" s="50" t="s">
        <v>224</v>
      </c>
      <c r="C54" s="51" t="s">
        <v>230</v>
      </c>
      <c r="D54" s="87" t="s">
        <v>292</v>
      </c>
      <c r="E54" s="126">
        <v>0</v>
      </c>
      <c r="F54" s="79">
        <f>BPU!E54</f>
        <v>0</v>
      </c>
      <c r="G54" s="95">
        <f t="shared" si="1"/>
        <v>0</v>
      </c>
    </row>
    <row r="55" spans="1:7" ht="18.600000000000001" customHeight="1" x14ac:dyDescent="0.3">
      <c r="A55" s="150" t="s">
        <v>438</v>
      </c>
      <c r="B55" s="50" t="s">
        <v>178</v>
      </c>
      <c r="C55" s="51" t="s">
        <v>230</v>
      </c>
      <c r="D55" s="87" t="s">
        <v>292</v>
      </c>
      <c r="E55" s="126">
        <v>0</v>
      </c>
      <c r="F55" s="79">
        <f>BPU!E55</f>
        <v>0</v>
      </c>
      <c r="G55" s="95">
        <f t="shared" si="1"/>
        <v>0</v>
      </c>
    </row>
    <row r="56" spans="1:7" ht="18.600000000000001" customHeight="1" x14ac:dyDescent="0.3">
      <c r="A56" s="52" t="s">
        <v>29</v>
      </c>
      <c r="B56" s="46" t="s">
        <v>171</v>
      </c>
      <c r="C56" s="52"/>
      <c r="D56" s="87"/>
      <c r="E56" s="126"/>
      <c r="F56" s="79">
        <f>BPU!E56</f>
        <v>0</v>
      </c>
      <c r="G56" s="95">
        <f t="shared" si="1"/>
        <v>0</v>
      </c>
    </row>
    <row r="57" spans="1:7" ht="30.6" customHeight="1" x14ac:dyDescent="0.3">
      <c r="A57" s="150" t="s">
        <v>439</v>
      </c>
      <c r="B57" s="50" t="s">
        <v>229</v>
      </c>
      <c r="C57" s="51" t="s">
        <v>181</v>
      </c>
      <c r="D57" s="87" t="s">
        <v>292</v>
      </c>
      <c r="E57" s="126">
        <v>0</v>
      </c>
      <c r="F57" s="79">
        <f>BPU!E57</f>
        <v>0</v>
      </c>
      <c r="G57" s="95">
        <f t="shared" si="1"/>
        <v>0</v>
      </c>
    </row>
    <row r="58" spans="1:7" ht="30" customHeight="1" x14ac:dyDescent="0.3">
      <c r="A58" s="150" t="s">
        <v>440</v>
      </c>
      <c r="B58" s="50" t="s">
        <v>368</v>
      </c>
      <c r="C58" s="51" t="s">
        <v>181</v>
      </c>
      <c r="D58" s="87" t="s">
        <v>292</v>
      </c>
      <c r="E58" s="126"/>
      <c r="F58" s="79">
        <f>BPU!E58</f>
        <v>0</v>
      </c>
      <c r="G58" s="95">
        <f t="shared" si="1"/>
        <v>0</v>
      </c>
    </row>
    <row r="59" spans="1:7" ht="18.600000000000001" customHeight="1" x14ac:dyDescent="0.3">
      <c r="A59" s="150" t="s">
        <v>441</v>
      </c>
      <c r="B59" s="50" t="s">
        <v>366</v>
      </c>
      <c r="C59" s="51" t="s">
        <v>181</v>
      </c>
      <c r="D59" s="87" t="s">
        <v>292</v>
      </c>
      <c r="E59" s="126"/>
      <c r="F59" s="79">
        <f>BPU!E59</f>
        <v>0</v>
      </c>
      <c r="G59" s="95">
        <f t="shared" si="1"/>
        <v>0</v>
      </c>
    </row>
    <row r="60" spans="1:7" ht="18.600000000000001" customHeight="1" x14ac:dyDescent="0.3">
      <c r="A60" s="150" t="s">
        <v>442</v>
      </c>
      <c r="B60" s="50" t="s">
        <v>225</v>
      </c>
      <c r="C60" s="51" t="s">
        <v>181</v>
      </c>
      <c r="D60" s="87" t="s">
        <v>292</v>
      </c>
      <c r="E60" s="126">
        <v>0</v>
      </c>
      <c r="F60" s="79">
        <f>BPU!E60</f>
        <v>0</v>
      </c>
      <c r="G60" s="95">
        <f t="shared" si="1"/>
        <v>0</v>
      </c>
    </row>
    <row r="61" spans="1:7" ht="18.600000000000001" customHeight="1" x14ac:dyDescent="0.3">
      <c r="A61" s="150" t="s">
        <v>443</v>
      </c>
      <c r="B61" s="50" t="s">
        <v>226</v>
      </c>
      <c r="C61" s="51" t="s">
        <v>181</v>
      </c>
      <c r="D61" s="87" t="s">
        <v>292</v>
      </c>
      <c r="E61" s="126">
        <v>0</v>
      </c>
      <c r="F61" s="79">
        <f>BPU!E61</f>
        <v>0</v>
      </c>
      <c r="G61" s="95">
        <f t="shared" si="1"/>
        <v>0</v>
      </c>
    </row>
    <row r="62" spans="1:7" ht="18.600000000000001" customHeight="1" x14ac:dyDescent="0.3">
      <c r="A62" s="150" t="s">
        <v>444</v>
      </c>
      <c r="B62" s="50" t="s">
        <v>227</v>
      </c>
      <c r="C62" s="51" t="s">
        <v>181</v>
      </c>
      <c r="D62" s="87" t="s">
        <v>292</v>
      </c>
      <c r="E62" s="126">
        <v>0</v>
      </c>
      <c r="F62" s="79">
        <f>BPU!E62</f>
        <v>0</v>
      </c>
      <c r="G62" s="95">
        <f t="shared" si="1"/>
        <v>0</v>
      </c>
    </row>
    <row r="63" spans="1:7" ht="18.600000000000001" customHeight="1" x14ac:dyDescent="0.3">
      <c r="A63" s="150" t="s">
        <v>445</v>
      </c>
      <c r="B63" s="50" t="s">
        <v>228</v>
      </c>
      <c r="C63" s="51" t="s">
        <v>181</v>
      </c>
      <c r="D63" s="87" t="s">
        <v>292</v>
      </c>
      <c r="E63" s="126">
        <v>0</v>
      </c>
      <c r="F63" s="79">
        <f>BPU!E63</f>
        <v>0</v>
      </c>
      <c r="G63" s="95">
        <f t="shared" si="1"/>
        <v>0</v>
      </c>
    </row>
    <row r="64" spans="1:7" ht="18.600000000000001" customHeight="1" x14ac:dyDescent="0.3">
      <c r="A64" s="52" t="s">
        <v>30</v>
      </c>
      <c r="B64" s="46" t="s">
        <v>172</v>
      </c>
      <c r="C64" s="52"/>
      <c r="D64" s="87"/>
      <c r="E64" s="126"/>
      <c r="F64" s="79">
        <f>BPU!E64</f>
        <v>0</v>
      </c>
      <c r="G64" s="95">
        <f t="shared" si="1"/>
        <v>0</v>
      </c>
    </row>
    <row r="65" spans="1:7" ht="18.600000000000001" customHeight="1" x14ac:dyDescent="0.3">
      <c r="A65" s="150" t="s">
        <v>446</v>
      </c>
      <c r="B65" s="50" t="s">
        <v>231</v>
      </c>
      <c r="C65" s="51" t="s">
        <v>181</v>
      </c>
      <c r="D65" s="87" t="s">
        <v>292</v>
      </c>
      <c r="E65" s="126">
        <v>0</v>
      </c>
      <c r="F65" s="79">
        <f>BPU!E65</f>
        <v>0</v>
      </c>
      <c r="G65" s="95">
        <f t="shared" si="1"/>
        <v>0</v>
      </c>
    </row>
    <row r="66" spans="1:7" ht="18.600000000000001" customHeight="1" x14ac:dyDescent="0.3">
      <c r="A66" s="150" t="s">
        <v>447</v>
      </c>
      <c r="B66" s="50" t="s">
        <v>232</v>
      </c>
      <c r="C66" s="51" t="s">
        <v>181</v>
      </c>
      <c r="D66" s="87" t="s">
        <v>292</v>
      </c>
      <c r="E66" s="130">
        <f>1335.6*0.5*0</f>
        <v>0</v>
      </c>
      <c r="F66" s="79">
        <f>BPU!E66</f>
        <v>0</v>
      </c>
      <c r="G66" s="95">
        <f t="shared" si="1"/>
        <v>0</v>
      </c>
    </row>
    <row r="67" spans="1:7" ht="28.2" customHeight="1" x14ac:dyDescent="0.3">
      <c r="A67" s="150" t="s">
        <v>448</v>
      </c>
      <c r="B67" s="50" t="s">
        <v>233</v>
      </c>
      <c r="C67" s="51" t="s">
        <v>181</v>
      </c>
      <c r="D67" s="87" t="s">
        <v>292</v>
      </c>
      <c r="E67" s="126">
        <v>0</v>
      </c>
      <c r="F67" s="79">
        <f>BPU!E67</f>
        <v>0</v>
      </c>
      <c r="G67" s="95">
        <f t="shared" si="1"/>
        <v>0</v>
      </c>
    </row>
    <row r="68" spans="1:7" ht="18.600000000000001" customHeight="1" x14ac:dyDescent="0.3">
      <c r="A68" s="150" t="s">
        <v>449</v>
      </c>
      <c r="B68" s="50" t="s">
        <v>234</v>
      </c>
      <c r="C68" s="51" t="s">
        <v>181</v>
      </c>
      <c r="D68" s="87" t="s">
        <v>292</v>
      </c>
      <c r="E68" s="126">
        <v>0</v>
      </c>
      <c r="F68" s="79">
        <f>BPU!E68</f>
        <v>0</v>
      </c>
      <c r="G68" s="95">
        <f t="shared" si="1"/>
        <v>0</v>
      </c>
    </row>
    <row r="69" spans="1:7" ht="18.600000000000001" customHeight="1" x14ac:dyDescent="0.3">
      <c r="A69" s="52" t="s">
        <v>450</v>
      </c>
      <c r="B69" s="46" t="s">
        <v>173</v>
      </c>
      <c r="C69" s="52"/>
      <c r="D69" s="87"/>
      <c r="E69" s="126"/>
      <c r="F69" s="79">
        <f>BPU!E69</f>
        <v>0</v>
      </c>
      <c r="G69" s="95">
        <f t="shared" si="1"/>
        <v>0</v>
      </c>
    </row>
    <row r="70" spans="1:7" ht="18.600000000000001" customHeight="1" x14ac:dyDescent="0.3">
      <c r="A70" s="150" t="s">
        <v>451</v>
      </c>
      <c r="B70" s="50" t="s">
        <v>259</v>
      </c>
      <c r="C70" s="51" t="s">
        <v>181</v>
      </c>
      <c r="D70" s="87" t="s">
        <v>292</v>
      </c>
      <c r="E70" s="126">
        <v>0</v>
      </c>
      <c r="F70" s="79">
        <f>BPU!E70</f>
        <v>0</v>
      </c>
      <c r="G70" s="95">
        <f t="shared" si="1"/>
        <v>0</v>
      </c>
    </row>
    <row r="71" spans="1:7" ht="18.600000000000001" customHeight="1" x14ac:dyDescent="0.3">
      <c r="A71" s="150" t="s">
        <v>452</v>
      </c>
      <c r="B71" s="50" t="s">
        <v>235</v>
      </c>
      <c r="C71" s="51" t="s">
        <v>181</v>
      </c>
      <c r="D71" s="87" t="s">
        <v>292</v>
      </c>
      <c r="E71" s="126">
        <v>0</v>
      </c>
      <c r="F71" s="79">
        <f>BPU!E71</f>
        <v>0</v>
      </c>
      <c r="G71" s="95">
        <f t="shared" si="1"/>
        <v>0</v>
      </c>
    </row>
    <row r="72" spans="1:7" ht="18.600000000000001" customHeight="1" x14ac:dyDescent="0.3">
      <c r="A72" s="150" t="s">
        <v>453</v>
      </c>
      <c r="B72" s="50" t="s">
        <v>236</v>
      </c>
      <c r="C72" s="51" t="s">
        <v>181</v>
      </c>
      <c r="D72" s="87" t="s">
        <v>292</v>
      </c>
      <c r="E72" s="126">
        <v>0</v>
      </c>
      <c r="F72" s="79">
        <f>BPU!E72</f>
        <v>0</v>
      </c>
      <c r="G72" s="95">
        <f t="shared" si="1"/>
        <v>0</v>
      </c>
    </row>
    <row r="73" spans="1:7" ht="18.600000000000001" customHeight="1" x14ac:dyDescent="0.3">
      <c r="A73" s="150" t="s">
        <v>454</v>
      </c>
      <c r="B73" s="50" t="s">
        <v>237</v>
      </c>
      <c r="C73" s="51" t="s">
        <v>181</v>
      </c>
      <c r="D73" s="87" t="s">
        <v>292</v>
      </c>
      <c r="E73" s="126">
        <v>0</v>
      </c>
      <c r="F73" s="79">
        <f>BPU!E73</f>
        <v>0</v>
      </c>
      <c r="G73" s="95">
        <f t="shared" si="1"/>
        <v>0</v>
      </c>
    </row>
    <row r="74" spans="1:7" ht="18.600000000000001" customHeight="1" x14ac:dyDescent="0.3">
      <c r="A74" s="150" t="s">
        <v>455</v>
      </c>
      <c r="B74" s="50" t="s">
        <v>238</v>
      </c>
      <c r="C74" s="51" t="s">
        <v>181</v>
      </c>
      <c r="D74" s="87" t="s">
        <v>292</v>
      </c>
      <c r="E74" s="126">
        <v>0</v>
      </c>
      <c r="F74" s="79">
        <f>BPU!E74</f>
        <v>0</v>
      </c>
      <c r="G74" s="95">
        <f t="shared" si="1"/>
        <v>0</v>
      </c>
    </row>
    <row r="75" spans="1:7" ht="18.600000000000001" customHeight="1" x14ac:dyDescent="0.3">
      <c r="A75" s="150" t="s">
        <v>456</v>
      </c>
      <c r="B75" s="50" t="s">
        <v>179</v>
      </c>
      <c r="C75" s="51" t="s">
        <v>181</v>
      </c>
      <c r="D75" s="87" t="s">
        <v>292</v>
      </c>
      <c r="E75" s="126">
        <v>0</v>
      </c>
      <c r="F75" s="79">
        <f>BPU!E75</f>
        <v>0</v>
      </c>
      <c r="G75" s="95">
        <f t="shared" si="1"/>
        <v>0</v>
      </c>
    </row>
    <row r="76" spans="1:7" ht="18.600000000000001" customHeight="1" x14ac:dyDescent="0.3">
      <c r="A76" s="150" t="s">
        <v>457</v>
      </c>
      <c r="B76" s="50" t="s">
        <v>239</v>
      </c>
      <c r="C76" s="51" t="s">
        <v>181</v>
      </c>
      <c r="D76" s="87" t="s">
        <v>292</v>
      </c>
      <c r="E76" s="126">
        <v>0</v>
      </c>
      <c r="F76" s="79">
        <f>BPU!E76</f>
        <v>0</v>
      </c>
      <c r="G76" s="95">
        <f t="shared" si="1"/>
        <v>0</v>
      </c>
    </row>
    <row r="77" spans="1:7" ht="18.600000000000001" customHeight="1" x14ac:dyDescent="0.3">
      <c r="A77" s="52" t="s">
        <v>458</v>
      </c>
      <c r="B77" s="46" t="s">
        <v>174</v>
      </c>
      <c r="C77" s="52"/>
      <c r="D77" s="87"/>
      <c r="E77" s="126"/>
      <c r="F77" s="79">
        <f>BPU!E77</f>
        <v>0</v>
      </c>
      <c r="G77" s="95">
        <f t="shared" si="1"/>
        <v>0</v>
      </c>
    </row>
    <row r="78" spans="1:7" ht="18.600000000000001" customHeight="1" x14ac:dyDescent="0.3">
      <c r="A78" s="150" t="s">
        <v>459</v>
      </c>
      <c r="B78" s="50" t="s">
        <v>367</v>
      </c>
      <c r="C78" s="51" t="s">
        <v>181</v>
      </c>
      <c r="D78" s="87" t="s">
        <v>292</v>
      </c>
      <c r="E78" s="126"/>
      <c r="F78" s="79">
        <f>BPU!E78</f>
        <v>0</v>
      </c>
      <c r="G78" s="95">
        <f t="shared" ref="G78" si="2">E78*F78</f>
        <v>0</v>
      </c>
    </row>
    <row r="79" spans="1:7" ht="18.600000000000001" customHeight="1" x14ac:dyDescent="0.3">
      <c r="A79" s="150" t="s">
        <v>460</v>
      </c>
      <c r="B79" s="50" t="s">
        <v>240</v>
      </c>
      <c r="C79" s="51" t="s">
        <v>181</v>
      </c>
      <c r="D79" s="87" t="s">
        <v>292</v>
      </c>
      <c r="E79" s="126">
        <v>0</v>
      </c>
      <c r="F79" s="79">
        <f>BPU!E79</f>
        <v>0</v>
      </c>
      <c r="G79" s="95">
        <f t="shared" si="1"/>
        <v>0</v>
      </c>
    </row>
    <row r="80" spans="1:7" ht="18.600000000000001" customHeight="1" x14ac:dyDescent="0.3">
      <c r="A80" s="150" t="s">
        <v>461</v>
      </c>
      <c r="B80" s="50" t="s">
        <v>241</v>
      </c>
      <c r="C80" s="51" t="s">
        <v>181</v>
      </c>
      <c r="D80" s="87" t="s">
        <v>292</v>
      </c>
      <c r="E80" s="126">
        <v>0</v>
      </c>
      <c r="F80" s="79">
        <f>BPU!E80</f>
        <v>0</v>
      </c>
      <c r="G80" s="95">
        <f t="shared" si="1"/>
        <v>0</v>
      </c>
    </row>
    <row r="81" spans="1:7" ht="18.600000000000001" customHeight="1" x14ac:dyDescent="0.3">
      <c r="A81" s="150" t="s">
        <v>462</v>
      </c>
      <c r="B81" s="50" t="s">
        <v>242</v>
      </c>
      <c r="C81" s="51" t="s">
        <v>181</v>
      </c>
      <c r="D81" s="87" t="s">
        <v>292</v>
      </c>
      <c r="E81" s="126">
        <v>0</v>
      </c>
      <c r="F81" s="79">
        <f>BPU!E81</f>
        <v>0</v>
      </c>
      <c r="G81" s="95">
        <f t="shared" si="1"/>
        <v>0</v>
      </c>
    </row>
    <row r="82" spans="1:7" ht="18.600000000000001" customHeight="1" x14ac:dyDescent="0.3">
      <c r="A82" s="150" t="s">
        <v>463</v>
      </c>
      <c r="B82" s="50" t="s">
        <v>243</v>
      </c>
      <c r="C82" s="51" t="s">
        <v>181</v>
      </c>
      <c r="D82" s="87" t="s">
        <v>292</v>
      </c>
      <c r="E82" s="126">
        <v>0</v>
      </c>
      <c r="F82" s="79">
        <f>BPU!E82</f>
        <v>0</v>
      </c>
      <c r="G82" s="95">
        <f t="shared" si="1"/>
        <v>0</v>
      </c>
    </row>
    <row r="83" spans="1:7" ht="18.600000000000001" customHeight="1" x14ac:dyDescent="0.3">
      <c r="A83" s="150" t="s">
        <v>464</v>
      </c>
      <c r="B83" s="50" t="s">
        <v>244</v>
      </c>
      <c r="C83" s="51" t="s">
        <v>181</v>
      </c>
      <c r="D83" s="87" t="s">
        <v>292</v>
      </c>
      <c r="E83" s="126">
        <v>0</v>
      </c>
      <c r="F83" s="79">
        <f>BPU!E83</f>
        <v>0</v>
      </c>
      <c r="G83" s="95">
        <f t="shared" si="1"/>
        <v>0</v>
      </c>
    </row>
    <row r="84" spans="1:7" ht="18.600000000000001" customHeight="1" x14ac:dyDescent="0.3">
      <c r="A84" s="150" t="s">
        <v>465</v>
      </c>
      <c r="B84" s="50" t="s">
        <v>245</v>
      </c>
      <c r="C84" s="51" t="s">
        <v>181</v>
      </c>
      <c r="D84" s="87" t="s">
        <v>292</v>
      </c>
      <c r="E84" s="126">
        <v>0</v>
      </c>
      <c r="F84" s="79">
        <f>BPU!E84</f>
        <v>0</v>
      </c>
      <c r="G84" s="95">
        <f t="shared" si="1"/>
        <v>0</v>
      </c>
    </row>
    <row r="85" spans="1:7" ht="18.600000000000001" customHeight="1" x14ac:dyDescent="0.3">
      <c r="A85" s="150" t="s">
        <v>466</v>
      </c>
      <c r="B85" s="50" t="s">
        <v>246</v>
      </c>
      <c r="C85" s="51" t="s">
        <v>181</v>
      </c>
      <c r="D85" s="87" t="s">
        <v>292</v>
      </c>
      <c r="E85" s="126">
        <v>0</v>
      </c>
      <c r="F85" s="79">
        <f>BPU!E85</f>
        <v>0</v>
      </c>
      <c r="G85" s="95">
        <f t="shared" si="1"/>
        <v>0</v>
      </c>
    </row>
    <row r="86" spans="1:7" ht="18.600000000000001" customHeight="1" x14ac:dyDescent="0.3">
      <c r="A86" s="150" t="s">
        <v>467</v>
      </c>
      <c r="B86" s="50" t="s">
        <v>247</v>
      </c>
      <c r="C86" s="51" t="s">
        <v>181</v>
      </c>
      <c r="D86" s="87" t="s">
        <v>292</v>
      </c>
      <c r="E86" s="126">
        <v>0</v>
      </c>
      <c r="F86" s="79">
        <f>BPU!E86</f>
        <v>0</v>
      </c>
      <c r="G86" s="95">
        <f t="shared" si="1"/>
        <v>0</v>
      </c>
    </row>
    <row r="87" spans="1:7" ht="18.600000000000001" customHeight="1" x14ac:dyDescent="0.3">
      <c r="A87" s="150" t="s">
        <v>468</v>
      </c>
      <c r="B87" s="50" t="s">
        <v>194</v>
      </c>
      <c r="C87" s="51" t="s">
        <v>181</v>
      </c>
      <c r="D87" s="87" t="s">
        <v>292</v>
      </c>
      <c r="E87" s="126">
        <v>135</v>
      </c>
      <c r="F87" s="79">
        <f>BPU!E87</f>
        <v>0</v>
      </c>
      <c r="G87" s="95">
        <f t="shared" si="1"/>
        <v>0</v>
      </c>
    </row>
    <row r="88" spans="1:7" ht="18.600000000000001" customHeight="1" x14ac:dyDescent="0.3">
      <c r="A88" s="52" t="s">
        <v>469</v>
      </c>
      <c r="B88" s="46" t="s">
        <v>175</v>
      </c>
      <c r="C88" s="52"/>
      <c r="D88" s="87"/>
      <c r="E88" s="126"/>
      <c r="F88" s="79">
        <f>BPU!E88</f>
        <v>0</v>
      </c>
      <c r="G88" s="95">
        <f t="shared" si="1"/>
        <v>0</v>
      </c>
    </row>
    <row r="89" spans="1:7" ht="18.600000000000001" customHeight="1" x14ac:dyDescent="0.3">
      <c r="A89" s="150" t="s">
        <v>470</v>
      </c>
      <c r="B89" s="50" t="s">
        <v>180</v>
      </c>
      <c r="C89" s="51" t="s">
        <v>181</v>
      </c>
      <c r="D89" s="87" t="s">
        <v>292</v>
      </c>
      <c r="E89" s="126">
        <v>0</v>
      </c>
      <c r="F89" s="79">
        <f>BPU!E89</f>
        <v>0</v>
      </c>
      <c r="G89" s="95">
        <f t="shared" si="1"/>
        <v>0</v>
      </c>
    </row>
    <row r="90" spans="1:7" ht="18.600000000000001" customHeight="1" x14ac:dyDescent="0.3">
      <c r="A90" s="52" t="s">
        <v>471</v>
      </c>
      <c r="B90" s="46" t="s">
        <v>176</v>
      </c>
      <c r="C90" s="52"/>
      <c r="D90" s="87"/>
      <c r="E90" s="126"/>
      <c r="F90" s="79">
        <f>BPU!E90</f>
        <v>0</v>
      </c>
      <c r="G90" s="95">
        <f t="shared" si="1"/>
        <v>0</v>
      </c>
    </row>
    <row r="91" spans="1:7" ht="18.600000000000001" customHeight="1" x14ac:dyDescent="0.3">
      <c r="A91" s="150" t="s">
        <v>472</v>
      </c>
      <c r="B91" s="50" t="s">
        <v>257</v>
      </c>
      <c r="C91" s="51" t="s">
        <v>181</v>
      </c>
      <c r="D91" s="87" t="s">
        <v>292</v>
      </c>
      <c r="E91" s="126">
        <v>0</v>
      </c>
      <c r="F91" s="79">
        <f>BPU!E91</f>
        <v>0</v>
      </c>
      <c r="G91" s="95">
        <f t="shared" si="1"/>
        <v>0</v>
      </c>
    </row>
    <row r="92" spans="1:7" ht="18.600000000000001" customHeight="1" x14ac:dyDescent="0.3">
      <c r="A92" s="150" t="s">
        <v>473</v>
      </c>
      <c r="B92" s="50" t="s">
        <v>253</v>
      </c>
      <c r="C92" s="51" t="s">
        <v>17</v>
      </c>
      <c r="D92" s="87" t="s">
        <v>292</v>
      </c>
      <c r="E92" s="126">
        <v>0</v>
      </c>
      <c r="F92" s="79">
        <f>BPU!E92</f>
        <v>0</v>
      </c>
      <c r="G92" s="95">
        <f t="shared" si="1"/>
        <v>0</v>
      </c>
    </row>
    <row r="93" spans="1:7" ht="18.600000000000001" customHeight="1" x14ac:dyDescent="0.3">
      <c r="A93" s="150" t="s">
        <v>474</v>
      </c>
      <c r="B93" s="50" t="s">
        <v>252</v>
      </c>
      <c r="C93" s="51" t="s">
        <v>17</v>
      </c>
      <c r="D93" s="87" t="s">
        <v>292</v>
      </c>
      <c r="E93" s="126">
        <v>0</v>
      </c>
      <c r="F93" s="79">
        <f>BPU!E93</f>
        <v>0</v>
      </c>
      <c r="G93" s="95">
        <f t="shared" si="1"/>
        <v>0</v>
      </c>
    </row>
    <row r="94" spans="1:7" ht="18.600000000000001" customHeight="1" x14ac:dyDescent="0.3">
      <c r="A94" s="150" t="s">
        <v>475</v>
      </c>
      <c r="B94" s="50" t="s">
        <v>254</v>
      </c>
      <c r="C94" s="51" t="s">
        <v>17</v>
      </c>
      <c r="D94" s="87" t="s">
        <v>292</v>
      </c>
      <c r="E94" s="126">
        <v>0</v>
      </c>
      <c r="F94" s="79">
        <f>BPU!E94</f>
        <v>0</v>
      </c>
      <c r="G94" s="95">
        <f t="shared" ref="G94:G157" si="3">E94*F94</f>
        <v>0</v>
      </c>
    </row>
    <row r="95" spans="1:7" ht="18.600000000000001" customHeight="1" x14ac:dyDescent="0.3">
      <c r="A95" s="150" t="s">
        <v>476</v>
      </c>
      <c r="B95" s="50" t="s">
        <v>255</v>
      </c>
      <c r="C95" s="51" t="s">
        <v>17</v>
      </c>
      <c r="D95" s="87" t="s">
        <v>292</v>
      </c>
      <c r="E95" s="126">
        <v>0</v>
      </c>
      <c r="F95" s="79">
        <f>BPU!E95</f>
        <v>0</v>
      </c>
      <c r="G95" s="95">
        <f t="shared" si="3"/>
        <v>0</v>
      </c>
    </row>
    <row r="96" spans="1:7" ht="28.8" customHeight="1" x14ac:dyDescent="0.3">
      <c r="A96" s="150" t="s">
        <v>477</v>
      </c>
      <c r="B96" s="50" t="s">
        <v>251</v>
      </c>
      <c r="C96" s="51" t="s">
        <v>17</v>
      </c>
      <c r="D96" s="87" t="s">
        <v>292</v>
      </c>
      <c r="E96" s="126">
        <v>0</v>
      </c>
      <c r="F96" s="79">
        <f>BPU!E96</f>
        <v>0</v>
      </c>
      <c r="G96" s="95">
        <f t="shared" si="3"/>
        <v>0</v>
      </c>
    </row>
    <row r="97" spans="1:23" x14ac:dyDescent="0.3">
      <c r="A97" s="150" t="s">
        <v>478</v>
      </c>
      <c r="B97" s="50" t="s">
        <v>256</v>
      </c>
      <c r="C97" s="51" t="s">
        <v>181</v>
      </c>
      <c r="D97" s="87" t="s">
        <v>292</v>
      </c>
      <c r="E97" s="126">
        <v>0</v>
      </c>
      <c r="F97" s="79">
        <f>BPU!E97</f>
        <v>0</v>
      </c>
      <c r="G97" s="95">
        <f t="shared" si="3"/>
        <v>0</v>
      </c>
    </row>
    <row r="98" spans="1:23" x14ac:dyDescent="0.3">
      <c r="A98" s="150" t="s">
        <v>479</v>
      </c>
      <c r="B98" s="50" t="s">
        <v>258</v>
      </c>
      <c r="C98" s="51" t="s">
        <v>17</v>
      </c>
      <c r="D98" s="87" t="s">
        <v>292</v>
      </c>
      <c r="E98" s="126">
        <v>0</v>
      </c>
      <c r="F98" s="79">
        <f>BPU!E98</f>
        <v>0</v>
      </c>
      <c r="G98" s="95">
        <f t="shared" si="3"/>
        <v>0</v>
      </c>
    </row>
    <row r="99" spans="1:23" ht="18.600000000000001" customHeight="1" x14ac:dyDescent="0.3">
      <c r="A99" s="150" t="s">
        <v>480</v>
      </c>
      <c r="B99" s="50" t="s">
        <v>193</v>
      </c>
      <c r="C99" s="51" t="s">
        <v>181</v>
      </c>
      <c r="D99" s="87" t="s">
        <v>292</v>
      </c>
      <c r="E99" s="126">
        <v>42</v>
      </c>
      <c r="F99" s="79">
        <f>BPU!E99</f>
        <v>0</v>
      </c>
      <c r="G99" s="95">
        <f t="shared" si="3"/>
        <v>0</v>
      </c>
    </row>
    <row r="100" spans="1:23" x14ac:dyDescent="0.3">
      <c r="A100" s="150" t="s">
        <v>481</v>
      </c>
      <c r="B100" s="50" t="s">
        <v>192</v>
      </c>
      <c r="C100" s="51" t="s">
        <v>181</v>
      </c>
      <c r="D100" s="87" t="s">
        <v>292</v>
      </c>
      <c r="E100" s="126">
        <v>0</v>
      </c>
      <c r="F100" s="79">
        <f>BPU!E100</f>
        <v>0</v>
      </c>
      <c r="G100" s="95">
        <f t="shared" si="3"/>
        <v>0</v>
      </c>
    </row>
    <row r="101" spans="1:23" ht="28.8" x14ac:dyDescent="0.3">
      <c r="A101" s="150" t="s">
        <v>482</v>
      </c>
      <c r="B101" s="50" t="s">
        <v>260</v>
      </c>
      <c r="C101" s="51" t="s">
        <v>181</v>
      </c>
      <c r="D101" s="87" t="s">
        <v>292</v>
      </c>
      <c r="E101" s="126">
        <v>0</v>
      </c>
      <c r="F101" s="79">
        <f>BPU!E101</f>
        <v>0</v>
      </c>
      <c r="G101" s="95">
        <f t="shared" si="3"/>
        <v>0</v>
      </c>
    </row>
    <row r="102" spans="1:23" ht="18.600000000000001" customHeight="1" x14ac:dyDescent="0.3">
      <c r="A102" s="52" t="s">
        <v>483</v>
      </c>
      <c r="B102" s="46" t="s">
        <v>177</v>
      </c>
      <c r="C102" s="52"/>
      <c r="D102" s="87"/>
      <c r="E102" s="126"/>
      <c r="F102" s="79">
        <f>BPU!E102</f>
        <v>0</v>
      </c>
      <c r="G102" s="95">
        <f t="shared" si="3"/>
        <v>0</v>
      </c>
    </row>
    <row r="103" spans="1:23" ht="18.600000000000001" customHeight="1" x14ac:dyDescent="0.3">
      <c r="A103" s="150" t="s">
        <v>484</v>
      </c>
      <c r="B103" s="50" t="s">
        <v>182</v>
      </c>
      <c r="C103" s="51" t="s">
        <v>181</v>
      </c>
      <c r="D103" s="87" t="s">
        <v>292</v>
      </c>
      <c r="E103" s="126">
        <v>0</v>
      </c>
      <c r="F103" s="79">
        <f>BPU!E103</f>
        <v>0</v>
      </c>
      <c r="G103" s="95">
        <f t="shared" si="3"/>
        <v>0</v>
      </c>
    </row>
    <row r="104" spans="1:23" ht="28.8" x14ac:dyDescent="0.3">
      <c r="A104" s="150" t="s">
        <v>485</v>
      </c>
      <c r="B104" s="50" t="s">
        <v>1273</v>
      </c>
      <c r="C104" s="51" t="s">
        <v>181</v>
      </c>
      <c r="D104" s="87" t="s">
        <v>292</v>
      </c>
      <c r="E104" s="126">
        <v>1850</v>
      </c>
      <c r="F104" s="79">
        <f>BPU!E104</f>
        <v>0</v>
      </c>
      <c r="G104" s="95">
        <f t="shared" si="3"/>
        <v>0</v>
      </c>
    </row>
    <row r="105" spans="1:23" x14ac:dyDescent="0.3">
      <c r="A105" s="150" t="s">
        <v>486</v>
      </c>
      <c r="B105" s="50" t="s">
        <v>183</v>
      </c>
      <c r="C105" s="51" t="s">
        <v>181</v>
      </c>
      <c r="D105" s="87" t="s">
        <v>292</v>
      </c>
      <c r="E105" s="126">
        <v>0</v>
      </c>
      <c r="F105" s="79">
        <f>BPU!E105</f>
        <v>0</v>
      </c>
      <c r="G105" s="95">
        <f t="shared" si="3"/>
        <v>0</v>
      </c>
    </row>
    <row r="106" spans="1:23" x14ac:dyDescent="0.3">
      <c r="A106" s="150" t="s">
        <v>487</v>
      </c>
      <c r="B106" s="50" t="s">
        <v>184</v>
      </c>
      <c r="C106" s="51" t="s">
        <v>181</v>
      </c>
      <c r="D106" s="87" t="s">
        <v>292</v>
      </c>
      <c r="E106" s="126">
        <f>38*2.1*0.9*2</f>
        <v>143.63999999999999</v>
      </c>
      <c r="F106" s="79">
        <f>BPU!E106</f>
        <v>0</v>
      </c>
      <c r="G106" s="95">
        <f t="shared" si="3"/>
        <v>0</v>
      </c>
    </row>
    <row r="107" spans="1:23" ht="15" thickBot="1" x14ac:dyDescent="0.35">
      <c r="A107" s="150" t="s">
        <v>488</v>
      </c>
      <c r="B107" s="50" t="s">
        <v>185</v>
      </c>
      <c r="C107" s="51" t="s">
        <v>181</v>
      </c>
      <c r="D107" s="87" t="s">
        <v>292</v>
      </c>
      <c r="E107" s="126">
        <v>46</v>
      </c>
      <c r="F107" s="79">
        <f>BPU!E107</f>
        <v>0</v>
      </c>
      <c r="G107" s="95">
        <f t="shared" si="3"/>
        <v>0</v>
      </c>
    </row>
    <row r="108" spans="1:23" s="98" customFormat="1" ht="15" thickBot="1" x14ac:dyDescent="0.35">
      <c r="A108" s="52"/>
      <c r="B108" s="96" t="s">
        <v>387</v>
      </c>
      <c r="C108" s="97"/>
      <c r="D108" s="97"/>
      <c r="E108" s="128"/>
      <c r="F108" s="145">
        <f>BPU!E108</f>
        <v>0</v>
      </c>
      <c r="G108" s="146">
        <f>SUM(G29:G107)</f>
        <v>0</v>
      </c>
      <c r="H108" s="138"/>
      <c r="J108" s="99"/>
      <c r="K108" s="75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100"/>
      <c r="W108" s="100"/>
    </row>
    <row r="109" spans="1:23" s="58" customFormat="1" ht="16.8" customHeight="1" x14ac:dyDescent="0.3">
      <c r="A109" s="70" t="s">
        <v>19</v>
      </c>
      <c r="B109" s="70" t="s">
        <v>126</v>
      </c>
      <c r="C109" s="52"/>
      <c r="D109" s="87"/>
      <c r="E109" s="126"/>
      <c r="F109" s="79">
        <f>BPU!E109</f>
        <v>0</v>
      </c>
      <c r="G109" s="95">
        <f t="shared" si="3"/>
        <v>0</v>
      </c>
      <c r="H109" s="136"/>
    </row>
    <row r="110" spans="1:23" ht="18.600000000000001" customHeight="1" x14ac:dyDescent="0.3">
      <c r="A110" s="52" t="s">
        <v>32</v>
      </c>
      <c r="B110" s="46" t="s">
        <v>161</v>
      </c>
      <c r="C110" s="52"/>
      <c r="D110" s="87"/>
      <c r="E110" s="126"/>
      <c r="F110" s="79">
        <f>BPU!E110</f>
        <v>0</v>
      </c>
      <c r="G110" s="95">
        <f t="shared" si="3"/>
        <v>0</v>
      </c>
    </row>
    <row r="111" spans="1:23" ht="28.8" customHeight="1" x14ac:dyDescent="0.3">
      <c r="A111" s="150" t="s">
        <v>489</v>
      </c>
      <c r="B111" s="153" t="s">
        <v>1308</v>
      </c>
      <c r="C111" s="51" t="s">
        <v>181</v>
      </c>
      <c r="D111" s="87" t="s">
        <v>292</v>
      </c>
      <c r="E111" s="126">
        <v>39.85</v>
      </c>
      <c r="F111" s="79">
        <f>BPU!E111</f>
        <v>0</v>
      </c>
      <c r="G111" s="95">
        <f t="shared" si="3"/>
        <v>0</v>
      </c>
    </row>
    <row r="112" spans="1:23" ht="18.600000000000001" customHeight="1" x14ac:dyDescent="0.3">
      <c r="A112" s="150" t="s">
        <v>490</v>
      </c>
      <c r="B112" s="52" t="s">
        <v>196</v>
      </c>
      <c r="C112" s="51" t="s">
        <v>17</v>
      </c>
      <c r="D112" s="87" t="s">
        <v>292</v>
      </c>
      <c r="E112" s="126">
        <v>0</v>
      </c>
      <c r="F112" s="79">
        <f>BPU!E112</f>
        <v>0</v>
      </c>
      <c r="G112" s="95">
        <f t="shared" si="3"/>
        <v>0</v>
      </c>
    </row>
    <row r="113" spans="1:8" ht="18.600000000000001" customHeight="1" x14ac:dyDescent="0.3">
      <c r="A113" s="150" t="s">
        <v>491</v>
      </c>
      <c r="B113" s="52" t="s">
        <v>210</v>
      </c>
      <c r="C113" s="51" t="s">
        <v>197</v>
      </c>
      <c r="D113" s="87" t="s">
        <v>292</v>
      </c>
      <c r="E113" s="126">
        <v>0</v>
      </c>
      <c r="F113" s="79">
        <f>BPU!E113</f>
        <v>0</v>
      </c>
      <c r="G113" s="95">
        <f t="shared" si="3"/>
        <v>0</v>
      </c>
    </row>
    <row r="114" spans="1:8" ht="18.600000000000001" customHeight="1" x14ac:dyDescent="0.3">
      <c r="A114" s="150" t="s">
        <v>492</v>
      </c>
      <c r="B114" s="52" t="s">
        <v>209</v>
      </c>
      <c r="C114" s="51" t="s">
        <v>197</v>
      </c>
      <c r="D114" s="87" t="s">
        <v>292</v>
      </c>
      <c r="E114" s="126">
        <v>0</v>
      </c>
      <c r="F114" s="79">
        <f>BPU!E114</f>
        <v>0</v>
      </c>
      <c r="G114" s="95">
        <f t="shared" si="3"/>
        <v>0</v>
      </c>
    </row>
    <row r="115" spans="1:8" ht="18.600000000000001" customHeight="1" x14ac:dyDescent="0.3">
      <c r="A115" s="150" t="s">
        <v>493</v>
      </c>
      <c r="B115" s="52" t="s">
        <v>199</v>
      </c>
      <c r="C115" s="51" t="s">
        <v>181</v>
      </c>
      <c r="D115" s="87" t="s">
        <v>292</v>
      </c>
      <c r="E115" s="126">
        <v>0</v>
      </c>
      <c r="F115" s="79">
        <f>BPU!E115</f>
        <v>0</v>
      </c>
      <c r="G115" s="95">
        <f t="shared" si="3"/>
        <v>0</v>
      </c>
    </row>
    <row r="116" spans="1:8" ht="18.600000000000001" customHeight="1" x14ac:dyDescent="0.3">
      <c r="A116" s="150" t="s">
        <v>494</v>
      </c>
      <c r="B116" s="52" t="s">
        <v>293</v>
      </c>
      <c r="C116" s="51" t="s">
        <v>181</v>
      </c>
      <c r="D116" s="87" t="s">
        <v>292</v>
      </c>
      <c r="E116" s="126">
        <v>0</v>
      </c>
      <c r="F116" s="79">
        <f>BPU!E116</f>
        <v>0</v>
      </c>
      <c r="G116" s="95">
        <f t="shared" si="3"/>
        <v>0</v>
      </c>
    </row>
    <row r="117" spans="1:8" ht="28.2" customHeight="1" x14ac:dyDescent="0.3">
      <c r="A117" s="150" t="s">
        <v>495</v>
      </c>
      <c r="B117" s="61" t="s">
        <v>198</v>
      </c>
      <c r="C117" s="51" t="s">
        <v>79</v>
      </c>
      <c r="D117" s="87" t="s">
        <v>158</v>
      </c>
      <c r="E117" s="126">
        <v>1</v>
      </c>
      <c r="F117" s="79">
        <f>BPU!E117</f>
        <v>0</v>
      </c>
      <c r="G117" s="95">
        <f t="shared" si="3"/>
        <v>0</v>
      </c>
    </row>
    <row r="118" spans="1:8" ht="18.600000000000001" customHeight="1" x14ac:dyDescent="0.3">
      <c r="A118" s="52" t="s">
        <v>33</v>
      </c>
      <c r="B118" s="46" t="s">
        <v>208</v>
      </c>
      <c r="C118" s="51"/>
      <c r="D118" s="87"/>
      <c r="E118" s="126"/>
      <c r="F118" s="79">
        <f>BPU!E118</f>
        <v>0</v>
      </c>
      <c r="G118" s="95">
        <f t="shared" si="3"/>
        <v>0</v>
      </c>
    </row>
    <row r="119" spans="1:8" ht="18.600000000000001" customHeight="1" x14ac:dyDescent="0.3">
      <c r="A119" s="150" t="s">
        <v>496</v>
      </c>
      <c r="B119" s="52" t="s">
        <v>211</v>
      </c>
      <c r="C119" s="51" t="s">
        <v>230</v>
      </c>
      <c r="D119" s="87" t="s">
        <v>292</v>
      </c>
      <c r="E119" s="126">
        <v>0</v>
      </c>
      <c r="F119" s="79">
        <f>BPU!E119</f>
        <v>0</v>
      </c>
      <c r="G119" s="95">
        <f t="shared" si="3"/>
        <v>0</v>
      </c>
    </row>
    <row r="120" spans="1:8" ht="18.600000000000001" customHeight="1" x14ac:dyDescent="0.3">
      <c r="A120" s="150" t="s">
        <v>497</v>
      </c>
      <c r="B120" s="52" t="s">
        <v>212</v>
      </c>
      <c r="C120" s="51" t="s">
        <v>230</v>
      </c>
      <c r="D120" s="87" t="s">
        <v>292</v>
      </c>
      <c r="E120" s="126">
        <v>0</v>
      </c>
      <c r="F120" s="79">
        <f>BPU!E120</f>
        <v>0</v>
      </c>
      <c r="G120" s="95">
        <f t="shared" si="3"/>
        <v>0</v>
      </c>
    </row>
    <row r="121" spans="1:8" ht="18.600000000000001" customHeight="1" x14ac:dyDescent="0.3">
      <c r="A121" s="52" t="s">
        <v>498</v>
      </c>
      <c r="B121" s="46" t="s">
        <v>168</v>
      </c>
      <c r="C121" s="52"/>
      <c r="D121" s="87"/>
      <c r="E121" s="126"/>
      <c r="F121" s="79">
        <f>BPU!E121</f>
        <v>0</v>
      </c>
      <c r="G121" s="95">
        <f t="shared" si="3"/>
        <v>0</v>
      </c>
    </row>
    <row r="122" spans="1:8" s="65" customFormat="1" ht="18.600000000000001" customHeight="1" x14ac:dyDescent="0.3">
      <c r="A122" s="150" t="s">
        <v>499</v>
      </c>
      <c r="B122" s="50" t="s">
        <v>213</v>
      </c>
      <c r="C122" s="51" t="s">
        <v>230</v>
      </c>
      <c r="D122" s="88" t="s">
        <v>292</v>
      </c>
      <c r="E122" s="130">
        <v>0</v>
      </c>
      <c r="F122" s="79">
        <f>BPU!E122</f>
        <v>0</v>
      </c>
      <c r="G122" s="95">
        <f t="shared" si="3"/>
        <v>0</v>
      </c>
      <c r="H122" s="66"/>
    </row>
    <row r="123" spans="1:8" s="65" customFormat="1" ht="18.600000000000001" customHeight="1" x14ac:dyDescent="0.3">
      <c r="A123" s="150" t="s">
        <v>500</v>
      </c>
      <c r="B123" s="50" t="s">
        <v>187</v>
      </c>
      <c r="C123" s="51" t="s">
        <v>230</v>
      </c>
      <c r="D123" s="88" t="s">
        <v>292</v>
      </c>
      <c r="E123" s="130">
        <v>0</v>
      </c>
      <c r="F123" s="79">
        <f>BPU!E123</f>
        <v>0</v>
      </c>
      <c r="G123" s="95">
        <f t="shared" si="3"/>
        <v>0</v>
      </c>
      <c r="H123" s="66"/>
    </row>
    <row r="124" spans="1:8" s="65" customFormat="1" ht="18.600000000000001" customHeight="1" x14ac:dyDescent="0.3">
      <c r="A124" s="150" t="s">
        <v>501</v>
      </c>
      <c r="B124" s="50" t="s">
        <v>214</v>
      </c>
      <c r="C124" s="51" t="s">
        <v>230</v>
      </c>
      <c r="D124" s="88" t="s">
        <v>292</v>
      </c>
      <c r="E124" s="130">
        <v>0</v>
      </c>
      <c r="F124" s="79">
        <f>BPU!E124</f>
        <v>0</v>
      </c>
      <c r="G124" s="95">
        <f t="shared" si="3"/>
        <v>0</v>
      </c>
      <c r="H124" s="66"/>
    </row>
    <row r="125" spans="1:8" s="65" customFormat="1" ht="33" customHeight="1" x14ac:dyDescent="0.3">
      <c r="A125" s="150" t="s">
        <v>502</v>
      </c>
      <c r="B125" s="50" t="s">
        <v>215</v>
      </c>
      <c r="C125" s="51" t="s">
        <v>230</v>
      </c>
      <c r="D125" s="88" t="s">
        <v>292</v>
      </c>
      <c r="E125" s="130">
        <f>39.85*0.1</f>
        <v>3.9850000000000003</v>
      </c>
      <c r="F125" s="79">
        <f>BPU!E125</f>
        <v>0</v>
      </c>
      <c r="G125" s="95">
        <f t="shared" si="3"/>
        <v>0</v>
      </c>
      <c r="H125" s="66"/>
    </row>
    <row r="126" spans="1:8" ht="18.600000000000001" customHeight="1" x14ac:dyDescent="0.3">
      <c r="A126" s="52" t="s">
        <v>503</v>
      </c>
      <c r="B126" s="46" t="s">
        <v>169</v>
      </c>
      <c r="C126" s="52"/>
      <c r="D126" s="87"/>
      <c r="E126" s="126"/>
      <c r="F126" s="79">
        <f>BPU!E126</f>
        <v>0</v>
      </c>
      <c r="G126" s="95">
        <f t="shared" si="3"/>
        <v>0</v>
      </c>
    </row>
    <row r="127" spans="1:8" ht="18.600000000000001" customHeight="1" x14ac:dyDescent="0.3">
      <c r="A127" s="150" t="s">
        <v>504</v>
      </c>
      <c r="B127" s="50" t="s">
        <v>216</v>
      </c>
      <c r="C127" s="51" t="s">
        <v>230</v>
      </c>
      <c r="D127" s="87" t="s">
        <v>292</v>
      </c>
      <c r="E127" s="126">
        <v>0</v>
      </c>
      <c r="F127" s="79">
        <f>BPU!E127</f>
        <v>0</v>
      </c>
      <c r="G127" s="95">
        <f t="shared" si="3"/>
        <v>0</v>
      </c>
    </row>
    <row r="128" spans="1:8" ht="18.600000000000001" customHeight="1" x14ac:dyDescent="0.3">
      <c r="A128" s="150" t="s">
        <v>505</v>
      </c>
      <c r="B128" s="50" t="s">
        <v>217</v>
      </c>
      <c r="C128" s="51" t="s">
        <v>230</v>
      </c>
      <c r="D128" s="87" t="s">
        <v>292</v>
      </c>
      <c r="E128" s="126">
        <v>0</v>
      </c>
      <c r="F128" s="79">
        <f>BPU!E128</f>
        <v>0</v>
      </c>
      <c r="G128" s="95">
        <f t="shared" si="3"/>
        <v>0</v>
      </c>
    </row>
    <row r="129" spans="1:7" ht="18.600000000000001" customHeight="1" x14ac:dyDescent="0.3">
      <c r="A129" s="150" t="s">
        <v>506</v>
      </c>
      <c r="B129" s="50" t="s">
        <v>218</v>
      </c>
      <c r="C129" s="51" t="s">
        <v>230</v>
      </c>
      <c r="D129" s="87" t="s">
        <v>292</v>
      </c>
      <c r="E129" s="126">
        <v>0</v>
      </c>
      <c r="F129" s="79">
        <f>BPU!E129</f>
        <v>0</v>
      </c>
      <c r="G129" s="95">
        <f t="shared" si="3"/>
        <v>0</v>
      </c>
    </row>
    <row r="130" spans="1:7" ht="18.600000000000001" customHeight="1" x14ac:dyDescent="0.3">
      <c r="A130" s="150" t="s">
        <v>507</v>
      </c>
      <c r="B130" s="50" t="s">
        <v>219</v>
      </c>
      <c r="C130" s="51" t="s">
        <v>230</v>
      </c>
      <c r="D130" s="87" t="s">
        <v>292</v>
      </c>
      <c r="E130" s="126">
        <v>0</v>
      </c>
      <c r="F130" s="79">
        <f>BPU!E130</f>
        <v>0</v>
      </c>
      <c r="G130" s="95">
        <f t="shared" si="3"/>
        <v>0</v>
      </c>
    </row>
    <row r="131" spans="1:7" ht="18.600000000000001" customHeight="1" x14ac:dyDescent="0.3">
      <c r="A131" s="150" t="s">
        <v>508</v>
      </c>
      <c r="B131" s="50" t="s">
        <v>220</v>
      </c>
      <c r="C131" s="51" t="s">
        <v>230</v>
      </c>
      <c r="D131" s="87" t="s">
        <v>292</v>
      </c>
      <c r="E131" s="126">
        <v>0</v>
      </c>
      <c r="F131" s="79">
        <f>BPU!E131</f>
        <v>0</v>
      </c>
      <c r="G131" s="95">
        <f t="shared" si="3"/>
        <v>0</v>
      </c>
    </row>
    <row r="132" spans="1:7" ht="18.600000000000001" customHeight="1" x14ac:dyDescent="0.3">
      <c r="A132" s="150" t="s">
        <v>509</v>
      </c>
      <c r="B132" s="50" t="s">
        <v>221</v>
      </c>
      <c r="C132" s="51" t="s">
        <v>230</v>
      </c>
      <c r="D132" s="87" t="s">
        <v>292</v>
      </c>
      <c r="E132" s="126">
        <v>0</v>
      </c>
      <c r="F132" s="79">
        <f>BPU!E132</f>
        <v>0</v>
      </c>
      <c r="G132" s="95">
        <f t="shared" si="3"/>
        <v>0</v>
      </c>
    </row>
    <row r="133" spans="1:7" ht="18.600000000000001" customHeight="1" x14ac:dyDescent="0.3">
      <c r="A133" s="150" t="s">
        <v>510</v>
      </c>
      <c r="B133" s="50" t="s">
        <v>222</v>
      </c>
      <c r="C133" s="51" t="s">
        <v>230</v>
      </c>
      <c r="D133" s="87" t="s">
        <v>292</v>
      </c>
      <c r="E133" s="126">
        <v>0</v>
      </c>
      <c r="F133" s="79">
        <f>BPU!E133</f>
        <v>0</v>
      </c>
      <c r="G133" s="95">
        <f t="shared" si="3"/>
        <v>0</v>
      </c>
    </row>
    <row r="134" spans="1:7" ht="18.600000000000001" customHeight="1" x14ac:dyDescent="0.3">
      <c r="A134" s="52" t="s">
        <v>511</v>
      </c>
      <c r="B134" s="46" t="s">
        <v>170</v>
      </c>
      <c r="C134" s="52"/>
      <c r="D134" s="87"/>
      <c r="E134" s="126"/>
      <c r="F134" s="79">
        <f>BPU!E134</f>
        <v>0</v>
      </c>
      <c r="G134" s="95">
        <f t="shared" si="3"/>
        <v>0</v>
      </c>
    </row>
    <row r="135" spans="1:7" ht="18.600000000000001" customHeight="1" x14ac:dyDescent="0.3">
      <c r="A135" s="150" t="s">
        <v>512</v>
      </c>
      <c r="B135" s="50" t="s">
        <v>223</v>
      </c>
      <c r="C135" s="51" t="s">
        <v>230</v>
      </c>
      <c r="D135" s="87" t="s">
        <v>292</v>
      </c>
      <c r="E135" s="126">
        <v>0</v>
      </c>
      <c r="F135" s="79">
        <f>BPU!E135</f>
        <v>0</v>
      </c>
      <c r="G135" s="95">
        <f t="shared" si="3"/>
        <v>0</v>
      </c>
    </row>
    <row r="136" spans="1:7" ht="18.600000000000001" customHeight="1" x14ac:dyDescent="0.3">
      <c r="A136" s="150" t="s">
        <v>513</v>
      </c>
      <c r="B136" s="50" t="s">
        <v>224</v>
      </c>
      <c r="C136" s="51" t="s">
        <v>230</v>
      </c>
      <c r="D136" s="87" t="s">
        <v>292</v>
      </c>
      <c r="E136" s="126">
        <v>0</v>
      </c>
      <c r="F136" s="79">
        <f>BPU!E136</f>
        <v>0</v>
      </c>
      <c r="G136" s="95">
        <f t="shared" si="3"/>
        <v>0</v>
      </c>
    </row>
    <row r="137" spans="1:7" ht="18.600000000000001" customHeight="1" x14ac:dyDescent="0.3">
      <c r="A137" s="150" t="s">
        <v>514</v>
      </c>
      <c r="B137" s="50" t="s">
        <v>178</v>
      </c>
      <c r="C137" s="51" t="s">
        <v>230</v>
      </c>
      <c r="D137" s="87" t="s">
        <v>292</v>
      </c>
      <c r="E137" s="126">
        <v>0</v>
      </c>
      <c r="F137" s="79">
        <f>BPU!E137</f>
        <v>0</v>
      </c>
      <c r="G137" s="95">
        <f t="shared" si="3"/>
        <v>0</v>
      </c>
    </row>
    <row r="138" spans="1:7" ht="18.600000000000001" customHeight="1" x14ac:dyDescent="0.3">
      <c r="A138" s="52" t="s">
        <v>515</v>
      </c>
      <c r="B138" s="46" t="s">
        <v>171</v>
      </c>
      <c r="C138" s="52"/>
      <c r="D138" s="87"/>
      <c r="E138" s="126"/>
      <c r="F138" s="79">
        <f>BPU!E138</f>
        <v>0</v>
      </c>
      <c r="G138" s="95">
        <f t="shared" si="3"/>
        <v>0</v>
      </c>
    </row>
    <row r="139" spans="1:7" ht="24.6" customHeight="1" x14ac:dyDescent="0.3">
      <c r="A139" s="150" t="s">
        <v>516</v>
      </c>
      <c r="B139" s="50" t="s">
        <v>229</v>
      </c>
      <c r="C139" s="51" t="s">
        <v>181</v>
      </c>
      <c r="D139" s="87" t="s">
        <v>292</v>
      </c>
      <c r="E139" s="126">
        <v>0</v>
      </c>
      <c r="F139" s="79">
        <f>BPU!E139</f>
        <v>0</v>
      </c>
      <c r="G139" s="95">
        <f t="shared" si="3"/>
        <v>0</v>
      </c>
    </row>
    <row r="140" spans="1:7" ht="18.600000000000001" customHeight="1" x14ac:dyDescent="0.3">
      <c r="A140" s="150" t="s">
        <v>517</v>
      </c>
      <c r="B140" s="50" t="s">
        <v>225</v>
      </c>
      <c r="C140" s="51" t="s">
        <v>181</v>
      </c>
      <c r="D140" s="87" t="s">
        <v>292</v>
      </c>
      <c r="E140" s="126">
        <v>0</v>
      </c>
      <c r="F140" s="79">
        <f>BPU!E140</f>
        <v>0</v>
      </c>
      <c r="G140" s="95">
        <f t="shared" si="3"/>
        <v>0</v>
      </c>
    </row>
    <row r="141" spans="1:7" ht="18.600000000000001" customHeight="1" x14ac:dyDescent="0.3">
      <c r="A141" s="150" t="s">
        <v>518</v>
      </c>
      <c r="B141" s="50" t="s">
        <v>226</v>
      </c>
      <c r="C141" s="51" t="s">
        <v>181</v>
      </c>
      <c r="D141" s="87" t="s">
        <v>292</v>
      </c>
      <c r="E141" s="126">
        <v>0</v>
      </c>
      <c r="F141" s="79">
        <f>BPU!E141</f>
        <v>0</v>
      </c>
      <c r="G141" s="95">
        <f t="shared" si="3"/>
        <v>0</v>
      </c>
    </row>
    <row r="142" spans="1:7" ht="18.600000000000001" customHeight="1" x14ac:dyDescent="0.3">
      <c r="A142" s="150" t="s">
        <v>519</v>
      </c>
      <c r="B142" s="50" t="s">
        <v>227</v>
      </c>
      <c r="C142" s="51" t="s">
        <v>181</v>
      </c>
      <c r="D142" s="87" t="s">
        <v>292</v>
      </c>
      <c r="E142" s="126">
        <v>0</v>
      </c>
      <c r="F142" s="79">
        <f>BPU!E142</f>
        <v>0</v>
      </c>
      <c r="G142" s="95">
        <f t="shared" si="3"/>
        <v>0</v>
      </c>
    </row>
    <row r="143" spans="1:7" ht="18.600000000000001" customHeight="1" x14ac:dyDescent="0.3">
      <c r="A143" s="150" t="s">
        <v>520</v>
      </c>
      <c r="B143" s="50" t="s">
        <v>228</v>
      </c>
      <c r="C143" s="51" t="s">
        <v>181</v>
      </c>
      <c r="D143" s="87" t="s">
        <v>292</v>
      </c>
      <c r="E143" s="126">
        <v>0</v>
      </c>
      <c r="F143" s="79">
        <f>BPU!E143</f>
        <v>0</v>
      </c>
      <c r="G143" s="95">
        <f t="shared" si="3"/>
        <v>0</v>
      </c>
    </row>
    <row r="144" spans="1:7" ht="18.600000000000001" customHeight="1" x14ac:dyDescent="0.3">
      <c r="A144" s="52" t="s">
        <v>521</v>
      </c>
      <c r="B144" s="46" t="s">
        <v>172</v>
      </c>
      <c r="C144" s="52"/>
      <c r="D144" s="87"/>
      <c r="E144" s="126"/>
      <c r="F144" s="79">
        <f>BPU!E144</f>
        <v>0</v>
      </c>
      <c r="G144" s="95">
        <f t="shared" si="3"/>
        <v>0</v>
      </c>
    </row>
    <row r="145" spans="1:23" ht="18.600000000000001" customHeight="1" x14ac:dyDescent="0.3">
      <c r="A145" s="150" t="s">
        <v>522</v>
      </c>
      <c r="B145" s="50" t="s">
        <v>231</v>
      </c>
      <c r="C145" s="51" t="s">
        <v>181</v>
      </c>
      <c r="D145" s="87" t="s">
        <v>292</v>
      </c>
      <c r="E145" s="126">
        <v>0</v>
      </c>
      <c r="F145" s="79">
        <f>BPU!E145</f>
        <v>0</v>
      </c>
      <c r="G145" s="95">
        <f t="shared" si="3"/>
        <v>0</v>
      </c>
    </row>
    <row r="146" spans="1:23" ht="18.600000000000001" customHeight="1" x14ac:dyDescent="0.3">
      <c r="A146" s="150" t="s">
        <v>523</v>
      </c>
      <c r="B146" s="50" t="s">
        <v>232</v>
      </c>
      <c r="C146" s="51" t="s">
        <v>181</v>
      </c>
      <c r="D146" s="87" t="s">
        <v>292</v>
      </c>
      <c r="E146" s="126">
        <v>0</v>
      </c>
      <c r="F146" s="79">
        <f>BPU!E146</f>
        <v>0</v>
      </c>
      <c r="G146" s="95">
        <f t="shared" si="3"/>
        <v>0</v>
      </c>
    </row>
    <row r="147" spans="1:23" ht="28.2" customHeight="1" x14ac:dyDescent="0.3">
      <c r="A147" s="150" t="s">
        <v>524</v>
      </c>
      <c r="B147" s="50" t="s">
        <v>369</v>
      </c>
      <c r="C147" s="51" t="s">
        <v>181</v>
      </c>
      <c r="D147" s="87" t="s">
        <v>292</v>
      </c>
      <c r="E147" s="126">
        <f>20.4+8.4</f>
        <v>28.799999999999997</v>
      </c>
      <c r="F147" s="79">
        <f>BPU!E147</f>
        <v>0</v>
      </c>
      <c r="G147" s="95">
        <f t="shared" si="3"/>
        <v>0</v>
      </c>
    </row>
    <row r="148" spans="1:23" ht="18.600000000000001" customHeight="1" thickBot="1" x14ac:dyDescent="0.35">
      <c r="A148" s="150" t="s">
        <v>525</v>
      </c>
      <c r="B148" s="50" t="s">
        <v>234</v>
      </c>
      <c r="C148" s="51" t="s">
        <v>181</v>
      </c>
      <c r="D148" s="87" t="s">
        <v>292</v>
      </c>
      <c r="E148" s="126">
        <v>0</v>
      </c>
      <c r="F148" s="79">
        <f>BPU!E148</f>
        <v>0</v>
      </c>
      <c r="G148" s="95">
        <f t="shared" si="3"/>
        <v>0</v>
      </c>
    </row>
    <row r="149" spans="1:23" s="98" customFormat="1" ht="15" thickBot="1" x14ac:dyDescent="0.35">
      <c r="A149" s="52"/>
      <c r="B149" s="96" t="s">
        <v>388</v>
      </c>
      <c r="C149" s="97"/>
      <c r="D149" s="97"/>
      <c r="E149" s="128"/>
      <c r="F149" s="145">
        <f>BPU!E149</f>
        <v>0</v>
      </c>
      <c r="G149" s="146">
        <f>SUM(G111:G148)</f>
        <v>0</v>
      </c>
      <c r="H149" s="138"/>
      <c r="J149" s="99"/>
      <c r="K149" s="75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100"/>
      <c r="W149" s="100"/>
    </row>
    <row r="150" spans="1:23" s="58" customFormat="1" ht="16.8" customHeight="1" x14ac:dyDescent="0.3">
      <c r="A150" s="70" t="s">
        <v>20</v>
      </c>
      <c r="B150" s="70" t="s">
        <v>127</v>
      </c>
      <c r="C150" s="52"/>
      <c r="D150" s="87"/>
      <c r="E150" s="126"/>
      <c r="F150" s="79">
        <f>BPU!E150</f>
        <v>0</v>
      </c>
      <c r="G150" s="95">
        <f t="shared" si="3"/>
        <v>0</v>
      </c>
      <c r="H150" s="136"/>
    </row>
    <row r="151" spans="1:23" ht="18.600000000000001" customHeight="1" x14ac:dyDescent="0.3">
      <c r="A151" s="52" t="s">
        <v>34</v>
      </c>
      <c r="B151" s="46" t="s">
        <v>161</v>
      </c>
      <c r="C151" s="52"/>
      <c r="D151" s="87"/>
      <c r="E151" s="126"/>
      <c r="F151" s="79">
        <f>BPU!E151</f>
        <v>0</v>
      </c>
      <c r="G151" s="95">
        <f t="shared" si="3"/>
        <v>0</v>
      </c>
    </row>
    <row r="152" spans="1:23" ht="28.8" customHeight="1" x14ac:dyDescent="0.3">
      <c r="A152" s="150" t="s">
        <v>526</v>
      </c>
      <c r="B152" s="153" t="s">
        <v>1308</v>
      </c>
      <c r="C152" s="51" t="s">
        <v>181</v>
      </c>
      <c r="D152" s="87" t="s">
        <v>292</v>
      </c>
      <c r="E152" s="126">
        <f>223.8</f>
        <v>223.8</v>
      </c>
      <c r="F152" s="79">
        <f>BPU!E152</f>
        <v>0</v>
      </c>
      <c r="G152" s="95">
        <f t="shared" si="3"/>
        <v>0</v>
      </c>
    </row>
    <row r="153" spans="1:23" ht="18.600000000000001" customHeight="1" x14ac:dyDescent="0.3">
      <c r="A153" s="150" t="s">
        <v>527</v>
      </c>
      <c r="B153" s="52" t="s">
        <v>196</v>
      </c>
      <c r="C153" s="51" t="s">
        <v>17</v>
      </c>
      <c r="D153" s="87" t="s">
        <v>292</v>
      </c>
      <c r="E153" s="126">
        <v>250</v>
      </c>
      <c r="F153" s="79">
        <f>BPU!E153</f>
        <v>0</v>
      </c>
      <c r="G153" s="95">
        <f t="shared" si="3"/>
        <v>0</v>
      </c>
    </row>
    <row r="154" spans="1:23" ht="18.600000000000001" customHeight="1" x14ac:dyDescent="0.3">
      <c r="A154" s="150" t="s">
        <v>528</v>
      </c>
      <c r="B154" s="52" t="s">
        <v>210</v>
      </c>
      <c r="C154" s="51" t="s">
        <v>197</v>
      </c>
      <c r="D154" s="87" t="s">
        <v>292</v>
      </c>
      <c r="E154" s="126">
        <v>30</v>
      </c>
      <c r="F154" s="79">
        <f>BPU!E154</f>
        <v>0</v>
      </c>
      <c r="G154" s="95">
        <f t="shared" si="3"/>
        <v>0</v>
      </c>
    </row>
    <row r="155" spans="1:23" ht="18.600000000000001" customHeight="1" x14ac:dyDescent="0.3">
      <c r="A155" s="150" t="s">
        <v>529</v>
      </c>
      <c r="B155" s="52" t="s">
        <v>209</v>
      </c>
      <c r="C155" s="51" t="s">
        <v>197</v>
      </c>
      <c r="D155" s="87" t="s">
        <v>292</v>
      </c>
      <c r="E155" s="126">
        <v>0</v>
      </c>
      <c r="F155" s="79">
        <f>BPU!E155</f>
        <v>0</v>
      </c>
      <c r="G155" s="95">
        <f t="shared" si="3"/>
        <v>0</v>
      </c>
    </row>
    <row r="156" spans="1:23" ht="18.600000000000001" customHeight="1" x14ac:dyDescent="0.3">
      <c r="A156" s="150" t="s">
        <v>530</v>
      </c>
      <c r="B156" s="52" t="s">
        <v>199</v>
      </c>
      <c r="C156" s="51" t="s">
        <v>181</v>
      </c>
      <c r="D156" s="87" t="s">
        <v>292</v>
      </c>
      <c r="E156" s="126">
        <v>0</v>
      </c>
      <c r="F156" s="79">
        <f>BPU!E156</f>
        <v>0</v>
      </c>
      <c r="G156" s="95">
        <f t="shared" si="3"/>
        <v>0</v>
      </c>
    </row>
    <row r="157" spans="1:23" ht="18.600000000000001" customHeight="1" x14ac:dyDescent="0.3">
      <c r="A157" s="150" t="s">
        <v>531</v>
      </c>
      <c r="B157" s="52" t="s">
        <v>293</v>
      </c>
      <c r="C157" s="51" t="s">
        <v>181</v>
      </c>
      <c r="D157" s="87" t="s">
        <v>292</v>
      </c>
      <c r="E157" s="126">
        <v>0</v>
      </c>
      <c r="F157" s="79">
        <f>BPU!E157</f>
        <v>0</v>
      </c>
      <c r="G157" s="95">
        <f t="shared" si="3"/>
        <v>0</v>
      </c>
    </row>
    <row r="158" spans="1:23" ht="28.2" customHeight="1" x14ac:dyDescent="0.3">
      <c r="A158" s="150" t="s">
        <v>532</v>
      </c>
      <c r="B158" s="61" t="s">
        <v>198</v>
      </c>
      <c r="C158" s="51" t="s">
        <v>79</v>
      </c>
      <c r="D158" s="87" t="s">
        <v>158</v>
      </c>
      <c r="E158" s="126">
        <v>1</v>
      </c>
      <c r="F158" s="79">
        <f>BPU!E158</f>
        <v>0</v>
      </c>
      <c r="G158" s="95">
        <f t="shared" ref="G158:G218" si="4">E158*F158</f>
        <v>0</v>
      </c>
    </row>
    <row r="159" spans="1:23" ht="18.600000000000001" customHeight="1" x14ac:dyDescent="0.3">
      <c r="A159" s="52" t="s">
        <v>35</v>
      </c>
      <c r="B159" s="46" t="s">
        <v>208</v>
      </c>
      <c r="C159" s="51"/>
      <c r="D159" s="87"/>
      <c r="E159" s="126"/>
      <c r="F159" s="79">
        <f>BPU!E159</f>
        <v>0</v>
      </c>
      <c r="G159" s="95">
        <f t="shared" si="4"/>
        <v>0</v>
      </c>
    </row>
    <row r="160" spans="1:23" ht="18.600000000000001" customHeight="1" x14ac:dyDescent="0.3">
      <c r="A160" s="150" t="s">
        <v>533</v>
      </c>
      <c r="B160" s="52" t="s">
        <v>211</v>
      </c>
      <c r="C160" s="51" t="s">
        <v>230</v>
      </c>
      <c r="D160" s="87" t="s">
        <v>292</v>
      </c>
      <c r="E160" s="126">
        <v>0</v>
      </c>
      <c r="F160" s="79">
        <f>BPU!E160</f>
        <v>0</v>
      </c>
      <c r="G160" s="95">
        <f t="shared" si="4"/>
        <v>0</v>
      </c>
    </row>
    <row r="161" spans="1:8" ht="18.600000000000001" customHeight="1" x14ac:dyDescent="0.3">
      <c r="A161" s="150" t="s">
        <v>534</v>
      </c>
      <c r="B161" s="52" t="s">
        <v>212</v>
      </c>
      <c r="C161" s="51" t="s">
        <v>230</v>
      </c>
      <c r="D161" s="87" t="s">
        <v>292</v>
      </c>
      <c r="E161" s="126">
        <v>0</v>
      </c>
      <c r="F161" s="79">
        <f>BPU!E161</f>
        <v>0</v>
      </c>
      <c r="G161" s="95">
        <f t="shared" si="4"/>
        <v>0</v>
      </c>
    </row>
    <row r="162" spans="1:8" ht="18.600000000000001" customHeight="1" x14ac:dyDescent="0.3">
      <c r="A162" s="52" t="s">
        <v>535</v>
      </c>
      <c r="B162" s="46" t="s">
        <v>168</v>
      </c>
      <c r="C162" s="52"/>
      <c r="D162" s="87"/>
      <c r="E162" s="126"/>
      <c r="F162" s="79">
        <f>BPU!E162</f>
        <v>0</v>
      </c>
      <c r="G162" s="95">
        <f t="shared" si="4"/>
        <v>0</v>
      </c>
    </row>
    <row r="163" spans="1:8" s="65" customFormat="1" ht="18.600000000000001" customHeight="1" x14ac:dyDescent="0.3">
      <c r="A163" s="150" t="s">
        <v>536</v>
      </c>
      <c r="B163" s="50" t="s">
        <v>213</v>
      </c>
      <c r="C163" s="51" t="s">
        <v>230</v>
      </c>
      <c r="D163" s="88" t="s">
        <v>292</v>
      </c>
      <c r="E163" s="130">
        <v>0</v>
      </c>
      <c r="F163" s="79">
        <f>BPU!E163</f>
        <v>0</v>
      </c>
      <c r="G163" s="95">
        <f t="shared" si="4"/>
        <v>0</v>
      </c>
      <c r="H163" s="66"/>
    </row>
    <row r="164" spans="1:8" s="65" customFormat="1" ht="18.600000000000001" customHeight="1" x14ac:dyDescent="0.3">
      <c r="A164" s="150" t="s">
        <v>537</v>
      </c>
      <c r="B164" s="50" t="s">
        <v>187</v>
      </c>
      <c r="C164" s="51" t="s">
        <v>230</v>
      </c>
      <c r="D164" s="88" t="s">
        <v>292</v>
      </c>
      <c r="E164" s="130">
        <v>0</v>
      </c>
      <c r="F164" s="79">
        <f>BPU!E164</f>
        <v>0</v>
      </c>
      <c r="G164" s="95">
        <f t="shared" si="4"/>
        <v>0</v>
      </c>
      <c r="H164" s="66"/>
    </row>
    <row r="165" spans="1:8" s="65" customFormat="1" ht="18.600000000000001" customHeight="1" x14ac:dyDescent="0.3">
      <c r="A165" s="150" t="s">
        <v>538</v>
      </c>
      <c r="B165" s="50" t="s">
        <v>214</v>
      </c>
      <c r="C165" s="51" t="s">
        <v>230</v>
      </c>
      <c r="D165" s="88" t="s">
        <v>292</v>
      </c>
      <c r="E165" s="130">
        <v>0</v>
      </c>
      <c r="F165" s="79">
        <f>BPU!E165</f>
        <v>0</v>
      </c>
      <c r="G165" s="95">
        <f t="shared" si="4"/>
        <v>0</v>
      </c>
      <c r="H165" s="66"/>
    </row>
    <row r="166" spans="1:8" s="65" customFormat="1" ht="33" customHeight="1" x14ac:dyDescent="0.3">
      <c r="A166" s="150" t="s">
        <v>539</v>
      </c>
      <c r="B166" s="50" t="s">
        <v>215</v>
      </c>
      <c r="C166" s="51" t="s">
        <v>230</v>
      </c>
      <c r="D166" s="88" t="s">
        <v>292</v>
      </c>
      <c r="E166" s="130">
        <f>223.8*0.1</f>
        <v>22.380000000000003</v>
      </c>
      <c r="F166" s="79">
        <f>BPU!E166</f>
        <v>0</v>
      </c>
      <c r="G166" s="95">
        <f t="shared" si="4"/>
        <v>0</v>
      </c>
      <c r="H166" s="66"/>
    </row>
    <row r="167" spans="1:8" ht="18.600000000000001" customHeight="1" x14ac:dyDescent="0.3">
      <c r="A167" s="52" t="s">
        <v>540</v>
      </c>
      <c r="B167" s="46" t="s">
        <v>169</v>
      </c>
      <c r="C167" s="52"/>
      <c r="D167" s="87"/>
      <c r="E167" s="126"/>
      <c r="F167" s="79">
        <f>BPU!E167</f>
        <v>0</v>
      </c>
      <c r="G167" s="95">
        <f t="shared" si="4"/>
        <v>0</v>
      </c>
    </row>
    <row r="168" spans="1:8" ht="18.600000000000001" customHeight="1" x14ac:dyDescent="0.3">
      <c r="A168" s="150" t="s">
        <v>541</v>
      </c>
      <c r="B168" s="50" t="s">
        <v>216</v>
      </c>
      <c r="C168" s="51" t="s">
        <v>230</v>
      </c>
      <c r="D168" s="87" t="s">
        <v>292</v>
      </c>
      <c r="E168" s="126">
        <v>0</v>
      </c>
      <c r="F168" s="79">
        <f>BPU!E168</f>
        <v>0</v>
      </c>
      <c r="G168" s="95">
        <f t="shared" si="4"/>
        <v>0</v>
      </c>
    </row>
    <row r="169" spans="1:8" ht="18.600000000000001" customHeight="1" x14ac:dyDescent="0.3">
      <c r="A169" s="150" t="s">
        <v>542</v>
      </c>
      <c r="B169" s="50" t="s">
        <v>217</v>
      </c>
      <c r="C169" s="51" t="s">
        <v>230</v>
      </c>
      <c r="D169" s="87" t="s">
        <v>292</v>
      </c>
      <c r="E169" s="126">
        <v>0</v>
      </c>
      <c r="F169" s="79">
        <f>BPU!E169</f>
        <v>0</v>
      </c>
      <c r="G169" s="95">
        <f t="shared" si="4"/>
        <v>0</v>
      </c>
    </row>
    <row r="170" spans="1:8" ht="18.600000000000001" customHeight="1" x14ac:dyDescent="0.3">
      <c r="A170" s="150" t="s">
        <v>543</v>
      </c>
      <c r="B170" s="50" t="s">
        <v>218</v>
      </c>
      <c r="C170" s="51" t="s">
        <v>230</v>
      </c>
      <c r="D170" s="87" t="s">
        <v>292</v>
      </c>
      <c r="E170" s="126">
        <v>0</v>
      </c>
      <c r="F170" s="79">
        <f>BPU!E170</f>
        <v>0</v>
      </c>
      <c r="G170" s="95">
        <f t="shared" si="4"/>
        <v>0</v>
      </c>
    </row>
    <row r="171" spans="1:8" ht="18.600000000000001" customHeight="1" x14ac:dyDescent="0.3">
      <c r="A171" s="150" t="s">
        <v>544</v>
      </c>
      <c r="B171" s="50" t="s">
        <v>219</v>
      </c>
      <c r="C171" s="51" t="s">
        <v>230</v>
      </c>
      <c r="D171" s="87" t="s">
        <v>292</v>
      </c>
      <c r="E171" s="126">
        <v>0</v>
      </c>
      <c r="F171" s="79">
        <f>BPU!E171</f>
        <v>0</v>
      </c>
      <c r="G171" s="95">
        <f t="shared" si="4"/>
        <v>0</v>
      </c>
    </row>
    <row r="172" spans="1:8" ht="18.600000000000001" customHeight="1" x14ac:dyDescent="0.3">
      <c r="A172" s="150" t="s">
        <v>545</v>
      </c>
      <c r="B172" s="50" t="s">
        <v>220</v>
      </c>
      <c r="C172" s="51" t="s">
        <v>230</v>
      </c>
      <c r="D172" s="87" t="s">
        <v>292</v>
      </c>
      <c r="E172" s="126">
        <v>0</v>
      </c>
      <c r="F172" s="79">
        <f>BPU!E172</f>
        <v>0</v>
      </c>
      <c r="G172" s="95">
        <f t="shared" si="4"/>
        <v>0</v>
      </c>
    </row>
    <row r="173" spans="1:8" ht="18.600000000000001" customHeight="1" x14ac:dyDescent="0.3">
      <c r="A173" s="150" t="s">
        <v>546</v>
      </c>
      <c r="B173" s="50" t="s">
        <v>221</v>
      </c>
      <c r="C173" s="51" t="s">
        <v>230</v>
      </c>
      <c r="D173" s="87" t="s">
        <v>292</v>
      </c>
      <c r="E173" s="126">
        <v>0</v>
      </c>
      <c r="F173" s="79">
        <f>BPU!E173</f>
        <v>0</v>
      </c>
      <c r="G173" s="95">
        <f t="shared" si="4"/>
        <v>0</v>
      </c>
    </row>
    <row r="174" spans="1:8" ht="18.600000000000001" customHeight="1" x14ac:dyDescent="0.3">
      <c r="A174" s="150" t="s">
        <v>547</v>
      </c>
      <c r="B174" s="50" t="s">
        <v>222</v>
      </c>
      <c r="C174" s="51" t="s">
        <v>230</v>
      </c>
      <c r="D174" s="87" t="s">
        <v>292</v>
      </c>
      <c r="E174" s="126">
        <v>0</v>
      </c>
      <c r="F174" s="79">
        <f>BPU!E174</f>
        <v>0</v>
      </c>
      <c r="G174" s="95">
        <f t="shared" si="4"/>
        <v>0</v>
      </c>
    </row>
    <row r="175" spans="1:8" ht="18.600000000000001" customHeight="1" x14ac:dyDescent="0.3">
      <c r="A175" s="52" t="s">
        <v>548</v>
      </c>
      <c r="B175" s="46" t="s">
        <v>170</v>
      </c>
      <c r="C175" s="52"/>
      <c r="D175" s="87"/>
      <c r="E175" s="126"/>
      <c r="F175" s="79">
        <f>BPU!E175</f>
        <v>0</v>
      </c>
      <c r="G175" s="95">
        <f t="shared" si="4"/>
        <v>0</v>
      </c>
    </row>
    <row r="176" spans="1:8" ht="18.600000000000001" customHeight="1" x14ac:dyDescent="0.3">
      <c r="A176" s="150" t="s">
        <v>549</v>
      </c>
      <c r="B176" s="50" t="s">
        <v>223</v>
      </c>
      <c r="C176" s="51" t="s">
        <v>230</v>
      </c>
      <c r="D176" s="87" t="s">
        <v>292</v>
      </c>
      <c r="E176" s="126">
        <v>0</v>
      </c>
      <c r="F176" s="79">
        <f>BPU!E176</f>
        <v>0</v>
      </c>
      <c r="G176" s="95">
        <f t="shared" si="4"/>
        <v>0</v>
      </c>
    </row>
    <row r="177" spans="1:7" ht="18.600000000000001" customHeight="1" x14ac:dyDescent="0.3">
      <c r="A177" s="150" t="s">
        <v>550</v>
      </c>
      <c r="B177" s="50" t="s">
        <v>224</v>
      </c>
      <c r="C177" s="51" t="s">
        <v>230</v>
      </c>
      <c r="D177" s="87" t="s">
        <v>292</v>
      </c>
      <c r="E177" s="126">
        <v>0</v>
      </c>
      <c r="F177" s="79">
        <f>BPU!E177</f>
        <v>0</v>
      </c>
      <c r="G177" s="95">
        <f t="shared" si="4"/>
        <v>0</v>
      </c>
    </row>
    <row r="178" spans="1:7" ht="18.600000000000001" customHeight="1" x14ac:dyDescent="0.3">
      <c r="A178" s="150" t="s">
        <v>551</v>
      </c>
      <c r="B178" s="50" t="s">
        <v>178</v>
      </c>
      <c r="C178" s="51" t="s">
        <v>230</v>
      </c>
      <c r="D178" s="87" t="s">
        <v>292</v>
      </c>
      <c r="E178" s="126">
        <v>0</v>
      </c>
      <c r="F178" s="79">
        <f>BPU!E178</f>
        <v>0</v>
      </c>
      <c r="G178" s="95">
        <f t="shared" si="4"/>
        <v>0</v>
      </c>
    </row>
    <row r="179" spans="1:7" ht="18.600000000000001" customHeight="1" x14ac:dyDescent="0.3">
      <c r="A179" s="52" t="s">
        <v>552</v>
      </c>
      <c r="B179" s="46" t="s">
        <v>171</v>
      </c>
      <c r="C179" s="52"/>
      <c r="D179" s="87"/>
      <c r="E179" s="126"/>
      <c r="F179" s="79">
        <f>BPU!E179</f>
        <v>0</v>
      </c>
      <c r="G179" s="95">
        <f t="shared" si="4"/>
        <v>0</v>
      </c>
    </row>
    <row r="180" spans="1:7" ht="24.6" customHeight="1" x14ac:dyDescent="0.3">
      <c r="A180" s="150" t="s">
        <v>553</v>
      </c>
      <c r="B180" s="50" t="s">
        <v>229</v>
      </c>
      <c r="C180" s="51" t="s">
        <v>181</v>
      </c>
      <c r="D180" s="87" t="s">
        <v>292</v>
      </c>
      <c r="E180" s="126">
        <v>0</v>
      </c>
      <c r="F180" s="79">
        <f>BPU!E180</f>
        <v>0</v>
      </c>
      <c r="G180" s="95">
        <f t="shared" si="4"/>
        <v>0</v>
      </c>
    </row>
    <row r="181" spans="1:7" ht="18.600000000000001" customHeight="1" x14ac:dyDescent="0.3">
      <c r="A181" s="150" t="s">
        <v>554</v>
      </c>
      <c r="B181" s="50" t="s">
        <v>225</v>
      </c>
      <c r="C181" s="51" t="s">
        <v>181</v>
      </c>
      <c r="D181" s="87" t="s">
        <v>292</v>
      </c>
      <c r="E181" s="126">
        <v>0</v>
      </c>
      <c r="F181" s="79">
        <f>BPU!E181</f>
        <v>0</v>
      </c>
      <c r="G181" s="95">
        <f t="shared" si="4"/>
        <v>0</v>
      </c>
    </row>
    <row r="182" spans="1:7" ht="18.600000000000001" customHeight="1" x14ac:dyDescent="0.3">
      <c r="A182" s="150" t="s">
        <v>555</v>
      </c>
      <c r="B182" s="50" t="s">
        <v>226</v>
      </c>
      <c r="C182" s="51" t="s">
        <v>181</v>
      </c>
      <c r="D182" s="87" t="s">
        <v>292</v>
      </c>
      <c r="E182" s="126">
        <v>0</v>
      </c>
      <c r="F182" s="79">
        <f>BPU!E182</f>
        <v>0</v>
      </c>
      <c r="G182" s="95">
        <f t="shared" si="4"/>
        <v>0</v>
      </c>
    </row>
    <row r="183" spans="1:7" ht="18.600000000000001" customHeight="1" x14ac:dyDescent="0.3">
      <c r="A183" s="150" t="s">
        <v>556</v>
      </c>
      <c r="B183" s="50" t="s">
        <v>227</v>
      </c>
      <c r="C183" s="51" t="s">
        <v>181</v>
      </c>
      <c r="D183" s="87" t="s">
        <v>292</v>
      </c>
      <c r="E183" s="126">
        <v>0</v>
      </c>
      <c r="F183" s="79">
        <f>BPU!E183</f>
        <v>0</v>
      </c>
      <c r="G183" s="95">
        <f t="shared" si="4"/>
        <v>0</v>
      </c>
    </row>
    <row r="184" spans="1:7" ht="18.600000000000001" customHeight="1" x14ac:dyDescent="0.3">
      <c r="A184" s="150" t="s">
        <v>557</v>
      </c>
      <c r="B184" s="50" t="s">
        <v>228</v>
      </c>
      <c r="C184" s="51" t="s">
        <v>181</v>
      </c>
      <c r="D184" s="87" t="s">
        <v>292</v>
      </c>
      <c r="E184" s="126">
        <v>0</v>
      </c>
      <c r="F184" s="79">
        <f>BPU!E184</f>
        <v>0</v>
      </c>
      <c r="G184" s="95">
        <f t="shared" si="4"/>
        <v>0</v>
      </c>
    </row>
    <row r="185" spans="1:7" ht="18.600000000000001" customHeight="1" x14ac:dyDescent="0.3">
      <c r="A185" s="52" t="s">
        <v>558</v>
      </c>
      <c r="B185" s="46" t="s">
        <v>172</v>
      </c>
      <c r="C185" s="52"/>
      <c r="D185" s="87"/>
      <c r="E185" s="126"/>
      <c r="F185" s="79">
        <f>BPU!E185</f>
        <v>0</v>
      </c>
      <c r="G185" s="95">
        <f t="shared" si="4"/>
        <v>0</v>
      </c>
    </row>
    <row r="186" spans="1:7" ht="18.600000000000001" customHeight="1" x14ac:dyDescent="0.3">
      <c r="A186" s="150" t="s">
        <v>559</v>
      </c>
      <c r="B186" s="50" t="s">
        <v>231</v>
      </c>
      <c r="C186" s="51" t="s">
        <v>181</v>
      </c>
      <c r="D186" s="87" t="s">
        <v>292</v>
      </c>
      <c r="E186" s="126">
        <v>0</v>
      </c>
      <c r="F186" s="79">
        <f>BPU!E186</f>
        <v>0</v>
      </c>
      <c r="G186" s="95">
        <f t="shared" si="4"/>
        <v>0</v>
      </c>
    </row>
    <row r="187" spans="1:7" ht="18.600000000000001" customHeight="1" x14ac:dyDescent="0.3">
      <c r="A187" s="150" t="s">
        <v>560</v>
      </c>
      <c r="B187" s="50" t="s">
        <v>232</v>
      </c>
      <c r="C187" s="51" t="s">
        <v>181</v>
      </c>
      <c r="D187" s="87" t="s">
        <v>292</v>
      </c>
      <c r="E187" s="126">
        <v>223.8</v>
      </c>
      <c r="F187" s="79">
        <f>BPU!E187</f>
        <v>0</v>
      </c>
      <c r="G187" s="95">
        <f t="shared" si="4"/>
        <v>0</v>
      </c>
    </row>
    <row r="188" spans="1:7" ht="28.2" customHeight="1" x14ac:dyDescent="0.3">
      <c r="A188" s="150" t="s">
        <v>561</v>
      </c>
      <c r="B188" s="50" t="s">
        <v>233</v>
      </c>
      <c r="C188" s="51" t="s">
        <v>181</v>
      </c>
      <c r="D188" s="87" t="s">
        <v>292</v>
      </c>
      <c r="E188" s="126">
        <v>0</v>
      </c>
      <c r="F188" s="79">
        <f>BPU!E188</f>
        <v>0</v>
      </c>
      <c r="G188" s="95">
        <f t="shared" si="4"/>
        <v>0</v>
      </c>
    </row>
    <row r="189" spans="1:7" ht="18.600000000000001" customHeight="1" x14ac:dyDescent="0.3">
      <c r="A189" s="150" t="s">
        <v>562</v>
      </c>
      <c r="B189" s="50" t="s">
        <v>234</v>
      </c>
      <c r="C189" s="51" t="s">
        <v>181</v>
      </c>
      <c r="D189" s="87" t="s">
        <v>292</v>
      </c>
      <c r="E189" s="126">
        <v>0</v>
      </c>
      <c r="F189" s="79">
        <f>BPU!E189</f>
        <v>0</v>
      </c>
      <c r="G189" s="95">
        <f t="shared" si="4"/>
        <v>0</v>
      </c>
    </row>
    <row r="190" spans="1:7" ht="18.600000000000001" customHeight="1" x14ac:dyDescent="0.3">
      <c r="A190" s="52" t="s">
        <v>563</v>
      </c>
      <c r="B190" s="46" t="s">
        <v>173</v>
      </c>
      <c r="C190" s="52"/>
      <c r="D190" s="87"/>
      <c r="E190" s="126"/>
      <c r="F190" s="79">
        <f>BPU!E190</f>
        <v>0</v>
      </c>
      <c r="G190" s="95">
        <f t="shared" si="4"/>
        <v>0</v>
      </c>
    </row>
    <row r="191" spans="1:7" ht="18.600000000000001" customHeight="1" x14ac:dyDescent="0.3">
      <c r="A191" s="150" t="s">
        <v>564</v>
      </c>
      <c r="B191" s="50" t="s">
        <v>259</v>
      </c>
      <c r="C191" s="51" t="s">
        <v>181</v>
      </c>
      <c r="D191" s="87" t="s">
        <v>292</v>
      </c>
      <c r="E191" s="126">
        <v>0</v>
      </c>
      <c r="F191" s="79">
        <f>BPU!E191</f>
        <v>0</v>
      </c>
      <c r="G191" s="95">
        <f t="shared" si="4"/>
        <v>0</v>
      </c>
    </row>
    <row r="192" spans="1:7" ht="18.600000000000001" customHeight="1" x14ac:dyDescent="0.3">
      <c r="A192" s="150" t="s">
        <v>565</v>
      </c>
      <c r="B192" s="50" t="s">
        <v>235</v>
      </c>
      <c r="C192" s="51" t="s">
        <v>181</v>
      </c>
      <c r="D192" s="87" t="s">
        <v>292</v>
      </c>
      <c r="E192" s="126">
        <v>0</v>
      </c>
      <c r="F192" s="79">
        <f>BPU!E192</f>
        <v>0</v>
      </c>
      <c r="G192" s="95">
        <f t="shared" si="4"/>
        <v>0</v>
      </c>
    </row>
    <row r="193" spans="1:7" ht="18.600000000000001" customHeight="1" x14ac:dyDescent="0.3">
      <c r="A193" s="150" t="s">
        <v>566</v>
      </c>
      <c r="B193" s="50" t="s">
        <v>236</v>
      </c>
      <c r="C193" s="51" t="s">
        <v>181</v>
      </c>
      <c r="D193" s="87" t="s">
        <v>292</v>
      </c>
      <c r="E193" s="126">
        <v>165</v>
      </c>
      <c r="F193" s="79">
        <f>BPU!E193</f>
        <v>0</v>
      </c>
      <c r="G193" s="95">
        <f t="shared" si="4"/>
        <v>0</v>
      </c>
    </row>
    <row r="194" spans="1:7" ht="18.600000000000001" customHeight="1" x14ac:dyDescent="0.3">
      <c r="A194" s="150" t="s">
        <v>567</v>
      </c>
      <c r="B194" s="50" t="s">
        <v>237</v>
      </c>
      <c r="C194" s="51" t="s">
        <v>181</v>
      </c>
      <c r="D194" s="87" t="s">
        <v>292</v>
      </c>
      <c r="E194" s="126">
        <v>0</v>
      </c>
      <c r="F194" s="79">
        <f>BPU!E194</f>
        <v>0</v>
      </c>
      <c r="G194" s="95">
        <f t="shared" si="4"/>
        <v>0</v>
      </c>
    </row>
    <row r="195" spans="1:7" ht="18.600000000000001" customHeight="1" x14ac:dyDescent="0.3">
      <c r="A195" s="150" t="s">
        <v>568</v>
      </c>
      <c r="B195" s="50" t="s">
        <v>238</v>
      </c>
      <c r="C195" s="51" t="s">
        <v>181</v>
      </c>
      <c r="D195" s="87" t="s">
        <v>292</v>
      </c>
      <c r="E195" s="126">
        <v>0</v>
      </c>
      <c r="F195" s="79">
        <f>BPU!E195</f>
        <v>0</v>
      </c>
      <c r="G195" s="95">
        <f t="shared" si="4"/>
        <v>0</v>
      </c>
    </row>
    <row r="196" spans="1:7" ht="18.600000000000001" customHeight="1" x14ac:dyDescent="0.3">
      <c r="A196" s="150" t="s">
        <v>569</v>
      </c>
      <c r="B196" s="50" t="s">
        <v>179</v>
      </c>
      <c r="C196" s="51" t="s">
        <v>181</v>
      </c>
      <c r="D196" s="87" t="s">
        <v>292</v>
      </c>
      <c r="E196" s="126">
        <v>0</v>
      </c>
      <c r="F196" s="79">
        <f>BPU!E196</f>
        <v>0</v>
      </c>
      <c r="G196" s="95">
        <f t="shared" si="4"/>
        <v>0</v>
      </c>
    </row>
    <row r="197" spans="1:7" ht="18.600000000000001" customHeight="1" x14ac:dyDescent="0.3">
      <c r="A197" s="150" t="s">
        <v>570</v>
      </c>
      <c r="B197" s="50" t="s">
        <v>239</v>
      </c>
      <c r="C197" s="51" t="s">
        <v>181</v>
      </c>
      <c r="D197" s="87" t="s">
        <v>292</v>
      </c>
      <c r="E197" s="126">
        <v>0</v>
      </c>
      <c r="F197" s="79">
        <f>BPU!E197</f>
        <v>0</v>
      </c>
      <c r="G197" s="95">
        <f t="shared" si="4"/>
        <v>0</v>
      </c>
    </row>
    <row r="198" spans="1:7" ht="18.600000000000001" customHeight="1" x14ac:dyDescent="0.3">
      <c r="A198" s="52" t="s">
        <v>571</v>
      </c>
      <c r="B198" s="46" t="s">
        <v>174</v>
      </c>
      <c r="C198" s="52"/>
      <c r="D198" s="87"/>
      <c r="E198" s="126"/>
      <c r="F198" s="79">
        <f>BPU!E198</f>
        <v>0</v>
      </c>
      <c r="G198" s="95">
        <f t="shared" si="4"/>
        <v>0</v>
      </c>
    </row>
    <row r="199" spans="1:7" ht="18.600000000000001" customHeight="1" x14ac:dyDescent="0.3">
      <c r="A199" s="150" t="s">
        <v>572</v>
      </c>
      <c r="B199" s="50" t="s">
        <v>240</v>
      </c>
      <c r="C199" s="51" t="s">
        <v>181</v>
      </c>
      <c r="D199" s="87" t="s">
        <v>292</v>
      </c>
      <c r="E199" s="126">
        <v>0</v>
      </c>
      <c r="F199" s="79">
        <f>BPU!E199</f>
        <v>0</v>
      </c>
      <c r="G199" s="95">
        <f t="shared" si="4"/>
        <v>0</v>
      </c>
    </row>
    <row r="200" spans="1:7" ht="18.600000000000001" customHeight="1" x14ac:dyDescent="0.3">
      <c r="A200" s="150" t="s">
        <v>573</v>
      </c>
      <c r="B200" s="50" t="s">
        <v>241</v>
      </c>
      <c r="C200" s="51" t="s">
        <v>181</v>
      </c>
      <c r="D200" s="87" t="s">
        <v>292</v>
      </c>
      <c r="E200" s="126">
        <v>0</v>
      </c>
      <c r="F200" s="79">
        <f>BPU!E200</f>
        <v>0</v>
      </c>
      <c r="G200" s="95">
        <f t="shared" si="4"/>
        <v>0</v>
      </c>
    </row>
    <row r="201" spans="1:7" ht="18.600000000000001" customHeight="1" x14ac:dyDescent="0.3">
      <c r="A201" s="150" t="s">
        <v>574</v>
      </c>
      <c r="B201" s="50" t="s">
        <v>242</v>
      </c>
      <c r="C201" s="51" t="s">
        <v>181</v>
      </c>
      <c r="D201" s="87" t="s">
        <v>292</v>
      </c>
      <c r="E201" s="126">
        <v>0</v>
      </c>
      <c r="F201" s="79">
        <f>BPU!E201</f>
        <v>0</v>
      </c>
      <c r="G201" s="95">
        <f t="shared" si="4"/>
        <v>0</v>
      </c>
    </row>
    <row r="202" spans="1:7" ht="18.600000000000001" customHeight="1" x14ac:dyDescent="0.3">
      <c r="A202" s="150" t="s">
        <v>575</v>
      </c>
      <c r="B202" s="50" t="s">
        <v>243</v>
      </c>
      <c r="C202" s="51" t="s">
        <v>181</v>
      </c>
      <c r="D202" s="87" t="s">
        <v>292</v>
      </c>
      <c r="E202" s="126">
        <v>0</v>
      </c>
      <c r="F202" s="79">
        <f>BPU!E202</f>
        <v>0</v>
      </c>
      <c r="G202" s="95">
        <f t="shared" si="4"/>
        <v>0</v>
      </c>
    </row>
    <row r="203" spans="1:7" ht="18.600000000000001" customHeight="1" x14ac:dyDescent="0.3">
      <c r="A203" s="150" t="s">
        <v>576</v>
      </c>
      <c r="B203" s="50" t="s">
        <v>244</v>
      </c>
      <c r="C203" s="51" t="s">
        <v>181</v>
      </c>
      <c r="D203" s="87" t="s">
        <v>292</v>
      </c>
      <c r="E203" s="126">
        <v>0</v>
      </c>
      <c r="F203" s="79">
        <f>BPU!E203</f>
        <v>0</v>
      </c>
      <c r="G203" s="95">
        <f t="shared" si="4"/>
        <v>0</v>
      </c>
    </row>
    <row r="204" spans="1:7" ht="18.600000000000001" customHeight="1" x14ac:dyDescent="0.3">
      <c r="A204" s="150" t="s">
        <v>577</v>
      </c>
      <c r="B204" s="50" t="s">
        <v>245</v>
      </c>
      <c r="C204" s="51" t="s">
        <v>181</v>
      </c>
      <c r="D204" s="87" t="s">
        <v>292</v>
      </c>
      <c r="E204" s="126">
        <v>37.799999999999997</v>
      </c>
      <c r="F204" s="79">
        <f>BPU!E204</f>
        <v>0</v>
      </c>
      <c r="G204" s="95">
        <f t="shared" si="4"/>
        <v>0</v>
      </c>
    </row>
    <row r="205" spans="1:7" ht="18.600000000000001" customHeight="1" x14ac:dyDescent="0.3">
      <c r="A205" s="150" t="s">
        <v>578</v>
      </c>
      <c r="B205" s="50" t="s">
        <v>246</v>
      </c>
      <c r="C205" s="51" t="s">
        <v>181</v>
      </c>
      <c r="D205" s="87" t="s">
        <v>292</v>
      </c>
      <c r="E205" s="126">
        <v>0</v>
      </c>
      <c r="F205" s="79">
        <f>BPU!E205</f>
        <v>0</v>
      </c>
      <c r="G205" s="95">
        <f t="shared" si="4"/>
        <v>0</v>
      </c>
    </row>
    <row r="206" spans="1:7" ht="18.600000000000001" customHeight="1" x14ac:dyDescent="0.3">
      <c r="A206" s="150" t="s">
        <v>579</v>
      </c>
      <c r="B206" s="50" t="s">
        <v>247</v>
      </c>
      <c r="C206" s="51" t="s">
        <v>181</v>
      </c>
      <c r="D206" s="87" t="s">
        <v>292</v>
      </c>
      <c r="E206" s="126">
        <v>0</v>
      </c>
      <c r="F206" s="79">
        <f>BPU!E206</f>
        <v>0</v>
      </c>
      <c r="G206" s="95">
        <f t="shared" si="4"/>
        <v>0</v>
      </c>
    </row>
    <row r="207" spans="1:7" ht="18.600000000000001" customHeight="1" x14ac:dyDescent="0.3">
      <c r="A207" s="150" t="s">
        <v>580</v>
      </c>
      <c r="B207" s="50" t="s">
        <v>194</v>
      </c>
      <c r="C207" s="51" t="s">
        <v>181</v>
      </c>
      <c r="D207" s="87" t="s">
        <v>292</v>
      </c>
      <c r="E207" s="126">
        <v>0</v>
      </c>
      <c r="F207" s="79">
        <f>BPU!E207</f>
        <v>0</v>
      </c>
      <c r="G207" s="95">
        <f t="shared" si="4"/>
        <v>0</v>
      </c>
    </row>
    <row r="208" spans="1:7" ht="18.600000000000001" customHeight="1" x14ac:dyDescent="0.3">
      <c r="A208" s="52" t="s">
        <v>581</v>
      </c>
      <c r="B208" s="46" t="s">
        <v>175</v>
      </c>
      <c r="C208" s="52"/>
      <c r="D208" s="87"/>
      <c r="E208" s="126"/>
      <c r="F208" s="79">
        <f>BPU!E208</f>
        <v>0</v>
      </c>
      <c r="G208" s="95">
        <f t="shared" si="4"/>
        <v>0</v>
      </c>
    </row>
    <row r="209" spans="1:7" ht="18.600000000000001" customHeight="1" x14ac:dyDescent="0.3">
      <c r="A209" s="150" t="s">
        <v>582</v>
      </c>
      <c r="B209" s="50" t="s">
        <v>180</v>
      </c>
      <c r="C209" s="51" t="s">
        <v>181</v>
      </c>
      <c r="D209" s="87" t="s">
        <v>292</v>
      </c>
      <c r="E209" s="126">
        <v>0</v>
      </c>
      <c r="F209" s="79">
        <f>BPU!E209</f>
        <v>0</v>
      </c>
      <c r="G209" s="95">
        <f t="shared" si="4"/>
        <v>0</v>
      </c>
    </row>
    <row r="210" spans="1:7" ht="18.600000000000001" customHeight="1" x14ac:dyDescent="0.3">
      <c r="A210" s="52" t="s">
        <v>583</v>
      </c>
      <c r="B210" s="46" t="s">
        <v>176</v>
      </c>
      <c r="C210" s="52"/>
      <c r="D210" s="87"/>
      <c r="E210" s="126"/>
      <c r="F210" s="79">
        <f>BPU!E210</f>
        <v>0</v>
      </c>
      <c r="G210" s="95">
        <f t="shared" si="4"/>
        <v>0</v>
      </c>
    </row>
    <row r="211" spans="1:7" ht="18.600000000000001" customHeight="1" x14ac:dyDescent="0.3">
      <c r="A211" s="150" t="s">
        <v>584</v>
      </c>
      <c r="B211" s="50" t="s">
        <v>257</v>
      </c>
      <c r="C211" s="51" t="s">
        <v>181</v>
      </c>
      <c r="D211" s="87" t="s">
        <v>292</v>
      </c>
      <c r="E211" s="126">
        <v>0</v>
      </c>
      <c r="F211" s="79">
        <f>BPU!E211</f>
        <v>0</v>
      </c>
      <c r="G211" s="95">
        <f t="shared" si="4"/>
        <v>0</v>
      </c>
    </row>
    <row r="212" spans="1:7" ht="18.600000000000001" customHeight="1" x14ac:dyDescent="0.3">
      <c r="A212" s="150" t="s">
        <v>585</v>
      </c>
      <c r="B212" s="50" t="s">
        <v>253</v>
      </c>
      <c r="C212" s="51" t="s">
        <v>17</v>
      </c>
      <c r="D212" s="87" t="s">
        <v>292</v>
      </c>
      <c r="E212" s="126">
        <v>0</v>
      </c>
      <c r="F212" s="79">
        <f>BPU!E212</f>
        <v>0</v>
      </c>
      <c r="G212" s="95">
        <f t="shared" si="4"/>
        <v>0</v>
      </c>
    </row>
    <row r="213" spans="1:7" ht="18.600000000000001" customHeight="1" x14ac:dyDescent="0.3">
      <c r="A213" s="150" t="s">
        <v>586</v>
      </c>
      <c r="B213" s="50" t="s">
        <v>252</v>
      </c>
      <c r="C213" s="51" t="s">
        <v>17</v>
      </c>
      <c r="D213" s="87" t="s">
        <v>292</v>
      </c>
      <c r="E213" s="126">
        <v>0</v>
      </c>
      <c r="F213" s="79">
        <f>BPU!E213</f>
        <v>0</v>
      </c>
      <c r="G213" s="95">
        <f t="shared" si="4"/>
        <v>0</v>
      </c>
    </row>
    <row r="214" spans="1:7" ht="18.600000000000001" customHeight="1" x14ac:dyDescent="0.3">
      <c r="A214" s="150" t="s">
        <v>587</v>
      </c>
      <c r="B214" s="50" t="s">
        <v>254</v>
      </c>
      <c r="C214" s="51" t="s">
        <v>17</v>
      </c>
      <c r="D214" s="87" t="s">
        <v>292</v>
      </c>
      <c r="E214" s="126">
        <v>0</v>
      </c>
      <c r="F214" s="79">
        <f>BPU!E214</f>
        <v>0</v>
      </c>
      <c r="G214" s="95">
        <f t="shared" si="4"/>
        <v>0</v>
      </c>
    </row>
    <row r="215" spans="1:7" ht="18.600000000000001" customHeight="1" x14ac:dyDescent="0.3">
      <c r="A215" s="150" t="s">
        <v>588</v>
      </c>
      <c r="B215" s="50" t="s">
        <v>255</v>
      </c>
      <c r="C215" s="51" t="s">
        <v>17</v>
      </c>
      <c r="D215" s="87" t="s">
        <v>292</v>
      </c>
      <c r="E215" s="126">
        <v>0</v>
      </c>
      <c r="F215" s="79">
        <f>BPU!E215</f>
        <v>0</v>
      </c>
      <c r="G215" s="95">
        <f t="shared" si="4"/>
        <v>0</v>
      </c>
    </row>
    <row r="216" spans="1:7" ht="28.8" customHeight="1" x14ac:dyDescent="0.3">
      <c r="A216" s="150" t="s">
        <v>589</v>
      </c>
      <c r="B216" s="50" t="s">
        <v>251</v>
      </c>
      <c r="C216" s="51" t="s">
        <v>17</v>
      </c>
      <c r="D216" s="87" t="s">
        <v>292</v>
      </c>
      <c r="E216" s="126">
        <v>0</v>
      </c>
      <c r="F216" s="79">
        <f>BPU!E216</f>
        <v>0</v>
      </c>
      <c r="G216" s="95">
        <f t="shared" si="4"/>
        <v>0</v>
      </c>
    </row>
    <row r="217" spans="1:7" x14ac:dyDescent="0.3">
      <c r="A217" s="150" t="s">
        <v>590</v>
      </c>
      <c r="B217" s="50" t="s">
        <v>256</v>
      </c>
      <c r="C217" s="51" t="s">
        <v>181</v>
      </c>
      <c r="D217" s="87" t="s">
        <v>292</v>
      </c>
      <c r="E217" s="126">
        <v>0</v>
      </c>
      <c r="F217" s="79">
        <f>BPU!E217</f>
        <v>0</v>
      </c>
      <c r="G217" s="95">
        <f t="shared" si="4"/>
        <v>0</v>
      </c>
    </row>
    <row r="218" spans="1:7" x14ac:dyDescent="0.3">
      <c r="A218" s="150" t="s">
        <v>591</v>
      </c>
      <c r="B218" s="50" t="s">
        <v>258</v>
      </c>
      <c r="C218" s="51" t="s">
        <v>17</v>
      </c>
      <c r="D218" s="87" t="s">
        <v>292</v>
      </c>
      <c r="E218" s="126">
        <v>0</v>
      </c>
      <c r="F218" s="79">
        <f>BPU!E218</f>
        <v>0</v>
      </c>
      <c r="G218" s="95">
        <f t="shared" si="4"/>
        <v>0</v>
      </c>
    </row>
    <row r="219" spans="1:7" ht="18.600000000000001" customHeight="1" x14ac:dyDescent="0.3">
      <c r="A219" s="150" t="s">
        <v>592</v>
      </c>
      <c r="B219" s="50" t="s">
        <v>193</v>
      </c>
      <c r="C219" s="51" t="s">
        <v>181</v>
      </c>
      <c r="D219" s="87" t="s">
        <v>292</v>
      </c>
      <c r="E219" s="126">
        <v>0</v>
      </c>
      <c r="F219" s="79">
        <f>BPU!E219</f>
        <v>0</v>
      </c>
      <c r="G219" s="95">
        <f t="shared" ref="G219:G240" si="5">E219*F219</f>
        <v>0</v>
      </c>
    </row>
    <row r="220" spans="1:7" x14ac:dyDescent="0.3">
      <c r="A220" s="150" t="s">
        <v>593</v>
      </c>
      <c r="B220" s="50" t="s">
        <v>192</v>
      </c>
      <c r="C220" s="51" t="s">
        <v>181</v>
      </c>
      <c r="D220" s="87" t="s">
        <v>292</v>
      </c>
      <c r="E220" s="126">
        <v>0</v>
      </c>
      <c r="F220" s="79">
        <f>BPU!E220</f>
        <v>0</v>
      </c>
      <c r="G220" s="95">
        <f t="shared" si="5"/>
        <v>0</v>
      </c>
    </row>
    <row r="221" spans="1:7" ht="28.8" x14ac:dyDescent="0.3">
      <c r="A221" s="150" t="s">
        <v>594</v>
      </c>
      <c r="B221" s="50" t="s">
        <v>260</v>
      </c>
      <c r="C221" s="51" t="s">
        <v>181</v>
      </c>
      <c r="D221" s="87" t="s">
        <v>292</v>
      </c>
      <c r="E221" s="126">
        <v>0</v>
      </c>
      <c r="F221" s="79">
        <f>BPU!E221</f>
        <v>0</v>
      </c>
      <c r="G221" s="95">
        <f t="shared" si="5"/>
        <v>0</v>
      </c>
    </row>
    <row r="222" spans="1:7" ht="18.600000000000001" customHeight="1" x14ac:dyDescent="0.3">
      <c r="A222" s="52" t="s">
        <v>595</v>
      </c>
      <c r="B222" s="46" t="s">
        <v>177</v>
      </c>
      <c r="C222" s="52"/>
      <c r="D222" s="87"/>
      <c r="E222" s="126"/>
      <c r="F222" s="79">
        <f>BPU!E222</f>
        <v>0</v>
      </c>
      <c r="G222" s="95">
        <f t="shared" si="5"/>
        <v>0</v>
      </c>
    </row>
    <row r="223" spans="1:7" ht="18.600000000000001" customHeight="1" x14ac:dyDescent="0.3">
      <c r="A223" s="150" t="s">
        <v>596</v>
      </c>
      <c r="B223" s="50" t="s">
        <v>182</v>
      </c>
      <c r="C223" s="51" t="s">
        <v>181</v>
      </c>
      <c r="D223" s="87" t="s">
        <v>292</v>
      </c>
      <c r="E223" s="126">
        <v>0</v>
      </c>
      <c r="F223" s="79">
        <f>BPU!E223</f>
        <v>0</v>
      </c>
      <c r="G223" s="95">
        <f t="shared" si="5"/>
        <v>0</v>
      </c>
    </row>
    <row r="224" spans="1:7" ht="28.8" x14ac:dyDescent="0.3">
      <c r="A224" s="150" t="s">
        <v>597</v>
      </c>
      <c r="B224" s="50" t="s">
        <v>1273</v>
      </c>
      <c r="C224" s="51" t="s">
        <v>181</v>
      </c>
      <c r="D224" s="87" t="s">
        <v>292</v>
      </c>
      <c r="E224" s="126">
        <v>0</v>
      </c>
      <c r="F224" s="79">
        <f>BPU!E224</f>
        <v>0</v>
      </c>
      <c r="G224" s="95">
        <f t="shared" si="5"/>
        <v>0</v>
      </c>
    </row>
    <row r="225" spans="1:7" x14ac:dyDescent="0.3">
      <c r="A225" s="150" t="s">
        <v>598</v>
      </c>
      <c r="B225" s="50" t="s">
        <v>183</v>
      </c>
      <c r="C225" s="51" t="s">
        <v>181</v>
      </c>
      <c r="D225" s="87" t="s">
        <v>292</v>
      </c>
      <c r="E225" s="126">
        <v>0</v>
      </c>
      <c r="F225" s="79">
        <f>BPU!E225</f>
        <v>0</v>
      </c>
      <c r="G225" s="95">
        <f t="shared" si="5"/>
        <v>0</v>
      </c>
    </row>
    <row r="226" spans="1:7" x14ac:dyDescent="0.3">
      <c r="A226" s="150" t="s">
        <v>599</v>
      </c>
      <c r="B226" s="50" t="s">
        <v>184</v>
      </c>
      <c r="C226" s="51" t="s">
        <v>181</v>
      </c>
      <c r="D226" s="87" t="s">
        <v>292</v>
      </c>
      <c r="E226" s="126">
        <f>37.8*2</f>
        <v>75.599999999999994</v>
      </c>
      <c r="F226" s="79">
        <f>BPU!E226</f>
        <v>0</v>
      </c>
      <c r="G226" s="95">
        <f t="shared" si="5"/>
        <v>0</v>
      </c>
    </row>
    <row r="227" spans="1:7" x14ac:dyDescent="0.3">
      <c r="A227" s="150" t="s">
        <v>600</v>
      </c>
      <c r="B227" s="50" t="s">
        <v>185</v>
      </c>
      <c r="C227" s="51" t="s">
        <v>181</v>
      </c>
      <c r="D227" s="87" t="s">
        <v>292</v>
      </c>
      <c r="E227" s="126">
        <v>0</v>
      </c>
      <c r="F227" s="79">
        <f>BPU!E227</f>
        <v>0</v>
      </c>
      <c r="G227" s="95">
        <f t="shared" si="5"/>
        <v>0</v>
      </c>
    </row>
    <row r="228" spans="1:7" x14ac:dyDescent="0.3">
      <c r="A228" s="52" t="s">
        <v>601</v>
      </c>
      <c r="B228" s="46" t="s">
        <v>304</v>
      </c>
      <c r="C228" s="51"/>
      <c r="D228" s="87"/>
      <c r="E228" s="126"/>
      <c r="F228" s="79">
        <f>BPU!E228</f>
        <v>0</v>
      </c>
      <c r="G228" s="95">
        <f t="shared" si="5"/>
        <v>0</v>
      </c>
    </row>
    <row r="229" spans="1:7" s="65" customFormat="1" ht="28.8" x14ac:dyDescent="0.3">
      <c r="A229" s="150" t="s">
        <v>602</v>
      </c>
      <c r="B229" s="53" t="s">
        <v>370</v>
      </c>
      <c r="C229" s="67" t="s">
        <v>197</v>
      </c>
      <c r="D229" s="88" t="s">
        <v>292</v>
      </c>
      <c r="E229" s="130"/>
      <c r="F229" s="79">
        <f>BPU!E229</f>
        <v>0</v>
      </c>
      <c r="G229" s="95">
        <f t="shared" si="5"/>
        <v>0</v>
      </c>
    </row>
    <row r="230" spans="1:7" ht="28.8" x14ac:dyDescent="0.3">
      <c r="A230" s="150" t="s">
        <v>603</v>
      </c>
      <c r="B230" s="50" t="s">
        <v>305</v>
      </c>
      <c r="C230" s="51" t="s">
        <v>197</v>
      </c>
      <c r="D230" s="87" t="s">
        <v>292</v>
      </c>
      <c r="E230" s="126">
        <v>0</v>
      </c>
      <c r="F230" s="79">
        <f>BPU!E230</f>
        <v>0</v>
      </c>
      <c r="G230" s="95">
        <f t="shared" si="5"/>
        <v>0</v>
      </c>
    </row>
    <row r="231" spans="1:7" ht="28.8" x14ac:dyDescent="0.3">
      <c r="A231" s="150" t="s">
        <v>604</v>
      </c>
      <c r="B231" s="50" t="s">
        <v>306</v>
      </c>
      <c r="C231" s="51" t="s">
        <v>197</v>
      </c>
      <c r="D231" s="87" t="s">
        <v>292</v>
      </c>
      <c r="E231" s="126">
        <v>30</v>
      </c>
      <c r="F231" s="79">
        <f>BPU!E231</f>
        <v>0</v>
      </c>
      <c r="G231" s="95">
        <f t="shared" si="5"/>
        <v>0</v>
      </c>
    </row>
    <row r="232" spans="1:7" ht="28.8" x14ac:dyDescent="0.3">
      <c r="A232" s="150" t="s">
        <v>605</v>
      </c>
      <c r="B232" s="50" t="s">
        <v>307</v>
      </c>
      <c r="C232" s="51" t="s">
        <v>197</v>
      </c>
      <c r="D232" s="87" t="s">
        <v>292</v>
      </c>
      <c r="E232" s="126">
        <v>0</v>
      </c>
      <c r="F232" s="79">
        <f>BPU!E232</f>
        <v>0</v>
      </c>
      <c r="G232" s="95">
        <f t="shared" si="5"/>
        <v>0</v>
      </c>
    </row>
    <row r="233" spans="1:7" ht="28.8" x14ac:dyDescent="0.3">
      <c r="A233" s="150" t="s">
        <v>606</v>
      </c>
      <c r="B233" s="50" t="s">
        <v>371</v>
      </c>
      <c r="C233" s="51" t="s">
        <v>317</v>
      </c>
      <c r="D233" s="87" t="s">
        <v>292</v>
      </c>
      <c r="E233" s="126"/>
      <c r="F233" s="79">
        <f>BPU!E233</f>
        <v>0</v>
      </c>
      <c r="G233" s="95">
        <f t="shared" si="5"/>
        <v>0</v>
      </c>
    </row>
    <row r="234" spans="1:7" ht="28.8" x14ac:dyDescent="0.3">
      <c r="A234" s="150" t="s">
        <v>607</v>
      </c>
      <c r="B234" s="50" t="s">
        <v>308</v>
      </c>
      <c r="C234" s="51" t="s">
        <v>197</v>
      </c>
      <c r="D234" s="87" t="s">
        <v>292</v>
      </c>
      <c r="E234" s="126">
        <v>0</v>
      </c>
      <c r="F234" s="79">
        <f>BPU!E234</f>
        <v>0</v>
      </c>
      <c r="G234" s="95">
        <f t="shared" si="5"/>
        <v>0</v>
      </c>
    </row>
    <row r="235" spans="1:7" ht="28.8" x14ac:dyDescent="0.3">
      <c r="A235" s="150" t="s">
        <v>608</v>
      </c>
      <c r="B235" s="50" t="s">
        <v>314</v>
      </c>
      <c r="C235" s="51" t="s">
        <v>197</v>
      </c>
      <c r="D235" s="87" t="s">
        <v>292</v>
      </c>
      <c r="E235" s="126">
        <v>0</v>
      </c>
      <c r="F235" s="79">
        <f>BPU!E235</f>
        <v>0</v>
      </c>
      <c r="G235" s="95">
        <f t="shared" si="5"/>
        <v>0</v>
      </c>
    </row>
    <row r="236" spans="1:7" ht="28.8" x14ac:dyDescent="0.3">
      <c r="A236" s="150" t="s">
        <v>609</v>
      </c>
      <c r="B236" s="50" t="s">
        <v>309</v>
      </c>
      <c r="C236" s="51" t="s">
        <v>197</v>
      </c>
      <c r="D236" s="87" t="s">
        <v>292</v>
      </c>
      <c r="E236" s="126">
        <v>0</v>
      </c>
      <c r="F236" s="79">
        <f>BPU!E236</f>
        <v>0</v>
      </c>
      <c r="G236" s="95">
        <f t="shared" si="5"/>
        <v>0</v>
      </c>
    </row>
    <row r="237" spans="1:7" ht="28.8" x14ac:dyDescent="0.3">
      <c r="A237" s="150" t="s">
        <v>610</v>
      </c>
      <c r="B237" s="50" t="s">
        <v>310</v>
      </c>
      <c r="C237" s="51" t="s">
        <v>197</v>
      </c>
      <c r="D237" s="87" t="s">
        <v>292</v>
      </c>
      <c r="E237" s="126">
        <v>0</v>
      </c>
      <c r="F237" s="79">
        <f>BPU!E237</f>
        <v>0</v>
      </c>
      <c r="G237" s="95">
        <f t="shared" si="5"/>
        <v>0</v>
      </c>
    </row>
    <row r="238" spans="1:7" ht="28.8" x14ac:dyDescent="0.3">
      <c r="A238" s="150" t="s">
        <v>611</v>
      </c>
      <c r="B238" s="50" t="s">
        <v>311</v>
      </c>
      <c r="C238" s="51" t="s">
        <v>197</v>
      </c>
      <c r="D238" s="87" t="s">
        <v>292</v>
      </c>
      <c r="E238" s="126">
        <v>0</v>
      </c>
      <c r="F238" s="79">
        <f>BPU!E238</f>
        <v>0</v>
      </c>
      <c r="G238" s="95">
        <f t="shared" si="5"/>
        <v>0</v>
      </c>
    </row>
    <row r="239" spans="1:7" ht="30" customHeight="1" x14ac:dyDescent="0.3">
      <c r="A239" s="150" t="s">
        <v>612</v>
      </c>
      <c r="B239" s="50" t="s">
        <v>313</v>
      </c>
      <c r="C239" s="51" t="s">
        <v>17</v>
      </c>
      <c r="D239" s="87" t="s">
        <v>292</v>
      </c>
      <c r="E239" s="126">
        <f>15*14*1.5</f>
        <v>315</v>
      </c>
      <c r="F239" s="79">
        <f>BPU!E239</f>
        <v>0</v>
      </c>
      <c r="G239" s="95">
        <f t="shared" si="5"/>
        <v>0</v>
      </c>
    </row>
    <row r="240" spans="1:7" ht="27" customHeight="1" thickBot="1" x14ac:dyDescent="0.35">
      <c r="A240" s="150" t="s">
        <v>613</v>
      </c>
      <c r="B240" s="50" t="s">
        <v>312</v>
      </c>
      <c r="C240" s="51" t="s">
        <v>17</v>
      </c>
      <c r="D240" s="87" t="s">
        <v>292</v>
      </c>
      <c r="E240" s="126">
        <v>245</v>
      </c>
      <c r="F240" s="79">
        <f>BPU!E240</f>
        <v>0</v>
      </c>
      <c r="G240" s="95">
        <f t="shared" si="5"/>
        <v>0</v>
      </c>
    </row>
    <row r="241" spans="1:23" s="98" customFormat="1" ht="15" thickBot="1" x14ac:dyDescent="0.35">
      <c r="A241" s="52"/>
      <c r="B241" s="96" t="s">
        <v>389</v>
      </c>
      <c r="C241" s="97"/>
      <c r="D241" s="97"/>
      <c r="E241" s="128"/>
      <c r="F241" s="145">
        <f>BPU!E241</f>
        <v>0</v>
      </c>
      <c r="G241" s="146">
        <f>SUM(G152:G240)</f>
        <v>0</v>
      </c>
      <c r="H241" s="138"/>
      <c r="J241" s="99"/>
      <c r="K241" s="75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100"/>
      <c r="W241" s="100"/>
    </row>
    <row r="242" spans="1:23" s="58" customFormat="1" ht="18" customHeight="1" thickBot="1" x14ac:dyDescent="0.35">
      <c r="A242" s="52"/>
      <c r="B242" s="103" t="s">
        <v>357</v>
      </c>
      <c r="C242" s="72"/>
      <c r="D242" s="91"/>
      <c r="E242" s="131"/>
      <c r="F242" s="79">
        <f>BPU!E242</f>
        <v>0</v>
      </c>
      <c r="G242" s="105">
        <f>G241+G149+G108</f>
        <v>0</v>
      </c>
      <c r="H242" s="136"/>
    </row>
    <row r="243" spans="1:23" s="58" customFormat="1" ht="18" customHeight="1" x14ac:dyDescent="0.3">
      <c r="A243" s="47"/>
      <c r="B243" s="114"/>
      <c r="D243" s="115"/>
      <c r="E243" s="132"/>
      <c r="F243" s="79">
        <f>BPU!E243</f>
        <v>0</v>
      </c>
      <c r="G243" s="136"/>
      <c r="H243" s="136"/>
    </row>
    <row r="244" spans="1:23" s="58" customFormat="1" ht="16.8" customHeight="1" x14ac:dyDescent="0.3">
      <c r="A244" s="59" t="s">
        <v>14</v>
      </c>
      <c r="B244" s="59" t="s">
        <v>71</v>
      </c>
      <c r="C244" s="59"/>
      <c r="D244" s="86"/>
      <c r="E244" s="124"/>
      <c r="F244" s="124"/>
      <c r="G244" s="59"/>
      <c r="H244" s="136"/>
    </row>
    <row r="245" spans="1:23" ht="43.2" x14ac:dyDescent="0.3">
      <c r="A245" s="60" t="s">
        <v>2</v>
      </c>
      <c r="B245" s="60" t="s">
        <v>3</v>
      </c>
      <c r="C245" s="60" t="s">
        <v>4</v>
      </c>
      <c r="D245" s="41" t="s">
        <v>152</v>
      </c>
      <c r="E245" s="125" t="s">
        <v>5</v>
      </c>
      <c r="F245" s="125" t="s">
        <v>382</v>
      </c>
      <c r="G245" s="42" t="s">
        <v>350</v>
      </c>
    </row>
    <row r="246" spans="1:23" s="58" customFormat="1" ht="16.8" customHeight="1" x14ac:dyDescent="0.3">
      <c r="A246" s="70" t="s">
        <v>21</v>
      </c>
      <c r="B246" s="70" t="s">
        <v>40</v>
      </c>
      <c r="C246" s="52"/>
      <c r="D246" s="87"/>
      <c r="E246" s="126"/>
      <c r="F246" s="79">
        <f>BPU!E246</f>
        <v>0</v>
      </c>
      <c r="G246" s="52"/>
      <c r="H246" s="136"/>
    </row>
    <row r="247" spans="1:23" ht="18.600000000000001" customHeight="1" x14ac:dyDescent="0.3">
      <c r="A247" s="52" t="s">
        <v>41</v>
      </c>
      <c r="B247" s="46" t="s">
        <v>161</v>
      </c>
      <c r="C247" s="52"/>
      <c r="D247" s="87"/>
      <c r="E247" s="126"/>
      <c r="F247" s="79">
        <f>BPU!E247</f>
        <v>0</v>
      </c>
      <c r="G247" s="52"/>
    </row>
    <row r="248" spans="1:23" ht="28.8" customHeight="1" x14ac:dyDescent="0.3">
      <c r="A248" s="150" t="s">
        <v>614</v>
      </c>
      <c r="B248" s="153" t="s">
        <v>1308</v>
      </c>
      <c r="C248" s="51" t="s">
        <v>181</v>
      </c>
      <c r="D248" s="87" t="s">
        <v>292</v>
      </c>
      <c r="E248" s="126">
        <v>0</v>
      </c>
      <c r="F248" s="79">
        <f>BPU!E248</f>
        <v>0</v>
      </c>
      <c r="G248" s="95">
        <f>E248*F248</f>
        <v>0</v>
      </c>
    </row>
    <row r="249" spans="1:23" ht="18.600000000000001" customHeight="1" x14ac:dyDescent="0.3">
      <c r="A249" s="150" t="s">
        <v>615</v>
      </c>
      <c r="B249" s="52" t="s">
        <v>196</v>
      </c>
      <c r="C249" s="51" t="s">
        <v>17</v>
      </c>
      <c r="D249" s="87" t="s">
        <v>292</v>
      </c>
      <c r="E249" s="126">
        <v>0</v>
      </c>
      <c r="F249" s="79">
        <f>BPU!E249</f>
        <v>0</v>
      </c>
      <c r="G249" s="95">
        <f t="shared" ref="G249:G309" si="6">E249*F249</f>
        <v>0</v>
      </c>
    </row>
    <row r="250" spans="1:23" ht="18.600000000000001" customHeight="1" x14ac:dyDescent="0.3">
      <c r="A250" s="150" t="s">
        <v>616</v>
      </c>
      <c r="B250" s="52" t="s">
        <v>210</v>
      </c>
      <c r="C250" s="51" t="s">
        <v>197</v>
      </c>
      <c r="D250" s="87" t="s">
        <v>292</v>
      </c>
      <c r="E250" s="126">
        <v>0</v>
      </c>
      <c r="F250" s="79">
        <f>BPU!E250</f>
        <v>0</v>
      </c>
      <c r="G250" s="95">
        <f t="shared" si="6"/>
        <v>0</v>
      </c>
    </row>
    <row r="251" spans="1:23" ht="18.600000000000001" customHeight="1" x14ac:dyDescent="0.3">
      <c r="A251" s="150" t="s">
        <v>617</v>
      </c>
      <c r="B251" s="52" t="s">
        <v>209</v>
      </c>
      <c r="C251" s="51" t="s">
        <v>197</v>
      </c>
      <c r="D251" s="87" t="s">
        <v>292</v>
      </c>
      <c r="E251" s="126">
        <v>0</v>
      </c>
      <c r="F251" s="79">
        <f>BPU!E251</f>
        <v>0</v>
      </c>
      <c r="G251" s="95">
        <f t="shared" si="6"/>
        <v>0</v>
      </c>
    </row>
    <row r="252" spans="1:23" ht="18.600000000000001" customHeight="1" x14ac:dyDescent="0.3">
      <c r="A252" s="150" t="s">
        <v>618</v>
      </c>
      <c r="B252" s="52" t="s">
        <v>199</v>
      </c>
      <c r="C252" s="51" t="s">
        <v>181</v>
      </c>
      <c r="D252" s="87" t="s">
        <v>292</v>
      </c>
      <c r="E252" s="126">
        <v>0</v>
      </c>
      <c r="F252" s="79">
        <f>BPU!E252</f>
        <v>0</v>
      </c>
      <c r="G252" s="95">
        <f t="shared" si="6"/>
        <v>0</v>
      </c>
    </row>
    <row r="253" spans="1:23" ht="18.600000000000001" customHeight="1" x14ac:dyDescent="0.3">
      <c r="A253" s="150" t="s">
        <v>619</v>
      </c>
      <c r="B253" s="52" t="s">
        <v>293</v>
      </c>
      <c r="C253" s="51" t="s">
        <v>181</v>
      </c>
      <c r="D253" s="87" t="s">
        <v>292</v>
      </c>
      <c r="E253" s="126">
        <v>0</v>
      </c>
      <c r="F253" s="79">
        <f>BPU!E253</f>
        <v>0</v>
      </c>
      <c r="G253" s="95">
        <f t="shared" si="6"/>
        <v>0</v>
      </c>
    </row>
    <row r="254" spans="1:23" ht="28.2" customHeight="1" x14ac:dyDescent="0.3">
      <c r="A254" s="150" t="s">
        <v>620</v>
      </c>
      <c r="B254" s="61" t="s">
        <v>198</v>
      </c>
      <c r="C254" s="51" t="s">
        <v>79</v>
      </c>
      <c r="D254" s="87" t="s">
        <v>158</v>
      </c>
      <c r="E254" s="126">
        <v>0</v>
      </c>
      <c r="F254" s="79">
        <f>BPU!E254</f>
        <v>0</v>
      </c>
      <c r="G254" s="95">
        <f t="shared" si="6"/>
        <v>0</v>
      </c>
    </row>
    <row r="255" spans="1:23" ht="18.600000000000001" customHeight="1" x14ac:dyDescent="0.3">
      <c r="A255" s="52" t="s">
        <v>621</v>
      </c>
      <c r="B255" s="46" t="s">
        <v>208</v>
      </c>
      <c r="C255" s="51"/>
      <c r="D255" s="87"/>
      <c r="E255" s="126"/>
      <c r="F255" s="79">
        <f>BPU!E255</f>
        <v>0</v>
      </c>
      <c r="G255" s="95">
        <f t="shared" si="6"/>
        <v>0</v>
      </c>
    </row>
    <row r="256" spans="1:23" ht="18.600000000000001" customHeight="1" x14ac:dyDescent="0.3">
      <c r="A256" s="150" t="s">
        <v>622</v>
      </c>
      <c r="B256" s="52" t="s">
        <v>211</v>
      </c>
      <c r="C256" s="51" t="s">
        <v>230</v>
      </c>
      <c r="D256" s="87" t="s">
        <v>292</v>
      </c>
      <c r="E256" s="126">
        <f>16.8*0.4*0.6</f>
        <v>4.032</v>
      </c>
      <c r="F256" s="79">
        <f>BPU!E256</f>
        <v>0</v>
      </c>
      <c r="G256" s="95">
        <f t="shared" si="6"/>
        <v>0</v>
      </c>
    </row>
    <row r="257" spans="1:8" ht="18.600000000000001" customHeight="1" x14ac:dyDescent="0.3">
      <c r="A257" s="150" t="s">
        <v>623</v>
      </c>
      <c r="B257" s="52" t="s">
        <v>212</v>
      </c>
      <c r="C257" s="51" t="s">
        <v>230</v>
      </c>
      <c r="D257" s="87" t="s">
        <v>292</v>
      </c>
      <c r="E257" s="126">
        <f>2.6*11.6*0.3</f>
        <v>9.048</v>
      </c>
      <c r="F257" s="79">
        <f>BPU!E257</f>
        <v>0</v>
      </c>
      <c r="G257" s="95">
        <f t="shared" si="6"/>
        <v>0</v>
      </c>
    </row>
    <row r="258" spans="1:8" ht="18.600000000000001" customHeight="1" x14ac:dyDescent="0.3">
      <c r="A258" s="52" t="s">
        <v>624</v>
      </c>
      <c r="B258" s="46" t="s">
        <v>168</v>
      </c>
      <c r="C258" s="52"/>
      <c r="D258" s="87"/>
      <c r="E258" s="126"/>
      <c r="F258" s="79">
        <f>BPU!E258</f>
        <v>0</v>
      </c>
      <c r="G258" s="95">
        <f t="shared" si="6"/>
        <v>0</v>
      </c>
    </row>
    <row r="259" spans="1:8" s="65" customFormat="1" ht="18.600000000000001" customHeight="1" x14ac:dyDescent="0.3">
      <c r="A259" s="150" t="s">
        <v>625</v>
      </c>
      <c r="B259" s="50" t="s">
        <v>213</v>
      </c>
      <c r="C259" s="51" t="s">
        <v>230</v>
      </c>
      <c r="D259" s="88" t="s">
        <v>292</v>
      </c>
      <c r="E259" s="130">
        <f>16.8*0.4*0.05</f>
        <v>0.33600000000000008</v>
      </c>
      <c r="F259" s="79">
        <f>BPU!E259</f>
        <v>0</v>
      </c>
      <c r="G259" s="95">
        <f t="shared" si="6"/>
        <v>0</v>
      </c>
      <c r="H259" s="66"/>
    </row>
    <row r="260" spans="1:8" s="65" customFormat="1" ht="18.600000000000001" customHeight="1" x14ac:dyDescent="0.3">
      <c r="A260" s="150" t="s">
        <v>626</v>
      </c>
      <c r="B260" s="50" t="s">
        <v>187</v>
      </c>
      <c r="C260" s="51" t="s">
        <v>230</v>
      </c>
      <c r="D260" s="88" t="s">
        <v>292</v>
      </c>
      <c r="E260" s="130">
        <f>16.8*0.4*0.4</f>
        <v>2.6880000000000006</v>
      </c>
      <c r="F260" s="79">
        <f>BPU!E260</f>
        <v>0</v>
      </c>
      <c r="G260" s="95">
        <f t="shared" si="6"/>
        <v>0</v>
      </c>
      <c r="H260" s="66"/>
    </row>
    <row r="261" spans="1:8" s="65" customFormat="1" ht="18.600000000000001" customHeight="1" x14ac:dyDescent="0.3">
      <c r="A261" s="150" t="s">
        <v>627</v>
      </c>
      <c r="B261" s="50" t="s">
        <v>214</v>
      </c>
      <c r="C261" s="51" t="s">
        <v>230</v>
      </c>
      <c r="D261" s="88" t="s">
        <v>292</v>
      </c>
      <c r="E261" s="130">
        <v>0</v>
      </c>
      <c r="F261" s="79">
        <f>BPU!E261</f>
        <v>0</v>
      </c>
      <c r="G261" s="95">
        <f t="shared" si="6"/>
        <v>0</v>
      </c>
      <c r="H261" s="66"/>
    </row>
    <row r="262" spans="1:8" s="65" customFormat="1" ht="33" customHeight="1" x14ac:dyDescent="0.3">
      <c r="A262" s="150" t="s">
        <v>628</v>
      </c>
      <c r="B262" s="50" t="s">
        <v>215</v>
      </c>
      <c r="C262" s="51" t="s">
        <v>230</v>
      </c>
      <c r="D262" s="88" t="s">
        <v>292</v>
      </c>
      <c r="E262" s="130">
        <f>2.6*11.6*1.35*0.1</f>
        <v>4.0716000000000001</v>
      </c>
      <c r="F262" s="79">
        <f>BPU!E262</f>
        <v>0</v>
      </c>
      <c r="G262" s="95">
        <f t="shared" si="6"/>
        <v>0</v>
      </c>
      <c r="H262" s="66"/>
    </row>
    <row r="263" spans="1:8" ht="18.600000000000001" customHeight="1" x14ac:dyDescent="0.3">
      <c r="A263" s="52" t="s">
        <v>629</v>
      </c>
      <c r="B263" s="46" t="s">
        <v>169</v>
      </c>
      <c r="C263" s="52"/>
      <c r="D263" s="87"/>
      <c r="E263" s="126"/>
      <c r="F263" s="79">
        <f>BPU!E263</f>
        <v>0</v>
      </c>
      <c r="G263" s="95">
        <f t="shared" si="6"/>
        <v>0</v>
      </c>
    </row>
    <row r="264" spans="1:8" ht="18.600000000000001" customHeight="1" x14ac:dyDescent="0.3">
      <c r="A264" s="150" t="s">
        <v>630</v>
      </c>
      <c r="B264" s="50" t="s">
        <v>216</v>
      </c>
      <c r="C264" s="51" t="s">
        <v>230</v>
      </c>
      <c r="D264" s="87" t="s">
        <v>292</v>
      </c>
      <c r="E264" s="126">
        <v>0</v>
      </c>
      <c r="F264" s="79">
        <f>BPU!E264</f>
        <v>0</v>
      </c>
      <c r="G264" s="95">
        <f t="shared" si="6"/>
        <v>0</v>
      </c>
    </row>
    <row r="265" spans="1:8" ht="18.600000000000001" customHeight="1" x14ac:dyDescent="0.3">
      <c r="A265" s="150" t="s">
        <v>631</v>
      </c>
      <c r="B265" s="50" t="s">
        <v>217</v>
      </c>
      <c r="C265" s="51" t="s">
        <v>230</v>
      </c>
      <c r="D265" s="87" t="s">
        <v>292</v>
      </c>
      <c r="E265" s="126">
        <f>0.6*0.6*0.15*4</f>
        <v>0.216</v>
      </c>
      <c r="F265" s="79">
        <f>BPU!E265</f>
        <v>0</v>
      </c>
      <c r="G265" s="95">
        <f t="shared" si="6"/>
        <v>0</v>
      </c>
    </row>
    <row r="266" spans="1:8" ht="18.600000000000001" customHeight="1" x14ac:dyDescent="0.3">
      <c r="A266" s="150" t="s">
        <v>632</v>
      </c>
      <c r="B266" s="50" t="s">
        <v>218</v>
      </c>
      <c r="C266" s="51" t="s">
        <v>230</v>
      </c>
      <c r="D266" s="87" t="s">
        <v>292</v>
      </c>
      <c r="E266" s="126">
        <f>16.8*0.2*0.2</f>
        <v>0.67200000000000015</v>
      </c>
      <c r="F266" s="79">
        <f>BPU!E266</f>
        <v>0</v>
      </c>
      <c r="G266" s="95">
        <f t="shared" si="6"/>
        <v>0</v>
      </c>
    </row>
    <row r="267" spans="1:8" ht="18.600000000000001" customHeight="1" x14ac:dyDescent="0.3">
      <c r="A267" s="150" t="s">
        <v>633</v>
      </c>
      <c r="B267" s="50" t="s">
        <v>219</v>
      </c>
      <c r="C267" s="51" t="s">
        <v>230</v>
      </c>
      <c r="D267" s="87" t="s">
        <v>292</v>
      </c>
      <c r="E267" s="126">
        <f>+E266</f>
        <v>0.67200000000000015</v>
      </c>
      <c r="F267" s="79">
        <f>BPU!E267</f>
        <v>0</v>
      </c>
      <c r="G267" s="95">
        <f t="shared" si="6"/>
        <v>0</v>
      </c>
    </row>
    <row r="268" spans="1:8" ht="18.600000000000001" customHeight="1" x14ac:dyDescent="0.3">
      <c r="A268" s="150" t="s">
        <v>634</v>
      </c>
      <c r="B268" s="50" t="s">
        <v>220</v>
      </c>
      <c r="C268" s="51" t="s">
        <v>230</v>
      </c>
      <c r="D268" s="87" t="s">
        <v>292</v>
      </c>
      <c r="E268" s="126">
        <v>0</v>
      </c>
      <c r="F268" s="79">
        <f>BPU!E268</f>
        <v>0</v>
      </c>
      <c r="G268" s="95">
        <f t="shared" si="6"/>
        <v>0</v>
      </c>
    </row>
    <row r="269" spans="1:8" ht="18.600000000000001" customHeight="1" x14ac:dyDescent="0.3">
      <c r="A269" s="150" t="s">
        <v>635</v>
      </c>
      <c r="B269" s="50" t="s">
        <v>221</v>
      </c>
      <c r="C269" s="51" t="s">
        <v>230</v>
      </c>
      <c r="D269" s="87" t="s">
        <v>292</v>
      </c>
      <c r="E269" s="126">
        <f>6*0.2*0.2*4</f>
        <v>0.96000000000000019</v>
      </c>
      <c r="F269" s="79">
        <f>BPU!E269</f>
        <v>0</v>
      </c>
      <c r="G269" s="95">
        <f t="shared" si="6"/>
        <v>0</v>
      </c>
    </row>
    <row r="270" spans="1:8" ht="18.600000000000001" customHeight="1" x14ac:dyDescent="0.3">
      <c r="A270" s="150" t="s">
        <v>636</v>
      </c>
      <c r="B270" s="50" t="s">
        <v>222</v>
      </c>
      <c r="C270" s="51" t="s">
        <v>230</v>
      </c>
      <c r="D270" s="87" t="s">
        <v>292</v>
      </c>
      <c r="E270" s="126">
        <v>0</v>
      </c>
      <c r="F270" s="79">
        <f>BPU!E270</f>
        <v>0</v>
      </c>
      <c r="G270" s="95">
        <f t="shared" si="6"/>
        <v>0</v>
      </c>
    </row>
    <row r="271" spans="1:8" ht="18.600000000000001" customHeight="1" x14ac:dyDescent="0.3">
      <c r="A271" s="52" t="s">
        <v>637</v>
      </c>
      <c r="B271" s="46" t="s">
        <v>170</v>
      </c>
      <c r="C271" s="52"/>
      <c r="D271" s="87"/>
      <c r="E271" s="126"/>
      <c r="F271" s="79">
        <f>BPU!E271</f>
        <v>0</v>
      </c>
      <c r="G271" s="95">
        <f t="shared" si="6"/>
        <v>0</v>
      </c>
    </row>
    <row r="272" spans="1:8" ht="18.600000000000001" customHeight="1" x14ac:dyDescent="0.3">
      <c r="A272" s="150" t="s">
        <v>638</v>
      </c>
      <c r="B272" s="50" t="s">
        <v>223</v>
      </c>
      <c r="C272" s="51" t="s">
        <v>230</v>
      </c>
      <c r="D272" s="87" t="s">
        <v>292</v>
      </c>
      <c r="E272" s="126">
        <f>11.6*2.6*0.05</f>
        <v>1.508</v>
      </c>
      <c r="F272" s="79">
        <f>BPU!E272</f>
        <v>0</v>
      </c>
      <c r="G272" s="95">
        <f t="shared" si="6"/>
        <v>0</v>
      </c>
    </row>
    <row r="273" spans="1:7" ht="18.600000000000001" customHeight="1" x14ac:dyDescent="0.3">
      <c r="A273" s="150" t="s">
        <v>639</v>
      </c>
      <c r="B273" s="50" t="s">
        <v>224</v>
      </c>
      <c r="C273" s="51" t="s">
        <v>230</v>
      </c>
      <c r="D273" s="87" t="s">
        <v>292</v>
      </c>
      <c r="E273" s="126">
        <f>11.6*2.6*0.25*1.25</f>
        <v>9.4250000000000007</v>
      </c>
      <c r="F273" s="79">
        <f>BPU!E273</f>
        <v>0</v>
      </c>
      <c r="G273" s="95">
        <f t="shared" si="6"/>
        <v>0</v>
      </c>
    </row>
    <row r="274" spans="1:7" ht="18.600000000000001" customHeight="1" x14ac:dyDescent="0.3">
      <c r="A274" s="150" t="s">
        <v>640</v>
      </c>
      <c r="B274" s="50" t="s">
        <v>178</v>
      </c>
      <c r="C274" s="51" t="s">
        <v>230</v>
      </c>
      <c r="D274" s="87" t="s">
        <v>292</v>
      </c>
      <c r="E274" s="126">
        <v>0</v>
      </c>
      <c r="F274" s="79">
        <f>BPU!E274</f>
        <v>0</v>
      </c>
      <c r="G274" s="95">
        <f t="shared" si="6"/>
        <v>0</v>
      </c>
    </row>
    <row r="275" spans="1:7" ht="18.600000000000001" customHeight="1" x14ac:dyDescent="0.3">
      <c r="A275" s="52" t="s">
        <v>641</v>
      </c>
      <c r="B275" s="46" t="s">
        <v>171</v>
      </c>
      <c r="C275" s="52"/>
      <c r="D275" s="87"/>
      <c r="E275" s="126"/>
      <c r="F275" s="79">
        <f>BPU!E275</f>
        <v>0</v>
      </c>
      <c r="G275" s="95">
        <f t="shared" si="6"/>
        <v>0</v>
      </c>
    </row>
    <row r="276" spans="1:7" ht="24.6" customHeight="1" x14ac:dyDescent="0.3">
      <c r="A276" s="150" t="s">
        <v>642</v>
      </c>
      <c r="B276" s="50" t="s">
        <v>229</v>
      </c>
      <c r="C276" s="51" t="s">
        <v>181</v>
      </c>
      <c r="D276" s="87" t="s">
        <v>292</v>
      </c>
      <c r="E276" s="126">
        <v>0</v>
      </c>
      <c r="F276" s="79">
        <f>BPU!E276</f>
        <v>0</v>
      </c>
      <c r="G276" s="95">
        <f t="shared" si="6"/>
        <v>0</v>
      </c>
    </row>
    <row r="277" spans="1:7" ht="18.600000000000001" customHeight="1" x14ac:dyDescent="0.3">
      <c r="A277" s="150" t="s">
        <v>643</v>
      </c>
      <c r="B277" s="50" t="s">
        <v>225</v>
      </c>
      <c r="C277" s="51" t="s">
        <v>181</v>
      </c>
      <c r="D277" s="87" t="s">
        <v>292</v>
      </c>
      <c r="E277" s="126">
        <f>16.8*4.5</f>
        <v>75.600000000000009</v>
      </c>
      <c r="F277" s="79">
        <f>BPU!E277</f>
        <v>0</v>
      </c>
      <c r="G277" s="95">
        <f t="shared" si="6"/>
        <v>0</v>
      </c>
    </row>
    <row r="278" spans="1:7" ht="18.600000000000001" customHeight="1" x14ac:dyDescent="0.3">
      <c r="A278" s="150" t="s">
        <v>644</v>
      </c>
      <c r="B278" s="50" t="s">
        <v>226</v>
      </c>
      <c r="C278" s="51" t="s">
        <v>181</v>
      </c>
      <c r="D278" s="87" t="s">
        <v>292</v>
      </c>
      <c r="E278" s="126">
        <v>0</v>
      </c>
      <c r="F278" s="79">
        <f>BPU!E278</f>
        <v>0</v>
      </c>
      <c r="G278" s="95">
        <f t="shared" si="6"/>
        <v>0</v>
      </c>
    </row>
    <row r="279" spans="1:7" ht="18.600000000000001" customHeight="1" x14ac:dyDescent="0.3">
      <c r="A279" s="150" t="s">
        <v>645</v>
      </c>
      <c r="B279" s="50" t="s">
        <v>227</v>
      </c>
      <c r="C279" s="51" t="s">
        <v>181</v>
      </c>
      <c r="D279" s="87" t="s">
        <v>292</v>
      </c>
      <c r="E279" s="126">
        <f>1.5*0.4*4</f>
        <v>2.4000000000000004</v>
      </c>
      <c r="F279" s="79">
        <f>BPU!E279</f>
        <v>0</v>
      </c>
      <c r="G279" s="95">
        <f t="shared" si="6"/>
        <v>0</v>
      </c>
    </row>
    <row r="280" spans="1:7" ht="18.600000000000001" customHeight="1" x14ac:dyDescent="0.3">
      <c r="A280" s="150" t="s">
        <v>646</v>
      </c>
      <c r="B280" s="50" t="s">
        <v>228</v>
      </c>
      <c r="C280" s="51" t="s">
        <v>181</v>
      </c>
      <c r="D280" s="87" t="s">
        <v>292</v>
      </c>
      <c r="E280" s="126">
        <v>0</v>
      </c>
      <c r="F280" s="79">
        <f>BPU!E280</f>
        <v>0</v>
      </c>
      <c r="G280" s="95">
        <f t="shared" si="6"/>
        <v>0</v>
      </c>
    </row>
    <row r="281" spans="1:7" ht="18.600000000000001" customHeight="1" x14ac:dyDescent="0.3">
      <c r="A281" s="52" t="s">
        <v>647</v>
      </c>
      <c r="B281" s="46" t="s">
        <v>172</v>
      </c>
      <c r="C281" s="52"/>
      <c r="D281" s="87"/>
      <c r="E281" s="126"/>
      <c r="F281" s="79">
        <f>BPU!E281</f>
        <v>0</v>
      </c>
      <c r="G281" s="95">
        <f t="shared" si="6"/>
        <v>0</v>
      </c>
    </row>
    <row r="282" spans="1:7" ht="18.600000000000001" customHeight="1" x14ac:dyDescent="0.3">
      <c r="A282" s="150" t="s">
        <v>648</v>
      </c>
      <c r="B282" s="50" t="s">
        <v>231</v>
      </c>
      <c r="C282" s="51" t="s">
        <v>181</v>
      </c>
      <c r="D282" s="87" t="s">
        <v>292</v>
      </c>
      <c r="E282" s="126">
        <v>0</v>
      </c>
      <c r="F282" s="79">
        <f>BPU!E282</f>
        <v>0</v>
      </c>
      <c r="G282" s="95">
        <f t="shared" si="6"/>
        <v>0</v>
      </c>
    </row>
    <row r="283" spans="1:7" ht="18.600000000000001" customHeight="1" x14ac:dyDescent="0.3">
      <c r="A283" s="150" t="s">
        <v>649</v>
      </c>
      <c r="B283" s="50" t="s">
        <v>232</v>
      </c>
      <c r="C283" s="51" t="s">
        <v>181</v>
      </c>
      <c r="D283" s="87" t="s">
        <v>292</v>
      </c>
      <c r="E283" s="126">
        <f>11.6*2.6</f>
        <v>30.16</v>
      </c>
      <c r="F283" s="79">
        <f>BPU!E283</f>
        <v>0</v>
      </c>
      <c r="G283" s="95">
        <f t="shared" si="6"/>
        <v>0</v>
      </c>
    </row>
    <row r="284" spans="1:7" ht="28.2" customHeight="1" x14ac:dyDescent="0.3">
      <c r="A284" s="150" t="s">
        <v>650</v>
      </c>
      <c r="B284" s="50" t="s">
        <v>233</v>
      </c>
      <c r="C284" s="51" t="s">
        <v>181</v>
      </c>
      <c r="D284" s="87" t="s">
        <v>292</v>
      </c>
      <c r="E284" s="126">
        <f>+(11.6+2.6)*1.5</f>
        <v>21.299999999999997</v>
      </c>
      <c r="F284" s="79">
        <f>BPU!E284</f>
        <v>0</v>
      </c>
      <c r="G284" s="95">
        <f t="shared" si="6"/>
        <v>0</v>
      </c>
    </row>
    <row r="285" spans="1:7" ht="18.600000000000001" customHeight="1" x14ac:dyDescent="0.3">
      <c r="A285" s="150" t="s">
        <v>651</v>
      </c>
      <c r="B285" s="50" t="s">
        <v>234</v>
      </c>
      <c r="C285" s="51" t="s">
        <v>181</v>
      </c>
      <c r="D285" s="87" t="s">
        <v>292</v>
      </c>
      <c r="E285" s="126">
        <v>0</v>
      </c>
      <c r="F285" s="79">
        <f>BPU!E285</f>
        <v>0</v>
      </c>
      <c r="G285" s="95">
        <f t="shared" si="6"/>
        <v>0</v>
      </c>
    </row>
    <row r="286" spans="1:7" ht="18.600000000000001" customHeight="1" x14ac:dyDescent="0.3">
      <c r="A286" s="52" t="s">
        <v>652</v>
      </c>
      <c r="B286" s="46" t="s">
        <v>173</v>
      </c>
      <c r="C286" s="52"/>
      <c r="D286" s="87"/>
      <c r="E286" s="126"/>
      <c r="F286" s="79">
        <f>BPU!E286</f>
        <v>0</v>
      </c>
      <c r="G286" s="95">
        <f t="shared" si="6"/>
        <v>0</v>
      </c>
    </row>
    <row r="287" spans="1:7" ht="18.600000000000001" customHeight="1" x14ac:dyDescent="0.3">
      <c r="A287" s="150" t="s">
        <v>653</v>
      </c>
      <c r="B287" s="50" t="s">
        <v>259</v>
      </c>
      <c r="C287" s="51" t="s">
        <v>181</v>
      </c>
      <c r="D287" s="87" t="s">
        <v>292</v>
      </c>
      <c r="E287" s="126">
        <v>0</v>
      </c>
      <c r="F287" s="79">
        <f>BPU!E287</f>
        <v>0</v>
      </c>
      <c r="G287" s="95">
        <f t="shared" si="6"/>
        <v>0</v>
      </c>
    </row>
    <row r="288" spans="1:7" ht="18.600000000000001" customHeight="1" x14ac:dyDescent="0.3">
      <c r="A288" s="150" t="s">
        <v>654</v>
      </c>
      <c r="B288" s="50" t="s">
        <v>235</v>
      </c>
      <c r="C288" s="51" t="s">
        <v>181</v>
      </c>
      <c r="D288" s="87" t="s">
        <v>292</v>
      </c>
      <c r="E288" s="126">
        <f>+(11.6+2.6)*4*2</f>
        <v>113.6</v>
      </c>
      <c r="F288" s="79">
        <f>BPU!E288</f>
        <v>0</v>
      </c>
      <c r="G288" s="95">
        <f t="shared" si="6"/>
        <v>0</v>
      </c>
    </row>
    <row r="289" spans="1:7" ht="18.600000000000001" customHeight="1" x14ac:dyDescent="0.3">
      <c r="A289" s="150" t="s">
        <v>655</v>
      </c>
      <c r="B289" s="50" t="s">
        <v>236</v>
      </c>
      <c r="C289" s="51" t="s">
        <v>181</v>
      </c>
      <c r="D289" s="87" t="s">
        <v>292</v>
      </c>
      <c r="E289" s="126">
        <v>0</v>
      </c>
      <c r="F289" s="79">
        <f>BPU!E289</f>
        <v>0</v>
      </c>
      <c r="G289" s="95">
        <f t="shared" si="6"/>
        <v>0</v>
      </c>
    </row>
    <row r="290" spans="1:7" ht="18.600000000000001" customHeight="1" x14ac:dyDescent="0.3">
      <c r="A290" s="150" t="s">
        <v>656</v>
      </c>
      <c r="B290" s="50" t="s">
        <v>237</v>
      </c>
      <c r="C290" s="51" t="s">
        <v>181</v>
      </c>
      <c r="D290" s="87" t="s">
        <v>292</v>
      </c>
      <c r="E290" s="126">
        <v>0</v>
      </c>
      <c r="F290" s="79">
        <f>BPU!E290</f>
        <v>0</v>
      </c>
      <c r="G290" s="95">
        <f t="shared" si="6"/>
        <v>0</v>
      </c>
    </row>
    <row r="291" spans="1:7" ht="18.600000000000001" customHeight="1" x14ac:dyDescent="0.3">
      <c r="A291" s="150" t="s">
        <v>657</v>
      </c>
      <c r="B291" s="50" t="s">
        <v>238</v>
      </c>
      <c r="C291" s="51" t="s">
        <v>181</v>
      </c>
      <c r="D291" s="87" t="s">
        <v>292</v>
      </c>
      <c r="E291" s="126">
        <v>0</v>
      </c>
      <c r="F291" s="79">
        <f>BPU!E291</f>
        <v>0</v>
      </c>
      <c r="G291" s="95">
        <f t="shared" si="6"/>
        <v>0</v>
      </c>
    </row>
    <row r="292" spans="1:7" ht="18.600000000000001" customHeight="1" x14ac:dyDescent="0.3">
      <c r="A292" s="150" t="s">
        <v>658</v>
      </c>
      <c r="B292" s="50" t="s">
        <v>179</v>
      </c>
      <c r="C292" s="51" t="s">
        <v>181</v>
      </c>
      <c r="D292" s="87" t="s">
        <v>292</v>
      </c>
      <c r="E292" s="126">
        <f>+(2.6*4)+(11.6*2)</f>
        <v>33.6</v>
      </c>
      <c r="F292" s="79">
        <f>BPU!E292</f>
        <v>0</v>
      </c>
      <c r="G292" s="95">
        <f t="shared" si="6"/>
        <v>0</v>
      </c>
    </row>
    <row r="293" spans="1:7" ht="18.600000000000001" customHeight="1" x14ac:dyDescent="0.3">
      <c r="A293" s="150" t="s">
        <v>659</v>
      </c>
      <c r="B293" s="50" t="s">
        <v>239</v>
      </c>
      <c r="C293" s="51" t="s">
        <v>181</v>
      </c>
      <c r="D293" s="87" t="s">
        <v>292</v>
      </c>
      <c r="E293" s="126">
        <v>0</v>
      </c>
      <c r="F293" s="79">
        <f>BPU!E293</f>
        <v>0</v>
      </c>
      <c r="G293" s="95">
        <f t="shared" si="6"/>
        <v>0</v>
      </c>
    </row>
    <row r="294" spans="1:7" ht="18.600000000000001" customHeight="1" x14ac:dyDescent="0.3">
      <c r="A294" s="52" t="s">
        <v>660</v>
      </c>
      <c r="B294" s="46" t="s">
        <v>174</v>
      </c>
      <c r="C294" s="52"/>
      <c r="D294" s="87"/>
      <c r="E294" s="126"/>
      <c r="F294" s="79">
        <f>BPU!E294</f>
        <v>0</v>
      </c>
      <c r="G294" s="95">
        <f t="shared" si="6"/>
        <v>0</v>
      </c>
    </row>
    <row r="295" spans="1:7" ht="18.600000000000001" customHeight="1" x14ac:dyDescent="0.3">
      <c r="A295" s="150" t="s">
        <v>661</v>
      </c>
      <c r="B295" s="50" t="s">
        <v>240</v>
      </c>
      <c r="C295" s="51" t="s">
        <v>181</v>
      </c>
      <c r="D295" s="87" t="s">
        <v>292</v>
      </c>
      <c r="E295" s="126">
        <f>+(1.5+1.6)*1.2</f>
        <v>3.7199999999999998</v>
      </c>
      <c r="F295" s="79">
        <f>BPU!E295</f>
        <v>0</v>
      </c>
      <c r="G295" s="95">
        <f t="shared" si="6"/>
        <v>0</v>
      </c>
    </row>
    <row r="296" spans="1:7" ht="18.600000000000001" customHeight="1" x14ac:dyDescent="0.3">
      <c r="A296" s="150" t="s">
        <v>662</v>
      </c>
      <c r="B296" s="50" t="s">
        <v>241</v>
      </c>
      <c r="C296" s="51" t="s">
        <v>181</v>
      </c>
      <c r="D296" s="87" t="s">
        <v>292</v>
      </c>
      <c r="E296" s="126">
        <v>0</v>
      </c>
      <c r="F296" s="79">
        <f>BPU!E296</f>
        <v>0</v>
      </c>
      <c r="G296" s="95">
        <f t="shared" si="6"/>
        <v>0</v>
      </c>
    </row>
    <row r="297" spans="1:7" ht="18.600000000000001" customHeight="1" x14ac:dyDescent="0.3">
      <c r="A297" s="150" t="s">
        <v>663</v>
      </c>
      <c r="B297" s="50" t="s">
        <v>242</v>
      </c>
      <c r="C297" s="51" t="s">
        <v>181</v>
      </c>
      <c r="D297" s="87" t="s">
        <v>292</v>
      </c>
      <c r="E297" s="126">
        <v>0</v>
      </c>
      <c r="F297" s="79">
        <f>BPU!E297</f>
        <v>0</v>
      </c>
      <c r="G297" s="95">
        <f t="shared" si="6"/>
        <v>0</v>
      </c>
    </row>
    <row r="298" spans="1:7" ht="18.600000000000001" customHeight="1" x14ac:dyDescent="0.3">
      <c r="A298" s="150" t="s">
        <v>664</v>
      </c>
      <c r="B298" s="50" t="s">
        <v>243</v>
      </c>
      <c r="C298" s="51" t="s">
        <v>181</v>
      </c>
      <c r="D298" s="87" t="s">
        <v>292</v>
      </c>
      <c r="E298" s="126">
        <v>0</v>
      </c>
      <c r="F298" s="79">
        <f>BPU!E298</f>
        <v>0</v>
      </c>
      <c r="G298" s="95">
        <f t="shared" si="6"/>
        <v>0</v>
      </c>
    </row>
    <row r="299" spans="1:7" ht="18.600000000000001" customHeight="1" x14ac:dyDescent="0.3">
      <c r="A299" s="150" t="s">
        <v>665</v>
      </c>
      <c r="B299" s="50" t="s">
        <v>244</v>
      </c>
      <c r="C299" s="51" t="s">
        <v>181</v>
      </c>
      <c r="D299" s="87" t="s">
        <v>292</v>
      </c>
      <c r="E299" s="126">
        <v>0</v>
      </c>
      <c r="F299" s="79">
        <f>BPU!E299</f>
        <v>0</v>
      </c>
      <c r="G299" s="95">
        <f t="shared" si="6"/>
        <v>0</v>
      </c>
    </row>
    <row r="300" spans="1:7" ht="18.600000000000001" customHeight="1" x14ac:dyDescent="0.3">
      <c r="A300" s="150" t="s">
        <v>666</v>
      </c>
      <c r="B300" s="50" t="s">
        <v>245</v>
      </c>
      <c r="C300" s="51" t="s">
        <v>181</v>
      </c>
      <c r="D300" s="87" t="s">
        <v>292</v>
      </c>
      <c r="E300" s="126">
        <f>0.9*2.1*4</f>
        <v>7.5600000000000005</v>
      </c>
      <c r="F300" s="79">
        <f>BPU!E300</f>
        <v>0</v>
      </c>
      <c r="G300" s="95">
        <f t="shared" si="6"/>
        <v>0</v>
      </c>
    </row>
    <row r="301" spans="1:7" ht="18.600000000000001" customHeight="1" x14ac:dyDescent="0.3">
      <c r="A301" s="150" t="s">
        <v>667</v>
      </c>
      <c r="B301" s="50" t="s">
        <v>246</v>
      </c>
      <c r="C301" s="51" t="s">
        <v>181</v>
      </c>
      <c r="D301" s="87" t="s">
        <v>292</v>
      </c>
      <c r="E301" s="126">
        <v>0</v>
      </c>
      <c r="F301" s="79">
        <f>BPU!E301</f>
        <v>0</v>
      </c>
      <c r="G301" s="95">
        <f t="shared" si="6"/>
        <v>0</v>
      </c>
    </row>
    <row r="302" spans="1:7" ht="18.600000000000001" customHeight="1" x14ac:dyDescent="0.3">
      <c r="A302" s="150" t="s">
        <v>668</v>
      </c>
      <c r="B302" s="50" t="s">
        <v>247</v>
      </c>
      <c r="C302" s="51" t="s">
        <v>181</v>
      </c>
      <c r="D302" s="87" t="s">
        <v>292</v>
      </c>
      <c r="E302" s="126">
        <v>0</v>
      </c>
      <c r="F302" s="79">
        <f>BPU!E302</f>
        <v>0</v>
      </c>
      <c r="G302" s="95">
        <f t="shared" si="6"/>
        <v>0</v>
      </c>
    </row>
    <row r="303" spans="1:7" ht="18.600000000000001" customHeight="1" x14ac:dyDescent="0.3">
      <c r="A303" s="150" t="s">
        <v>669</v>
      </c>
      <c r="B303" s="50" t="s">
        <v>194</v>
      </c>
      <c r="C303" s="51" t="s">
        <v>181</v>
      </c>
      <c r="D303" s="87" t="s">
        <v>292</v>
      </c>
      <c r="E303" s="126">
        <v>0</v>
      </c>
      <c r="F303" s="79">
        <f>BPU!E303</f>
        <v>0</v>
      </c>
      <c r="G303" s="95">
        <f t="shared" si="6"/>
        <v>0</v>
      </c>
    </row>
    <row r="304" spans="1:7" ht="18.600000000000001" customHeight="1" x14ac:dyDescent="0.3">
      <c r="A304" s="52" t="s">
        <v>670</v>
      </c>
      <c r="B304" s="46" t="s">
        <v>175</v>
      </c>
      <c r="C304" s="52"/>
      <c r="D304" s="87"/>
      <c r="E304" s="126"/>
      <c r="F304" s="79">
        <f>BPU!E304</f>
        <v>0</v>
      </c>
      <c r="G304" s="95">
        <f t="shared" si="6"/>
        <v>0</v>
      </c>
    </row>
    <row r="305" spans="1:7" ht="18.600000000000001" customHeight="1" x14ac:dyDescent="0.3">
      <c r="A305" s="150" t="s">
        <v>671</v>
      </c>
      <c r="B305" s="50" t="s">
        <v>180</v>
      </c>
      <c r="C305" s="51" t="s">
        <v>181</v>
      </c>
      <c r="D305" s="87" t="s">
        <v>292</v>
      </c>
      <c r="E305" s="126">
        <v>0</v>
      </c>
      <c r="F305" s="79">
        <f>BPU!E305</f>
        <v>0</v>
      </c>
      <c r="G305" s="95">
        <f t="shared" si="6"/>
        <v>0</v>
      </c>
    </row>
    <row r="306" spans="1:7" ht="18.600000000000001" customHeight="1" x14ac:dyDescent="0.3">
      <c r="A306" s="52" t="s">
        <v>672</v>
      </c>
      <c r="B306" s="46" t="s">
        <v>176</v>
      </c>
      <c r="C306" s="52"/>
      <c r="D306" s="87"/>
      <c r="E306" s="126"/>
      <c r="F306" s="79">
        <f>BPU!E306</f>
        <v>0</v>
      </c>
      <c r="G306" s="95">
        <f t="shared" si="6"/>
        <v>0</v>
      </c>
    </row>
    <row r="307" spans="1:7" ht="18.600000000000001" customHeight="1" x14ac:dyDescent="0.3">
      <c r="A307" s="150" t="s">
        <v>673</v>
      </c>
      <c r="B307" s="50" t="s">
        <v>257</v>
      </c>
      <c r="C307" s="51" t="s">
        <v>181</v>
      </c>
      <c r="D307" s="87" t="s">
        <v>292</v>
      </c>
      <c r="E307" s="126">
        <v>0</v>
      </c>
      <c r="F307" s="79">
        <f>BPU!E307</f>
        <v>0</v>
      </c>
      <c r="G307" s="95">
        <f t="shared" si="6"/>
        <v>0</v>
      </c>
    </row>
    <row r="308" spans="1:7" ht="18.600000000000001" customHeight="1" x14ac:dyDescent="0.3">
      <c r="A308" s="150" t="s">
        <v>674</v>
      </c>
      <c r="B308" s="50" t="s">
        <v>253</v>
      </c>
      <c r="C308" s="51" t="s">
        <v>17</v>
      </c>
      <c r="D308" s="87" t="s">
        <v>292</v>
      </c>
      <c r="E308" s="126">
        <v>0</v>
      </c>
      <c r="F308" s="79">
        <f>BPU!E308</f>
        <v>0</v>
      </c>
      <c r="G308" s="95">
        <f t="shared" si="6"/>
        <v>0</v>
      </c>
    </row>
    <row r="309" spans="1:7" ht="18.600000000000001" customHeight="1" x14ac:dyDescent="0.3">
      <c r="A309" s="150" t="s">
        <v>675</v>
      </c>
      <c r="B309" s="50" t="s">
        <v>252</v>
      </c>
      <c r="C309" s="51" t="s">
        <v>17</v>
      </c>
      <c r="D309" s="87" t="s">
        <v>292</v>
      </c>
      <c r="E309" s="126">
        <f>3.2*5</f>
        <v>16</v>
      </c>
      <c r="F309" s="79">
        <f>BPU!E309</f>
        <v>0</v>
      </c>
      <c r="G309" s="95">
        <f t="shared" si="6"/>
        <v>0</v>
      </c>
    </row>
    <row r="310" spans="1:7" ht="18.600000000000001" customHeight="1" x14ac:dyDescent="0.3">
      <c r="A310" s="150" t="s">
        <v>676</v>
      </c>
      <c r="B310" s="50" t="s">
        <v>254</v>
      </c>
      <c r="C310" s="51" t="s">
        <v>17</v>
      </c>
      <c r="D310" s="87" t="s">
        <v>292</v>
      </c>
      <c r="E310" s="126">
        <v>0</v>
      </c>
      <c r="F310" s="79">
        <f>BPU!E310</f>
        <v>0</v>
      </c>
      <c r="G310" s="95">
        <f t="shared" ref="G310:G374" si="7">E310*F310</f>
        <v>0</v>
      </c>
    </row>
    <row r="311" spans="1:7" ht="18.600000000000001" customHeight="1" x14ac:dyDescent="0.3">
      <c r="A311" s="150" t="s">
        <v>677</v>
      </c>
      <c r="B311" s="50" t="s">
        <v>255</v>
      </c>
      <c r="C311" s="51" t="s">
        <v>17</v>
      </c>
      <c r="D311" s="87" t="s">
        <v>292</v>
      </c>
      <c r="E311" s="126">
        <f>112.2*3</f>
        <v>336.6</v>
      </c>
      <c r="F311" s="79">
        <f>BPU!E311</f>
        <v>0</v>
      </c>
      <c r="G311" s="95">
        <f t="shared" si="7"/>
        <v>0</v>
      </c>
    </row>
    <row r="312" spans="1:7" ht="28.8" customHeight="1" x14ac:dyDescent="0.3">
      <c r="A312" s="150" t="s">
        <v>678</v>
      </c>
      <c r="B312" s="50" t="s">
        <v>251</v>
      </c>
      <c r="C312" s="51" t="s">
        <v>17</v>
      </c>
      <c r="D312" s="87" t="s">
        <v>292</v>
      </c>
      <c r="E312" s="126">
        <v>0</v>
      </c>
      <c r="F312" s="79">
        <f>BPU!E312</f>
        <v>0</v>
      </c>
      <c r="G312" s="95">
        <f t="shared" si="7"/>
        <v>0</v>
      </c>
    </row>
    <row r="313" spans="1:7" x14ac:dyDescent="0.3">
      <c r="A313" s="150" t="s">
        <v>679</v>
      </c>
      <c r="B313" s="50" t="s">
        <v>256</v>
      </c>
      <c r="C313" s="51" t="s">
        <v>181</v>
      </c>
      <c r="D313" s="87" t="s">
        <v>292</v>
      </c>
      <c r="E313" s="126">
        <f>12.6*3.2*1.25</f>
        <v>50.4</v>
      </c>
      <c r="F313" s="79">
        <f>BPU!E313</f>
        <v>0</v>
      </c>
      <c r="G313" s="95">
        <f t="shared" si="7"/>
        <v>0</v>
      </c>
    </row>
    <row r="314" spans="1:7" x14ac:dyDescent="0.3">
      <c r="A314" s="150" t="s">
        <v>680</v>
      </c>
      <c r="B314" s="50" t="s">
        <v>258</v>
      </c>
      <c r="C314" s="51" t="s">
        <v>17</v>
      </c>
      <c r="D314" s="87" t="s">
        <v>292</v>
      </c>
      <c r="E314" s="126">
        <v>0</v>
      </c>
      <c r="F314" s="79">
        <f>BPU!E314</f>
        <v>0</v>
      </c>
      <c r="G314" s="95">
        <f t="shared" si="7"/>
        <v>0</v>
      </c>
    </row>
    <row r="315" spans="1:7" ht="18.600000000000001" customHeight="1" x14ac:dyDescent="0.3">
      <c r="A315" s="150" t="s">
        <v>681</v>
      </c>
      <c r="B315" s="50" t="s">
        <v>193</v>
      </c>
      <c r="C315" s="51" t="s">
        <v>181</v>
      </c>
      <c r="D315" s="87" t="s">
        <v>292</v>
      </c>
      <c r="E315" s="126">
        <v>0</v>
      </c>
      <c r="F315" s="79">
        <f>BPU!E315</f>
        <v>0</v>
      </c>
      <c r="G315" s="95">
        <f t="shared" si="7"/>
        <v>0</v>
      </c>
    </row>
    <row r="316" spans="1:7" x14ac:dyDescent="0.3">
      <c r="A316" s="150" t="s">
        <v>682</v>
      </c>
      <c r="B316" s="50" t="s">
        <v>192</v>
      </c>
      <c r="C316" s="51" t="s">
        <v>181</v>
      </c>
      <c r="D316" s="87" t="s">
        <v>292</v>
      </c>
      <c r="E316" s="126">
        <v>0</v>
      </c>
      <c r="F316" s="79">
        <f>BPU!E316</f>
        <v>0</v>
      </c>
      <c r="G316" s="95">
        <f t="shared" si="7"/>
        <v>0</v>
      </c>
    </row>
    <row r="317" spans="1:7" ht="28.8" x14ac:dyDescent="0.3">
      <c r="A317" s="150" t="s">
        <v>683</v>
      </c>
      <c r="B317" s="50" t="s">
        <v>260</v>
      </c>
      <c r="C317" s="51" t="s">
        <v>181</v>
      </c>
      <c r="D317" s="87" t="s">
        <v>292</v>
      </c>
      <c r="E317" s="126">
        <v>0</v>
      </c>
      <c r="F317" s="79">
        <f>BPU!E317</f>
        <v>0</v>
      </c>
      <c r="G317" s="95">
        <f t="shared" si="7"/>
        <v>0</v>
      </c>
    </row>
    <row r="318" spans="1:7" ht="18.600000000000001" customHeight="1" x14ac:dyDescent="0.3">
      <c r="A318" s="52" t="s">
        <v>684</v>
      </c>
      <c r="B318" s="46" t="s">
        <v>177</v>
      </c>
      <c r="C318" s="52"/>
      <c r="D318" s="87"/>
      <c r="E318" s="126"/>
      <c r="F318" s="79">
        <f>BPU!E318</f>
        <v>0</v>
      </c>
      <c r="G318" s="95">
        <f t="shared" si="7"/>
        <v>0</v>
      </c>
    </row>
    <row r="319" spans="1:7" x14ac:dyDescent="0.3">
      <c r="A319" s="150" t="s">
        <v>685</v>
      </c>
      <c r="B319" s="50" t="s">
        <v>182</v>
      </c>
      <c r="C319" s="51" t="s">
        <v>181</v>
      </c>
      <c r="D319" s="87" t="s">
        <v>292</v>
      </c>
      <c r="E319" s="126">
        <v>0</v>
      </c>
      <c r="F319" s="79">
        <f>BPU!E319</f>
        <v>0</v>
      </c>
      <c r="G319" s="95">
        <f t="shared" si="7"/>
        <v>0</v>
      </c>
    </row>
    <row r="320" spans="1:7" x14ac:dyDescent="0.3">
      <c r="A320" s="150" t="s">
        <v>686</v>
      </c>
      <c r="B320" s="50" t="s">
        <v>403</v>
      </c>
      <c r="C320" s="51" t="s">
        <v>181</v>
      </c>
      <c r="D320" s="87" t="s">
        <v>292</v>
      </c>
      <c r="E320" s="126">
        <v>0</v>
      </c>
      <c r="F320" s="79">
        <f>BPU!E320</f>
        <v>0</v>
      </c>
      <c r="G320" s="95">
        <f t="shared" si="7"/>
        <v>0</v>
      </c>
    </row>
    <row r="321" spans="1:23" x14ac:dyDescent="0.3">
      <c r="A321" s="150" t="s">
        <v>687</v>
      </c>
      <c r="B321" s="50" t="s">
        <v>183</v>
      </c>
      <c r="C321" s="51" t="s">
        <v>181</v>
      </c>
      <c r="D321" s="87" t="s">
        <v>292</v>
      </c>
      <c r="E321" s="126">
        <v>0</v>
      </c>
      <c r="F321" s="79">
        <f>BPU!E321</f>
        <v>0</v>
      </c>
      <c r="G321" s="95">
        <f t="shared" si="7"/>
        <v>0</v>
      </c>
    </row>
    <row r="322" spans="1:23" x14ac:dyDescent="0.3">
      <c r="A322" s="150" t="s">
        <v>688</v>
      </c>
      <c r="B322" s="50" t="s">
        <v>184</v>
      </c>
      <c r="C322" s="51" t="s">
        <v>181</v>
      </c>
      <c r="D322" s="87" t="s">
        <v>292</v>
      </c>
      <c r="E322" s="126">
        <f>7.56*2</f>
        <v>15.12</v>
      </c>
      <c r="F322" s="79">
        <f>BPU!E322</f>
        <v>0</v>
      </c>
      <c r="G322" s="95">
        <f t="shared" si="7"/>
        <v>0</v>
      </c>
    </row>
    <row r="323" spans="1:23" ht="15" thickBot="1" x14ac:dyDescent="0.35">
      <c r="A323" s="150" t="s">
        <v>689</v>
      </c>
      <c r="B323" s="50" t="s">
        <v>185</v>
      </c>
      <c r="C323" s="51" t="s">
        <v>181</v>
      </c>
      <c r="D323" s="87" t="s">
        <v>292</v>
      </c>
      <c r="E323" s="126">
        <f>3.72*2</f>
        <v>7.44</v>
      </c>
      <c r="F323" s="79">
        <f>BPU!E323</f>
        <v>0</v>
      </c>
      <c r="G323" s="95">
        <f t="shared" si="7"/>
        <v>0</v>
      </c>
    </row>
    <row r="324" spans="1:23" s="98" customFormat="1" ht="15" thickBot="1" x14ac:dyDescent="0.35">
      <c r="A324" s="52"/>
      <c r="B324" s="96" t="s">
        <v>390</v>
      </c>
      <c r="C324" s="97"/>
      <c r="D324" s="97"/>
      <c r="E324" s="128"/>
      <c r="F324" s="145">
        <f>BPU!E324</f>
        <v>0</v>
      </c>
      <c r="G324" s="146">
        <f>SUM(G248:G323)</f>
        <v>0</v>
      </c>
      <c r="H324" s="138"/>
      <c r="J324" s="99"/>
      <c r="K324" s="75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100"/>
      <c r="W324" s="100"/>
    </row>
    <row r="325" spans="1:23" s="58" customFormat="1" ht="16.8" customHeight="1" x14ac:dyDescent="0.3">
      <c r="A325" s="70" t="s">
        <v>22</v>
      </c>
      <c r="B325" s="70" t="s">
        <v>44</v>
      </c>
      <c r="C325" s="52"/>
      <c r="D325" s="87"/>
      <c r="E325" s="126"/>
      <c r="F325" s="79">
        <f>BPU!E325</f>
        <v>0</v>
      </c>
      <c r="G325" s="95">
        <f t="shared" si="7"/>
        <v>0</v>
      </c>
      <c r="H325" s="136"/>
    </row>
    <row r="326" spans="1:23" ht="18.600000000000001" customHeight="1" x14ac:dyDescent="0.3">
      <c r="A326" s="52" t="s">
        <v>45</v>
      </c>
      <c r="B326" s="46" t="s">
        <v>161</v>
      </c>
      <c r="C326" s="52"/>
      <c r="D326" s="87"/>
      <c r="E326" s="126"/>
      <c r="F326" s="79">
        <f>BPU!E326</f>
        <v>0</v>
      </c>
      <c r="G326" s="95">
        <f t="shared" si="7"/>
        <v>0</v>
      </c>
    </row>
    <row r="327" spans="1:23" ht="28.8" customHeight="1" x14ac:dyDescent="0.3">
      <c r="A327" s="151" t="s">
        <v>690</v>
      </c>
      <c r="B327" s="153" t="s">
        <v>1308</v>
      </c>
      <c r="C327" s="51" t="s">
        <v>181</v>
      </c>
      <c r="D327" s="87" t="s">
        <v>292</v>
      </c>
      <c r="E327" s="126">
        <f>363*0.1</f>
        <v>36.300000000000004</v>
      </c>
      <c r="F327" s="79">
        <f>BPU!E327</f>
        <v>0</v>
      </c>
      <c r="G327" s="95">
        <f t="shared" si="7"/>
        <v>0</v>
      </c>
    </row>
    <row r="328" spans="1:23" ht="18.600000000000001" customHeight="1" x14ac:dyDescent="0.3">
      <c r="A328" s="151" t="s">
        <v>691</v>
      </c>
      <c r="B328" s="52" t="s">
        <v>196</v>
      </c>
      <c r="C328" s="51" t="s">
        <v>17</v>
      </c>
      <c r="D328" s="87" t="s">
        <v>292</v>
      </c>
      <c r="E328" s="126">
        <v>0</v>
      </c>
      <c r="F328" s="79">
        <f>BPU!E328</f>
        <v>0</v>
      </c>
      <c r="G328" s="95">
        <f t="shared" si="7"/>
        <v>0</v>
      </c>
    </row>
    <row r="329" spans="1:23" ht="18.600000000000001" customHeight="1" x14ac:dyDescent="0.3">
      <c r="A329" s="151" t="s">
        <v>692</v>
      </c>
      <c r="B329" s="52" t="s">
        <v>210</v>
      </c>
      <c r="C329" s="51" t="s">
        <v>197</v>
      </c>
      <c r="D329" s="87" t="s">
        <v>292</v>
      </c>
      <c r="E329" s="126">
        <v>0</v>
      </c>
      <c r="F329" s="79">
        <f>BPU!E329</f>
        <v>0</v>
      </c>
      <c r="G329" s="95">
        <f t="shared" si="7"/>
        <v>0</v>
      </c>
    </row>
    <row r="330" spans="1:23" ht="18.600000000000001" customHeight="1" x14ac:dyDescent="0.3">
      <c r="A330" s="151" t="s">
        <v>693</v>
      </c>
      <c r="B330" s="52" t="s">
        <v>209</v>
      </c>
      <c r="C330" s="51" t="s">
        <v>197</v>
      </c>
      <c r="D330" s="87" t="s">
        <v>292</v>
      </c>
      <c r="E330" s="126">
        <v>0</v>
      </c>
      <c r="F330" s="79">
        <f>BPU!E330</f>
        <v>0</v>
      </c>
      <c r="G330" s="95">
        <f t="shared" si="7"/>
        <v>0</v>
      </c>
    </row>
    <row r="331" spans="1:23" ht="18.600000000000001" customHeight="1" x14ac:dyDescent="0.3">
      <c r="A331" s="151" t="s">
        <v>694</v>
      </c>
      <c r="B331" s="52" t="s">
        <v>199</v>
      </c>
      <c r="C331" s="51" t="s">
        <v>181</v>
      </c>
      <c r="D331" s="87" t="s">
        <v>292</v>
      </c>
      <c r="E331" s="126">
        <v>0</v>
      </c>
      <c r="F331" s="79">
        <f>BPU!E331</f>
        <v>0</v>
      </c>
      <c r="G331" s="95">
        <f t="shared" si="7"/>
        <v>0</v>
      </c>
    </row>
    <row r="332" spans="1:23" ht="18.600000000000001" customHeight="1" x14ac:dyDescent="0.3">
      <c r="A332" s="151" t="s">
        <v>695</v>
      </c>
      <c r="B332" s="52" t="s">
        <v>293</v>
      </c>
      <c r="C332" s="51" t="s">
        <v>181</v>
      </c>
      <c r="D332" s="87" t="s">
        <v>292</v>
      </c>
      <c r="E332" s="126">
        <v>0</v>
      </c>
      <c r="F332" s="79">
        <f>BPU!E332</f>
        <v>0</v>
      </c>
      <c r="G332" s="95">
        <f t="shared" si="7"/>
        <v>0</v>
      </c>
    </row>
    <row r="333" spans="1:23" ht="28.2" customHeight="1" x14ac:dyDescent="0.3">
      <c r="A333" s="151" t="s">
        <v>696</v>
      </c>
      <c r="B333" s="61" t="s">
        <v>198</v>
      </c>
      <c r="C333" s="51" t="s">
        <v>79</v>
      </c>
      <c r="D333" s="87" t="s">
        <v>158</v>
      </c>
      <c r="E333" s="126">
        <v>0</v>
      </c>
      <c r="F333" s="79">
        <f>BPU!E333</f>
        <v>0</v>
      </c>
      <c r="G333" s="95">
        <f t="shared" si="7"/>
        <v>0</v>
      </c>
    </row>
    <row r="334" spans="1:23" ht="18.600000000000001" customHeight="1" x14ac:dyDescent="0.3">
      <c r="A334" s="52" t="s">
        <v>139</v>
      </c>
      <c r="B334" s="46" t="s">
        <v>208</v>
      </c>
      <c r="C334" s="51"/>
      <c r="D334" s="87"/>
      <c r="E334" s="126"/>
      <c r="F334" s="79">
        <f>BPU!E334</f>
        <v>0</v>
      </c>
      <c r="G334" s="95">
        <f t="shared" si="7"/>
        <v>0</v>
      </c>
    </row>
    <row r="335" spans="1:23" x14ac:dyDescent="0.3">
      <c r="A335" s="150" t="s">
        <v>697</v>
      </c>
      <c r="B335" s="52" t="s">
        <v>211</v>
      </c>
      <c r="C335" s="51" t="s">
        <v>230</v>
      </c>
      <c r="D335" s="87" t="s">
        <v>292</v>
      </c>
      <c r="E335" s="126">
        <v>0</v>
      </c>
      <c r="F335" s="79">
        <f>BPU!E335</f>
        <v>0</v>
      </c>
      <c r="G335" s="95">
        <f t="shared" si="7"/>
        <v>0</v>
      </c>
    </row>
    <row r="336" spans="1:23" x14ac:dyDescent="0.3">
      <c r="A336" s="150" t="s">
        <v>698</v>
      </c>
      <c r="B336" s="52" t="s">
        <v>212</v>
      </c>
      <c r="C336" s="51" t="s">
        <v>230</v>
      </c>
      <c r="D336" s="87" t="s">
        <v>292</v>
      </c>
      <c r="E336" s="126">
        <v>0</v>
      </c>
      <c r="F336" s="79">
        <f>BPU!E336</f>
        <v>0</v>
      </c>
      <c r="G336" s="95">
        <f t="shared" si="7"/>
        <v>0</v>
      </c>
    </row>
    <row r="337" spans="1:8" ht="18.600000000000001" customHeight="1" x14ac:dyDescent="0.3">
      <c r="A337" s="52" t="s">
        <v>699</v>
      </c>
      <c r="B337" s="46" t="s">
        <v>168</v>
      </c>
      <c r="C337" s="52"/>
      <c r="D337" s="87"/>
      <c r="E337" s="126"/>
      <c r="F337" s="79">
        <f>BPU!E337</f>
        <v>0</v>
      </c>
      <c r="G337" s="95">
        <f t="shared" si="7"/>
        <v>0</v>
      </c>
    </row>
    <row r="338" spans="1:8" s="65" customFormat="1" x14ac:dyDescent="0.3">
      <c r="A338" s="150" t="s">
        <v>700</v>
      </c>
      <c r="B338" s="50" t="s">
        <v>213</v>
      </c>
      <c r="C338" s="51" t="s">
        <v>230</v>
      </c>
      <c r="D338" s="88" t="s">
        <v>292</v>
      </c>
      <c r="E338" s="130">
        <v>0</v>
      </c>
      <c r="F338" s="79">
        <f>BPU!E338</f>
        <v>0</v>
      </c>
      <c r="G338" s="95">
        <f t="shared" si="7"/>
        <v>0</v>
      </c>
      <c r="H338" s="66"/>
    </row>
    <row r="339" spans="1:8" s="65" customFormat="1" x14ac:dyDescent="0.3">
      <c r="A339" s="150" t="s">
        <v>701</v>
      </c>
      <c r="B339" s="50" t="s">
        <v>187</v>
      </c>
      <c r="C339" s="51" t="s">
        <v>230</v>
      </c>
      <c r="D339" s="88" t="s">
        <v>292</v>
      </c>
      <c r="E339" s="130">
        <v>0</v>
      </c>
      <c r="F339" s="79">
        <f>BPU!E339</f>
        <v>0</v>
      </c>
      <c r="G339" s="95">
        <f t="shared" si="7"/>
        <v>0</v>
      </c>
      <c r="H339" s="66"/>
    </row>
    <row r="340" spans="1:8" s="65" customFormat="1" x14ac:dyDescent="0.3">
      <c r="A340" s="150" t="s">
        <v>702</v>
      </c>
      <c r="B340" s="50" t="s">
        <v>214</v>
      </c>
      <c r="C340" s="51" t="s">
        <v>230</v>
      </c>
      <c r="D340" s="88" t="s">
        <v>292</v>
      </c>
      <c r="E340" s="130">
        <v>0</v>
      </c>
      <c r="F340" s="79">
        <f>BPU!E340</f>
        <v>0</v>
      </c>
      <c r="G340" s="95">
        <f t="shared" si="7"/>
        <v>0</v>
      </c>
      <c r="H340" s="66"/>
    </row>
    <row r="341" spans="1:8" s="65" customFormat="1" ht="26.4" customHeight="1" x14ac:dyDescent="0.3">
      <c r="A341" s="150" t="s">
        <v>703</v>
      </c>
      <c r="B341" s="50" t="s">
        <v>215</v>
      </c>
      <c r="C341" s="51" t="s">
        <v>230</v>
      </c>
      <c r="D341" s="88" t="s">
        <v>292</v>
      </c>
      <c r="E341" s="130">
        <v>0</v>
      </c>
      <c r="F341" s="79">
        <f>BPU!E341</f>
        <v>0</v>
      </c>
      <c r="G341" s="95">
        <f t="shared" si="7"/>
        <v>0</v>
      </c>
      <c r="H341" s="66"/>
    </row>
    <row r="342" spans="1:8" ht="18.600000000000001" customHeight="1" x14ac:dyDescent="0.3">
      <c r="A342" s="52" t="s">
        <v>704</v>
      </c>
      <c r="B342" s="46" t="s">
        <v>169</v>
      </c>
      <c r="C342" s="52"/>
      <c r="D342" s="87"/>
      <c r="E342" s="126"/>
      <c r="F342" s="79">
        <f>BPU!E342</f>
        <v>0</v>
      </c>
      <c r="G342" s="95">
        <f t="shared" si="7"/>
        <v>0</v>
      </c>
    </row>
    <row r="343" spans="1:8" ht="18.600000000000001" customHeight="1" x14ac:dyDescent="0.3">
      <c r="A343" s="150" t="s">
        <v>705</v>
      </c>
      <c r="B343" s="50" t="s">
        <v>216</v>
      </c>
      <c r="C343" s="51" t="s">
        <v>230</v>
      </c>
      <c r="D343" s="87" t="s">
        <v>292</v>
      </c>
      <c r="E343" s="126">
        <f>363*0.1*0.5</f>
        <v>18.150000000000002</v>
      </c>
      <c r="F343" s="79">
        <f>BPU!E343</f>
        <v>0</v>
      </c>
      <c r="G343" s="95">
        <f t="shared" si="7"/>
        <v>0</v>
      </c>
    </row>
    <row r="344" spans="1:8" ht="18.600000000000001" customHeight="1" x14ac:dyDescent="0.3">
      <c r="A344" s="150" t="s">
        <v>706</v>
      </c>
      <c r="B344" s="50" t="s">
        <v>217</v>
      </c>
      <c r="C344" s="51" t="s">
        <v>230</v>
      </c>
      <c r="D344" s="87" t="s">
        <v>292</v>
      </c>
      <c r="E344" s="126">
        <v>0</v>
      </c>
      <c r="F344" s="79">
        <f>BPU!E344</f>
        <v>0</v>
      </c>
      <c r="G344" s="95">
        <f t="shared" si="7"/>
        <v>0</v>
      </c>
    </row>
    <row r="345" spans="1:8" ht="18.600000000000001" customHeight="1" x14ac:dyDescent="0.3">
      <c r="A345" s="150" t="s">
        <v>707</v>
      </c>
      <c r="B345" s="50" t="s">
        <v>218</v>
      </c>
      <c r="C345" s="51" t="s">
        <v>230</v>
      </c>
      <c r="D345" s="87" t="s">
        <v>292</v>
      </c>
      <c r="E345" s="126">
        <v>0</v>
      </c>
      <c r="F345" s="79">
        <f>BPU!E345</f>
        <v>0</v>
      </c>
      <c r="G345" s="95">
        <f t="shared" si="7"/>
        <v>0</v>
      </c>
    </row>
    <row r="346" spans="1:8" ht="18.600000000000001" customHeight="1" x14ac:dyDescent="0.3">
      <c r="A346" s="150" t="s">
        <v>708</v>
      </c>
      <c r="B346" s="50" t="s">
        <v>219</v>
      </c>
      <c r="C346" s="51" t="s">
        <v>230</v>
      </c>
      <c r="D346" s="87" t="s">
        <v>292</v>
      </c>
      <c r="E346" s="126">
        <v>0</v>
      </c>
      <c r="F346" s="79">
        <f>BPU!E346</f>
        <v>0</v>
      </c>
      <c r="G346" s="95">
        <f t="shared" si="7"/>
        <v>0</v>
      </c>
    </row>
    <row r="347" spans="1:8" ht="18.600000000000001" customHeight="1" x14ac:dyDescent="0.3">
      <c r="A347" s="150" t="s">
        <v>709</v>
      </c>
      <c r="B347" s="50" t="s">
        <v>220</v>
      </c>
      <c r="C347" s="51" t="s">
        <v>230</v>
      </c>
      <c r="D347" s="87" t="s">
        <v>292</v>
      </c>
      <c r="E347" s="126">
        <v>0</v>
      </c>
      <c r="F347" s="79">
        <f>BPU!E347</f>
        <v>0</v>
      </c>
      <c r="G347" s="95">
        <f t="shared" si="7"/>
        <v>0</v>
      </c>
    </row>
    <row r="348" spans="1:8" ht="18.600000000000001" customHeight="1" x14ac:dyDescent="0.3">
      <c r="A348" s="150" t="s">
        <v>710</v>
      </c>
      <c r="B348" s="50" t="s">
        <v>221</v>
      </c>
      <c r="C348" s="51" t="s">
        <v>230</v>
      </c>
      <c r="D348" s="87" t="s">
        <v>292</v>
      </c>
      <c r="E348" s="126">
        <v>0</v>
      </c>
      <c r="F348" s="79">
        <f>BPU!E348</f>
        <v>0</v>
      </c>
      <c r="G348" s="95">
        <f t="shared" si="7"/>
        <v>0</v>
      </c>
    </row>
    <row r="349" spans="1:8" ht="18.600000000000001" customHeight="1" x14ac:dyDescent="0.3">
      <c r="A349" s="150" t="s">
        <v>711</v>
      </c>
      <c r="B349" s="50" t="s">
        <v>222</v>
      </c>
      <c r="C349" s="51" t="s">
        <v>230</v>
      </c>
      <c r="D349" s="87" t="s">
        <v>292</v>
      </c>
      <c r="E349" s="126">
        <v>0</v>
      </c>
      <c r="F349" s="79">
        <f>BPU!E349</f>
        <v>0</v>
      </c>
      <c r="G349" s="95">
        <f t="shared" si="7"/>
        <v>0</v>
      </c>
    </row>
    <row r="350" spans="1:8" ht="18.600000000000001" customHeight="1" x14ac:dyDescent="0.3">
      <c r="A350" s="52" t="s">
        <v>712</v>
      </c>
      <c r="B350" s="46" t="s">
        <v>170</v>
      </c>
      <c r="C350" s="52"/>
      <c r="D350" s="87"/>
      <c r="E350" s="126"/>
      <c r="F350" s="79">
        <f>BPU!E350</f>
        <v>0</v>
      </c>
      <c r="G350" s="95">
        <f t="shared" si="7"/>
        <v>0</v>
      </c>
    </row>
    <row r="351" spans="1:8" ht="18.600000000000001" customHeight="1" x14ac:dyDescent="0.3">
      <c r="A351" s="150" t="s">
        <v>713</v>
      </c>
      <c r="B351" s="50" t="s">
        <v>223</v>
      </c>
      <c r="C351" s="51" t="s">
        <v>230</v>
      </c>
      <c r="D351" s="87" t="s">
        <v>292</v>
      </c>
      <c r="E351" s="126">
        <v>0</v>
      </c>
      <c r="F351" s="79">
        <f>BPU!E351</f>
        <v>0</v>
      </c>
      <c r="G351" s="95">
        <f t="shared" si="7"/>
        <v>0</v>
      </c>
    </row>
    <row r="352" spans="1:8" ht="18.600000000000001" customHeight="1" x14ac:dyDescent="0.3">
      <c r="A352" s="150" t="s">
        <v>714</v>
      </c>
      <c r="B352" s="50" t="s">
        <v>224</v>
      </c>
      <c r="C352" s="51" t="s">
        <v>230</v>
      </c>
      <c r="D352" s="87" t="s">
        <v>292</v>
      </c>
      <c r="E352" s="126">
        <v>0</v>
      </c>
      <c r="F352" s="79">
        <f>BPU!E352</f>
        <v>0</v>
      </c>
      <c r="G352" s="95">
        <f t="shared" si="7"/>
        <v>0</v>
      </c>
    </row>
    <row r="353" spans="1:7" ht="18.600000000000001" customHeight="1" x14ac:dyDescent="0.3">
      <c r="A353" s="150" t="s">
        <v>715</v>
      </c>
      <c r="B353" s="50" t="s">
        <v>178</v>
      </c>
      <c r="C353" s="51" t="s">
        <v>230</v>
      </c>
      <c r="D353" s="87" t="s">
        <v>292</v>
      </c>
      <c r="E353" s="126">
        <f>363*0.25*0.5</f>
        <v>45.375</v>
      </c>
      <c r="F353" s="79">
        <f>BPU!E353</f>
        <v>0</v>
      </c>
      <c r="G353" s="95">
        <f t="shared" si="7"/>
        <v>0</v>
      </c>
    </row>
    <row r="354" spans="1:7" ht="18.600000000000001" customHeight="1" x14ac:dyDescent="0.3">
      <c r="A354" s="52" t="s">
        <v>716</v>
      </c>
      <c r="B354" s="46" t="s">
        <v>171</v>
      </c>
      <c r="C354" s="52"/>
      <c r="D354" s="87"/>
      <c r="E354" s="126"/>
      <c r="F354" s="79">
        <f>BPU!E354</f>
        <v>0</v>
      </c>
      <c r="G354" s="95">
        <f t="shared" si="7"/>
        <v>0</v>
      </c>
    </row>
    <row r="355" spans="1:7" ht="24.6" customHeight="1" x14ac:dyDescent="0.3">
      <c r="A355" s="150" t="s">
        <v>717</v>
      </c>
      <c r="B355" s="50" t="s">
        <v>229</v>
      </c>
      <c r="C355" s="51" t="s">
        <v>181</v>
      </c>
      <c r="D355" s="87" t="s">
        <v>292</v>
      </c>
      <c r="E355" s="126">
        <v>0</v>
      </c>
      <c r="F355" s="79">
        <f>BPU!E355</f>
        <v>0</v>
      </c>
      <c r="G355" s="95">
        <f t="shared" si="7"/>
        <v>0</v>
      </c>
    </row>
    <row r="356" spans="1:7" ht="18.600000000000001" customHeight="1" x14ac:dyDescent="0.3">
      <c r="A356" s="150" t="s">
        <v>718</v>
      </c>
      <c r="B356" s="50" t="s">
        <v>366</v>
      </c>
      <c r="C356" s="51" t="s">
        <v>181</v>
      </c>
      <c r="D356" s="87" t="s">
        <v>292</v>
      </c>
      <c r="E356" s="126"/>
      <c r="F356" s="79">
        <f>BPU!E356</f>
        <v>0</v>
      </c>
      <c r="G356" s="95">
        <f t="shared" ref="G356" si="8">E356*F356</f>
        <v>0</v>
      </c>
    </row>
    <row r="357" spans="1:7" ht="18.600000000000001" customHeight="1" x14ac:dyDescent="0.3">
      <c r="A357" s="150" t="s">
        <v>719</v>
      </c>
      <c r="B357" s="50" t="s">
        <v>225</v>
      </c>
      <c r="C357" s="51" t="s">
        <v>181</v>
      </c>
      <c r="D357" s="87" t="s">
        <v>292</v>
      </c>
      <c r="E357" s="126">
        <v>0</v>
      </c>
      <c r="F357" s="79">
        <f>BPU!E357</f>
        <v>0</v>
      </c>
      <c r="G357" s="95">
        <f t="shared" si="7"/>
        <v>0</v>
      </c>
    </row>
    <row r="358" spans="1:7" ht="18.600000000000001" customHeight="1" x14ac:dyDescent="0.3">
      <c r="A358" s="150" t="s">
        <v>720</v>
      </c>
      <c r="B358" s="50" t="s">
        <v>226</v>
      </c>
      <c r="C358" s="51" t="s">
        <v>181</v>
      </c>
      <c r="D358" s="87" t="s">
        <v>292</v>
      </c>
      <c r="E358" s="126">
        <v>0</v>
      </c>
      <c r="F358" s="79">
        <f>BPU!E358</f>
        <v>0</v>
      </c>
      <c r="G358" s="95">
        <f t="shared" si="7"/>
        <v>0</v>
      </c>
    </row>
    <row r="359" spans="1:7" ht="18.600000000000001" customHeight="1" x14ac:dyDescent="0.3">
      <c r="A359" s="150" t="s">
        <v>721</v>
      </c>
      <c r="B359" s="50" t="s">
        <v>227</v>
      </c>
      <c r="C359" s="51" t="s">
        <v>181</v>
      </c>
      <c r="D359" s="87" t="s">
        <v>292</v>
      </c>
      <c r="E359" s="126">
        <v>0</v>
      </c>
      <c r="F359" s="79">
        <f>BPU!E359</f>
        <v>0</v>
      </c>
      <c r="G359" s="95">
        <f t="shared" si="7"/>
        <v>0</v>
      </c>
    </row>
    <row r="360" spans="1:7" ht="18.600000000000001" customHeight="1" x14ac:dyDescent="0.3">
      <c r="A360" s="150" t="s">
        <v>722</v>
      </c>
      <c r="B360" s="50" t="s">
        <v>228</v>
      </c>
      <c r="C360" s="51" t="s">
        <v>181</v>
      </c>
      <c r="D360" s="87" t="s">
        <v>292</v>
      </c>
      <c r="E360" s="126">
        <v>0</v>
      </c>
      <c r="F360" s="79">
        <f>BPU!E360</f>
        <v>0</v>
      </c>
      <c r="G360" s="95">
        <f t="shared" si="7"/>
        <v>0</v>
      </c>
    </row>
    <row r="361" spans="1:7" ht="18.600000000000001" customHeight="1" x14ac:dyDescent="0.3">
      <c r="A361" s="52" t="s">
        <v>723</v>
      </c>
      <c r="B361" s="46" t="s">
        <v>172</v>
      </c>
      <c r="C361" s="52"/>
      <c r="D361" s="87"/>
      <c r="E361" s="126"/>
      <c r="F361" s="79">
        <f>BPU!E361</f>
        <v>0</v>
      </c>
      <c r="G361" s="95">
        <f t="shared" si="7"/>
        <v>0</v>
      </c>
    </row>
    <row r="362" spans="1:7" ht="18.600000000000001" customHeight="1" x14ac:dyDescent="0.3">
      <c r="A362" s="150" t="s">
        <v>724</v>
      </c>
      <c r="B362" s="50" t="s">
        <v>231</v>
      </c>
      <c r="C362" s="51" t="s">
        <v>181</v>
      </c>
      <c r="D362" s="87" t="s">
        <v>292</v>
      </c>
      <c r="E362" s="126">
        <v>0</v>
      </c>
      <c r="F362" s="79">
        <f>BPU!E362</f>
        <v>0</v>
      </c>
      <c r="G362" s="95">
        <f t="shared" si="7"/>
        <v>0</v>
      </c>
    </row>
    <row r="363" spans="1:7" ht="18.600000000000001" customHeight="1" x14ac:dyDescent="0.3">
      <c r="A363" s="150" t="s">
        <v>725</v>
      </c>
      <c r="B363" s="50" t="s">
        <v>232</v>
      </c>
      <c r="C363" s="51" t="s">
        <v>181</v>
      </c>
      <c r="D363" s="87" t="s">
        <v>292</v>
      </c>
      <c r="E363" s="126">
        <v>0</v>
      </c>
      <c r="F363" s="79">
        <f>BPU!E363</f>
        <v>0</v>
      </c>
      <c r="G363" s="95">
        <f t="shared" si="7"/>
        <v>0</v>
      </c>
    </row>
    <row r="364" spans="1:7" ht="28.2" customHeight="1" x14ac:dyDescent="0.3">
      <c r="A364" s="150" t="s">
        <v>726</v>
      </c>
      <c r="B364" s="50" t="s">
        <v>233</v>
      </c>
      <c r="C364" s="51" t="s">
        <v>181</v>
      </c>
      <c r="D364" s="87" t="s">
        <v>292</v>
      </c>
      <c r="E364" s="126">
        <v>363</v>
      </c>
      <c r="F364" s="79">
        <f>BPU!E364</f>
        <v>0</v>
      </c>
      <c r="G364" s="95">
        <f t="shared" si="7"/>
        <v>0</v>
      </c>
    </row>
    <row r="365" spans="1:7" ht="18.600000000000001" customHeight="1" x14ac:dyDescent="0.3">
      <c r="A365" s="150" t="s">
        <v>727</v>
      </c>
      <c r="B365" s="50" t="s">
        <v>234</v>
      </c>
      <c r="C365" s="51" t="s">
        <v>181</v>
      </c>
      <c r="D365" s="87" t="s">
        <v>292</v>
      </c>
      <c r="E365" s="126">
        <v>0</v>
      </c>
      <c r="F365" s="79">
        <f>BPU!E365</f>
        <v>0</v>
      </c>
      <c r="G365" s="95">
        <f t="shared" si="7"/>
        <v>0</v>
      </c>
    </row>
    <row r="366" spans="1:7" ht="18.600000000000001" customHeight="1" x14ac:dyDescent="0.3">
      <c r="A366" s="52" t="s">
        <v>728</v>
      </c>
      <c r="B366" s="46" t="s">
        <v>173</v>
      </c>
      <c r="C366" s="52"/>
      <c r="D366" s="87"/>
      <c r="E366" s="126"/>
      <c r="F366" s="79">
        <f>BPU!E366</f>
        <v>0</v>
      </c>
      <c r="G366" s="95">
        <f t="shared" si="7"/>
        <v>0</v>
      </c>
    </row>
    <row r="367" spans="1:7" ht="18.600000000000001" customHeight="1" x14ac:dyDescent="0.3">
      <c r="A367" s="150" t="s">
        <v>729</v>
      </c>
      <c r="B367" s="50" t="s">
        <v>259</v>
      </c>
      <c r="C367" s="51" t="s">
        <v>181</v>
      </c>
      <c r="D367" s="87" t="s">
        <v>292</v>
      </c>
      <c r="E367" s="126">
        <v>0</v>
      </c>
      <c r="F367" s="79">
        <f>BPU!E367</f>
        <v>0</v>
      </c>
      <c r="G367" s="95">
        <f t="shared" si="7"/>
        <v>0</v>
      </c>
    </row>
    <row r="368" spans="1:7" ht="18.600000000000001" customHeight="1" x14ac:dyDescent="0.3">
      <c r="A368" s="150" t="s">
        <v>730</v>
      </c>
      <c r="B368" s="50" t="s">
        <v>235</v>
      </c>
      <c r="C368" s="51" t="s">
        <v>181</v>
      </c>
      <c r="D368" s="87" t="s">
        <v>292</v>
      </c>
      <c r="E368" s="126">
        <v>0</v>
      </c>
      <c r="F368" s="79">
        <f>BPU!E368</f>
        <v>0</v>
      </c>
      <c r="G368" s="95">
        <f t="shared" si="7"/>
        <v>0</v>
      </c>
    </row>
    <row r="369" spans="1:7" ht="18.600000000000001" customHeight="1" x14ac:dyDescent="0.3">
      <c r="A369" s="150" t="s">
        <v>731</v>
      </c>
      <c r="B369" s="50" t="s">
        <v>236</v>
      </c>
      <c r="C369" s="51" t="s">
        <v>181</v>
      </c>
      <c r="D369" s="87" t="s">
        <v>292</v>
      </c>
      <c r="E369" s="126">
        <v>0</v>
      </c>
      <c r="F369" s="79">
        <f>BPU!E369</f>
        <v>0</v>
      </c>
      <c r="G369" s="95">
        <f t="shared" si="7"/>
        <v>0</v>
      </c>
    </row>
    <row r="370" spans="1:7" ht="18.600000000000001" customHeight="1" x14ac:dyDescent="0.3">
      <c r="A370" s="150" t="s">
        <v>732</v>
      </c>
      <c r="B370" s="50" t="s">
        <v>237</v>
      </c>
      <c r="C370" s="51" t="s">
        <v>181</v>
      </c>
      <c r="D370" s="87" t="s">
        <v>292</v>
      </c>
      <c r="E370" s="126">
        <v>0</v>
      </c>
      <c r="F370" s="79">
        <f>BPU!E370</f>
        <v>0</v>
      </c>
      <c r="G370" s="95">
        <f t="shared" si="7"/>
        <v>0</v>
      </c>
    </row>
    <row r="371" spans="1:7" ht="18.600000000000001" customHeight="1" x14ac:dyDescent="0.3">
      <c r="A371" s="150" t="s">
        <v>733</v>
      </c>
      <c r="B371" s="50" t="s">
        <v>238</v>
      </c>
      <c r="C371" s="51" t="s">
        <v>181</v>
      </c>
      <c r="D371" s="87" t="s">
        <v>292</v>
      </c>
      <c r="E371" s="126">
        <v>0</v>
      </c>
      <c r="F371" s="79">
        <f>BPU!E371</f>
        <v>0</v>
      </c>
      <c r="G371" s="95">
        <f t="shared" si="7"/>
        <v>0</v>
      </c>
    </row>
    <row r="372" spans="1:7" ht="18.600000000000001" customHeight="1" x14ac:dyDescent="0.3">
      <c r="A372" s="150" t="s">
        <v>734</v>
      </c>
      <c r="B372" s="50" t="s">
        <v>179</v>
      </c>
      <c r="C372" s="51" t="s">
        <v>181</v>
      </c>
      <c r="D372" s="87" t="s">
        <v>292</v>
      </c>
      <c r="E372" s="126">
        <v>0</v>
      </c>
      <c r="F372" s="79">
        <f>BPU!E372</f>
        <v>0</v>
      </c>
      <c r="G372" s="95">
        <f t="shared" si="7"/>
        <v>0</v>
      </c>
    </row>
    <row r="373" spans="1:7" ht="18.600000000000001" customHeight="1" x14ac:dyDescent="0.3">
      <c r="A373" s="150" t="s">
        <v>735</v>
      </c>
      <c r="B373" s="50" t="s">
        <v>239</v>
      </c>
      <c r="C373" s="51" t="s">
        <v>181</v>
      </c>
      <c r="D373" s="87" t="s">
        <v>292</v>
      </c>
      <c r="E373" s="126">
        <v>0</v>
      </c>
      <c r="F373" s="79">
        <f>BPU!E373</f>
        <v>0</v>
      </c>
      <c r="G373" s="95">
        <f t="shared" si="7"/>
        <v>0</v>
      </c>
    </row>
    <row r="374" spans="1:7" ht="18.600000000000001" customHeight="1" x14ac:dyDescent="0.3">
      <c r="A374" s="52" t="s">
        <v>736</v>
      </c>
      <c r="B374" s="46" t="s">
        <v>174</v>
      </c>
      <c r="C374" s="52"/>
      <c r="D374" s="87"/>
      <c r="E374" s="126"/>
      <c r="F374" s="79">
        <f>BPU!E374</f>
        <v>0</v>
      </c>
      <c r="G374" s="95">
        <f t="shared" si="7"/>
        <v>0</v>
      </c>
    </row>
    <row r="375" spans="1:7" ht="18.600000000000001" customHeight="1" x14ac:dyDescent="0.3">
      <c r="A375" s="150" t="s">
        <v>737</v>
      </c>
      <c r="B375" s="50" t="s">
        <v>367</v>
      </c>
      <c r="C375" s="51" t="s">
        <v>181</v>
      </c>
      <c r="D375" s="87" t="s">
        <v>292</v>
      </c>
      <c r="E375" s="126">
        <v>95</v>
      </c>
      <c r="F375" s="79">
        <f>BPU!E375</f>
        <v>0</v>
      </c>
      <c r="G375" s="95"/>
    </row>
    <row r="376" spans="1:7" ht="18.600000000000001" customHeight="1" x14ac:dyDescent="0.3">
      <c r="A376" s="150" t="s">
        <v>738</v>
      </c>
      <c r="B376" s="50" t="s">
        <v>240</v>
      </c>
      <c r="C376" s="51" t="s">
        <v>181</v>
      </c>
      <c r="D376" s="87" t="s">
        <v>292</v>
      </c>
      <c r="E376" s="126">
        <v>0</v>
      </c>
      <c r="F376" s="79">
        <f>BPU!E376</f>
        <v>0</v>
      </c>
      <c r="G376" s="95">
        <f t="shared" ref="G376:G436" si="9">E376*F376</f>
        <v>0</v>
      </c>
    </row>
    <row r="377" spans="1:7" ht="18.600000000000001" customHeight="1" x14ac:dyDescent="0.3">
      <c r="A377" s="150" t="s">
        <v>739</v>
      </c>
      <c r="B377" s="50" t="s">
        <v>241</v>
      </c>
      <c r="C377" s="51" t="s">
        <v>181</v>
      </c>
      <c r="D377" s="87" t="s">
        <v>292</v>
      </c>
      <c r="E377" s="126">
        <v>0</v>
      </c>
      <c r="F377" s="79">
        <f>BPU!E377</f>
        <v>0</v>
      </c>
      <c r="G377" s="95">
        <f t="shared" si="9"/>
        <v>0</v>
      </c>
    </row>
    <row r="378" spans="1:7" ht="18.600000000000001" customHeight="1" x14ac:dyDescent="0.3">
      <c r="A378" s="150" t="s">
        <v>740</v>
      </c>
      <c r="B378" s="50" t="s">
        <v>242</v>
      </c>
      <c r="C378" s="51" t="s">
        <v>181</v>
      </c>
      <c r="D378" s="87" t="s">
        <v>292</v>
      </c>
      <c r="E378" s="126">
        <v>0</v>
      </c>
      <c r="F378" s="79">
        <f>BPU!E378</f>
        <v>0</v>
      </c>
      <c r="G378" s="95">
        <f t="shared" si="9"/>
        <v>0</v>
      </c>
    </row>
    <row r="379" spans="1:7" ht="18.600000000000001" customHeight="1" x14ac:dyDescent="0.3">
      <c r="A379" s="150" t="s">
        <v>741</v>
      </c>
      <c r="B379" s="50" t="s">
        <v>243</v>
      </c>
      <c r="C379" s="51" t="s">
        <v>181</v>
      </c>
      <c r="D379" s="87" t="s">
        <v>292</v>
      </c>
      <c r="E379" s="126">
        <v>0</v>
      </c>
      <c r="F379" s="79">
        <f>BPU!E379</f>
        <v>0</v>
      </c>
      <c r="G379" s="95">
        <f t="shared" si="9"/>
        <v>0</v>
      </c>
    </row>
    <row r="380" spans="1:7" ht="18.600000000000001" customHeight="1" x14ac:dyDescent="0.3">
      <c r="A380" s="150" t="s">
        <v>742</v>
      </c>
      <c r="B380" s="50" t="s">
        <v>244</v>
      </c>
      <c r="C380" s="51" t="s">
        <v>181</v>
      </c>
      <c r="D380" s="87" t="s">
        <v>292</v>
      </c>
      <c r="E380" s="126">
        <v>0</v>
      </c>
      <c r="F380" s="79">
        <f>BPU!E380</f>
        <v>0</v>
      </c>
      <c r="G380" s="95">
        <f t="shared" si="9"/>
        <v>0</v>
      </c>
    </row>
    <row r="381" spans="1:7" ht="18.600000000000001" customHeight="1" x14ac:dyDescent="0.3">
      <c r="A381" s="150" t="s">
        <v>743</v>
      </c>
      <c r="B381" s="50" t="s">
        <v>245</v>
      </c>
      <c r="C381" s="51" t="s">
        <v>181</v>
      </c>
      <c r="D381" s="87" t="s">
        <v>292</v>
      </c>
      <c r="E381" s="126">
        <v>0</v>
      </c>
      <c r="F381" s="79">
        <f>BPU!E381</f>
        <v>0</v>
      </c>
      <c r="G381" s="95">
        <f t="shared" si="9"/>
        <v>0</v>
      </c>
    </row>
    <row r="382" spans="1:7" ht="18.600000000000001" customHeight="1" x14ac:dyDescent="0.3">
      <c r="A382" s="150" t="s">
        <v>744</v>
      </c>
      <c r="B382" s="50" t="s">
        <v>246</v>
      </c>
      <c r="C382" s="51" t="s">
        <v>181</v>
      </c>
      <c r="D382" s="87" t="s">
        <v>292</v>
      </c>
      <c r="E382" s="126">
        <v>0</v>
      </c>
      <c r="F382" s="79">
        <f>BPU!E382</f>
        <v>0</v>
      </c>
      <c r="G382" s="95">
        <f t="shared" si="9"/>
        <v>0</v>
      </c>
    </row>
    <row r="383" spans="1:7" ht="18.600000000000001" customHeight="1" x14ac:dyDescent="0.3">
      <c r="A383" s="150" t="s">
        <v>745</v>
      </c>
      <c r="B383" s="50" t="s">
        <v>404</v>
      </c>
      <c r="C383" s="51" t="s">
        <v>181</v>
      </c>
      <c r="D383" s="87" t="s">
        <v>292</v>
      </c>
      <c r="E383" s="126">
        <v>65</v>
      </c>
      <c r="F383" s="79">
        <f>BPU!E383</f>
        <v>0</v>
      </c>
      <c r="G383" s="95"/>
    </row>
    <row r="384" spans="1:7" ht="18.600000000000001" customHeight="1" x14ac:dyDescent="0.3">
      <c r="A384" s="150" t="s">
        <v>746</v>
      </c>
      <c r="B384" s="50" t="s">
        <v>194</v>
      </c>
      <c r="C384" s="51" t="s">
        <v>181</v>
      </c>
      <c r="D384" s="87" t="s">
        <v>292</v>
      </c>
      <c r="E384" s="126">
        <v>0</v>
      </c>
      <c r="F384" s="79">
        <f>BPU!E384</f>
        <v>0</v>
      </c>
      <c r="G384" s="95">
        <f t="shared" si="9"/>
        <v>0</v>
      </c>
    </row>
    <row r="385" spans="1:7" ht="18.600000000000001" customHeight="1" x14ac:dyDescent="0.3">
      <c r="A385" s="52" t="s">
        <v>747</v>
      </c>
      <c r="B385" s="46" t="s">
        <v>175</v>
      </c>
      <c r="C385" s="52"/>
      <c r="D385" s="87"/>
      <c r="E385" s="126"/>
      <c r="F385" s="79">
        <f>BPU!E385</f>
        <v>0</v>
      </c>
      <c r="G385" s="95">
        <f t="shared" si="9"/>
        <v>0</v>
      </c>
    </row>
    <row r="386" spans="1:7" ht="18.600000000000001" customHeight="1" x14ac:dyDescent="0.3">
      <c r="A386" s="150" t="s">
        <v>748</v>
      </c>
      <c r="B386" s="50" t="s">
        <v>180</v>
      </c>
      <c r="C386" s="51" t="s">
        <v>181</v>
      </c>
      <c r="D386" s="87" t="s">
        <v>292</v>
      </c>
      <c r="E386" s="126">
        <v>0</v>
      </c>
      <c r="F386" s="79">
        <f>BPU!E386</f>
        <v>0</v>
      </c>
      <c r="G386" s="95">
        <f t="shared" si="9"/>
        <v>0</v>
      </c>
    </row>
    <row r="387" spans="1:7" ht="18.600000000000001" customHeight="1" x14ac:dyDescent="0.3">
      <c r="A387" s="52" t="s">
        <v>749</v>
      </c>
      <c r="B387" s="46" t="s">
        <v>176</v>
      </c>
      <c r="C387" s="52"/>
      <c r="D387" s="87"/>
      <c r="E387" s="126"/>
      <c r="F387" s="79">
        <f>BPU!E387</f>
        <v>0</v>
      </c>
      <c r="G387" s="95">
        <f t="shared" si="9"/>
        <v>0</v>
      </c>
    </row>
    <row r="388" spans="1:7" ht="18.600000000000001" customHeight="1" x14ac:dyDescent="0.3">
      <c r="A388" s="150" t="s">
        <v>750</v>
      </c>
      <c r="B388" s="50" t="s">
        <v>257</v>
      </c>
      <c r="C388" s="51" t="s">
        <v>181</v>
      </c>
      <c r="D388" s="87" t="s">
        <v>292</v>
      </c>
      <c r="E388" s="126">
        <v>0</v>
      </c>
      <c r="F388" s="79">
        <f>BPU!E388</f>
        <v>0</v>
      </c>
      <c r="G388" s="95">
        <f t="shared" si="9"/>
        <v>0</v>
      </c>
    </row>
    <row r="389" spans="1:7" ht="18.600000000000001" customHeight="1" x14ac:dyDescent="0.3">
      <c r="A389" s="150" t="s">
        <v>751</v>
      </c>
      <c r="B389" s="50" t="s">
        <v>253</v>
      </c>
      <c r="C389" s="51" t="s">
        <v>17</v>
      </c>
      <c r="D389" s="87" t="s">
        <v>292</v>
      </c>
      <c r="E389" s="126">
        <v>0</v>
      </c>
      <c r="F389" s="79">
        <f>BPU!E389</f>
        <v>0</v>
      </c>
      <c r="G389" s="95">
        <f t="shared" si="9"/>
        <v>0</v>
      </c>
    </row>
    <row r="390" spans="1:7" ht="18.600000000000001" customHeight="1" x14ac:dyDescent="0.3">
      <c r="A390" s="150" t="s">
        <v>752</v>
      </c>
      <c r="B390" s="50" t="s">
        <v>252</v>
      </c>
      <c r="C390" s="51" t="s">
        <v>17</v>
      </c>
      <c r="D390" s="87" t="s">
        <v>292</v>
      </c>
      <c r="E390" s="126">
        <f>1.5*6</f>
        <v>9</v>
      </c>
      <c r="F390" s="79">
        <f>BPU!E390</f>
        <v>0</v>
      </c>
      <c r="G390" s="95">
        <f t="shared" si="9"/>
        <v>0</v>
      </c>
    </row>
    <row r="391" spans="1:7" ht="18.600000000000001" customHeight="1" x14ac:dyDescent="0.3">
      <c r="A391" s="150" t="s">
        <v>753</v>
      </c>
      <c r="B391" s="50" t="s">
        <v>254</v>
      </c>
      <c r="C391" s="51" t="s">
        <v>17</v>
      </c>
      <c r="D391" s="87" t="s">
        <v>292</v>
      </c>
      <c r="E391" s="126">
        <v>0</v>
      </c>
      <c r="F391" s="79">
        <f>BPU!E391</f>
        <v>0</v>
      </c>
      <c r="G391" s="95">
        <f t="shared" si="9"/>
        <v>0</v>
      </c>
    </row>
    <row r="392" spans="1:7" ht="18.600000000000001" customHeight="1" x14ac:dyDescent="0.3">
      <c r="A392" s="150" t="s">
        <v>754</v>
      </c>
      <c r="B392" s="50" t="s">
        <v>255</v>
      </c>
      <c r="C392" s="51" t="s">
        <v>17</v>
      </c>
      <c r="D392" s="87" t="s">
        <v>292</v>
      </c>
      <c r="E392" s="126">
        <f>30*4</f>
        <v>120</v>
      </c>
      <c r="F392" s="79">
        <f>BPU!E392</f>
        <v>0</v>
      </c>
      <c r="G392" s="95">
        <f t="shared" si="9"/>
        <v>0</v>
      </c>
    </row>
    <row r="393" spans="1:7" ht="28.8" customHeight="1" x14ac:dyDescent="0.3">
      <c r="A393" s="150" t="s">
        <v>755</v>
      </c>
      <c r="B393" s="50" t="s">
        <v>251</v>
      </c>
      <c r="C393" s="51" t="s">
        <v>17</v>
      </c>
      <c r="D393" s="87" t="s">
        <v>292</v>
      </c>
      <c r="E393" s="126">
        <v>0</v>
      </c>
      <c r="F393" s="79">
        <f>BPU!E393</f>
        <v>0</v>
      </c>
      <c r="G393" s="95">
        <f t="shared" si="9"/>
        <v>0</v>
      </c>
    </row>
    <row r="394" spans="1:7" x14ac:dyDescent="0.3">
      <c r="A394" s="150" t="s">
        <v>756</v>
      </c>
      <c r="B394" s="50" t="s">
        <v>256</v>
      </c>
      <c r="C394" s="51" t="s">
        <v>181</v>
      </c>
      <c r="D394" s="87" t="s">
        <v>292</v>
      </c>
      <c r="E394" s="126">
        <v>96.08</v>
      </c>
      <c r="F394" s="79">
        <f>BPU!E394</f>
        <v>0</v>
      </c>
      <c r="G394" s="95">
        <f t="shared" si="9"/>
        <v>0</v>
      </c>
    </row>
    <row r="395" spans="1:7" x14ac:dyDescent="0.3">
      <c r="A395" s="150" t="s">
        <v>757</v>
      </c>
      <c r="B395" s="50" t="s">
        <v>258</v>
      </c>
      <c r="C395" s="51" t="s">
        <v>17</v>
      </c>
      <c r="D395" s="87" t="s">
        <v>292</v>
      </c>
      <c r="E395" s="126">
        <v>0</v>
      </c>
      <c r="F395" s="79">
        <f>BPU!E395</f>
        <v>0</v>
      </c>
      <c r="G395" s="95">
        <f t="shared" si="9"/>
        <v>0</v>
      </c>
    </row>
    <row r="396" spans="1:7" ht="18.600000000000001" customHeight="1" x14ac:dyDescent="0.3">
      <c r="A396" s="150" t="s">
        <v>758</v>
      </c>
      <c r="B396" s="50" t="s">
        <v>193</v>
      </c>
      <c r="C396" s="51" t="s">
        <v>181</v>
      </c>
      <c r="D396" s="87" t="s">
        <v>292</v>
      </c>
      <c r="E396" s="126">
        <v>0</v>
      </c>
      <c r="F396" s="79">
        <f>BPU!E396</f>
        <v>0</v>
      </c>
      <c r="G396" s="95">
        <f t="shared" si="9"/>
        <v>0</v>
      </c>
    </row>
    <row r="397" spans="1:7" x14ac:dyDescent="0.3">
      <c r="A397" s="150" t="s">
        <v>759</v>
      </c>
      <c r="B397" s="50" t="s">
        <v>192</v>
      </c>
      <c r="C397" s="51" t="s">
        <v>181</v>
      </c>
      <c r="D397" s="87" t="s">
        <v>292</v>
      </c>
      <c r="E397" s="126">
        <v>0</v>
      </c>
      <c r="F397" s="79">
        <f>BPU!E397</f>
        <v>0</v>
      </c>
      <c r="G397" s="95">
        <f t="shared" si="9"/>
        <v>0</v>
      </c>
    </row>
    <row r="398" spans="1:7" ht="28.8" x14ac:dyDescent="0.3">
      <c r="A398" s="150" t="s">
        <v>760</v>
      </c>
      <c r="B398" s="50" t="s">
        <v>260</v>
      </c>
      <c r="C398" s="51" t="s">
        <v>181</v>
      </c>
      <c r="D398" s="87" t="s">
        <v>292</v>
      </c>
      <c r="E398" s="126">
        <v>0</v>
      </c>
      <c r="F398" s="79">
        <f>BPU!E398</f>
        <v>0</v>
      </c>
      <c r="G398" s="95">
        <f t="shared" si="9"/>
        <v>0</v>
      </c>
    </row>
    <row r="399" spans="1:7" ht="18.600000000000001" customHeight="1" x14ac:dyDescent="0.3">
      <c r="A399" s="52" t="s">
        <v>761</v>
      </c>
      <c r="B399" s="46" t="s">
        <v>177</v>
      </c>
      <c r="C399" s="52"/>
      <c r="D399" s="87"/>
      <c r="E399" s="126"/>
      <c r="F399" s="79">
        <f>BPU!E399</f>
        <v>0</v>
      </c>
      <c r="G399" s="95">
        <f t="shared" si="9"/>
        <v>0</v>
      </c>
    </row>
    <row r="400" spans="1:7" ht="18.600000000000001" customHeight="1" x14ac:dyDescent="0.3">
      <c r="A400" s="150" t="s">
        <v>762</v>
      </c>
      <c r="B400" s="50" t="s">
        <v>182</v>
      </c>
      <c r="C400" s="51" t="s">
        <v>181</v>
      </c>
      <c r="D400" s="87" t="s">
        <v>292</v>
      </c>
      <c r="E400" s="126">
        <v>0</v>
      </c>
      <c r="F400" s="79">
        <f>BPU!E400</f>
        <v>0</v>
      </c>
      <c r="G400" s="95">
        <f t="shared" si="9"/>
        <v>0</v>
      </c>
    </row>
    <row r="401" spans="1:23" ht="28.8" x14ac:dyDescent="0.3">
      <c r="A401" s="150" t="s">
        <v>763</v>
      </c>
      <c r="B401" s="50" t="s">
        <v>1273</v>
      </c>
      <c r="C401" s="51" t="s">
        <v>181</v>
      </c>
      <c r="D401" s="87" t="s">
        <v>292</v>
      </c>
      <c r="E401" s="126">
        <v>0</v>
      </c>
      <c r="F401" s="79">
        <f>BPU!E401</f>
        <v>0</v>
      </c>
      <c r="G401" s="95">
        <f t="shared" si="9"/>
        <v>0</v>
      </c>
    </row>
    <row r="402" spans="1:23" x14ac:dyDescent="0.3">
      <c r="A402" s="150" t="s">
        <v>764</v>
      </c>
      <c r="B402" s="50" t="s">
        <v>183</v>
      </c>
      <c r="C402" s="51" t="s">
        <v>181</v>
      </c>
      <c r="D402" s="87" t="s">
        <v>292</v>
      </c>
      <c r="E402" s="126">
        <v>0</v>
      </c>
      <c r="F402" s="79">
        <f>BPU!E402</f>
        <v>0</v>
      </c>
      <c r="G402" s="95">
        <f t="shared" si="9"/>
        <v>0</v>
      </c>
    </row>
    <row r="403" spans="1:23" ht="26.4" customHeight="1" x14ac:dyDescent="0.3">
      <c r="A403" s="150" t="s">
        <v>765</v>
      </c>
      <c r="B403" s="50" t="s">
        <v>184</v>
      </c>
      <c r="C403" s="51" t="s">
        <v>181</v>
      </c>
      <c r="D403" s="87" t="s">
        <v>292</v>
      </c>
      <c r="E403" s="126">
        <v>0</v>
      </c>
      <c r="F403" s="79">
        <f>BPU!E403</f>
        <v>0</v>
      </c>
      <c r="G403" s="95">
        <f t="shared" si="9"/>
        <v>0</v>
      </c>
    </row>
    <row r="404" spans="1:23" ht="26.4" customHeight="1" x14ac:dyDescent="0.3">
      <c r="A404" s="150" t="s">
        <v>766</v>
      </c>
      <c r="B404" s="50" t="s">
        <v>185</v>
      </c>
      <c r="C404" s="51" t="s">
        <v>181</v>
      </c>
      <c r="D404" s="87" t="s">
        <v>292</v>
      </c>
      <c r="E404" s="126">
        <v>0</v>
      </c>
      <c r="F404" s="79">
        <f>BPU!E404</f>
        <v>0</v>
      </c>
      <c r="G404" s="95">
        <f t="shared" si="9"/>
        <v>0</v>
      </c>
    </row>
    <row r="405" spans="1:23" ht="18" customHeight="1" x14ac:dyDescent="0.3">
      <c r="A405" s="52" t="s">
        <v>767</v>
      </c>
      <c r="B405" s="46" t="s">
        <v>331</v>
      </c>
      <c r="C405" s="52"/>
      <c r="D405" s="87"/>
      <c r="E405" s="126"/>
      <c r="F405" s="79">
        <f>BPU!E405</f>
        <v>0</v>
      </c>
      <c r="G405" s="95">
        <f t="shared" si="9"/>
        <v>0</v>
      </c>
    </row>
    <row r="406" spans="1:23" ht="18" customHeight="1" x14ac:dyDescent="0.3">
      <c r="A406" s="150" t="s">
        <v>768</v>
      </c>
      <c r="B406" s="50" t="s">
        <v>338</v>
      </c>
      <c r="C406" s="51" t="s">
        <v>181</v>
      </c>
      <c r="D406" s="87" t="s">
        <v>292</v>
      </c>
      <c r="E406" s="126">
        <v>0</v>
      </c>
      <c r="F406" s="79">
        <f>BPU!E406</f>
        <v>0</v>
      </c>
      <c r="G406" s="95">
        <f t="shared" si="9"/>
        <v>0</v>
      </c>
    </row>
    <row r="407" spans="1:23" ht="18" customHeight="1" x14ac:dyDescent="0.3">
      <c r="A407" s="150" t="s">
        <v>769</v>
      </c>
      <c r="B407" s="50" t="s">
        <v>327</v>
      </c>
      <c r="C407" s="51" t="s">
        <v>181</v>
      </c>
      <c r="D407" s="87" t="s">
        <v>292</v>
      </c>
      <c r="E407" s="126">
        <v>0</v>
      </c>
      <c r="F407" s="79">
        <f>BPU!E407</f>
        <v>0</v>
      </c>
      <c r="G407" s="95">
        <f t="shared" si="9"/>
        <v>0</v>
      </c>
    </row>
    <row r="408" spans="1:23" ht="18" customHeight="1" x14ac:dyDescent="0.3">
      <c r="A408" s="150" t="s">
        <v>770</v>
      </c>
      <c r="B408" s="50" t="s">
        <v>328</v>
      </c>
      <c r="C408" s="51" t="s">
        <v>181</v>
      </c>
      <c r="D408" s="87" t="s">
        <v>292</v>
      </c>
      <c r="E408" s="126">
        <v>0</v>
      </c>
      <c r="F408" s="79">
        <f>BPU!E408</f>
        <v>0</v>
      </c>
      <c r="G408" s="95">
        <f t="shared" si="9"/>
        <v>0</v>
      </c>
    </row>
    <row r="409" spans="1:23" ht="26.4" customHeight="1" x14ac:dyDescent="0.3">
      <c r="A409" s="150" t="s">
        <v>771</v>
      </c>
      <c r="B409" s="50" t="s">
        <v>329</v>
      </c>
      <c r="C409" s="51" t="s">
        <v>181</v>
      </c>
      <c r="D409" s="87" t="s">
        <v>292</v>
      </c>
      <c r="E409" s="126">
        <v>0</v>
      </c>
      <c r="F409" s="79">
        <f>BPU!E409</f>
        <v>0</v>
      </c>
      <c r="G409" s="95">
        <f t="shared" si="9"/>
        <v>0</v>
      </c>
    </row>
    <row r="410" spans="1:23" ht="18" customHeight="1" x14ac:dyDescent="0.3">
      <c r="A410" s="150" t="s">
        <v>772</v>
      </c>
      <c r="B410" s="50" t="s">
        <v>330</v>
      </c>
      <c r="C410" s="51" t="s">
        <v>181</v>
      </c>
      <c r="D410" s="87" t="s">
        <v>292</v>
      </c>
      <c r="E410" s="126">
        <v>0</v>
      </c>
      <c r="F410" s="79">
        <f>BPU!E410</f>
        <v>0</v>
      </c>
      <c r="G410" s="95">
        <f t="shared" si="9"/>
        <v>0</v>
      </c>
    </row>
    <row r="411" spans="1:23" s="66" customFormat="1" x14ac:dyDescent="0.3">
      <c r="A411" s="52" t="s">
        <v>773</v>
      </c>
      <c r="B411" s="46" t="s">
        <v>332</v>
      </c>
      <c r="C411" s="71"/>
      <c r="D411" s="89"/>
      <c r="E411" s="133"/>
      <c r="F411" s="79">
        <f>BPU!E411</f>
        <v>0</v>
      </c>
      <c r="G411" s="95">
        <f t="shared" si="9"/>
        <v>0</v>
      </c>
    </row>
    <row r="412" spans="1:23" ht="34.200000000000003" customHeight="1" thickBot="1" x14ac:dyDescent="0.35">
      <c r="A412" s="150" t="s">
        <v>774</v>
      </c>
      <c r="B412" s="50" t="s">
        <v>200</v>
      </c>
      <c r="C412" s="51" t="s">
        <v>197</v>
      </c>
      <c r="D412" s="87" t="s">
        <v>292</v>
      </c>
      <c r="E412" s="126">
        <v>0</v>
      </c>
      <c r="F412" s="79">
        <f>BPU!E412</f>
        <v>0</v>
      </c>
      <c r="G412" s="95">
        <f t="shared" si="9"/>
        <v>0</v>
      </c>
    </row>
    <row r="413" spans="1:23" s="98" customFormat="1" ht="15" thickBot="1" x14ac:dyDescent="0.35">
      <c r="A413" s="52"/>
      <c r="B413" s="96" t="s">
        <v>391</v>
      </c>
      <c r="C413" s="97"/>
      <c r="D413" s="97"/>
      <c r="E413" s="128"/>
      <c r="F413" s="145">
        <f>BPU!E413</f>
        <v>0</v>
      </c>
      <c r="G413" s="146">
        <f>SUM(G327:G412)</f>
        <v>0</v>
      </c>
      <c r="H413" s="138"/>
      <c r="J413" s="99"/>
      <c r="K413" s="75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100"/>
      <c r="W413" s="100"/>
    </row>
    <row r="414" spans="1:23" s="58" customFormat="1" ht="16.8" customHeight="1" x14ac:dyDescent="0.3">
      <c r="A414" s="70" t="s">
        <v>48</v>
      </c>
      <c r="B414" s="70" t="s">
        <v>49</v>
      </c>
      <c r="C414" s="52"/>
      <c r="D414" s="87"/>
      <c r="E414" s="126"/>
      <c r="F414" s="79">
        <f>BPU!E414</f>
        <v>0</v>
      </c>
      <c r="G414" s="95">
        <f t="shared" si="9"/>
        <v>0</v>
      </c>
      <c r="H414" s="136"/>
    </row>
    <row r="415" spans="1:23" ht="18.600000000000001" customHeight="1" x14ac:dyDescent="0.3">
      <c r="A415" s="52" t="s">
        <v>50</v>
      </c>
      <c r="B415" s="46" t="s">
        <v>161</v>
      </c>
      <c r="C415" s="52"/>
      <c r="D415" s="87"/>
      <c r="E415" s="126"/>
      <c r="F415" s="79">
        <f>BPU!E415</f>
        <v>0</v>
      </c>
      <c r="G415" s="95">
        <f t="shared" si="9"/>
        <v>0</v>
      </c>
    </row>
    <row r="416" spans="1:23" ht="28.8" customHeight="1" x14ac:dyDescent="0.3">
      <c r="A416" s="150" t="s">
        <v>775</v>
      </c>
      <c r="B416" s="153" t="s">
        <v>1308</v>
      </c>
      <c r="C416" s="51" t="s">
        <v>181</v>
      </c>
      <c r="D416" s="87" t="s">
        <v>292</v>
      </c>
      <c r="E416" s="126">
        <v>0</v>
      </c>
      <c r="F416" s="79">
        <f>BPU!E416</f>
        <v>0</v>
      </c>
      <c r="G416" s="95">
        <f t="shared" si="9"/>
        <v>0</v>
      </c>
    </row>
    <row r="417" spans="1:8" ht="18.600000000000001" customHeight="1" x14ac:dyDescent="0.3">
      <c r="A417" s="150" t="s">
        <v>776</v>
      </c>
      <c r="B417" s="52" t="s">
        <v>196</v>
      </c>
      <c r="C417" s="51" t="s">
        <v>17</v>
      </c>
      <c r="D417" s="87" t="s">
        <v>292</v>
      </c>
      <c r="E417" s="126">
        <v>0</v>
      </c>
      <c r="F417" s="79">
        <f>BPU!E417</f>
        <v>0</v>
      </c>
      <c r="G417" s="95">
        <f t="shared" si="9"/>
        <v>0</v>
      </c>
    </row>
    <row r="418" spans="1:8" ht="18.600000000000001" customHeight="1" x14ac:dyDescent="0.3">
      <c r="A418" s="150" t="s">
        <v>777</v>
      </c>
      <c r="B418" s="52" t="s">
        <v>210</v>
      </c>
      <c r="C418" s="51" t="s">
        <v>197</v>
      </c>
      <c r="D418" s="87" t="s">
        <v>292</v>
      </c>
      <c r="E418" s="126">
        <v>0</v>
      </c>
      <c r="F418" s="79">
        <f>BPU!E418</f>
        <v>0</v>
      </c>
      <c r="G418" s="95">
        <f t="shared" si="9"/>
        <v>0</v>
      </c>
    </row>
    <row r="419" spans="1:8" ht="18.600000000000001" customHeight="1" x14ac:dyDescent="0.3">
      <c r="A419" s="150" t="s">
        <v>778</v>
      </c>
      <c r="B419" s="52" t="s">
        <v>209</v>
      </c>
      <c r="C419" s="51" t="s">
        <v>197</v>
      </c>
      <c r="D419" s="87" t="s">
        <v>292</v>
      </c>
      <c r="E419" s="126">
        <v>0</v>
      </c>
      <c r="F419" s="79">
        <f>BPU!E419</f>
        <v>0</v>
      </c>
      <c r="G419" s="95">
        <f t="shared" si="9"/>
        <v>0</v>
      </c>
    </row>
    <row r="420" spans="1:8" ht="18.600000000000001" customHeight="1" x14ac:dyDescent="0.3">
      <c r="A420" s="150" t="s">
        <v>779</v>
      </c>
      <c r="B420" s="52" t="s">
        <v>199</v>
      </c>
      <c r="C420" s="51" t="s">
        <v>181</v>
      </c>
      <c r="D420" s="87" t="s">
        <v>292</v>
      </c>
      <c r="E420" s="126">
        <v>0</v>
      </c>
      <c r="F420" s="79">
        <f>BPU!E420</f>
        <v>0</v>
      </c>
      <c r="G420" s="95">
        <f t="shared" si="9"/>
        <v>0</v>
      </c>
    </row>
    <row r="421" spans="1:8" ht="18.600000000000001" customHeight="1" x14ac:dyDescent="0.3">
      <c r="A421" s="150" t="s">
        <v>780</v>
      </c>
      <c r="B421" s="52" t="s">
        <v>293</v>
      </c>
      <c r="C421" s="51" t="s">
        <v>181</v>
      </c>
      <c r="D421" s="87" t="s">
        <v>292</v>
      </c>
      <c r="E421" s="126">
        <v>0</v>
      </c>
      <c r="F421" s="79">
        <f>BPU!E421</f>
        <v>0</v>
      </c>
      <c r="G421" s="95">
        <f t="shared" si="9"/>
        <v>0</v>
      </c>
    </row>
    <row r="422" spans="1:8" ht="28.2" customHeight="1" x14ac:dyDescent="0.3">
      <c r="A422" s="150" t="s">
        <v>781</v>
      </c>
      <c r="B422" s="61" t="s">
        <v>198</v>
      </c>
      <c r="C422" s="51" t="s">
        <v>79</v>
      </c>
      <c r="D422" s="87" t="s">
        <v>158</v>
      </c>
      <c r="E422" s="126">
        <v>0</v>
      </c>
      <c r="F422" s="79">
        <f>BPU!E422</f>
        <v>0</v>
      </c>
      <c r="G422" s="95">
        <f t="shared" si="9"/>
        <v>0</v>
      </c>
    </row>
    <row r="423" spans="1:8" ht="18.600000000000001" customHeight="1" x14ac:dyDescent="0.3">
      <c r="A423" s="52" t="s">
        <v>782</v>
      </c>
      <c r="B423" s="46" t="s">
        <v>208</v>
      </c>
      <c r="C423" s="51"/>
      <c r="D423" s="87"/>
      <c r="E423" s="126">
        <v>0</v>
      </c>
      <c r="F423" s="79">
        <f>BPU!E423</f>
        <v>0</v>
      </c>
      <c r="G423" s="95">
        <f t="shared" si="9"/>
        <v>0</v>
      </c>
    </row>
    <row r="424" spans="1:8" ht="18.600000000000001" customHeight="1" x14ac:dyDescent="0.3">
      <c r="A424" s="150" t="s">
        <v>783</v>
      </c>
      <c r="B424" s="52" t="s">
        <v>211</v>
      </c>
      <c r="C424" s="51" t="s">
        <v>230</v>
      </c>
      <c r="D424" s="87" t="s">
        <v>292</v>
      </c>
      <c r="E424" s="126">
        <v>0</v>
      </c>
      <c r="F424" s="79">
        <f>BPU!E424</f>
        <v>0</v>
      </c>
      <c r="G424" s="95">
        <f t="shared" si="9"/>
        <v>0</v>
      </c>
    </row>
    <row r="425" spans="1:8" ht="18.600000000000001" customHeight="1" x14ac:dyDescent="0.3">
      <c r="A425" s="150" t="s">
        <v>784</v>
      </c>
      <c r="B425" s="52" t="s">
        <v>212</v>
      </c>
      <c r="C425" s="51" t="s">
        <v>230</v>
      </c>
      <c r="D425" s="87" t="s">
        <v>292</v>
      </c>
      <c r="E425" s="126">
        <v>0</v>
      </c>
      <c r="F425" s="79">
        <f>BPU!E425</f>
        <v>0</v>
      </c>
      <c r="G425" s="95">
        <f t="shared" si="9"/>
        <v>0</v>
      </c>
    </row>
    <row r="426" spans="1:8" ht="18.600000000000001" customHeight="1" x14ac:dyDescent="0.3">
      <c r="A426" s="52" t="s">
        <v>785</v>
      </c>
      <c r="B426" s="46" t="s">
        <v>168</v>
      </c>
      <c r="C426" s="52"/>
      <c r="D426" s="87"/>
      <c r="E426" s="126"/>
      <c r="F426" s="79">
        <f>BPU!E426</f>
        <v>0</v>
      </c>
      <c r="G426" s="95">
        <f t="shared" si="9"/>
        <v>0</v>
      </c>
    </row>
    <row r="427" spans="1:8" s="65" customFormat="1" ht="18.600000000000001" customHeight="1" x14ac:dyDescent="0.3">
      <c r="A427" s="150" t="s">
        <v>786</v>
      </c>
      <c r="B427" s="50" t="s">
        <v>213</v>
      </c>
      <c r="C427" s="51" t="s">
        <v>230</v>
      </c>
      <c r="D427" s="88" t="s">
        <v>292</v>
      </c>
      <c r="E427" s="130">
        <v>0</v>
      </c>
      <c r="F427" s="79">
        <f>BPU!E427</f>
        <v>0</v>
      </c>
      <c r="G427" s="95">
        <f t="shared" si="9"/>
        <v>0</v>
      </c>
      <c r="H427" s="66"/>
    </row>
    <row r="428" spans="1:8" s="65" customFormat="1" ht="18.600000000000001" customHeight="1" x14ac:dyDescent="0.3">
      <c r="A428" s="150" t="s">
        <v>787</v>
      </c>
      <c r="B428" s="50" t="s">
        <v>187</v>
      </c>
      <c r="C428" s="51" t="s">
        <v>230</v>
      </c>
      <c r="D428" s="88" t="s">
        <v>292</v>
      </c>
      <c r="E428" s="130">
        <v>0</v>
      </c>
      <c r="F428" s="79">
        <f>BPU!E428</f>
        <v>0</v>
      </c>
      <c r="G428" s="95">
        <f t="shared" si="9"/>
        <v>0</v>
      </c>
      <c r="H428" s="66"/>
    </row>
    <row r="429" spans="1:8" s="65" customFormat="1" ht="18.600000000000001" customHeight="1" x14ac:dyDescent="0.3">
      <c r="A429" s="150" t="s">
        <v>788</v>
      </c>
      <c r="B429" s="50" t="s">
        <v>214</v>
      </c>
      <c r="C429" s="51" t="s">
        <v>230</v>
      </c>
      <c r="D429" s="88" t="s">
        <v>292</v>
      </c>
      <c r="E429" s="130">
        <v>0</v>
      </c>
      <c r="F429" s="79">
        <f>BPU!E429</f>
        <v>0</v>
      </c>
      <c r="G429" s="95">
        <f t="shared" si="9"/>
        <v>0</v>
      </c>
      <c r="H429" s="66"/>
    </row>
    <row r="430" spans="1:8" s="65" customFormat="1" ht="33" customHeight="1" x14ac:dyDescent="0.3">
      <c r="A430" s="150" t="s">
        <v>789</v>
      </c>
      <c r="B430" s="50" t="s">
        <v>215</v>
      </c>
      <c r="C430" s="51" t="s">
        <v>230</v>
      </c>
      <c r="D430" s="88" t="s">
        <v>292</v>
      </c>
      <c r="E430" s="130">
        <v>0</v>
      </c>
      <c r="F430" s="79">
        <f>BPU!E430</f>
        <v>0</v>
      </c>
      <c r="G430" s="95">
        <f t="shared" si="9"/>
        <v>0</v>
      </c>
      <c r="H430" s="66"/>
    </row>
    <row r="431" spans="1:8" ht="18.600000000000001" customHeight="1" x14ac:dyDescent="0.3">
      <c r="A431" s="52" t="s">
        <v>790</v>
      </c>
      <c r="B431" s="46" t="s">
        <v>169</v>
      </c>
      <c r="C431" s="52"/>
      <c r="D431" s="87"/>
      <c r="E431" s="126">
        <v>0</v>
      </c>
      <c r="F431" s="79">
        <f>BPU!E431</f>
        <v>0</v>
      </c>
      <c r="G431" s="95">
        <f t="shared" si="9"/>
        <v>0</v>
      </c>
    </row>
    <row r="432" spans="1:8" ht="18.600000000000001" customHeight="1" x14ac:dyDescent="0.3">
      <c r="A432" s="150" t="s">
        <v>791</v>
      </c>
      <c r="B432" s="50" t="s">
        <v>216</v>
      </c>
      <c r="C432" s="51" t="s">
        <v>230</v>
      </c>
      <c r="D432" s="87" t="s">
        <v>292</v>
      </c>
      <c r="E432" s="126">
        <v>0</v>
      </c>
      <c r="F432" s="79">
        <f>BPU!E432</f>
        <v>0</v>
      </c>
      <c r="G432" s="95">
        <f t="shared" si="9"/>
        <v>0</v>
      </c>
    </row>
    <row r="433" spans="1:7" ht="18.600000000000001" customHeight="1" x14ac:dyDescent="0.3">
      <c r="A433" s="150" t="s">
        <v>792</v>
      </c>
      <c r="B433" s="50" t="s">
        <v>217</v>
      </c>
      <c r="C433" s="51" t="s">
        <v>230</v>
      </c>
      <c r="D433" s="87" t="s">
        <v>292</v>
      </c>
      <c r="E433" s="126">
        <v>0</v>
      </c>
      <c r="F433" s="79">
        <f>BPU!E433</f>
        <v>0</v>
      </c>
      <c r="G433" s="95">
        <f t="shared" si="9"/>
        <v>0</v>
      </c>
    </row>
    <row r="434" spans="1:7" ht="18.600000000000001" customHeight="1" x14ac:dyDescent="0.3">
      <c r="A434" s="150" t="s">
        <v>793</v>
      </c>
      <c r="B434" s="50" t="s">
        <v>218</v>
      </c>
      <c r="C434" s="51" t="s">
        <v>230</v>
      </c>
      <c r="D434" s="87" t="s">
        <v>292</v>
      </c>
      <c r="E434" s="126">
        <v>0</v>
      </c>
      <c r="F434" s="79">
        <f>BPU!E434</f>
        <v>0</v>
      </c>
      <c r="G434" s="95">
        <f t="shared" si="9"/>
        <v>0</v>
      </c>
    </row>
    <row r="435" spans="1:7" ht="18.600000000000001" customHeight="1" x14ac:dyDescent="0.3">
      <c r="A435" s="150" t="s">
        <v>794</v>
      </c>
      <c r="B435" s="50" t="s">
        <v>219</v>
      </c>
      <c r="C435" s="51" t="s">
        <v>230</v>
      </c>
      <c r="D435" s="87" t="s">
        <v>292</v>
      </c>
      <c r="E435" s="126">
        <v>0</v>
      </c>
      <c r="F435" s="79">
        <f>BPU!E435</f>
        <v>0</v>
      </c>
      <c r="G435" s="95">
        <f t="shared" si="9"/>
        <v>0</v>
      </c>
    </row>
    <row r="436" spans="1:7" ht="18.600000000000001" customHeight="1" x14ac:dyDescent="0.3">
      <c r="A436" s="150" t="s">
        <v>795</v>
      </c>
      <c r="B436" s="50" t="s">
        <v>220</v>
      </c>
      <c r="C436" s="51" t="s">
        <v>230</v>
      </c>
      <c r="D436" s="87" t="s">
        <v>292</v>
      </c>
      <c r="E436" s="126">
        <v>0</v>
      </c>
      <c r="F436" s="79">
        <f>BPU!E436</f>
        <v>0</v>
      </c>
      <c r="G436" s="95">
        <f t="shared" si="9"/>
        <v>0</v>
      </c>
    </row>
    <row r="437" spans="1:7" ht="18.600000000000001" customHeight="1" x14ac:dyDescent="0.3">
      <c r="A437" s="150" t="s">
        <v>796</v>
      </c>
      <c r="B437" s="50" t="s">
        <v>221</v>
      </c>
      <c r="C437" s="51" t="s">
        <v>230</v>
      </c>
      <c r="D437" s="87" t="s">
        <v>292</v>
      </c>
      <c r="E437" s="126">
        <v>0</v>
      </c>
      <c r="F437" s="79">
        <f>BPU!E437</f>
        <v>0</v>
      </c>
      <c r="G437" s="95">
        <f t="shared" ref="G437:G500" si="10">E437*F437</f>
        <v>0</v>
      </c>
    </row>
    <row r="438" spans="1:7" ht="18.600000000000001" customHeight="1" x14ac:dyDescent="0.3">
      <c r="A438" s="150" t="s">
        <v>797</v>
      </c>
      <c r="B438" s="50" t="s">
        <v>222</v>
      </c>
      <c r="C438" s="51" t="s">
        <v>230</v>
      </c>
      <c r="D438" s="87" t="s">
        <v>292</v>
      </c>
      <c r="E438" s="126">
        <v>0</v>
      </c>
      <c r="F438" s="79">
        <f>BPU!E438</f>
        <v>0</v>
      </c>
      <c r="G438" s="95">
        <f t="shared" si="10"/>
        <v>0</v>
      </c>
    </row>
    <row r="439" spans="1:7" ht="18.600000000000001" customHeight="1" x14ac:dyDescent="0.3">
      <c r="A439" s="52" t="s">
        <v>798</v>
      </c>
      <c r="B439" s="46" t="s">
        <v>170</v>
      </c>
      <c r="C439" s="52"/>
      <c r="D439" s="87"/>
      <c r="E439" s="126"/>
      <c r="F439" s="79">
        <f>BPU!E439</f>
        <v>0</v>
      </c>
      <c r="G439" s="95">
        <f t="shared" si="10"/>
        <v>0</v>
      </c>
    </row>
    <row r="440" spans="1:7" ht="18.600000000000001" customHeight="1" x14ac:dyDescent="0.3">
      <c r="A440" s="150" t="s">
        <v>799</v>
      </c>
      <c r="B440" s="50" t="s">
        <v>223</v>
      </c>
      <c r="C440" s="51" t="s">
        <v>230</v>
      </c>
      <c r="D440" s="87" t="s">
        <v>292</v>
      </c>
      <c r="E440" s="126">
        <v>0</v>
      </c>
      <c r="F440" s="79">
        <f>BPU!E440</f>
        <v>0</v>
      </c>
      <c r="G440" s="95">
        <f t="shared" si="10"/>
        <v>0</v>
      </c>
    </row>
    <row r="441" spans="1:7" ht="18.600000000000001" customHeight="1" x14ac:dyDescent="0.3">
      <c r="A441" s="150" t="s">
        <v>800</v>
      </c>
      <c r="B441" s="50" t="s">
        <v>224</v>
      </c>
      <c r="C441" s="51" t="s">
        <v>230</v>
      </c>
      <c r="D441" s="87" t="s">
        <v>292</v>
      </c>
      <c r="E441" s="126">
        <v>0</v>
      </c>
      <c r="F441" s="79">
        <f>BPU!E441</f>
        <v>0</v>
      </c>
      <c r="G441" s="95">
        <f t="shared" si="10"/>
        <v>0</v>
      </c>
    </row>
    <row r="442" spans="1:7" ht="18.600000000000001" customHeight="1" x14ac:dyDescent="0.3">
      <c r="A442" s="150" t="s">
        <v>801</v>
      </c>
      <c r="B442" s="50" t="s">
        <v>178</v>
      </c>
      <c r="C442" s="51" t="s">
        <v>230</v>
      </c>
      <c r="D442" s="87" t="s">
        <v>292</v>
      </c>
      <c r="E442" s="126">
        <v>0</v>
      </c>
      <c r="F442" s="79">
        <f>BPU!E442</f>
        <v>0</v>
      </c>
      <c r="G442" s="95">
        <f t="shared" si="10"/>
        <v>0</v>
      </c>
    </row>
    <row r="443" spans="1:7" ht="18.600000000000001" customHeight="1" x14ac:dyDescent="0.3">
      <c r="A443" s="52" t="s">
        <v>802</v>
      </c>
      <c r="B443" s="46" t="s">
        <v>171</v>
      </c>
      <c r="C443" s="52"/>
      <c r="D443" s="87"/>
      <c r="E443" s="126"/>
      <c r="F443" s="79">
        <f>BPU!E443</f>
        <v>0</v>
      </c>
      <c r="G443" s="95">
        <f t="shared" si="10"/>
        <v>0</v>
      </c>
    </row>
    <row r="444" spans="1:7" ht="24.6" customHeight="1" x14ac:dyDescent="0.3">
      <c r="A444" s="150" t="s">
        <v>803</v>
      </c>
      <c r="B444" s="50" t="s">
        <v>229</v>
      </c>
      <c r="C444" s="51" t="s">
        <v>181</v>
      </c>
      <c r="D444" s="87" t="s">
        <v>292</v>
      </c>
      <c r="E444" s="126">
        <v>0</v>
      </c>
      <c r="F444" s="79">
        <f>BPU!E444</f>
        <v>0</v>
      </c>
      <c r="G444" s="95">
        <f t="shared" si="10"/>
        <v>0</v>
      </c>
    </row>
    <row r="445" spans="1:7" ht="18.600000000000001" customHeight="1" x14ac:dyDescent="0.3">
      <c r="A445" s="150" t="s">
        <v>804</v>
      </c>
      <c r="B445" s="50" t="s">
        <v>366</v>
      </c>
      <c r="C445" s="51" t="s">
        <v>181</v>
      </c>
      <c r="D445" s="87" t="s">
        <v>292</v>
      </c>
      <c r="E445" s="126"/>
      <c r="F445" s="79">
        <f>BPU!E445</f>
        <v>0</v>
      </c>
      <c r="G445" s="95">
        <f t="shared" ref="G445" si="11">E445*F445</f>
        <v>0</v>
      </c>
    </row>
    <row r="446" spans="1:7" ht="18.600000000000001" customHeight="1" x14ac:dyDescent="0.3">
      <c r="A446" s="150" t="s">
        <v>805</v>
      </c>
      <c r="B446" s="50" t="s">
        <v>225</v>
      </c>
      <c r="C446" s="51" t="s">
        <v>181</v>
      </c>
      <c r="D446" s="87" t="s">
        <v>292</v>
      </c>
      <c r="E446" s="126">
        <v>0</v>
      </c>
      <c r="F446" s="79">
        <f>BPU!E446</f>
        <v>0</v>
      </c>
      <c r="G446" s="95">
        <f t="shared" si="10"/>
        <v>0</v>
      </c>
    </row>
    <row r="447" spans="1:7" ht="18.600000000000001" customHeight="1" x14ac:dyDescent="0.3">
      <c r="A447" s="150" t="s">
        <v>806</v>
      </c>
      <c r="B447" s="50" t="s">
        <v>226</v>
      </c>
      <c r="C447" s="51" t="s">
        <v>181</v>
      </c>
      <c r="D447" s="87" t="s">
        <v>292</v>
      </c>
      <c r="E447" s="126">
        <v>0</v>
      </c>
      <c r="F447" s="79">
        <f>BPU!E447</f>
        <v>0</v>
      </c>
      <c r="G447" s="95">
        <f t="shared" si="10"/>
        <v>0</v>
      </c>
    </row>
    <row r="448" spans="1:7" ht="18.600000000000001" customHeight="1" x14ac:dyDescent="0.3">
      <c r="A448" s="150" t="s">
        <v>807</v>
      </c>
      <c r="B448" s="50" t="s">
        <v>227</v>
      </c>
      <c r="C448" s="51" t="s">
        <v>181</v>
      </c>
      <c r="D448" s="87" t="s">
        <v>292</v>
      </c>
      <c r="E448" s="126">
        <v>0</v>
      </c>
      <c r="F448" s="79">
        <f>BPU!E448</f>
        <v>0</v>
      </c>
      <c r="G448" s="95">
        <f t="shared" si="10"/>
        <v>0</v>
      </c>
    </row>
    <row r="449" spans="1:7" ht="18.600000000000001" customHeight="1" x14ac:dyDescent="0.3">
      <c r="A449" s="150" t="s">
        <v>808</v>
      </c>
      <c r="B449" s="50" t="s">
        <v>228</v>
      </c>
      <c r="C449" s="51" t="s">
        <v>181</v>
      </c>
      <c r="D449" s="87" t="s">
        <v>292</v>
      </c>
      <c r="E449" s="126">
        <v>0</v>
      </c>
      <c r="F449" s="79">
        <f>BPU!E449</f>
        <v>0</v>
      </c>
      <c r="G449" s="95">
        <f t="shared" si="10"/>
        <v>0</v>
      </c>
    </row>
    <row r="450" spans="1:7" ht="18.600000000000001" customHeight="1" x14ac:dyDescent="0.3">
      <c r="A450" s="52" t="s">
        <v>809</v>
      </c>
      <c r="B450" s="46" t="s">
        <v>172</v>
      </c>
      <c r="C450" s="52"/>
      <c r="D450" s="87"/>
      <c r="E450" s="126"/>
      <c r="F450" s="79">
        <f>BPU!E450</f>
        <v>0</v>
      </c>
      <c r="G450" s="95">
        <f t="shared" si="10"/>
        <v>0</v>
      </c>
    </row>
    <row r="451" spans="1:7" ht="18.600000000000001" customHeight="1" x14ac:dyDescent="0.3">
      <c r="A451" s="150" t="s">
        <v>810</v>
      </c>
      <c r="B451" s="50" t="s">
        <v>231</v>
      </c>
      <c r="C451" s="51" t="s">
        <v>181</v>
      </c>
      <c r="D451" s="87" t="s">
        <v>292</v>
      </c>
      <c r="E451" s="126">
        <v>0</v>
      </c>
      <c r="F451" s="79">
        <f>BPU!E451</f>
        <v>0</v>
      </c>
      <c r="G451" s="95">
        <f t="shared" si="10"/>
        <v>0</v>
      </c>
    </row>
    <row r="452" spans="1:7" ht="18.600000000000001" customHeight="1" x14ac:dyDescent="0.3">
      <c r="A452" s="150" t="s">
        <v>811</v>
      </c>
      <c r="B452" s="50" t="s">
        <v>232</v>
      </c>
      <c r="C452" s="51" t="s">
        <v>181</v>
      </c>
      <c r="D452" s="87" t="s">
        <v>292</v>
      </c>
      <c r="E452" s="126">
        <v>0</v>
      </c>
      <c r="F452" s="79">
        <f>BPU!E452</f>
        <v>0</v>
      </c>
      <c r="G452" s="95">
        <f t="shared" si="10"/>
        <v>0</v>
      </c>
    </row>
    <row r="453" spans="1:7" ht="28.2" customHeight="1" x14ac:dyDescent="0.3">
      <c r="A453" s="150" t="s">
        <v>812</v>
      </c>
      <c r="B453" s="50" t="s">
        <v>233</v>
      </c>
      <c r="C453" s="51" t="s">
        <v>181</v>
      </c>
      <c r="D453" s="87" t="s">
        <v>292</v>
      </c>
      <c r="E453" s="126">
        <v>0</v>
      </c>
      <c r="F453" s="79">
        <f>BPU!E453</f>
        <v>0</v>
      </c>
      <c r="G453" s="95">
        <f t="shared" si="10"/>
        <v>0</v>
      </c>
    </row>
    <row r="454" spans="1:7" ht="18.600000000000001" customHeight="1" x14ac:dyDescent="0.3">
      <c r="A454" s="150" t="s">
        <v>813</v>
      </c>
      <c r="B454" s="50" t="s">
        <v>234</v>
      </c>
      <c r="C454" s="51" t="s">
        <v>181</v>
      </c>
      <c r="D454" s="87" t="s">
        <v>292</v>
      </c>
      <c r="E454" s="126">
        <v>0</v>
      </c>
      <c r="F454" s="79">
        <f>BPU!E454</f>
        <v>0</v>
      </c>
      <c r="G454" s="95">
        <f t="shared" si="10"/>
        <v>0</v>
      </c>
    </row>
    <row r="455" spans="1:7" ht="18.600000000000001" customHeight="1" x14ac:dyDescent="0.3">
      <c r="A455" s="52" t="s">
        <v>814</v>
      </c>
      <c r="B455" s="46" t="s">
        <v>173</v>
      </c>
      <c r="C455" s="52"/>
      <c r="D455" s="87"/>
      <c r="E455" s="126"/>
      <c r="F455" s="79">
        <f>BPU!E455</f>
        <v>0</v>
      </c>
      <c r="G455" s="95">
        <f t="shared" si="10"/>
        <v>0</v>
      </c>
    </row>
    <row r="456" spans="1:7" ht="18.600000000000001" customHeight="1" x14ac:dyDescent="0.3">
      <c r="A456" s="150" t="s">
        <v>815</v>
      </c>
      <c r="B456" s="50" t="s">
        <v>259</v>
      </c>
      <c r="C456" s="51" t="s">
        <v>181</v>
      </c>
      <c r="D456" s="87" t="s">
        <v>292</v>
      </c>
      <c r="E456" s="126">
        <v>0</v>
      </c>
      <c r="F456" s="79">
        <f>BPU!E456</f>
        <v>0</v>
      </c>
      <c r="G456" s="95">
        <f t="shared" si="10"/>
        <v>0</v>
      </c>
    </row>
    <row r="457" spans="1:7" ht="18.600000000000001" customHeight="1" x14ac:dyDescent="0.3">
      <c r="A457" s="150" t="s">
        <v>816</v>
      </c>
      <c r="B457" s="50" t="s">
        <v>235</v>
      </c>
      <c r="C457" s="51" t="s">
        <v>181</v>
      </c>
      <c r="D457" s="87" t="s">
        <v>292</v>
      </c>
      <c r="E457" s="126">
        <v>0</v>
      </c>
      <c r="F457" s="79">
        <f>BPU!E457</f>
        <v>0</v>
      </c>
      <c r="G457" s="95">
        <f t="shared" si="10"/>
        <v>0</v>
      </c>
    </row>
    <row r="458" spans="1:7" ht="18.600000000000001" customHeight="1" x14ac:dyDescent="0.3">
      <c r="A458" s="150" t="s">
        <v>817</v>
      </c>
      <c r="B458" s="50" t="s">
        <v>236</v>
      </c>
      <c r="C458" s="51" t="s">
        <v>181</v>
      </c>
      <c r="D458" s="87" t="s">
        <v>292</v>
      </c>
      <c r="E458" s="126">
        <v>0</v>
      </c>
      <c r="F458" s="79">
        <f>BPU!E458</f>
        <v>0</v>
      </c>
      <c r="G458" s="95">
        <f t="shared" si="10"/>
        <v>0</v>
      </c>
    </row>
    <row r="459" spans="1:7" ht="18.600000000000001" customHeight="1" x14ac:dyDescent="0.3">
      <c r="A459" s="150" t="s">
        <v>818</v>
      </c>
      <c r="B459" s="50" t="s">
        <v>237</v>
      </c>
      <c r="C459" s="51" t="s">
        <v>181</v>
      </c>
      <c r="D459" s="87" t="s">
        <v>292</v>
      </c>
      <c r="E459" s="126">
        <v>0</v>
      </c>
      <c r="F459" s="79">
        <f>BPU!E459</f>
        <v>0</v>
      </c>
      <c r="G459" s="95">
        <f t="shared" si="10"/>
        <v>0</v>
      </c>
    </row>
    <row r="460" spans="1:7" ht="18.600000000000001" customHeight="1" x14ac:dyDescent="0.3">
      <c r="A460" s="150" t="s">
        <v>819</v>
      </c>
      <c r="B460" s="50" t="s">
        <v>238</v>
      </c>
      <c r="C460" s="51" t="s">
        <v>181</v>
      </c>
      <c r="D460" s="87" t="s">
        <v>292</v>
      </c>
      <c r="E460" s="126">
        <v>0</v>
      </c>
      <c r="F460" s="79">
        <f>BPU!E460</f>
        <v>0</v>
      </c>
      <c r="G460" s="95">
        <f t="shared" si="10"/>
        <v>0</v>
      </c>
    </row>
    <row r="461" spans="1:7" ht="18.600000000000001" customHeight="1" x14ac:dyDescent="0.3">
      <c r="A461" s="150" t="s">
        <v>820</v>
      </c>
      <c r="B461" s="50" t="s">
        <v>179</v>
      </c>
      <c r="C461" s="51" t="s">
        <v>181</v>
      </c>
      <c r="D461" s="87" t="s">
        <v>292</v>
      </c>
      <c r="E461" s="126">
        <v>0</v>
      </c>
      <c r="F461" s="79">
        <f>BPU!E461</f>
        <v>0</v>
      </c>
      <c r="G461" s="95">
        <f t="shared" si="10"/>
        <v>0</v>
      </c>
    </row>
    <row r="462" spans="1:7" ht="18.600000000000001" customHeight="1" x14ac:dyDescent="0.3">
      <c r="A462" s="150" t="s">
        <v>821</v>
      </c>
      <c r="B462" s="50" t="s">
        <v>239</v>
      </c>
      <c r="C462" s="51" t="s">
        <v>181</v>
      </c>
      <c r="D462" s="87" t="s">
        <v>292</v>
      </c>
      <c r="E462" s="126">
        <v>0</v>
      </c>
      <c r="F462" s="79">
        <f>BPU!E462</f>
        <v>0</v>
      </c>
      <c r="G462" s="95">
        <f t="shared" si="10"/>
        <v>0</v>
      </c>
    </row>
    <row r="463" spans="1:7" ht="18.600000000000001" customHeight="1" x14ac:dyDescent="0.3">
      <c r="A463" s="52" t="s">
        <v>822</v>
      </c>
      <c r="B463" s="46" t="s">
        <v>174</v>
      </c>
      <c r="C463" s="52"/>
      <c r="D463" s="87"/>
      <c r="E463" s="126"/>
      <c r="F463" s="79">
        <f>BPU!E463</f>
        <v>0</v>
      </c>
      <c r="G463" s="95">
        <f t="shared" si="10"/>
        <v>0</v>
      </c>
    </row>
    <row r="464" spans="1:7" ht="18.600000000000001" customHeight="1" x14ac:dyDescent="0.3">
      <c r="A464" s="150" t="s">
        <v>823</v>
      </c>
      <c r="B464" s="50" t="s">
        <v>373</v>
      </c>
      <c r="C464" s="51" t="s">
        <v>181</v>
      </c>
      <c r="D464" s="87" t="s">
        <v>292</v>
      </c>
      <c r="E464" s="126"/>
      <c r="F464" s="79">
        <f>BPU!E464</f>
        <v>0</v>
      </c>
      <c r="G464" s="95"/>
    </row>
    <row r="465" spans="1:7" ht="18.600000000000001" customHeight="1" x14ac:dyDescent="0.3">
      <c r="A465" s="150" t="s">
        <v>824</v>
      </c>
      <c r="B465" s="50" t="s">
        <v>240</v>
      </c>
      <c r="C465" s="51" t="s">
        <v>181</v>
      </c>
      <c r="D465" s="87" t="s">
        <v>292</v>
      </c>
      <c r="E465" s="126">
        <v>0</v>
      </c>
      <c r="F465" s="79">
        <f>BPU!E465</f>
        <v>0</v>
      </c>
      <c r="G465" s="95">
        <f t="shared" si="10"/>
        <v>0</v>
      </c>
    </row>
    <row r="466" spans="1:7" ht="18.600000000000001" customHeight="1" x14ac:dyDescent="0.3">
      <c r="A466" s="150" t="s">
        <v>825</v>
      </c>
      <c r="B466" s="50" t="s">
        <v>241</v>
      </c>
      <c r="C466" s="51" t="s">
        <v>181</v>
      </c>
      <c r="D466" s="87" t="s">
        <v>292</v>
      </c>
      <c r="E466" s="126">
        <v>0</v>
      </c>
      <c r="F466" s="79">
        <f>BPU!E466</f>
        <v>0</v>
      </c>
      <c r="G466" s="95">
        <f t="shared" si="10"/>
        <v>0</v>
      </c>
    </row>
    <row r="467" spans="1:7" ht="18.600000000000001" customHeight="1" x14ac:dyDescent="0.3">
      <c r="A467" s="150" t="s">
        <v>826</v>
      </c>
      <c r="B467" s="50" t="s">
        <v>242</v>
      </c>
      <c r="C467" s="51" t="s">
        <v>181</v>
      </c>
      <c r="D467" s="87" t="s">
        <v>292</v>
      </c>
      <c r="E467" s="126">
        <v>0</v>
      </c>
      <c r="F467" s="79">
        <f>BPU!E467</f>
        <v>0</v>
      </c>
      <c r="G467" s="95">
        <f t="shared" si="10"/>
        <v>0</v>
      </c>
    </row>
    <row r="468" spans="1:7" ht="18.600000000000001" customHeight="1" x14ac:dyDescent="0.3">
      <c r="A468" s="150" t="s">
        <v>827</v>
      </c>
      <c r="B468" s="50" t="s">
        <v>243</v>
      </c>
      <c r="C468" s="51" t="s">
        <v>181</v>
      </c>
      <c r="D468" s="87" t="s">
        <v>292</v>
      </c>
      <c r="E468" s="126">
        <v>0</v>
      </c>
      <c r="F468" s="79">
        <f>BPU!E468</f>
        <v>0</v>
      </c>
      <c r="G468" s="95">
        <f t="shared" si="10"/>
        <v>0</v>
      </c>
    </row>
    <row r="469" spans="1:7" ht="18.600000000000001" customHeight="1" x14ac:dyDescent="0.3">
      <c r="A469" s="150" t="s">
        <v>828</v>
      </c>
      <c r="B469" s="50" t="s">
        <v>244</v>
      </c>
      <c r="C469" s="51" t="s">
        <v>181</v>
      </c>
      <c r="D469" s="87" t="s">
        <v>292</v>
      </c>
      <c r="E469" s="126">
        <v>0</v>
      </c>
      <c r="F469" s="79">
        <f>BPU!E469</f>
        <v>0</v>
      </c>
      <c r="G469" s="95">
        <f t="shared" si="10"/>
        <v>0</v>
      </c>
    </row>
    <row r="470" spans="1:7" ht="18.600000000000001" customHeight="1" x14ac:dyDescent="0.3">
      <c r="A470" s="150" t="s">
        <v>829</v>
      </c>
      <c r="B470" s="50" t="s">
        <v>245</v>
      </c>
      <c r="C470" s="51" t="s">
        <v>181</v>
      </c>
      <c r="D470" s="87" t="s">
        <v>292</v>
      </c>
      <c r="E470" s="126">
        <v>0</v>
      </c>
      <c r="F470" s="79">
        <f>BPU!E470</f>
        <v>0</v>
      </c>
      <c r="G470" s="95">
        <f t="shared" si="10"/>
        <v>0</v>
      </c>
    </row>
    <row r="471" spans="1:7" ht="18.600000000000001" customHeight="1" x14ac:dyDescent="0.3">
      <c r="A471" s="150" t="s">
        <v>830</v>
      </c>
      <c r="B471" s="50" t="s">
        <v>246</v>
      </c>
      <c r="C471" s="51" t="s">
        <v>181</v>
      </c>
      <c r="D471" s="87" t="s">
        <v>292</v>
      </c>
      <c r="E471" s="126">
        <v>0</v>
      </c>
      <c r="F471" s="79">
        <f>BPU!E471</f>
        <v>0</v>
      </c>
      <c r="G471" s="95">
        <f t="shared" si="10"/>
        <v>0</v>
      </c>
    </row>
    <row r="472" spans="1:7" ht="18.600000000000001" customHeight="1" x14ac:dyDescent="0.3">
      <c r="A472" s="150" t="s">
        <v>831</v>
      </c>
      <c r="B472" s="50" t="s">
        <v>372</v>
      </c>
      <c r="C472" s="51" t="s">
        <v>181</v>
      </c>
      <c r="D472" s="87" t="s">
        <v>292</v>
      </c>
      <c r="E472" s="126"/>
      <c r="F472" s="79">
        <f>BPU!E472</f>
        <v>0</v>
      </c>
      <c r="G472" s="95">
        <f t="shared" ref="G472" si="12">E472*F472</f>
        <v>0</v>
      </c>
    </row>
    <row r="473" spans="1:7" ht="18.600000000000001" customHeight="1" x14ac:dyDescent="0.3">
      <c r="A473" s="150" t="s">
        <v>832</v>
      </c>
      <c r="B473" s="50" t="s">
        <v>247</v>
      </c>
      <c r="C473" s="51" t="s">
        <v>181</v>
      </c>
      <c r="D473" s="87" t="s">
        <v>292</v>
      </c>
      <c r="E473" s="126">
        <v>0</v>
      </c>
      <c r="F473" s="79">
        <f>BPU!E473</f>
        <v>0</v>
      </c>
      <c r="G473" s="95">
        <f t="shared" si="10"/>
        <v>0</v>
      </c>
    </row>
    <row r="474" spans="1:7" ht="18.600000000000001" customHeight="1" x14ac:dyDescent="0.3">
      <c r="A474" s="150" t="s">
        <v>833</v>
      </c>
      <c r="B474" s="50" t="s">
        <v>194</v>
      </c>
      <c r="C474" s="51" t="s">
        <v>181</v>
      </c>
      <c r="D474" s="87" t="s">
        <v>292</v>
      </c>
      <c r="E474" s="126">
        <v>0</v>
      </c>
      <c r="F474" s="79">
        <f>BPU!E474</f>
        <v>0</v>
      </c>
      <c r="G474" s="95">
        <f t="shared" si="10"/>
        <v>0</v>
      </c>
    </row>
    <row r="475" spans="1:7" ht="18.600000000000001" customHeight="1" x14ac:dyDescent="0.3">
      <c r="A475" s="52" t="s">
        <v>834</v>
      </c>
      <c r="B475" s="46" t="s">
        <v>175</v>
      </c>
      <c r="C475" s="52"/>
      <c r="D475" s="87"/>
      <c r="E475" s="126"/>
      <c r="F475" s="79">
        <f>BPU!E475</f>
        <v>0</v>
      </c>
      <c r="G475" s="95">
        <f t="shared" si="10"/>
        <v>0</v>
      </c>
    </row>
    <row r="476" spans="1:7" ht="18.600000000000001" customHeight="1" x14ac:dyDescent="0.3">
      <c r="A476" s="150" t="s">
        <v>835</v>
      </c>
      <c r="B476" s="50" t="s">
        <v>180</v>
      </c>
      <c r="C476" s="51" t="s">
        <v>181</v>
      </c>
      <c r="D476" s="87" t="s">
        <v>292</v>
      </c>
      <c r="E476" s="126">
        <v>0</v>
      </c>
      <c r="F476" s="79">
        <f>BPU!E476</f>
        <v>0</v>
      </c>
      <c r="G476" s="95">
        <f t="shared" si="10"/>
        <v>0</v>
      </c>
    </row>
    <row r="477" spans="1:7" ht="18.600000000000001" customHeight="1" x14ac:dyDescent="0.3">
      <c r="A477" s="52" t="s">
        <v>836</v>
      </c>
      <c r="B477" s="46" t="s">
        <v>176</v>
      </c>
      <c r="C477" s="52"/>
      <c r="D477" s="87"/>
      <c r="E477" s="126"/>
      <c r="F477" s="79">
        <f>BPU!E477</f>
        <v>0</v>
      </c>
      <c r="G477" s="95">
        <f t="shared" si="10"/>
        <v>0</v>
      </c>
    </row>
    <row r="478" spans="1:7" ht="18.600000000000001" customHeight="1" x14ac:dyDescent="0.3">
      <c r="A478" s="150" t="s">
        <v>837</v>
      </c>
      <c r="B478" s="50" t="s">
        <v>257</v>
      </c>
      <c r="C478" s="51" t="s">
        <v>181</v>
      </c>
      <c r="D478" s="87" t="s">
        <v>292</v>
      </c>
      <c r="E478" s="126">
        <v>0</v>
      </c>
      <c r="F478" s="79">
        <f>BPU!E478</f>
        <v>0</v>
      </c>
      <c r="G478" s="95">
        <f t="shared" si="10"/>
        <v>0</v>
      </c>
    </row>
    <row r="479" spans="1:7" ht="18.600000000000001" customHeight="1" x14ac:dyDescent="0.3">
      <c r="A479" s="150" t="s">
        <v>838</v>
      </c>
      <c r="B479" s="50" t="s">
        <v>253</v>
      </c>
      <c r="C479" s="51" t="s">
        <v>17</v>
      </c>
      <c r="D479" s="87" t="s">
        <v>292</v>
      </c>
      <c r="E479" s="126">
        <v>0</v>
      </c>
      <c r="F479" s="79">
        <f>BPU!E479</f>
        <v>0</v>
      </c>
      <c r="G479" s="95">
        <f t="shared" si="10"/>
        <v>0</v>
      </c>
    </row>
    <row r="480" spans="1:7" ht="18.600000000000001" customHeight="1" x14ac:dyDescent="0.3">
      <c r="A480" s="150" t="s">
        <v>839</v>
      </c>
      <c r="B480" s="50" t="s">
        <v>252</v>
      </c>
      <c r="C480" s="51" t="s">
        <v>17</v>
      </c>
      <c r="D480" s="87" t="s">
        <v>292</v>
      </c>
      <c r="E480" s="126">
        <v>0</v>
      </c>
      <c r="F480" s="79">
        <f>BPU!E480</f>
        <v>0</v>
      </c>
      <c r="G480" s="95">
        <f t="shared" si="10"/>
        <v>0</v>
      </c>
    </row>
    <row r="481" spans="1:7" ht="18.600000000000001" customHeight="1" x14ac:dyDescent="0.3">
      <c r="A481" s="150" t="s">
        <v>840</v>
      </c>
      <c r="B481" s="50" t="s">
        <v>254</v>
      </c>
      <c r="C481" s="51" t="s">
        <v>17</v>
      </c>
      <c r="D481" s="87" t="s">
        <v>292</v>
      </c>
      <c r="E481" s="126">
        <v>0</v>
      </c>
      <c r="F481" s="79">
        <f>BPU!E481</f>
        <v>0</v>
      </c>
      <c r="G481" s="95">
        <f t="shared" si="10"/>
        <v>0</v>
      </c>
    </row>
    <row r="482" spans="1:7" ht="18.600000000000001" customHeight="1" x14ac:dyDescent="0.3">
      <c r="A482" s="150" t="s">
        <v>841</v>
      </c>
      <c r="B482" s="50" t="s">
        <v>255</v>
      </c>
      <c r="C482" s="51" t="s">
        <v>17</v>
      </c>
      <c r="D482" s="87" t="s">
        <v>292</v>
      </c>
      <c r="E482" s="126">
        <v>0</v>
      </c>
      <c r="F482" s="79">
        <f>BPU!E482</f>
        <v>0</v>
      </c>
      <c r="G482" s="95">
        <f t="shared" si="10"/>
        <v>0</v>
      </c>
    </row>
    <row r="483" spans="1:7" ht="28.8" customHeight="1" x14ac:dyDescent="0.3">
      <c r="A483" s="150" t="s">
        <v>842</v>
      </c>
      <c r="B483" s="50" t="s">
        <v>251</v>
      </c>
      <c r="C483" s="51" t="s">
        <v>17</v>
      </c>
      <c r="D483" s="87" t="s">
        <v>292</v>
      </c>
      <c r="E483" s="126">
        <v>0</v>
      </c>
      <c r="F483" s="79">
        <f>BPU!E483</f>
        <v>0</v>
      </c>
      <c r="G483" s="95">
        <f t="shared" si="10"/>
        <v>0</v>
      </c>
    </row>
    <row r="484" spans="1:7" x14ac:dyDescent="0.3">
      <c r="A484" s="150" t="s">
        <v>843</v>
      </c>
      <c r="B484" s="50" t="s">
        <v>256</v>
      </c>
      <c r="C484" s="51" t="s">
        <v>181</v>
      </c>
      <c r="D484" s="87" t="s">
        <v>292</v>
      </c>
      <c r="E484" s="126">
        <v>0</v>
      </c>
      <c r="F484" s="79">
        <f>BPU!E484</f>
        <v>0</v>
      </c>
      <c r="G484" s="95">
        <f t="shared" si="10"/>
        <v>0</v>
      </c>
    </row>
    <row r="485" spans="1:7" x14ac:dyDescent="0.3">
      <c r="A485" s="150" t="s">
        <v>844</v>
      </c>
      <c r="B485" s="50" t="s">
        <v>258</v>
      </c>
      <c r="C485" s="51" t="s">
        <v>17</v>
      </c>
      <c r="D485" s="87" t="s">
        <v>292</v>
      </c>
      <c r="E485" s="126">
        <v>0</v>
      </c>
      <c r="F485" s="79">
        <f>BPU!E485</f>
        <v>0</v>
      </c>
      <c r="G485" s="95">
        <f t="shared" si="10"/>
        <v>0</v>
      </c>
    </row>
    <row r="486" spans="1:7" ht="18.600000000000001" customHeight="1" x14ac:dyDescent="0.3">
      <c r="A486" s="150" t="s">
        <v>845</v>
      </c>
      <c r="B486" s="50" t="s">
        <v>193</v>
      </c>
      <c r="C486" s="51" t="s">
        <v>181</v>
      </c>
      <c r="D486" s="87" t="s">
        <v>292</v>
      </c>
      <c r="E486" s="126">
        <v>0</v>
      </c>
      <c r="F486" s="79">
        <f>BPU!E486</f>
        <v>0</v>
      </c>
      <c r="G486" s="95">
        <f t="shared" si="10"/>
        <v>0</v>
      </c>
    </row>
    <row r="487" spans="1:7" x14ac:dyDescent="0.3">
      <c r="A487" s="150" t="s">
        <v>846</v>
      </c>
      <c r="B487" s="50" t="s">
        <v>192</v>
      </c>
      <c r="C487" s="51" t="s">
        <v>181</v>
      </c>
      <c r="D487" s="87" t="s">
        <v>292</v>
      </c>
      <c r="E487" s="126">
        <v>0</v>
      </c>
      <c r="F487" s="79">
        <f>BPU!E487</f>
        <v>0</v>
      </c>
      <c r="G487" s="95">
        <f t="shared" si="10"/>
        <v>0</v>
      </c>
    </row>
    <row r="488" spans="1:7" ht="28.8" x14ac:dyDescent="0.3">
      <c r="A488" s="150" t="s">
        <v>847</v>
      </c>
      <c r="B488" s="50" t="s">
        <v>260</v>
      </c>
      <c r="C488" s="51" t="s">
        <v>181</v>
      </c>
      <c r="D488" s="87" t="s">
        <v>292</v>
      </c>
      <c r="E488" s="126">
        <v>0</v>
      </c>
      <c r="F488" s="79">
        <f>BPU!E488</f>
        <v>0</v>
      </c>
      <c r="G488" s="95">
        <f t="shared" si="10"/>
        <v>0</v>
      </c>
    </row>
    <row r="489" spans="1:7" ht="18.600000000000001" customHeight="1" x14ac:dyDescent="0.3">
      <c r="A489" s="52" t="s">
        <v>848</v>
      </c>
      <c r="B489" s="46" t="s">
        <v>177</v>
      </c>
      <c r="C489" s="52"/>
      <c r="D489" s="87"/>
      <c r="E489" s="126"/>
      <c r="F489" s="79">
        <f>BPU!E489</f>
        <v>0</v>
      </c>
      <c r="G489" s="95">
        <f t="shared" si="10"/>
        <v>0</v>
      </c>
    </row>
    <row r="490" spans="1:7" ht="18.600000000000001" customHeight="1" x14ac:dyDescent="0.3">
      <c r="A490" s="150" t="s">
        <v>849</v>
      </c>
      <c r="B490" s="50" t="s">
        <v>182</v>
      </c>
      <c r="C490" s="51" t="s">
        <v>181</v>
      </c>
      <c r="D490" s="87" t="s">
        <v>292</v>
      </c>
      <c r="E490" s="126">
        <v>0</v>
      </c>
      <c r="F490" s="79">
        <f>BPU!E490</f>
        <v>0</v>
      </c>
      <c r="G490" s="95">
        <f t="shared" si="10"/>
        <v>0</v>
      </c>
    </row>
    <row r="491" spans="1:7" ht="28.8" x14ac:dyDescent="0.3">
      <c r="A491" s="150" t="s">
        <v>850</v>
      </c>
      <c r="B491" s="50" t="s">
        <v>1273</v>
      </c>
      <c r="C491" s="51" t="s">
        <v>181</v>
      </c>
      <c r="D491" s="87" t="s">
        <v>292</v>
      </c>
      <c r="E491" s="126">
        <v>0</v>
      </c>
      <c r="F491" s="79">
        <f>BPU!E491</f>
        <v>0</v>
      </c>
      <c r="G491" s="95">
        <f t="shared" si="10"/>
        <v>0</v>
      </c>
    </row>
    <row r="492" spans="1:7" x14ac:dyDescent="0.3">
      <c r="A492" s="150" t="s">
        <v>851</v>
      </c>
      <c r="B492" s="50" t="s">
        <v>183</v>
      </c>
      <c r="C492" s="51" t="s">
        <v>181</v>
      </c>
      <c r="D492" s="87" t="s">
        <v>292</v>
      </c>
      <c r="E492" s="126">
        <v>0</v>
      </c>
      <c r="F492" s="79">
        <f>BPU!E492</f>
        <v>0</v>
      </c>
      <c r="G492" s="95">
        <f t="shared" si="10"/>
        <v>0</v>
      </c>
    </row>
    <row r="493" spans="1:7" ht="26.4" customHeight="1" x14ac:dyDescent="0.3">
      <c r="A493" s="150" t="s">
        <v>852</v>
      </c>
      <c r="B493" s="50" t="s">
        <v>184</v>
      </c>
      <c r="C493" s="51" t="s">
        <v>181</v>
      </c>
      <c r="D493" s="87" t="s">
        <v>292</v>
      </c>
      <c r="E493" s="126">
        <v>0</v>
      </c>
      <c r="F493" s="79">
        <f>BPU!E493</f>
        <v>0</v>
      </c>
      <c r="G493" s="95">
        <f t="shared" si="10"/>
        <v>0</v>
      </c>
    </row>
    <row r="494" spans="1:7" ht="26.4" customHeight="1" x14ac:dyDescent="0.3">
      <c r="A494" s="150" t="s">
        <v>853</v>
      </c>
      <c r="B494" s="50" t="s">
        <v>185</v>
      </c>
      <c r="C494" s="51" t="s">
        <v>181</v>
      </c>
      <c r="D494" s="87" t="s">
        <v>292</v>
      </c>
      <c r="E494" s="126">
        <v>0</v>
      </c>
      <c r="F494" s="79">
        <f>BPU!E494</f>
        <v>0</v>
      </c>
      <c r="G494" s="95">
        <f t="shared" si="10"/>
        <v>0</v>
      </c>
    </row>
    <row r="495" spans="1:7" x14ac:dyDescent="0.3">
      <c r="A495" s="52" t="s">
        <v>854</v>
      </c>
      <c r="B495" s="46" t="s">
        <v>304</v>
      </c>
      <c r="C495" s="51"/>
      <c r="D495" s="87"/>
      <c r="E495" s="126"/>
      <c r="F495" s="79">
        <f>BPU!E495</f>
        <v>0</v>
      </c>
      <c r="G495" s="95">
        <f t="shared" si="10"/>
        <v>0</v>
      </c>
    </row>
    <row r="496" spans="1:7" ht="18.600000000000001" customHeight="1" x14ac:dyDescent="0.3">
      <c r="A496" s="150" t="s">
        <v>855</v>
      </c>
      <c r="B496" s="50" t="s">
        <v>305</v>
      </c>
      <c r="C496" s="51" t="s">
        <v>197</v>
      </c>
      <c r="D496" s="87" t="s">
        <v>292</v>
      </c>
      <c r="E496" s="126">
        <v>0</v>
      </c>
      <c r="F496" s="79">
        <f>BPU!E496</f>
        <v>0</v>
      </c>
      <c r="G496" s="95">
        <f t="shared" si="10"/>
        <v>0</v>
      </c>
    </row>
    <row r="497" spans="1:7" ht="18.600000000000001" customHeight="1" x14ac:dyDescent="0.3">
      <c r="A497" s="150" t="s">
        <v>856</v>
      </c>
      <c r="B497" s="50" t="s">
        <v>306</v>
      </c>
      <c r="C497" s="51" t="s">
        <v>197</v>
      </c>
      <c r="D497" s="87" t="s">
        <v>292</v>
      </c>
      <c r="E497" s="126">
        <v>0</v>
      </c>
      <c r="F497" s="79">
        <f>BPU!E497</f>
        <v>0</v>
      </c>
      <c r="G497" s="95">
        <f t="shared" si="10"/>
        <v>0</v>
      </c>
    </row>
    <row r="498" spans="1:7" ht="18.600000000000001" customHeight="1" x14ac:dyDescent="0.3">
      <c r="A498" s="150" t="s">
        <v>857</v>
      </c>
      <c r="B498" s="50" t="s">
        <v>307</v>
      </c>
      <c r="C498" s="51" t="s">
        <v>197</v>
      </c>
      <c r="D498" s="87" t="s">
        <v>292</v>
      </c>
      <c r="E498" s="126">
        <v>0</v>
      </c>
      <c r="F498" s="79">
        <f>BPU!E498</f>
        <v>0</v>
      </c>
      <c r="G498" s="95">
        <f t="shared" si="10"/>
        <v>0</v>
      </c>
    </row>
    <row r="499" spans="1:7" ht="18.600000000000001" customHeight="1" x14ac:dyDescent="0.3">
      <c r="A499" s="150" t="s">
        <v>858</v>
      </c>
      <c r="B499" s="50" t="s">
        <v>308</v>
      </c>
      <c r="C499" s="51" t="s">
        <v>197</v>
      </c>
      <c r="D499" s="87" t="s">
        <v>292</v>
      </c>
      <c r="E499" s="126">
        <v>0</v>
      </c>
      <c r="F499" s="79">
        <f>BPU!E499</f>
        <v>0</v>
      </c>
      <c r="G499" s="95">
        <f t="shared" si="10"/>
        <v>0</v>
      </c>
    </row>
    <row r="500" spans="1:7" ht="18.600000000000001" customHeight="1" x14ac:dyDescent="0.3">
      <c r="A500" s="150" t="s">
        <v>859</v>
      </c>
      <c r="B500" s="50" t="s">
        <v>309</v>
      </c>
      <c r="C500" s="51" t="s">
        <v>197</v>
      </c>
      <c r="D500" s="87" t="s">
        <v>292</v>
      </c>
      <c r="E500" s="126">
        <v>0</v>
      </c>
      <c r="F500" s="79">
        <f>BPU!E500</f>
        <v>0</v>
      </c>
      <c r="G500" s="95">
        <f t="shared" si="10"/>
        <v>0</v>
      </c>
    </row>
    <row r="501" spans="1:7" ht="18.600000000000001" customHeight="1" x14ac:dyDescent="0.3">
      <c r="A501" s="150" t="s">
        <v>860</v>
      </c>
      <c r="B501" s="50" t="s">
        <v>310</v>
      </c>
      <c r="C501" s="51" t="s">
        <v>197</v>
      </c>
      <c r="D501" s="87" t="s">
        <v>292</v>
      </c>
      <c r="E501" s="126">
        <v>0</v>
      </c>
      <c r="F501" s="79">
        <f>BPU!E501</f>
        <v>0</v>
      </c>
      <c r="G501" s="95">
        <f t="shared" ref="G501:G564" si="13">E501*F501</f>
        <v>0</v>
      </c>
    </row>
    <row r="502" spans="1:7" ht="18.600000000000001" customHeight="1" x14ac:dyDescent="0.3">
      <c r="A502" s="150" t="s">
        <v>861</v>
      </c>
      <c r="B502" s="50" t="s">
        <v>311</v>
      </c>
      <c r="C502" s="51" t="s">
        <v>197</v>
      </c>
      <c r="D502" s="87" t="s">
        <v>292</v>
      </c>
      <c r="E502" s="126">
        <v>0</v>
      </c>
      <c r="F502" s="79">
        <f>BPU!E502</f>
        <v>0</v>
      </c>
      <c r="G502" s="95">
        <f t="shared" si="13"/>
        <v>0</v>
      </c>
    </row>
    <row r="503" spans="1:7" ht="24.6" customHeight="1" x14ac:dyDescent="0.3">
      <c r="A503" s="150" t="s">
        <v>862</v>
      </c>
      <c r="B503" s="50" t="s">
        <v>313</v>
      </c>
      <c r="C503" s="51" t="s">
        <v>17</v>
      </c>
      <c r="D503" s="87" t="s">
        <v>292</v>
      </c>
      <c r="E503" s="126">
        <v>0</v>
      </c>
      <c r="F503" s="79">
        <f>BPU!E503</f>
        <v>0</v>
      </c>
      <c r="G503" s="95">
        <f t="shared" si="13"/>
        <v>0</v>
      </c>
    </row>
    <row r="504" spans="1:7" ht="31.2" customHeight="1" x14ac:dyDescent="0.3">
      <c r="A504" s="150" t="s">
        <v>863</v>
      </c>
      <c r="B504" s="50" t="s">
        <v>312</v>
      </c>
      <c r="C504" s="51" t="s">
        <v>17</v>
      </c>
      <c r="D504" s="87" t="s">
        <v>292</v>
      </c>
      <c r="E504" s="126">
        <v>0</v>
      </c>
      <c r="F504" s="79">
        <f>BPU!E504</f>
        <v>0</v>
      </c>
      <c r="G504" s="95">
        <f t="shared" si="13"/>
        <v>0</v>
      </c>
    </row>
    <row r="505" spans="1:7" s="66" customFormat="1" ht="18.600000000000001" customHeight="1" x14ac:dyDescent="0.3">
      <c r="A505" s="52" t="s">
        <v>864</v>
      </c>
      <c r="B505" s="46" t="s">
        <v>201</v>
      </c>
      <c r="C505" s="71"/>
      <c r="D505" s="89"/>
      <c r="E505" s="133"/>
      <c r="F505" s="79">
        <f>BPU!E505</f>
        <v>0</v>
      </c>
      <c r="G505" s="95">
        <f t="shared" si="13"/>
        <v>0</v>
      </c>
    </row>
    <row r="506" spans="1:7" ht="18.600000000000001" customHeight="1" x14ac:dyDescent="0.3">
      <c r="A506" s="150" t="s">
        <v>865</v>
      </c>
      <c r="B506" s="50" t="s">
        <v>202</v>
      </c>
      <c r="C506" s="51" t="s">
        <v>164</v>
      </c>
      <c r="D506" s="87" t="s">
        <v>292</v>
      </c>
      <c r="E506" s="126">
        <v>0</v>
      </c>
      <c r="F506" s="79">
        <f>BPU!E506</f>
        <v>0</v>
      </c>
      <c r="G506" s="95">
        <f t="shared" si="13"/>
        <v>0</v>
      </c>
    </row>
    <row r="507" spans="1:7" ht="18.600000000000001" customHeight="1" x14ac:dyDescent="0.3">
      <c r="A507" s="150" t="s">
        <v>866</v>
      </c>
      <c r="B507" s="50" t="s">
        <v>203</v>
      </c>
      <c r="C507" s="51" t="s">
        <v>164</v>
      </c>
      <c r="D507" s="87" t="s">
        <v>292</v>
      </c>
      <c r="E507" s="126">
        <v>0</v>
      </c>
      <c r="F507" s="79">
        <f>BPU!E507</f>
        <v>0</v>
      </c>
      <c r="G507" s="95">
        <f t="shared" si="13"/>
        <v>0</v>
      </c>
    </row>
    <row r="508" spans="1:7" ht="18.600000000000001" customHeight="1" x14ac:dyDescent="0.3">
      <c r="A508" s="150" t="s">
        <v>867</v>
      </c>
      <c r="B508" s="50" t="s">
        <v>204</v>
      </c>
      <c r="C508" s="51" t="s">
        <v>164</v>
      </c>
      <c r="D508" s="87" t="s">
        <v>292</v>
      </c>
      <c r="E508" s="126">
        <v>0</v>
      </c>
      <c r="F508" s="79">
        <f>BPU!E508</f>
        <v>0</v>
      </c>
      <c r="G508" s="95">
        <f t="shared" si="13"/>
        <v>0</v>
      </c>
    </row>
    <row r="509" spans="1:7" ht="18.600000000000001" customHeight="1" x14ac:dyDescent="0.3">
      <c r="A509" s="150" t="s">
        <v>868</v>
      </c>
      <c r="B509" s="50" t="s">
        <v>205</v>
      </c>
      <c r="C509" s="51" t="s">
        <v>164</v>
      </c>
      <c r="D509" s="87" t="s">
        <v>292</v>
      </c>
      <c r="E509" s="126">
        <v>0</v>
      </c>
      <c r="F509" s="79">
        <f>BPU!E509</f>
        <v>0</v>
      </c>
      <c r="G509" s="95">
        <f t="shared" si="13"/>
        <v>0</v>
      </c>
    </row>
    <row r="510" spans="1:7" ht="18.600000000000001" customHeight="1" x14ac:dyDescent="0.3">
      <c r="A510" s="150" t="s">
        <v>869</v>
      </c>
      <c r="B510" s="50" t="s">
        <v>206</v>
      </c>
      <c r="C510" s="51" t="s">
        <v>164</v>
      </c>
      <c r="D510" s="87" t="s">
        <v>292</v>
      </c>
      <c r="E510" s="126">
        <v>0</v>
      </c>
      <c r="F510" s="79">
        <f>BPU!E510</f>
        <v>0</v>
      </c>
      <c r="G510" s="95">
        <f t="shared" si="13"/>
        <v>0</v>
      </c>
    </row>
    <row r="511" spans="1:7" ht="25.2" customHeight="1" x14ac:dyDescent="0.3">
      <c r="A511" s="150" t="s">
        <v>870</v>
      </c>
      <c r="B511" s="50" t="s">
        <v>353</v>
      </c>
      <c r="C511" s="67" t="s">
        <v>333</v>
      </c>
      <c r="D511" s="87" t="s">
        <v>292</v>
      </c>
      <c r="E511" s="126">
        <v>0</v>
      </c>
      <c r="F511" s="79">
        <f>BPU!E511</f>
        <v>0</v>
      </c>
      <c r="G511" s="95">
        <f t="shared" si="13"/>
        <v>0</v>
      </c>
    </row>
    <row r="512" spans="1:7" ht="18.600000000000001" customHeight="1" thickBot="1" x14ac:dyDescent="0.35">
      <c r="A512" s="150" t="s">
        <v>871</v>
      </c>
      <c r="B512" s="50" t="s">
        <v>207</v>
      </c>
      <c r="C512" s="51" t="s">
        <v>17</v>
      </c>
      <c r="D512" s="87" t="s">
        <v>292</v>
      </c>
      <c r="E512" s="126">
        <v>0</v>
      </c>
      <c r="F512" s="79">
        <f>BPU!E512</f>
        <v>0</v>
      </c>
      <c r="G512" s="95">
        <f t="shared" si="13"/>
        <v>0</v>
      </c>
    </row>
    <row r="513" spans="1:23" s="98" customFormat="1" ht="15" thickBot="1" x14ac:dyDescent="0.35">
      <c r="A513" s="52"/>
      <c r="B513" s="96" t="s">
        <v>392</v>
      </c>
      <c r="C513" s="97"/>
      <c r="D513" s="97"/>
      <c r="E513" s="128"/>
      <c r="F513" s="145">
        <f>BPU!E513</f>
        <v>0</v>
      </c>
      <c r="G513" s="146">
        <f>SUM(G416:G512)</f>
        <v>0</v>
      </c>
      <c r="H513" s="138"/>
      <c r="J513" s="99"/>
      <c r="K513" s="75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100"/>
      <c r="W513" s="100"/>
    </row>
    <row r="514" spans="1:23" s="58" customFormat="1" ht="16.8" customHeight="1" x14ac:dyDescent="0.3">
      <c r="A514" s="70" t="s">
        <v>52</v>
      </c>
      <c r="B514" s="70" t="s">
        <v>354</v>
      </c>
      <c r="C514" s="52"/>
      <c r="D514" s="87"/>
      <c r="E514" s="126"/>
      <c r="F514" s="79">
        <f>BPU!E514</f>
        <v>0</v>
      </c>
      <c r="G514" s="95">
        <f t="shared" si="13"/>
        <v>0</v>
      </c>
      <c r="H514" s="136"/>
    </row>
    <row r="515" spans="1:23" ht="18.600000000000001" customHeight="1" x14ac:dyDescent="0.3">
      <c r="A515" s="52" t="s">
        <v>53</v>
      </c>
      <c r="B515" s="46" t="s">
        <v>161</v>
      </c>
      <c r="C515" s="52"/>
      <c r="D515" s="87"/>
      <c r="E515" s="126"/>
      <c r="F515" s="79">
        <f>BPU!E515</f>
        <v>0</v>
      </c>
      <c r="G515" s="95">
        <f t="shared" si="13"/>
        <v>0</v>
      </c>
    </row>
    <row r="516" spans="1:23" ht="28.8" customHeight="1" x14ac:dyDescent="0.3">
      <c r="A516" s="150" t="s">
        <v>872</v>
      </c>
      <c r="B516" s="153" t="s">
        <v>1308</v>
      </c>
      <c r="C516" s="51" t="s">
        <v>181</v>
      </c>
      <c r="D516" s="87" t="s">
        <v>292</v>
      </c>
      <c r="E516" s="126">
        <v>0</v>
      </c>
      <c r="F516" s="79">
        <f>BPU!E516</f>
        <v>0</v>
      </c>
      <c r="G516" s="95">
        <f t="shared" si="13"/>
        <v>0</v>
      </c>
    </row>
    <row r="517" spans="1:23" ht="18.600000000000001" customHeight="1" x14ac:dyDescent="0.3">
      <c r="A517" s="150" t="s">
        <v>873</v>
      </c>
      <c r="B517" s="52" t="s">
        <v>196</v>
      </c>
      <c r="C517" s="51" t="s">
        <v>17</v>
      </c>
      <c r="D517" s="87" t="s">
        <v>292</v>
      </c>
      <c r="E517" s="126">
        <v>0</v>
      </c>
      <c r="F517" s="79">
        <f>BPU!E517</f>
        <v>0</v>
      </c>
      <c r="G517" s="95">
        <f t="shared" si="13"/>
        <v>0</v>
      </c>
    </row>
    <row r="518" spans="1:23" ht="18.600000000000001" customHeight="1" x14ac:dyDescent="0.3">
      <c r="A518" s="150" t="s">
        <v>874</v>
      </c>
      <c r="B518" s="52" t="s">
        <v>210</v>
      </c>
      <c r="C518" s="51" t="s">
        <v>197</v>
      </c>
      <c r="D518" s="87" t="s">
        <v>292</v>
      </c>
      <c r="E518" s="126">
        <v>0</v>
      </c>
      <c r="F518" s="79">
        <f>BPU!E518</f>
        <v>0</v>
      </c>
      <c r="G518" s="95">
        <f t="shared" si="13"/>
        <v>0</v>
      </c>
    </row>
    <row r="519" spans="1:23" ht="18.600000000000001" customHeight="1" x14ac:dyDescent="0.3">
      <c r="A519" s="150" t="s">
        <v>875</v>
      </c>
      <c r="B519" s="52" t="s">
        <v>209</v>
      </c>
      <c r="C519" s="51" t="s">
        <v>197</v>
      </c>
      <c r="D519" s="87" t="s">
        <v>292</v>
      </c>
      <c r="E519" s="126">
        <v>0</v>
      </c>
      <c r="F519" s="79">
        <f>BPU!E519</f>
        <v>0</v>
      </c>
      <c r="G519" s="95">
        <f t="shared" si="13"/>
        <v>0</v>
      </c>
    </row>
    <row r="520" spans="1:23" ht="18.600000000000001" customHeight="1" x14ac:dyDescent="0.3">
      <c r="A520" s="150" t="s">
        <v>876</v>
      </c>
      <c r="B520" s="52" t="s">
        <v>199</v>
      </c>
      <c r="C520" s="51" t="s">
        <v>181</v>
      </c>
      <c r="D520" s="87" t="s">
        <v>292</v>
      </c>
      <c r="E520" s="126">
        <v>41.3</v>
      </c>
      <c r="F520" s="79">
        <f>BPU!E520</f>
        <v>0</v>
      </c>
      <c r="G520" s="95">
        <f t="shared" si="13"/>
        <v>0</v>
      </c>
    </row>
    <row r="521" spans="1:23" ht="18.600000000000001" customHeight="1" x14ac:dyDescent="0.3">
      <c r="A521" s="150" t="s">
        <v>877</v>
      </c>
      <c r="B521" s="52" t="s">
        <v>293</v>
      </c>
      <c r="C521" s="51" t="s">
        <v>181</v>
      </c>
      <c r="D521" s="87" t="s">
        <v>292</v>
      </c>
      <c r="E521" s="126">
        <v>0</v>
      </c>
      <c r="F521" s="79">
        <f>BPU!E521</f>
        <v>0</v>
      </c>
      <c r="G521" s="95">
        <f t="shared" si="13"/>
        <v>0</v>
      </c>
    </row>
    <row r="522" spans="1:23" ht="28.2" customHeight="1" x14ac:dyDescent="0.3">
      <c r="A522" s="150" t="s">
        <v>878</v>
      </c>
      <c r="B522" s="61" t="s">
        <v>198</v>
      </c>
      <c r="C522" s="51" t="s">
        <v>79</v>
      </c>
      <c r="D522" s="87" t="s">
        <v>158</v>
      </c>
      <c r="E522" s="126">
        <v>0</v>
      </c>
      <c r="F522" s="79">
        <f>BPU!E522</f>
        <v>0</v>
      </c>
      <c r="G522" s="95">
        <f t="shared" si="13"/>
        <v>0</v>
      </c>
    </row>
    <row r="523" spans="1:23" ht="18.600000000000001" customHeight="1" x14ac:dyDescent="0.3">
      <c r="A523" s="52" t="s">
        <v>59</v>
      </c>
      <c r="B523" s="46" t="s">
        <v>208</v>
      </c>
      <c r="C523" s="51"/>
      <c r="D523" s="87"/>
      <c r="E523" s="126"/>
      <c r="F523" s="79">
        <f>BPU!E523</f>
        <v>0</v>
      </c>
      <c r="G523" s="95">
        <f t="shared" si="13"/>
        <v>0</v>
      </c>
    </row>
    <row r="524" spans="1:23" ht="18.600000000000001" customHeight="1" x14ac:dyDescent="0.3">
      <c r="A524" s="150" t="s">
        <v>879</v>
      </c>
      <c r="B524" s="52" t="s">
        <v>211</v>
      </c>
      <c r="C524" s="51" t="s">
        <v>230</v>
      </c>
      <c r="D524" s="87" t="s">
        <v>292</v>
      </c>
      <c r="E524" s="126">
        <v>0</v>
      </c>
      <c r="F524" s="79">
        <f>BPU!E524</f>
        <v>0</v>
      </c>
      <c r="G524" s="95">
        <f t="shared" si="13"/>
        <v>0</v>
      </c>
    </row>
    <row r="525" spans="1:23" ht="18.600000000000001" customHeight="1" x14ac:dyDescent="0.3">
      <c r="A525" s="150" t="s">
        <v>880</v>
      </c>
      <c r="B525" s="52" t="s">
        <v>212</v>
      </c>
      <c r="C525" s="51" t="s">
        <v>230</v>
      </c>
      <c r="D525" s="87" t="s">
        <v>292</v>
      </c>
      <c r="E525" s="126">
        <v>0</v>
      </c>
      <c r="F525" s="79">
        <f>BPU!E525</f>
        <v>0</v>
      </c>
      <c r="G525" s="95">
        <f t="shared" si="13"/>
        <v>0</v>
      </c>
    </row>
    <row r="526" spans="1:23" ht="18.600000000000001" customHeight="1" x14ac:dyDescent="0.3">
      <c r="A526" s="52" t="s">
        <v>60</v>
      </c>
      <c r="B526" s="46" t="s">
        <v>168</v>
      </c>
      <c r="C526" s="52"/>
      <c r="D526" s="87"/>
      <c r="E526" s="126"/>
      <c r="F526" s="79">
        <f>BPU!E526</f>
        <v>0</v>
      </c>
      <c r="G526" s="95">
        <f t="shared" si="13"/>
        <v>0</v>
      </c>
    </row>
    <row r="527" spans="1:23" s="65" customFormat="1" ht="18.600000000000001" customHeight="1" x14ac:dyDescent="0.3">
      <c r="A527" s="150" t="s">
        <v>881</v>
      </c>
      <c r="B527" s="50" t="s">
        <v>213</v>
      </c>
      <c r="C527" s="51" t="s">
        <v>230</v>
      </c>
      <c r="D527" s="88" t="s">
        <v>292</v>
      </c>
      <c r="E527" s="130">
        <v>0</v>
      </c>
      <c r="F527" s="79">
        <f>BPU!E527</f>
        <v>0</v>
      </c>
      <c r="G527" s="95">
        <f t="shared" si="13"/>
        <v>0</v>
      </c>
      <c r="H527" s="66"/>
    </row>
    <row r="528" spans="1:23" s="65" customFormat="1" ht="18.600000000000001" customHeight="1" x14ac:dyDescent="0.3">
      <c r="A528" s="150" t="s">
        <v>882</v>
      </c>
      <c r="B528" s="50" t="s">
        <v>187</v>
      </c>
      <c r="C528" s="51" t="s">
        <v>230</v>
      </c>
      <c r="D528" s="88" t="s">
        <v>292</v>
      </c>
      <c r="E528" s="130">
        <v>0</v>
      </c>
      <c r="F528" s="79">
        <f>BPU!E528</f>
        <v>0</v>
      </c>
      <c r="G528" s="95">
        <f t="shared" si="13"/>
        <v>0</v>
      </c>
      <c r="H528" s="66"/>
    </row>
    <row r="529" spans="1:8" s="65" customFormat="1" ht="18.600000000000001" customHeight="1" x14ac:dyDescent="0.3">
      <c r="A529" s="150" t="s">
        <v>883</v>
      </c>
      <c r="B529" s="50" t="s">
        <v>214</v>
      </c>
      <c r="C529" s="51" t="s">
        <v>230</v>
      </c>
      <c r="D529" s="88" t="s">
        <v>292</v>
      </c>
      <c r="E529" s="130">
        <v>0</v>
      </c>
      <c r="F529" s="79">
        <f>BPU!E529</f>
        <v>0</v>
      </c>
      <c r="G529" s="95">
        <f t="shared" si="13"/>
        <v>0</v>
      </c>
      <c r="H529" s="66"/>
    </row>
    <row r="530" spans="1:8" s="65" customFormat="1" ht="33" customHeight="1" x14ac:dyDescent="0.3">
      <c r="A530" s="150" t="s">
        <v>884</v>
      </c>
      <c r="B530" s="50" t="s">
        <v>215</v>
      </c>
      <c r="C530" s="51" t="s">
        <v>230</v>
      </c>
      <c r="D530" s="88" t="s">
        <v>292</v>
      </c>
      <c r="E530" s="130">
        <f>41.3*0.1</f>
        <v>4.13</v>
      </c>
      <c r="F530" s="79">
        <f>BPU!E530</f>
        <v>0</v>
      </c>
      <c r="G530" s="95">
        <f t="shared" si="13"/>
        <v>0</v>
      </c>
      <c r="H530" s="66"/>
    </row>
    <row r="531" spans="1:8" ht="18.600000000000001" customHeight="1" x14ac:dyDescent="0.3">
      <c r="A531" s="52" t="s">
        <v>61</v>
      </c>
      <c r="B531" s="46" t="s">
        <v>169</v>
      </c>
      <c r="C531" s="52"/>
      <c r="D531" s="87"/>
      <c r="E531" s="126"/>
      <c r="F531" s="79">
        <f>BPU!E531</f>
        <v>0</v>
      </c>
      <c r="G531" s="95">
        <f t="shared" si="13"/>
        <v>0</v>
      </c>
    </row>
    <row r="532" spans="1:8" ht="18.600000000000001" customHeight="1" x14ac:dyDescent="0.3">
      <c r="A532" s="150" t="s">
        <v>885</v>
      </c>
      <c r="B532" s="50" t="s">
        <v>216</v>
      </c>
      <c r="C532" s="51" t="s">
        <v>230</v>
      </c>
      <c r="D532" s="87" t="s">
        <v>292</v>
      </c>
      <c r="E532" s="126">
        <v>0</v>
      </c>
      <c r="F532" s="79">
        <f>BPU!E532</f>
        <v>0</v>
      </c>
      <c r="G532" s="95">
        <f t="shared" si="13"/>
        <v>0</v>
      </c>
    </row>
    <row r="533" spans="1:8" ht="18.600000000000001" customHeight="1" x14ac:dyDescent="0.3">
      <c r="A533" s="150" t="s">
        <v>886</v>
      </c>
      <c r="B533" s="50" t="s">
        <v>217</v>
      </c>
      <c r="C533" s="51" t="s">
        <v>230</v>
      </c>
      <c r="D533" s="87" t="s">
        <v>292</v>
      </c>
      <c r="E533" s="126">
        <v>0</v>
      </c>
      <c r="F533" s="79">
        <f>BPU!E533</f>
        <v>0</v>
      </c>
      <c r="G533" s="95">
        <f t="shared" si="13"/>
        <v>0</v>
      </c>
    </row>
    <row r="534" spans="1:8" ht="18.600000000000001" customHeight="1" x14ac:dyDescent="0.3">
      <c r="A534" s="150" t="s">
        <v>887</v>
      </c>
      <c r="B534" s="50" t="s">
        <v>218</v>
      </c>
      <c r="C534" s="51" t="s">
        <v>230</v>
      </c>
      <c r="D534" s="87" t="s">
        <v>292</v>
      </c>
      <c r="E534" s="126">
        <v>0</v>
      </c>
      <c r="F534" s="79">
        <f>BPU!E534</f>
        <v>0</v>
      </c>
      <c r="G534" s="95">
        <f t="shared" si="13"/>
        <v>0</v>
      </c>
    </row>
    <row r="535" spans="1:8" ht="18.600000000000001" customHeight="1" x14ac:dyDescent="0.3">
      <c r="A535" s="150" t="s">
        <v>888</v>
      </c>
      <c r="B535" s="50" t="s">
        <v>219</v>
      </c>
      <c r="C535" s="51" t="s">
        <v>230</v>
      </c>
      <c r="D535" s="87" t="s">
        <v>292</v>
      </c>
      <c r="E535" s="126">
        <v>0</v>
      </c>
      <c r="F535" s="79">
        <f>BPU!E535</f>
        <v>0</v>
      </c>
      <c r="G535" s="95">
        <f t="shared" si="13"/>
        <v>0</v>
      </c>
    </row>
    <row r="536" spans="1:8" ht="18.600000000000001" customHeight="1" x14ac:dyDescent="0.3">
      <c r="A536" s="150" t="s">
        <v>889</v>
      </c>
      <c r="B536" s="50" t="s">
        <v>220</v>
      </c>
      <c r="C536" s="51" t="s">
        <v>230</v>
      </c>
      <c r="D536" s="87" t="s">
        <v>292</v>
      </c>
      <c r="E536" s="126">
        <v>0</v>
      </c>
      <c r="F536" s="79">
        <f>BPU!E536</f>
        <v>0</v>
      </c>
      <c r="G536" s="95">
        <f t="shared" si="13"/>
        <v>0</v>
      </c>
    </row>
    <row r="537" spans="1:8" ht="18.600000000000001" customHeight="1" x14ac:dyDescent="0.3">
      <c r="A537" s="150" t="s">
        <v>890</v>
      </c>
      <c r="B537" s="50" t="s">
        <v>221</v>
      </c>
      <c r="C537" s="51" t="s">
        <v>230</v>
      </c>
      <c r="D537" s="87" t="s">
        <v>292</v>
      </c>
      <c r="E537" s="126">
        <v>0</v>
      </c>
      <c r="F537" s="79">
        <f>BPU!E537</f>
        <v>0</v>
      </c>
      <c r="G537" s="95">
        <f t="shared" si="13"/>
        <v>0</v>
      </c>
    </row>
    <row r="538" spans="1:8" ht="18.600000000000001" customHeight="1" x14ac:dyDescent="0.3">
      <c r="A538" s="150" t="s">
        <v>891</v>
      </c>
      <c r="B538" s="50" t="s">
        <v>222</v>
      </c>
      <c r="C538" s="51" t="s">
        <v>230</v>
      </c>
      <c r="D538" s="87" t="s">
        <v>292</v>
      </c>
      <c r="E538" s="126">
        <v>0</v>
      </c>
      <c r="F538" s="79">
        <f>BPU!E538</f>
        <v>0</v>
      </c>
      <c r="G538" s="95">
        <f t="shared" si="13"/>
        <v>0</v>
      </c>
    </row>
    <row r="539" spans="1:8" ht="18.600000000000001" customHeight="1" x14ac:dyDescent="0.3">
      <c r="A539" s="52" t="s">
        <v>62</v>
      </c>
      <c r="B539" s="46" t="s">
        <v>170</v>
      </c>
      <c r="C539" s="52"/>
      <c r="D539" s="87"/>
      <c r="E539" s="126">
        <v>0</v>
      </c>
      <c r="F539" s="79">
        <f>BPU!E539</f>
        <v>0</v>
      </c>
      <c r="G539" s="95">
        <f t="shared" si="13"/>
        <v>0</v>
      </c>
    </row>
    <row r="540" spans="1:8" ht="18.600000000000001" customHeight="1" x14ac:dyDescent="0.3">
      <c r="A540" s="150" t="s">
        <v>892</v>
      </c>
      <c r="B540" s="50" t="s">
        <v>223</v>
      </c>
      <c r="C540" s="51" t="s">
        <v>230</v>
      </c>
      <c r="D540" s="87" t="s">
        <v>292</v>
      </c>
      <c r="E540" s="126">
        <f>41.3*0.05</f>
        <v>2.0649999999999999</v>
      </c>
      <c r="F540" s="79">
        <f>BPU!E540</f>
        <v>0</v>
      </c>
      <c r="G540" s="95">
        <f t="shared" si="13"/>
        <v>0</v>
      </c>
    </row>
    <row r="541" spans="1:8" ht="18.600000000000001" customHeight="1" x14ac:dyDescent="0.3">
      <c r="A541" s="150" t="s">
        <v>893</v>
      </c>
      <c r="B541" s="50" t="s">
        <v>224</v>
      </c>
      <c r="C541" s="51" t="s">
        <v>230</v>
      </c>
      <c r="D541" s="87" t="s">
        <v>292</v>
      </c>
      <c r="E541" s="126">
        <f>41.3*0.25</f>
        <v>10.324999999999999</v>
      </c>
      <c r="F541" s="79">
        <f>BPU!E541</f>
        <v>0</v>
      </c>
      <c r="G541" s="95">
        <f t="shared" si="13"/>
        <v>0</v>
      </c>
    </row>
    <row r="542" spans="1:8" ht="18.600000000000001" customHeight="1" x14ac:dyDescent="0.3">
      <c r="A542" s="150" t="s">
        <v>894</v>
      </c>
      <c r="B542" s="50" t="s">
        <v>178</v>
      </c>
      <c r="C542" s="51" t="s">
        <v>230</v>
      </c>
      <c r="D542" s="87" t="s">
        <v>292</v>
      </c>
      <c r="E542" s="126">
        <v>0</v>
      </c>
      <c r="F542" s="79">
        <f>BPU!E542</f>
        <v>0</v>
      </c>
      <c r="G542" s="95">
        <f t="shared" si="13"/>
        <v>0</v>
      </c>
    </row>
    <row r="543" spans="1:8" ht="18.600000000000001" customHeight="1" x14ac:dyDescent="0.3">
      <c r="A543" s="52" t="s">
        <v>895</v>
      </c>
      <c r="B543" s="46" t="s">
        <v>171</v>
      </c>
      <c r="C543" s="52"/>
      <c r="D543" s="87"/>
      <c r="E543" s="126"/>
      <c r="F543" s="79">
        <f>BPU!E543</f>
        <v>0</v>
      </c>
      <c r="G543" s="95">
        <f t="shared" si="13"/>
        <v>0</v>
      </c>
    </row>
    <row r="544" spans="1:8" ht="26.4" customHeight="1" x14ac:dyDescent="0.3">
      <c r="A544" s="150" t="s">
        <v>896</v>
      </c>
      <c r="B544" s="50" t="s">
        <v>229</v>
      </c>
      <c r="C544" s="51" t="s">
        <v>181</v>
      </c>
      <c r="D544" s="87" t="s">
        <v>292</v>
      </c>
      <c r="E544" s="126">
        <v>0</v>
      </c>
      <c r="F544" s="79">
        <f>BPU!E544</f>
        <v>0</v>
      </c>
      <c r="G544" s="95">
        <f t="shared" si="13"/>
        <v>0</v>
      </c>
    </row>
    <row r="545" spans="1:7" ht="18.600000000000001" customHeight="1" x14ac:dyDescent="0.3">
      <c r="A545" s="150" t="s">
        <v>897</v>
      </c>
      <c r="B545" s="50" t="s">
        <v>225</v>
      </c>
      <c r="C545" s="51" t="s">
        <v>181</v>
      </c>
      <c r="D545" s="87" t="s">
        <v>292</v>
      </c>
      <c r="E545" s="126">
        <v>0</v>
      </c>
      <c r="F545" s="79">
        <f>BPU!E545</f>
        <v>0</v>
      </c>
      <c r="G545" s="95">
        <f t="shared" si="13"/>
        <v>0</v>
      </c>
    </row>
    <row r="546" spans="1:7" ht="18.600000000000001" customHeight="1" x14ac:dyDescent="0.3">
      <c r="A546" s="150" t="s">
        <v>898</v>
      </c>
      <c r="B546" s="50" t="s">
        <v>226</v>
      </c>
      <c r="C546" s="51" t="s">
        <v>181</v>
      </c>
      <c r="D546" s="87" t="s">
        <v>292</v>
      </c>
      <c r="E546" s="126">
        <v>0</v>
      </c>
      <c r="F546" s="79">
        <f>BPU!E546</f>
        <v>0</v>
      </c>
      <c r="G546" s="95">
        <f t="shared" si="13"/>
        <v>0</v>
      </c>
    </row>
    <row r="547" spans="1:7" ht="18.600000000000001" customHeight="1" x14ac:dyDescent="0.3">
      <c r="A547" s="150" t="s">
        <v>899</v>
      </c>
      <c r="B547" s="50" t="s">
        <v>227</v>
      </c>
      <c r="C547" s="51" t="s">
        <v>181</v>
      </c>
      <c r="D547" s="87" t="s">
        <v>292</v>
      </c>
      <c r="E547" s="126">
        <v>0</v>
      </c>
      <c r="F547" s="79">
        <f>BPU!E547</f>
        <v>0</v>
      </c>
      <c r="G547" s="95">
        <f t="shared" si="13"/>
        <v>0</v>
      </c>
    </row>
    <row r="548" spans="1:7" ht="18.600000000000001" customHeight="1" x14ac:dyDescent="0.3">
      <c r="A548" s="150" t="s">
        <v>900</v>
      </c>
      <c r="B548" s="50" t="s">
        <v>228</v>
      </c>
      <c r="C548" s="51" t="s">
        <v>181</v>
      </c>
      <c r="D548" s="87" t="s">
        <v>292</v>
      </c>
      <c r="E548" s="126">
        <v>0</v>
      </c>
      <c r="F548" s="79">
        <f>BPU!E548</f>
        <v>0</v>
      </c>
      <c r="G548" s="95">
        <f t="shared" si="13"/>
        <v>0</v>
      </c>
    </row>
    <row r="549" spans="1:7" ht="18.600000000000001" customHeight="1" x14ac:dyDescent="0.3">
      <c r="A549" s="52" t="s">
        <v>901</v>
      </c>
      <c r="B549" s="46" t="s">
        <v>172</v>
      </c>
      <c r="C549" s="52"/>
      <c r="D549" s="87"/>
      <c r="E549" s="126"/>
      <c r="F549" s="79">
        <f>BPU!E549</f>
        <v>0</v>
      </c>
      <c r="G549" s="95">
        <f t="shared" si="13"/>
        <v>0</v>
      </c>
    </row>
    <row r="550" spans="1:7" ht="18.600000000000001" customHeight="1" x14ac:dyDescent="0.3">
      <c r="A550" s="150" t="s">
        <v>902</v>
      </c>
      <c r="B550" s="50" t="s">
        <v>231</v>
      </c>
      <c r="C550" s="51" t="s">
        <v>181</v>
      </c>
      <c r="D550" s="87" t="s">
        <v>292</v>
      </c>
      <c r="E550" s="126">
        <v>0</v>
      </c>
      <c r="F550" s="79">
        <f>BPU!E550</f>
        <v>0</v>
      </c>
      <c r="G550" s="95">
        <f t="shared" si="13"/>
        <v>0</v>
      </c>
    </row>
    <row r="551" spans="1:7" ht="18.600000000000001" customHeight="1" x14ac:dyDescent="0.3">
      <c r="A551" s="150" t="s">
        <v>903</v>
      </c>
      <c r="B551" s="50" t="s">
        <v>232</v>
      </c>
      <c r="C551" s="51" t="s">
        <v>181</v>
      </c>
      <c r="D551" s="87" t="s">
        <v>292</v>
      </c>
      <c r="E551" s="126">
        <v>0</v>
      </c>
      <c r="F551" s="79">
        <f>BPU!E551</f>
        <v>0</v>
      </c>
      <c r="G551" s="95">
        <f t="shared" si="13"/>
        <v>0</v>
      </c>
    </row>
    <row r="552" spans="1:7" ht="28.2" customHeight="1" x14ac:dyDescent="0.3">
      <c r="A552" s="150" t="s">
        <v>904</v>
      </c>
      <c r="B552" s="50" t="s">
        <v>233</v>
      </c>
      <c r="C552" s="51" t="s">
        <v>181</v>
      </c>
      <c r="D552" s="87" t="s">
        <v>292</v>
      </c>
      <c r="E552" s="126">
        <v>41.3</v>
      </c>
      <c r="F552" s="79">
        <f>BPU!E552</f>
        <v>0</v>
      </c>
      <c r="G552" s="95">
        <f t="shared" si="13"/>
        <v>0</v>
      </c>
    </row>
    <row r="553" spans="1:7" ht="18.600000000000001" customHeight="1" x14ac:dyDescent="0.3">
      <c r="A553" s="150" t="s">
        <v>905</v>
      </c>
      <c r="B553" s="50" t="s">
        <v>234</v>
      </c>
      <c r="C553" s="51" t="s">
        <v>181</v>
      </c>
      <c r="D553" s="87" t="s">
        <v>292</v>
      </c>
      <c r="E553" s="126">
        <v>0</v>
      </c>
      <c r="F553" s="79">
        <f>BPU!E553</f>
        <v>0</v>
      </c>
      <c r="G553" s="95">
        <f t="shared" si="13"/>
        <v>0</v>
      </c>
    </row>
    <row r="554" spans="1:7" ht="18.600000000000001" customHeight="1" x14ac:dyDescent="0.3">
      <c r="A554" s="52" t="s">
        <v>906</v>
      </c>
      <c r="B554" s="46" t="s">
        <v>173</v>
      </c>
      <c r="C554" s="52"/>
      <c r="D554" s="87"/>
      <c r="E554" s="126"/>
      <c r="F554" s="79">
        <f>BPU!E554</f>
        <v>0</v>
      </c>
      <c r="G554" s="95">
        <f t="shared" si="13"/>
        <v>0</v>
      </c>
    </row>
    <row r="555" spans="1:7" ht="18.600000000000001" customHeight="1" x14ac:dyDescent="0.3">
      <c r="A555" s="150" t="s">
        <v>907</v>
      </c>
      <c r="B555" s="50" t="s">
        <v>259</v>
      </c>
      <c r="C555" s="51" t="s">
        <v>181</v>
      </c>
      <c r="D555" s="87" t="s">
        <v>292</v>
      </c>
      <c r="E555" s="126">
        <v>0</v>
      </c>
      <c r="F555" s="79">
        <f>BPU!E555</f>
        <v>0</v>
      </c>
      <c r="G555" s="95">
        <f t="shared" si="13"/>
        <v>0</v>
      </c>
    </row>
    <row r="556" spans="1:7" ht="18.600000000000001" customHeight="1" x14ac:dyDescent="0.3">
      <c r="A556" s="150" t="s">
        <v>908</v>
      </c>
      <c r="B556" s="50" t="s">
        <v>235</v>
      </c>
      <c r="C556" s="51" t="s">
        <v>181</v>
      </c>
      <c r="D556" s="87" t="s">
        <v>292</v>
      </c>
      <c r="E556" s="126">
        <v>0</v>
      </c>
      <c r="F556" s="79">
        <f>BPU!E556</f>
        <v>0</v>
      </c>
      <c r="G556" s="95">
        <f t="shared" si="13"/>
        <v>0</v>
      </c>
    </row>
    <row r="557" spans="1:7" ht="18.600000000000001" customHeight="1" x14ac:dyDescent="0.3">
      <c r="A557" s="150" t="s">
        <v>909</v>
      </c>
      <c r="B557" s="50" t="s">
        <v>236</v>
      </c>
      <c r="C557" s="51" t="s">
        <v>181</v>
      </c>
      <c r="D557" s="87" t="s">
        <v>292</v>
      </c>
      <c r="E557" s="126">
        <v>0</v>
      </c>
      <c r="F557" s="79">
        <f>BPU!E557</f>
        <v>0</v>
      </c>
      <c r="G557" s="95">
        <f t="shared" si="13"/>
        <v>0</v>
      </c>
    </row>
    <row r="558" spans="1:7" ht="18.600000000000001" customHeight="1" x14ac:dyDescent="0.3">
      <c r="A558" s="150" t="s">
        <v>910</v>
      </c>
      <c r="B558" s="50" t="s">
        <v>237</v>
      </c>
      <c r="C558" s="51" t="s">
        <v>181</v>
      </c>
      <c r="D558" s="87" t="s">
        <v>292</v>
      </c>
      <c r="E558" s="126">
        <v>0</v>
      </c>
      <c r="F558" s="79">
        <f>BPU!E558</f>
        <v>0</v>
      </c>
      <c r="G558" s="95">
        <f t="shared" si="13"/>
        <v>0</v>
      </c>
    </row>
    <row r="559" spans="1:7" ht="18.600000000000001" customHeight="1" x14ac:dyDescent="0.3">
      <c r="A559" s="150" t="s">
        <v>911</v>
      </c>
      <c r="B559" s="50" t="s">
        <v>238</v>
      </c>
      <c r="C559" s="51" t="s">
        <v>181</v>
      </c>
      <c r="D559" s="87" t="s">
        <v>292</v>
      </c>
      <c r="E559" s="126">
        <v>0</v>
      </c>
      <c r="F559" s="79">
        <f>BPU!E559</f>
        <v>0</v>
      </c>
      <c r="G559" s="95">
        <f t="shared" si="13"/>
        <v>0</v>
      </c>
    </row>
    <row r="560" spans="1:7" ht="18.600000000000001" customHeight="1" x14ac:dyDescent="0.3">
      <c r="A560" s="150" t="s">
        <v>912</v>
      </c>
      <c r="B560" s="50" t="s">
        <v>179</v>
      </c>
      <c r="C560" s="51" t="s">
        <v>181</v>
      </c>
      <c r="D560" s="87" t="s">
        <v>292</v>
      </c>
      <c r="E560" s="126">
        <v>0</v>
      </c>
      <c r="F560" s="79">
        <f>BPU!E560</f>
        <v>0</v>
      </c>
      <c r="G560" s="95">
        <f t="shared" si="13"/>
        <v>0</v>
      </c>
    </row>
    <row r="561" spans="1:7" ht="18.600000000000001" customHeight="1" x14ac:dyDescent="0.3">
      <c r="A561" s="150" t="s">
        <v>913</v>
      </c>
      <c r="B561" s="50" t="s">
        <v>239</v>
      </c>
      <c r="C561" s="51" t="s">
        <v>181</v>
      </c>
      <c r="D561" s="87" t="s">
        <v>292</v>
      </c>
      <c r="E561" s="126">
        <v>0</v>
      </c>
      <c r="F561" s="79">
        <f>BPU!E561</f>
        <v>0</v>
      </c>
      <c r="G561" s="95">
        <f t="shared" si="13"/>
        <v>0</v>
      </c>
    </row>
    <row r="562" spans="1:7" ht="18.600000000000001" customHeight="1" x14ac:dyDescent="0.3">
      <c r="A562" s="52" t="s">
        <v>914</v>
      </c>
      <c r="B562" s="46" t="s">
        <v>174</v>
      </c>
      <c r="C562" s="52"/>
      <c r="D562" s="87"/>
      <c r="E562" s="126"/>
      <c r="F562" s="79">
        <f>BPU!E562</f>
        <v>0</v>
      </c>
      <c r="G562" s="95">
        <f t="shared" si="13"/>
        <v>0</v>
      </c>
    </row>
    <row r="563" spans="1:7" ht="18.600000000000001" customHeight="1" x14ac:dyDescent="0.3">
      <c r="A563" s="150" t="s">
        <v>915</v>
      </c>
      <c r="B563" s="50" t="s">
        <v>240</v>
      </c>
      <c r="C563" s="51" t="s">
        <v>181</v>
      </c>
      <c r="D563" s="87" t="s">
        <v>292</v>
      </c>
      <c r="E563" s="126">
        <v>0</v>
      </c>
      <c r="F563" s="79">
        <f>BPU!E563</f>
        <v>0</v>
      </c>
      <c r="G563" s="95">
        <f t="shared" si="13"/>
        <v>0</v>
      </c>
    </row>
    <row r="564" spans="1:7" ht="18.600000000000001" customHeight="1" x14ac:dyDescent="0.3">
      <c r="A564" s="150" t="s">
        <v>916</v>
      </c>
      <c r="B564" s="50" t="s">
        <v>241</v>
      </c>
      <c r="C564" s="51" t="s">
        <v>181</v>
      </c>
      <c r="D564" s="87" t="s">
        <v>292</v>
      </c>
      <c r="E564" s="126">
        <v>0</v>
      </c>
      <c r="F564" s="79">
        <f>BPU!E564</f>
        <v>0</v>
      </c>
      <c r="G564" s="95">
        <f t="shared" si="13"/>
        <v>0</v>
      </c>
    </row>
    <row r="565" spans="1:7" ht="18.600000000000001" customHeight="1" x14ac:dyDescent="0.3">
      <c r="A565" s="150" t="s">
        <v>917</v>
      </c>
      <c r="B565" s="50" t="s">
        <v>242</v>
      </c>
      <c r="C565" s="51" t="s">
        <v>181</v>
      </c>
      <c r="D565" s="87" t="s">
        <v>292</v>
      </c>
      <c r="E565" s="126">
        <v>0</v>
      </c>
      <c r="F565" s="79">
        <f>BPU!E565</f>
        <v>0</v>
      </c>
      <c r="G565" s="95">
        <f t="shared" ref="G565:G626" si="14">E565*F565</f>
        <v>0</v>
      </c>
    </row>
    <row r="566" spans="1:7" ht="18.600000000000001" customHeight="1" x14ac:dyDescent="0.3">
      <c r="A566" s="150" t="s">
        <v>918</v>
      </c>
      <c r="B566" s="50" t="s">
        <v>243</v>
      </c>
      <c r="C566" s="51" t="s">
        <v>181</v>
      </c>
      <c r="D566" s="87" t="s">
        <v>292</v>
      </c>
      <c r="E566" s="126">
        <v>0</v>
      </c>
      <c r="F566" s="79">
        <f>BPU!E566</f>
        <v>0</v>
      </c>
      <c r="G566" s="95">
        <f t="shared" si="14"/>
        <v>0</v>
      </c>
    </row>
    <row r="567" spans="1:7" ht="18.600000000000001" customHeight="1" x14ac:dyDescent="0.3">
      <c r="A567" s="150" t="s">
        <v>919</v>
      </c>
      <c r="B567" s="50" t="s">
        <v>244</v>
      </c>
      <c r="C567" s="51" t="s">
        <v>181</v>
      </c>
      <c r="D567" s="87" t="s">
        <v>292</v>
      </c>
      <c r="E567" s="126">
        <v>0</v>
      </c>
      <c r="F567" s="79">
        <f>BPU!E567</f>
        <v>0</v>
      </c>
      <c r="G567" s="95">
        <f t="shared" si="14"/>
        <v>0</v>
      </c>
    </row>
    <row r="568" spans="1:7" ht="18.600000000000001" customHeight="1" x14ac:dyDescent="0.3">
      <c r="A568" s="150" t="s">
        <v>920</v>
      </c>
      <c r="B568" s="50" t="s">
        <v>245</v>
      </c>
      <c r="C568" s="51" t="s">
        <v>181</v>
      </c>
      <c r="D568" s="87" t="s">
        <v>292</v>
      </c>
      <c r="E568" s="126">
        <v>0</v>
      </c>
      <c r="F568" s="79">
        <f>BPU!E568</f>
        <v>0</v>
      </c>
      <c r="G568" s="95">
        <f t="shared" si="14"/>
        <v>0</v>
      </c>
    </row>
    <row r="569" spans="1:7" ht="18.600000000000001" customHeight="1" x14ac:dyDescent="0.3">
      <c r="A569" s="150" t="s">
        <v>921</v>
      </c>
      <c r="B569" s="50" t="s">
        <v>246</v>
      </c>
      <c r="C569" s="51" t="s">
        <v>181</v>
      </c>
      <c r="D569" s="87" t="s">
        <v>292</v>
      </c>
      <c r="E569" s="126">
        <v>0</v>
      </c>
      <c r="F569" s="79">
        <f>BPU!E569</f>
        <v>0</v>
      </c>
      <c r="G569" s="95">
        <f t="shared" si="14"/>
        <v>0</v>
      </c>
    </row>
    <row r="570" spans="1:7" ht="18.600000000000001" customHeight="1" x14ac:dyDescent="0.3">
      <c r="A570" s="150" t="s">
        <v>922</v>
      </c>
      <c r="B570" s="50" t="s">
        <v>194</v>
      </c>
      <c r="C570" s="51" t="s">
        <v>181</v>
      </c>
      <c r="D570" s="87" t="s">
        <v>292</v>
      </c>
      <c r="E570" s="126">
        <v>0</v>
      </c>
      <c r="F570" s="79">
        <f>BPU!E570</f>
        <v>0</v>
      </c>
      <c r="G570" s="95">
        <f t="shared" si="14"/>
        <v>0</v>
      </c>
    </row>
    <row r="571" spans="1:7" ht="18.600000000000001" customHeight="1" x14ac:dyDescent="0.3">
      <c r="A571" s="52" t="s">
        <v>923</v>
      </c>
      <c r="B571" s="46" t="s">
        <v>175</v>
      </c>
      <c r="C571" s="52"/>
      <c r="D571" s="87"/>
      <c r="E571" s="126"/>
      <c r="F571" s="79">
        <f>BPU!E571</f>
        <v>0</v>
      </c>
      <c r="G571" s="95">
        <f t="shared" si="14"/>
        <v>0</v>
      </c>
    </row>
    <row r="572" spans="1:7" ht="18.600000000000001" customHeight="1" x14ac:dyDescent="0.3">
      <c r="A572" s="150" t="s">
        <v>924</v>
      </c>
      <c r="B572" s="50" t="s">
        <v>180</v>
      </c>
      <c r="C572" s="51" t="s">
        <v>181</v>
      </c>
      <c r="D572" s="87" t="s">
        <v>292</v>
      </c>
      <c r="E572" s="126">
        <v>0</v>
      </c>
      <c r="F572" s="79">
        <f>BPU!E572</f>
        <v>0</v>
      </c>
      <c r="G572" s="95">
        <f t="shared" si="14"/>
        <v>0</v>
      </c>
    </row>
    <row r="573" spans="1:7" ht="18.600000000000001" customHeight="1" x14ac:dyDescent="0.3">
      <c r="A573" s="52" t="s">
        <v>925</v>
      </c>
      <c r="B573" s="46" t="s">
        <v>176</v>
      </c>
      <c r="C573" s="52"/>
      <c r="D573" s="87"/>
      <c r="E573" s="126"/>
      <c r="F573" s="79">
        <f>BPU!E573</f>
        <v>0</v>
      </c>
      <c r="G573" s="95">
        <f t="shared" si="14"/>
        <v>0</v>
      </c>
    </row>
    <row r="574" spans="1:7" ht="18.600000000000001" customHeight="1" x14ac:dyDescent="0.3">
      <c r="A574" s="150" t="s">
        <v>926</v>
      </c>
      <c r="B574" s="50" t="s">
        <v>257</v>
      </c>
      <c r="C574" s="51" t="s">
        <v>181</v>
      </c>
      <c r="D574" s="87" t="s">
        <v>292</v>
      </c>
      <c r="E574" s="126">
        <v>0</v>
      </c>
      <c r="F574" s="79">
        <f>BPU!E574</f>
        <v>0</v>
      </c>
      <c r="G574" s="95">
        <f t="shared" si="14"/>
        <v>0</v>
      </c>
    </row>
    <row r="575" spans="1:7" ht="18.600000000000001" customHeight="1" x14ac:dyDescent="0.3">
      <c r="A575" s="150" t="s">
        <v>927</v>
      </c>
      <c r="B575" s="50" t="s">
        <v>253</v>
      </c>
      <c r="C575" s="51" t="s">
        <v>17</v>
      </c>
      <c r="D575" s="87" t="s">
        <v>292</v>
      </c>
      <c r="E575" s="126">
        <f>+(4.1+1)*5</f>
        <v>25.5</v>
      </c>
      <c r="F575" s="79">
        <f>BPU!E575</f>
        <v>0</v>
      </c>
      <c r="G575" s="95">
        <f t="shared" si="14"/>
        <v>0</v>
      </c>
    </row>
    <row r="576" spans="1:7" ht="18.600000000000001" customHeight="1" x14ac:dyDescent="0.3">
      <c r="A576" s="150" t="s">
        <v>928</v>
      </c>
      <c r="B576" s="50" t="s">
        <v>252</v>
      </c>
      <c r="C576" s="51" t="s">
        <v>17</v>
      </c>
      <c r="D576" s="87" t="s">
        <v>292</v>
      </c>
      <c r="E576" s="126">
        <v>0</v>
      </c>
      <c r="F576" s="79">
        <f>BPU!E576</f>
        <v>0</v>
      </c>
      <c r="G576" s="95">
        <f t="shared" si="14"/>
        <v>0</v>
      </c>
    </row>
    <row r="577" spans="1:23" ht="18.600000000000001" customHeight="1" x14ac:dyDescent="0.3">
      <c r="A577" s="150" t="s">
        <v>929</v>
      </c>
      <c r="B577" s="50" t="s">
        <v>254</v>
      </c>
      <c r="C577" s="51" t="s">
        <v>17</v>
      </c>
      <c r="D577" s="87" t="s">
        <v>292</v>
      </c>
      <c r="E577" s="126">
        <v>0</v>
      </c>
      <c r="F577" s="79">
        <f>BPU!E577</f>
        <v>0</v>
      </c>
      <c r="G577" s="95">
        <f t="shared" si="14"/>
        <v>0</v>
      </c>
    </row>
    <row r="578" spans="1:23" ht="18.600000000000001" customHeight="1" x14ac:dyDescent="0.3">
      <c r="A578" s="150" t="s">
        <v>930</v>
      </c>
      <c r="B578" s="50" t="s">
        <v>255</v>
      </c>
      <c r="C578" s="51" t="s">
        <v>17</v>
      </c>
      <c r="D578" s="87" t="s">
        <v>292</v>
      </c>
      <c r="E578" s="126">
        <f>8.5*6</f>
        <v>51</v>
      </c>
      <c r="F578" s="79">
        <f>BPU!E578</f>
        <v>0</v>
      </c>
      <c r="G578" s="95">
        <f t="shared" si="14"/>
        <v>0</v>
      </c>
    </row>
    <row r="579" spans="1:23" ht="28.8" customHeight="1" x14ac:dyDescent="0.3">
      <c r="A579" s="150" t="s">
        <v>931</v>
      </c>
      <c r="B579" s="50" t="s">
        <v>251</v>
      </c>
      <c r="C579" s="51" t="s">
        <v>17</v>
      </c>
      <c r="D579" s="87" t="s">
        <v>292</v>
      </c>
      <c r="E579" s="126">
        <f>8*4</f>
        <v>32</v>
      </c>
      <c r="F579" s="79">
        <f>BPU!E579</f>
        <v>0</v>
      </c>
      <c r="G579" s="95">
        <f t="shared" si="14"/>
        <v>0</v>
      </c>
    </row>
    <row r="580" spans="1:23" x14ac:dyDescent="0.3">
      <c r="A580" s="150" t="s">
        <v>932</v>
      </c>
      <c r="B580" s="50" t="s">
        <v>256</v>
      </c>
      <c r="C580" s="51" t="s">
        <v>181</v>
      </c>
      <c r="D580" s="87" t="s">
        <v>292</v>
      </c>
      <c r="E580" s="126">
        <f>41.3*1.25</f>
        <v>51.625</v>
      </c>
      <c r="F580" s="79">
        <f>BPU!E580</f>
        <v>0</v>
      </c>
      <c r="G580" s="95">
        <f t="shared" si="14"/>
        <v>0</v>
      </c>
    </row>
    <row r="581" spans="1:23" x14ac:dyDescent="0.3">
      <c r="A581" s="150" t="s">
        <v>933</v>
      </c>
      <c r="B581" s="50" t="s">
        <v>258</v>
      </c>
      <c r="C581" s="51" t="s">
        <v>17</v>
      </c>
      <c r="D581" s="87" t="s">
        <v>292</v>
      </c>
      <c r="E581" s="126">
        <v>0</v>
      </c>
      <c r="F581" s="79">
        <f>BPU!E581</f>
        <v>0</v>
      </c>
      <c r="G581" s="95">
        <f t="shared" si="14"/>
        <v>0</v>
      </c>
    </row>
    <row r="582" spans="1:23" ht="18.600000000000001" customHeight="1" x14ac:dyDescent="0.3">
      <c r="A582" s="150" t="s">
        <v>934</v>
      </c>
      <c r="B582" s="50" t="s">
        <v>193</v>
      </c>
      <c r="C582" s="51" t="s">
        <v>181</v>
      </c>
      <c r="D582" s="87" t="s">
        <v>292</v>
      </c>
      <c r="E582" s="126">
        <f>2.8*4</f>
        <v>11.2</v>
      </c>
      <c r="F582" s="79">
        <f>BPU!E582</f>
        <v>0</v>
      </c>
      <c r="G582" s="95">
        <f t="shared" si="14"/>
        <v>0</v>
      </c>
    </row>
    <row r="583" spans="1:23" x14ac:dyDescent="0.3">
      <c r="A583" s="150" t="s">
        <v>935</v>
      </c>
      <c r="B583" s="50" t="s">
        <v>192</v>
      </c>
      <c r="C583" s="51" t="s">
        <v>181</v>
      </c>
      <c r="D583" s="87" t="s">
        <v>292</v>
      </c>
      <c r="E583" s="126">
        <v>0</v>
      </c>
      <c r="F583" s="79">
        <f>BPU!E583</f>
        <v>0</v>
      </c>
      <c r="G583" s="95">
        <f t="shared" si="14"/>
        <v>0</v>
      </c>
    </row>
    <row r="584" spans="1:23" ht="28.8" x14ac:dyDescent="0.3">
      <c r="A584" s="150" t="s">
        <v>936</v>
      </c>
      <c r="B584" s="50" t="s">
        <v>260</v>
      </c>
      <c r="C584" s="51" t="s">
        <v>181</v>
      </c>
      <c r="D584" s="87" t="s">
        <v>292</v>
      </c>
      <c r="E584" s="126">
        <v>0</v>
      </c>
      <c r="F584" s="79">
        <f>BPU!E584</f>
        <v>0</v>
      </c>
      <c r="G584" s="95">
        <f t="shared" si="14"/>
        <v>0</v>
      </c>
    </row>
    <row r="585" spans="1:23" ht="18.600000000000001" customHeight="1" x14ac:dyDescent="0.3">
      <c r="A585" s="52" t="s">
        <v>937</v>
      </c>
      <c r="B585" s="46" t="s">
        <v>177</v>
      </c>
      <c r="C585" s="52"/>
      <c r="D585" s="87"/>
      <c r="E585" s="126"/>
      <c r="F585" s="79">
        <f>BPU!E585</f>
        <v>0</v>
      </c>
      <c r="G585" s="95">
        <f t="shared" si="14"/>
        <v>0</v>
      </c>
    </row>
    <row r="586" spans="1:23" x14ac:dyDescent="0.3">
      <c r="A586" s="150" t="s">
        <v>938</v>
      </c>
      <c r="B586" s="50" t="s">
        <v>182</v>
      </c>
      <c r="C586" s="51" t="s">
        <v>181</v>
      </c>
      <c r="D586" s="87" t="s">
        <v>292</v>
      </c>
      <c r="E586" s="126">
        <v>0</v>
      </c>
      <c r="F586" s="79">
        <f>BPU!E586</f>
        <v>0</v>
      </c>
      <c r="G586" s="95">
        <f t="shared" si="14"/>
        <v>0</v>
      </c>
    </row>
    <row r="587" spans="1:23" ht="28.8" x14ac:dyDescent="0.3">
      <c r="A587" s="150" t="s">
        <v>939</v>
      </c>
      <c r="B587" s="50" t="s">
        <v>1273</v>
      </c>
      <c r="C587" s="51" t="s">
        <v>181</v>
      </c>
      <c r="D587" s="87" t="s">
        <v>292</v>
      </c>
      <c r="E587" s="126">
        <v>0</v>
      </c>
      <c r="F587" s="79">
        <f>BPU!E587</f>
        <v>0</v>
      </c>
      <c r="G587" s="95">
        <f t="shared" si="14"/>
        <v>0</v>
      </c>
    </row>
    <row r="588" spans="1:23" x14ac:dyDescent="0.3">
      <c r="A588" s="150" t="s">
        <v>940</v>
      </c>
      <c r="B588" s="50" t="s">
        <v>183</v>
      </c>
      <c r="C588" s="51" t="s">
        <v>181</v>
      </c>
      <c r="D588" s="87" t="s">
        <v>292</v>
      </c>
      <c r="E588" s="126">
        <v>0</v>
      </c>
      <c r="F588" s="79">
        <f>BPU!E588</f>
        <v>0</v>
      </c>
      <c r="G588" s="95">
        <f t="shared" si="14"/>
        <v>0</v>
      </c>
    </row>
    <row r="589" spans="1:23" x14ac:dyDescent="0.3">
      <c r="A589" s="150" t="s">
        <v>941</v>
      </c>
      <c r="B589" s="50" t="s">
        <v>184</v>
      </c>
      <c r="C589" s="51" t="s">
        <v>181</v>
      </c>
      <c r="D589" s="87" t="s">
        <v>292</v>
      </c>
      <c r="E589" s="126">
        <v>0</v>
      </c>
      <c r="F589" s="79">
        <f>BPU!E589</f>
        <v>0</v>
      </c>
      <c r="G589" s="95">
        <f t="shared" si="14"/>
        <v>0</v>
      </c>
    </row>
    <row r="590" spans="1:23" ht="15" thickBot="1" x14ac:dyDescent="0.35">
      <c r="A590" s="150" t="s">
        <v>942</v>
      </c>
      <c r="B590" s="50" t="s">
        <v>185</v>
      </c>
      <c r="C590" s="51" t="s">
        <v>181</v>
      </c>
      <c r="D590" s="87" t="s">
        <v>292</v>
      </c>
      <c r="E590" s="126">
        <v>0</v>
      </c>
      <c r="F590" s="79">
        <f>BPU!E590</f>
        <v>0</v>
      </c>
      <c r="G590" s="95">
        <f t="shared" si="14"/>
        <v>0</v>
      </c>
    </row>
    <row r="591" spans="1:23" s="98" customFormat="1" ht="15" thickBot="1" x14ac:dyDescent="0.35">
      <c r="A591" s="52"/>
      <c r="B591" s="96" t="s">
        <v>393</v>
      </c>
      <c r="C591" s="97"/>
      <c r="D591" s="97"/>
      <c r="E591" s="128"/>
      <c r="F591" s="145">
        <f>BPU!E591</f>
        <v>0</v>
      </c>
      <c r="G591" s="146">
        <f>SUM(G516:G590)</f>
        <v>0</v>
      </c>
      <c r="H591" s="138"/>
      <c r="J591" s="99"/>
      <c r="K591" s="75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100"/>
      <c r="W591" s="100"/>
    </row>
    <row r="592" spans="1:23" s="58" customFormat="1" ht="16.8" customHeight="1" x14ac:dyDescent="0.3">
      <c r="A592" s="70" t="s">
        <v>63</v>
      </c>
      <c r="B592" s="70" t="s">
        <v>64</v>
      </c>
      <c r="C592" s="52"/>
      <c r="D592" s="87"/>
      <c r="E592" s="126"/>
      <c r="F592" s="79">
        <f>BPU!E592</f>
        <v>0</v>
      </c>
      <c r="G592" s="95">
        <f t="shared" si="14"/>
        <v>0</v>
      </c>
      <c r="H592" s="136"/>
    </row>
    <row r="593" spans="1:8" ht="18.600000000000001" customHeight="1" x14ac:dyDescent="0.3">
      <c r="A593" s="52" t="s">
        <v>66</v>
      </c>
      <c r="B593" s="46" t="s">
        <v>161</v>
      </c>
      <c r="C593" s="52"/>
      <c r="D593" s="87"/>
      <c r="E593" s="126"/>
      <c r="F593" s="79">
        <f>BPU!E593</f>
        <v>0</v>
      </c>
      <c r="G593" s="95">
        <f t="shared" si="14"/>
        <v>0</v>
      </c>
    </row>
    <row r="594" spans="1:8" ht="28.8" customHeight="1" x14ac:dyDescent="0.3">
      <c r="A594" s="150" t="s">
        <v>943</v>
      </c>
      <c r="B594" s="153" t="s">
        <v>1308</v>
      </c>
      <c r="C594" s="51" t="s">
        <v>181</v>
      </c>
      <c r="D594" s="87" t="s">
        <v>292</v>
      </c>
      <c r="E594" s="126">
        <v>0</v>
      </c>
      <c r="F594" s="79">
        <f>BPU!E594</f>
        <v>0</v>
      </c>
      <c r="G594" s="95">
        <f t="shared" si="14"/>
        <v>0</v>
      </c>
    </row>
    <row r="595" spans="1:8" ht="18.600000000000001" customHeight="1" x14ac:dyDescent="0.3">
      <c r="A595" s="150" t="s">
        <v>944</v>
      </c>
      <c r="B595" s="52" t="s">
        <v>196</v>
      </c>
      <c r="C595" s="51" t="s">
        <v>17</v>
      </c>
      <c r="D595" s="87" t="s">
        <v>292</v>
      </c>
      <c r="E595" s="126">
        <v>0</v>
      </c>
      <c r="F595" s="79">
        <f>BPU!E595</f>
        <v>0</v>
      </c>
      <c r="G595" s="95">
        <f t="shared" si="14"/>
        <v>0</v>
      </c>
    </row>
    <row r="596" spans="1:8" ht="18.600000000000001" customHeight="1" x14ac:dyDescent="0.3">
      <c r="A596" s="150" t="s">
        <v>945</v>
      </c>
      <c r="B596" s="52" t="s">
        <v>210</v>
      </c>
      <c r="C596" s="51" t="s">
        <v>197</v>
      </c>
      <c r="D596" s="87" t="s">
        <v>292</v>
      </c>
      <c r="E596" s="126">
        <v>0</v>
      </c>
      <c r="F596" s="79">
        <f>BPU!E596</f>
        <v>0</v>
      </c>
      <c r="G596" s="95">
        <f t="shared" si="14"/>
        <v>0</v>
      </c>
    </row>
    <row r="597" spans="1:8" ht="18.600000000000001" customHeight="1" x14ac:dyDescent="0.3">
      <c r="A597" s="150" t="s">
        <v>946</v>
      </c>
      <c r="B597" s="52" t="s">
        <v>209</v>
      </c>
      <c r="C597" s="51" t="s">
        <v>197</v>
      </c>
      <c r="D597" s="87" t="s">
        <v>292</v>
      </c>
      <c r="E597" s="126">
        <v>0</v>
      </c>
      <c r="F597" s="79">
        <f>BPU!E597</f>
        <v>0</v>
      </c>
      <c r="G597" s="95">
        <f t="shared" si="14"/>
        <v>0</v>
      </c>
    </row>
    <row r="598" spans="1:8" ht="18.600000000000001" customHeight="1" x14ac:dyDescent="0.3">
      <c r="A598" s="150" t="s">
        <v>947</v>
      </c>
      <c r="B598" s="52" t="s">
        <v>199</v>
      </c>
      <c r="C598" s="51" t="s">
        <v>181</v>
      </c>
      <c r="D598" s="87" t="s">
        <v>292</v>
      </c>
      <c r="E598" s="126">
        <v>0</v>
      </c>
      <c r="F598" s="79">
        <f>BPU!E598</f>
        <v>0</v>
      </c>
      <c r="G598" s="95">
        <f t="shared" si="14"/>
        <v>0</v>
      </c>
    </row>
    <row r="599" spans="1:8" ht="18.600000000000001" customHeight="1" x14ac:dyDescent="0.3">
      <c r="A599" s="150" t="s">
        <v>948</v>
      </c>
      <c r="B599" s="52" t="s">
        <v>293</v>
      </c>
      <c r="C599" s="51" t="s">
        <v>181</v>
      </c>
      <c r="D599" s="87" t="s">
        <v>292</v>
      </c>
      <c r="E599" s="126">
        <v>0</v>
      </c>
      <c r="F599" s="79">
        <f>BPU!E599</f>
        <v>0</v>
      </c>
      <c r="G599" s="95">
        <f t="shared" si="14"/>
        <v>0</v>
      </c>
    </row>
    <row r="600" spans="1:8" ht="28.2" customHeight="1" x14ac:dyDescent="0.3">
      <c r="A600" s="150" t="s">
        <v>949</v>
      </c>
      <c r="B600" s="61" t="s">
        <v>198</v>
      </c>
      <c r="C600" s="51" t="s">
        <v>79</v>
      </c>
      <c r="D600" s="87" t="s">
        <v>158</v>
      </c>
      <c r="E600" s="126">
        <v>0</v>
      </c>
      <c r="F600" s="79">
        <f>BPU!E600</f>
        <v>0</v>
      </c>
      <c r="G600" s="95">
        <f t="shared" si="14"/>
        <v>0</v>
      </c>
    </row>
    <row r="601" spans="1:8" ht="18.600000000000001" customHeight="1" x14ac:dyDescent="0.3">
      <c r="A601" s="52" t="s">
        <v>950</v>
      </c>
      <c r="B601" s="46" t="s">
        <v>208</v>
      </c>
      <c r="C601" s="51"/>
      <c r="D601" s="87"/>
      <c r="E601" s="126"/>
      <c r="F601" s="79">
        <f>BPU!E601</f>
        <v>0</v>
      </c>
      <c r="G601" s="95">
        <f t="shared" si="14"/>
        <v>0</v>
      </c>
    </row>
    <row r="602" spans="1:8" ht="18.600000000000001" customHeight="1" x14ac:dyDescent="0.3">
      <c r="A602" s="150" t="s">
        <v>951</v>
      </c>
      <c r="B602" s="52" t="s">
        <v>211</v>
      </c>
      <c r="C602" s="51" t="s">
        <v>230</v>
      </c>
      <c r="D602" s="87" t="s">
        <v>292</v>
      </c>
      <c r="E602" s="126">
        <v>0</v>
      </c>
      <c r="F602" s="79">
        <f>BPU!E602</f>
        <v>0</v>
      </c>
      <c r="G602" s="95">
        <f t="shared" si="14"/>
        <v>0</v>
      </c>
    </row>
    <row r="603" spans="1:8" ht="18.600000000000001" customHeight="1" x14ac:dyDescent="0.3">
      <c r="A603" s="150" t="s">
        <v>952</v>
      </c>
      <c r="B603" s="52" t="s">
        <v>212</v>
      </c>
      <c r="C603" s="51" t="s">
        <v>230</v>
      </c>
      <c r="D603" s="87" t="s">
        <v>292</v>
      </c>
      <c r="E603" s="126">
        <v>0</v>
      </c>
      <c r="F603" s="79">
        <f>BPU!E603</f>
        <v>0</v>
      </c>
      <c r="G603" s="95">
        <f t="shared" si="14"/>
        <v>0</v>
      </c>
    </row>
    <row r="604" spans="1:8" ht="18.600000000000001" customHeight="1" x14ac:dyDescent="0.3">
      <c r="A604" s="150" t="s">
        <v>953</v>
      </c>
      <c r="B604" s="46" t="s">
        <v>168</v>
      </c>
      <c r="C604" s="52"/>
      <c r="D604" s="87"/>
      <c r="E604" s="126"/>
      <c r="F604" s="79">
        <f>BPU!E604</f>
        <v>0</v>
      </c>
      <c r="G604" s="95">
        <f t="shared" si="14"/>
        <v>0</v>
      </c>
    </row>
    <row r="605" spans="1:8" s="65" customFormat="1" ht="18.600000000000001" customHeight="1" x14ac:dyDescent="0.3">
      <c r="A605" s="150" t="s">
        <v>954</v>
      </c>
      <c r="B605" s="50" t="s">
        <v>213</v>
      </c>
      <c r="C605" s="51" t="s">
        <v>230</v>
      </c>
      <c r="D605" s="88" t="s">
        <v>292</v>
      </c>
      <c r="E605" s="130">
        <v>0</v>
      </c>
      <c r="F605" s="79">
        <f>BPU!E605</f>
        <v>0</v>
      </c>
      <c r="G605" s="95">
        <f t="shared" si="14"/>
        <v>0</v>
      </c>
      <c r="H605" s="66"/>
    </row>
    <row r="606" spans="1:8" s="65" customFormat="1" ht="18.600000000000001" customHeight="1" x14ac:dyDescent="0.3">
      <c r="A606" s="150" t="s">
        <v>955</v>
      </c>
      <c r="B606" s="50" t="s">
        <v>187</v>
      </c>
      <c r="C606" s="51" t="s">
        <v>230</v>
      </c>
      <c r="D606" s="88" t="s">
        <v>292</v>
      </c>
      <c r="E606" s="130">
        <v>0</v>
      </c>
      <c r="F606" s="79">
        <f>BPU!E606</f>
        <v>0</v>
      </c>
      <c r="G606" s="95">
        <f t="shared" si="14"/>
        <v>0</v>
      </c>
      <c r="H606" s="66"/>
    </row>
    <row r="607" spans="1:8" s="65" customFormat="1" ht="18.600000000000001" customHeight="1" x14ac:dyDescent="0.3">
      <c r="A607" s="150" t="s">
        <v>956</v>
      </c>
      <c r="B607" s="50" t="s">
        <v>214</v>
      </c>
      <c r="C607" s="51" t="s">
        <v>230</v>
      </c>
      <c r="D607" s="88" t="s">
        <v>292</v>
      </c>
      <c r="E607" s="130">
        <v>0</v>
      </c>
      <c r="F607" s="79">
        <f>BPU!E607</f>
        <v>0</v>
      </c>
      <c r="G607" s="95">
        <f t="shared" si="14"/>
        <v>0</v>
      </c>
      <c r="H607" s="66"/>
    </row>
    <row r="608" spans="1:8" s="65" customFormat="1" ht="33" customHeight="1" x14ac:dyDescent="0.3">
      <c r="A608" s="150" t="s">
        <v>957</v>
      </c>
      <c r="B608" s="50" t="s">
        <v>215</v>
      </c>
      <c r="C608" s="51" t="s">
        <v>230</v>
      </c>
      <c r="D608" s="88" t="s">
        <v>292</v>
      </c>
      <c r="E608" s="130">
        <v>0</v>
      </c>
      <c r="F608" s="79">
        <f>BPU!E608</f>
        <v>0</v>
      </c>
      <c r="G608" s="95">
        <f t="shared" si="14"/>
        <v>0</v>
      </c>
      <c r="H608" s="66"/>
    </row>
    <row r="609" spans="1:7" ht="18.600000000000001" customHeight="1" x14ac:dyDescent="0.3">
      <c r="A609" s="52" t="s">
        <v>958</v>
      </c>
      <c r="B609" s="46" t="s">
        <v>169</v>
      </c>
      <c r="C609" s="52"/>
      <c r="D609" s="87"/>
      <c r="E609" s="126"/>
      <c r="F609" s="79">
        <f>BPU!E609</f>
        <v>0</v>
      </c>
      <c r="G609" s="95">
        <f t="shared" si="14"/>
        <v>0</v>
      </c>
    </row>
    <row r="610" spans="1:7" ht="18.600000000000001" customHeight="1" x14ac:dyDescent="0.3">
      <c r="A610" s="150" t="s">
        <v>959</v>
      </c>
      <c r="B610" s="50" t="s">
        <v>216</v>
      </c>
      <c r="C610" s="51" t="s">
        <v>230</v>
      </c>
      <c r="D610" s="87" t="s">
        <v>292</v>
      </c>
      <c r="E610" s="126">
        <v>0</v>
      </c>
      <c r="F610" s="79">
        <f>BPU!E610</f>
        <v>0</v>
      </c>
      <c r="G610" s="95">
        <f t="shared" si="14"/>
        <v>0</v>
      </c>
    </row>
    <row r="611" spans="1:7" ht="18.600000000000001" customHeight="1" x14ac:dyDescent="0.3">
      <c r="A611" s="150" t="s">
        <v>960</v>
      </c>
      <c r="B611" s="50" t="s">
        <v>217</v>
      </c>
      <c r="C611" s="51" t="s">
        <v>230</v>
      </c>
      <c r="D611" s="87" t="s">
        <v>292</v>
      </c>
      <c r="E611" s="126">
        <v>0</v>
      </c>
      <c r="F611" s="79">
        <f>BPU!E611</f>
        <v>0</v>
      </c>
      <c r="G611" s="95">
        <f t="shared" si="14"/>
        <v>0</v>
      </c>
    </row>
    <row r="612" spans="1:7" ht="18.600000000000001" customHeight="1" x14ac:dyDescent="0.3">
      <c r="A612" s="150" t="s">
        <v>961</v>
      </c>
      <c r="B612" s="50" t="s">
        <v>218</v>
      </c>
      <c r="C612" s="51" t="s">
        <v>230</v>
      </c>
      <c r="D612" s="87" t="s">
        <v>292</v>
      </c>
      <c r="E612" s="126">
        <v>0</v>
      </c>
      <c r="F612" s="79">
        <f>BPU!E612</f>
        <v>0</v>
      </c>
      <c r="G612" s="95">
        <f t="shared" si="14"/>
        <v>0</v>
      </c>
    </row>
    <row r="613" spans="1:7" ht="18.600000000000001" customHeight="1" x14ac:dyDescent="0.3">
      <c r="A613" s="150" t="s">
        <v>962</v>
      </c>
      <c r="B613" s="50" t="s">
        <v>219</v>
      </c>
      <c r="C613" s="51" t="s">
        <v>230</v>
      </c>
      <c r="D613" s="87" t="s">
        <v>292</v>
      </c>
      <c r="E613" s="126">
        <v>0</v>
      </c>
      <c r="F613" s="79">
        <f>BPU!E613</f>
        <v>0</v>
      </c>
      <c r="G613" s="95">
        <f t="shared" si="14"/>
        <v>0</v>
      </c>
    </row>
    <row r="614" spans="1:7" ht="18.600000000000001" customHeight="1" x14ac:dyDescent="0.3">
      <c r="A614" s="150" t="s">
        <v>963</v>
      </c>
      <c r="B614" s="50" t="s">
        <v>220</v>
      </c>
      <c r="C614" s="51" t="s">
        <v>230</v>
      </c>
      <c r="D614" s="87" t="s">
        <v>292</v>
      </c>
      <c r="E614" s="126">
        <v>0</v>
      </c>
      <c r="F614" s="79">
        <f>BPU!E614</f>
        <v>0</v>
      </c>
      <c r="G614" s="95">
        <f t="shared" si="14"/>
        <v>0</v>
      </c>
    </row>
    <row r="615" spans="1:7" ht="18.600000000000001" customHeight="1" x14ac:dyDescent="0.3">
      <c r="A615" s="150" t="s">
        <v>964</v>
      </c>
      <c r="B615" s="50" t="s">
        <v>221</v>
      </c>
      <c r="C615" s="51" t="s">
        <v>230</v>
      </c>
      <c r="D615" s="87" t="s">
        <v>292</v>
      </c>
      <c r="E615" s="126">
        <v>0</v>
      </c>
      <c r="F615" s="79">
        <f>BPU!E615</f>
        <v>0</v>
      </c>
      <c r="G615" s="95">
        <f t="shared" si="14"/>
        <v>0</v>
      </c>
    </row>
    <row r="616" spans="1:7" ht="18.600000000000001" customHeight="1" x14ac:dyDescent="0.3">
      <c r="A616" s="150" t="s">
        <v>965</v>
      </c>
      <c r="B616" s="50" t="s">
        <v>222</v>
      </c>
      <c r="C616" s="51" t="s">
        <v>230</v>
      </c>
      <c r="D616" s="87" t="s">
        <v>292</v>
      </c>
      <c r="E616" s="126">
        <v>0</v>
      </c>
      <c r="F616" s="79">
        <f>BPU!E616</f>
        <v>0</v>
      </c>
      <c r="G616" s="95">
        <f t="shared" si="14"/>
        <v>0</v>
      </c>
    </row>
    <row r="617" spans="1:7" ht="18.600000000000001" customHeight="1" x14ac:dyDescent="0.3">
      <c r="A617" s="52" t="s">
        <v>966</v>
      </c>
      <c r="B617" s="46" t="s">
        <v>170</v>
      </c>
      <c r="C617" s="52"/>
      <c r="D617" s="87"/>
      <c r="E617" s="126"/>
      <c r="F617" s="79">
        <f>BPU!E617</f>
        <v>0</v>
      </c>
      <c r="G617" s="95">
        <f t="shared" si="14"/>
        <v>0</v>
      </c>
    </row>
    <row r="618" spans="1:7" ht="18.600000000000001" customHeight="1" x14ac:dyDescent="0.3">
      <c r="A618" s="150" t="s">
        <v>967</v>
      </c>
      <c r="B618" s="50" t="s">
        <v>223</v>
      </c>
      <c r="C618" s="51" t="s">
        <v>230</v>
      </c>
      <c r="D618" s="87" t="s">
        <v>292</v>
      </c>
      <c r="E618" s="126">
        <v>0</v>
      </c>
      <c r="F618" s="79">
        <f>BPU!E618</f>
        <v>0</v>
      </c>
      <c r="G618" s="95">
        <f t="shared" si="14"/>
        <v>0</v>
      </c>
    </row>
    <row r="619" spans="1:7" ht="18.600000000000001" customHeight="1" x14ac:dyDescent="0.3">
      <c r="A619" s="150" t="s">
        <v>968</v>
      </c>
      <c r="B619" s="50" t="s">
        <v>224</v>
      </c>
      <c r="C619" s="51" t="s">
        <v>230</v>
      </c>
      <c r="D619" s="87" t="s">
        <v>292</v>
      </c>
      <c r="E619" s="126">
        <v>0</v>
      </c>
      <c r="F619" s="79">
        <f>BPU!E619</f>
        <v>0</v>
      </c>
      <c r="G619" s="95">
        <f t="shared" si="14"/>
        <v>0</v>
      </c>
    </row>
    <row r="620" spans="1:7" ht="18.600000000000001" customHeight="1" x14ac:dyDescent="0.3">
      <c r="A620" s="150" t="s">
        <v>969</v>
      </c>
      <c r="B620" s="50" t="s">
        <v>178</v>
      </c>
      <c r="C620" s="51" t="s">
        <v>230</v>
      </c>
      <c r="D620" s="87" t="s">
        <v>292</v>
      </c>
      <c r="E620" s="126">
        <v>0</v>
      </c>
      <c r="F620" s="79">
        <f>BPU!E620</f>
        <v>0</v>
      </c>
      <c r="G620" s="95">
        <f t="shared" si="14"/>
        <v>0</v>
      </c>
    </row>
    <row r="621" spans="1:7" ht="18.600000000000001" customHeight="1" x14ac:dyDescent="0.3">
      <c r="A621" s="52" t="s">
        <v>970</v>
      </c>
      <c r="B621" s="46" t="s">
        <v>171</v>
      </c>
      <c r="C621" s="52"/>
      <c r="D621" s="87"/>
      <c r="E621" s="126"/>
      <c r="F621" s="79">
        <f>BPU!E621</f>
        <v>0</v>
      </c>
      <c r="G621" s="95">
        <f t="shared" si="14"/>
        <v>0</v>
      </c>
    </row>
    <row r="622" spans="1:7" ht="24.6" customHeight="1" x14ac:dyDescent="0.3">
      <c r="A622" s="150" t="s">
        <v>971</v>
      </c>
      <c r="B622" s="50" t="s">
        <v>229</v>
      </c>
      <c r="C622" s="51" t="s">
        <v>181</v>
      </c>
      <c r="D622" s="87" t="s">
        <v>292</v>
      </c>
      <c r="E622" s="126">
        <v>0</v>
      </c>
      <c r="F622" s="79">
        <f>BPU!E622</f>
        <v>0</v>
      </c>
      <c r="G622" s="95">
        <f t="shared" si="14"/>
        <v>0</v>
      </c>
    </row>
    <row r="623" spans="1:7" ht="24.6" customHeight="1" x14ac:dyDescent="0.3">
      <c r="A623" s="150" t="s">
        <v>972</v>
      </c>
      <c r="B623" s="50" t="s">
        <v>366</v>
      </c>
      <c r="C623" s="51" t="s">
        <v>181</v>
      </c>
      <c r="D623" s="87" t="s">
        <v>292</v>
      </c>
      <c r="E623" s="126"/>
      <c r="F623" s="79">
        <f>BPU!E623</f>
        <v>0</v>
      </c>
      <c r="G623" s="95">
        <f t="shared" si="14"/>
        <v>0</v>
      </c>
    </row>
    <row r="624" spans="1:7" ht="18.600000000000001" customHeight="1" x14ac:dyDescent="0.3">
      <c r="A624" s="150" t="s">
        <v>973</v>
      </c>
      <c r="B624" s="50" t="s">
        <v>225</v>
      </c>
      <c r="C624" s="51" t="s">
        <v>181</v>
      </c>
      <c r="D624" s="87" t="s">
        <v>292</v>
      </c>
      <c r="E624" s="126">
        <v>0</v>
      </c>
      <c r="F624" s="79">
        <f>BPU!E624</f>
        <v>0</v>
      </c>
      <c r="G624" s="95">
        <f t="shared" si="14"/>
        <v>0</v>
      </c>
    </row>
    <row r="625" spans="1:7" ht="18.600000000000001" customHeight="1" x14ac:dyDescent="0.3">
      <c r="A625" s="150" t="s">
        <v>974</v>
      </c>
      <c r="B625" s="50" t="s">
        <v>226</v>
      </c>
      <c r="C625" s="51" t="s">
        <v>181</v>
      </c>
      <c r="D625" s="87" t="s">
        <v>292</v>
      </c>
      <c r="E625" s="126">
        <v>0</v>
      </c>
      <c r="F625" s="79">
        <f>BPU!E625</f>
        <v>0</v>
      </c>
      <c r="G625" s="95">
        <f t="shared" si="14"/>
        <v>0</v>
      </c>
    </row>
    <row r="626" spans="1:7" ht="18.600000000000001" customHeight="1" x14ac:dyDescent="0.3">
      <c r="A626" s="150" t="s">
        <v>975</v>
      </c>
      <c r="B626" s="50" t="s">
        <v>227</v>
      </c>
      <c r="C626" s="51" t="s">
        <v>181</v>
      </c>
      <c r="D626" s="87" t="s">
        <v>292</v>
      </c>
      <c r="E626" s="126">
        <v>0</v>
      </c>
      <c r="F626" s="79">
        <f>BPU!E626</f>
        <v>0</v>
      </c>
      <c r="G626" s="95">
        <f t="shared" si="14"/>
        <v>0</v>
      </c>
    </row>
    <row r="627" spans="1:7" ht="18.600000000000001" customHeight="1" x14ac:dyDescent="0.3">
      <c r="A627" s="150" t="s">
        <v>976</v>
      </c>
      <c r="B627" s="50" t="s">
        <v>228</v>
      </c>
      <c r="C627" s="51" t="s">
        <v>181</v>
      </c>
      <c r="D627" s="87" t="s">
        <v>292</v>
      </c>
      <c r="E627" s="126">
        <v>0</v>
      </c>
      <c r="F627" s="79">
        <f>BPU!E627</f>
        <v>0</v>
      </c>
      <c r="G627" s="95">
        <f t="shared" ref="G627:G679" si="15">E627*F627</f>
        <v>0</v>
      </c>
    </row>
    <row r="628" spans="1:7" ht="18.600000000000001" customHeight="1" x14ac:dyDescent="0.3">
      <c r="A628" s="52" t="s">
        <v>977</v>
      </c>
      <c r="B628" s="46" t="s">
        <v>172</v>
      </c>
      <c r="C628" s="52"/>
      <c r="D628" s="87"/>
      <c r="E628" s="126"/>
      <c r="F628" s="79">
        <f>BPU!E628</f>
        <v>0</v>
      </c>
      <c r="G628" s="95">
        <f t="shared" si="15"/>
        <v>0</v>
      </c>
    </row>
    <row r="629" spans="1:7" ht="18.600000000000001" customHeight="1" x14ac:dyDescent="0.3">
      <c r="A629" s="150" t="s">
        <v>978</v>
      </c>
      <c r="B629" s="50" t="s">
        <v>231</v>
      </c>
      <c r="C629" s="51" t="s">
        <v>181</v>
      </c>
      <c r="D629" s="87" t="s">
        <v>292</v>
      </c>
      <c r="E629" s="126">
        <v>0</v>
      </c>
      <c r="F629" s="79">
        <f>BPU!E629</f>
        <v>0</v>
      </c>
      <c r="G629" s="95">
        <f t="shared" si="15"/>
        <v>0</v>
      </c>
    </row>
    <row r="630" spans="1:7" ht="18.600000000000001" customHeight="1" x14ac:dyDescent="0.3">
      <c r="A630" s="150" t="s">
        <v>979</v>
      </c>
      <c r="B630" s="50" t="s">
        <v>232</v>
      </c>
      <c r="C630" s="51" t="s">
        <v>181</v>
      </c>
      <c r="D630" s="87" t="s">
        <v>292</v>
      </c>
      <c r="E630" s="126">
        <v>0</v>
      </c>
      <c r="F630" s="79">
        <f>BPU!E630</f>
        <v>0</v>
      </c>
      <c r="G630" s="95">
        <f t="shared" si="15"/>
        <v>0</v>
      </c>
    </row>
    <row r="631" spans="1:7" ht="28.2" customHeight="1" x14ac:dyDescent="0.3">
      <c r="A631" s="150" t="s">
        <v>980</v>
      </c>
      <c r="B631" s="50" t="s">
        <v>233</v>
      </c>
      <c r="C631" s="51" t="s">
        <v>181</v>
      </c>
      <c r="D631" s="87" t="s">
        <v>292</v>
      </c>
      <c r="E631" s="126">
        <v>0</v>
      </c>
      <c r="F631" s="79">
        <f>BPU!E631</f>
        <v>0</v>
      </c>
      <c r="G631" s="95">
        <f t="shared" si="15"/>
        <v>0</v>
      </c>
    </row>
    <row r="632" spans="1:7" ht="18.600000000000001" customHeight="1" x14ac:dyDescent="0.3">
      <c r="A632" s="150" t="s">
        <v>981</v>
      </c>
      <c r="B632" s="50" t="s">
        <v>234</v>
      </c>
      <c r="C632" s="51" t="s">
        <v>181</v>
      </c>
      <c r="D632" s="87" t="s">
        <v>292</v>
      </c>
      <c r="E632" s="126">
        <v>0</v>
      </c>
      <c r="F632" s="79">
        <f>BPU!E632</f>
        <v>0</v>
      </c>
      <c r="G632" s="95">
        <f t="shared" si="15"/>
        <v>0</v>
      </c>
    </row>
    <row r="633" spans="1:7" ht="18.600000000000001" customHeight="1" x14ac:dyDescent="0.3">
      <c r="A633" s="52" t="s">
        <v>982</v>
      </c>
      <c r="B633" s="46" t="s">
        <v>173</v>
      </c>
      <c r="C633" s="52"/>
      <c r="D633" s="87"/>
      <c r="E633" s="126"/>
      <c r="F633" s="79">
        <f>BPU!E633</f>
        <v>0</v>
      </c>
      <c r="G633" s="95">
        <f t="shared" si="15"/>
        <v>0</v>
      </c>
    </row>
    <row r="634" spans="1:7" ht="18.600000000000001" customHeight="1" x14ac:dyDescent="0.3">
      <c r="A634" s="150" t="s">
        <v>983</v>
      </c>
      <c r="B634" s="50" t="s">
        <v>259</v>
      </c>
      <c r="C634" s="51" t="s">
        <v>181</v>
      </c>
      <c r="D634" s="87" t="s">
        <v>292</v>
      </c>
      <c r="E634" s="126">
        <v>0</v>
      </c>
      <c r="F634" s="79">
        <f>BPU!E634</f>
        <v>0</v>
      </c>
      <c r="G634" s="95">
        <f t="shared" si="15"/>
        <v>0</v>
      </c>
    </row>
    <row r="635" spans="1:7" ht="18.600000000000001" customHeight="1" x14ac:dyDescent="0.3">
      <c r="A635" s="150" t="s">
        <v>984</v>
      </c>
      <c r="B635" s="50" t="s">
        <v>235</v>
      </c>
      <c r="C635" s="51" t="s">
        <v>181</v>
      </c>
      <c r="D635" s="87" t="s">
        <v>292</v>
      </c>
      <c r="E635" s="126">
        <v>0</v>
      </c>
      <c r="F635" s="79">
        <f>BPU!E635</f>
        <v>0</v>
      </c>
      <c r="G635" s="95">
        <f t="shared" si="15"/>
        <v>0</v>
      </c>
    </row>
    <row r="636" spans="1:7" ht="18.600000000000001" customHeight="1" x14ac:dyDescent="0.3">
      <c r="A636" s="150" t="s">
        <v>985</v>
      </c>
      <c r="B636" s="50" t="s">
        <v>236</v>
      </c>
      <c r="C636" s="51" t="s">
        <v>181</v>
      </c>
      <c r="D636" s="87" t="s">
        <v>292</v>
      </c>
      <c r="E636" s="126">
        <v>0</v>
      </c>
      <c r="F636" s="79">
        <f>BPU!E636</f>
        <v>0</v>
      </c>
      <c r="G636" s="95">
        <f t="shared" si="15"/>
        <v>0</v>
      </c>
    </row>
    <row r="637" spans="1:7" ht="18.600000000000001" customHeight="1" x14ac:dyDescent="0.3">
      <c r="A637" s="150" t="s">
        <v>986</v>
      </c>
      <c r="B637" s="50" t="s">
        <v>237</v>
      </c>
      <c r="C637" s="51" t="s">
        <v>181</v>
      </c>
      <c r="D637" s="87" t="s">
        <v>292</v>
      </c>
      <c r="E637" s="126">
        <v>0</v>
      </c>
      <c r="F637" s="79">
        <f>BPU!E637</f>
        <v>0</v>
      </c>
      <c r="G637" s="95">
        <f t="shared" si="15"/>
        <v>0</v>
      </c>
    </row>
    <row r="638" spans="1:7" ht="18.600000000000001" customHeight="1" x14ac:dyDescent="0.3">
      <c r="A638" s="150" t="s">
        <v>987</v>
      </c>
      <c r="B638" s="50" t="s">
        <v>238</v>
      </c>
      <c r="C638" s="51" t="s">
        <v>181</v>
      </c>
      <c r="D638" s="87" t="s">
        <v>292</v>
      </c>
      <c r="E638" s="126">
        <v>0</v>
      </c>
      <c r="F638" s="79">
        <f>BPU!E638</f>
        <v>0</v>
      </c>
      <c r="G638" s="95">
        <f t="shared" si="15"/>
        <v>0</v>
      </c>
    </row>
    <row r="639" spans="1:7" ht="18.600000000000001" customHeight="1" x14ac:dyDescent="0.3">
      <c r="A639" s="150" t="s">
        <v>988</v>
      </c>
      <c r="B639" s="50" t="s">
        <v>179</v>
      </c>
      <c r="C639" s="51" t="s">
        <v>181</v>
      </c>
      <c r="D639" s="87" t="s">
        <v>292</v>
      </c>
      <c r="E639" s="126">
        <v>0</v>
      </c>
      <c r="F639" s="79">
        <f>BPU!E639</f>
        <v>0</v>
      </c>
      <c r="G639" s="95">
        <f t="shared" si="15"/>
        <v>0</v>
      </c>
    </row>
    <row r="640" spans="1:7" ht="18.600000000000001" customHeight="1" x14ac:dyDescent="0.3">
      <c r="A640" s="150" t="s">
        <v>989</v>
      </c>
      <c r="B640" s="50" t="s">
        <v>239</v>
      </c>
      <c r="C640" s="51" t="s">
        <v>181</v>
      </c>
      <c r="D640" s="87" t="s">
        <v>292</v>
      </c>
      <c r="E640" s="126">
        <v>0</v>
      </c>
      <c r="F640" s="79">
        <f>BPU!E640</f>
        <v>0</v>
      </c>
      <c r="G640" s="95">
        <f t="shared" si="15"/>
        <v>0</v>
      </c>
    </row>
    <row r="641" spans="1:7" ht="18.600000000000001" customHeight="1" x14ac:dyDescent="0.3">
      <c r="A641" s="52" t="s">
        <v>990</v>
      </c>
      <c r="B641" s="46" t="s">
        <v>174</v>
      </c>
      <c r="C641" s="52"/>
      <c r="D641" s="87"/>
      <c r="E641" s="126"/>
      <c r="F641" s="79">
        <f>BPU!E641</f>
        <v>0</v>
      </c>
      <c r="G641" s="95">
        <f t="shared" si="15"/>
        <v>0</v>
      </c>
    </row>
    <row r="642" spans="1:7" ht="18.600000000000001" customHeight="1" x14ac:dyDescent="0.3">
      <c r="A642" s="150" t="s">
        <v>991</v>
      </c>
      <c r="B642" s="50" t="s">
        <v>240</v>
      </c>
      <c r="C642" s="51" t="s">
        <v>181</v>
      </c>
      <c r="D642" s="87" t="s">
        <v>292</v>
      </c>
      <c r="E642" s="126">
        <v>0</v>
      </c>
      <c r="F642" s="79">
        <f>BPU!E642</f>
        <v>0</v>
      </c>
      <c r="G642" s="95">
        <f t="shared" si="15"/>
        <v>0</v>
      </c>
    </row>
    <row r="643" spans="1:7" ht="18.600000000000001" customHeight="1" x14ac:dyDescent="0.3">
      <c r="A643" s="150" t="s">
        <v>992</v>
      </c>
      <c r="B643" s="50" t="s">
        <v>241</v>
      </c>
      <c r="C643" s="51" t="s">
        <v>181</v>
      </c>
      <c r="D643" s="87" t="s">
        <v>292</v>
      </c>
      <c r="E643" s="126">
        <v>0</v>
      </c>
      <c r="F643" s="79">
        <f>BPU!E643</f>
        <v>0</v>
      </c>
      <c r="G643" s="95">
        <f t="shared" si="15"/>
        <v>0</v>
      </c>
    </row>
    <row r="644" spans="1:7" ht="18.600000000000001" customHeight="1" x14ac:dyDescent="0.3">
      <c r="A644" s="150" t="s">
        <v>993</v>
      </c>
      <c r="B644" s="50" t="s">
        <v>242</v>
      </c>
      <c r="C644" s="51" t="s">
        <v>181</v>
      </c>
      <c r="D644" s="87" t="s">
        <v>292</v>
      </c>
      <c r="E644" s="126">
        <v>0</v>
      </c>
      <c r="F644" s="79">
        <f>BPU!E644</f>
        <v>0</v>
      </c>
      <c r="G644" s="95">
        <f t="shared" si="15"/>
        <v>0</v>
      </c>
    </row>
    <row r="645" spans="1:7" ht="18.600000000000001" customHeight="1" x14ac:dyDescent="0.3">
      <c r="A645" s="150" t="s">
        <v>994</v>
      </c>
      <c r="B645" s="50" t="s">
        <v>243</v>
      </c>
      <c r="C645" s="51" t="s">
        <v>181</v>
      </c>
      <c r="D645" s="87" t="s">
        <v>292</v>
      </c>
      <c r="E645" s="126">
        <v>0</v>
      </c>
      <c r="F645" s="79">
        <f>BPU!E645</f>
        <v>0</v>
      </c>
      <c r="G645" s="95">
        <f t="shared" si="15"/>
        <v>0</v>
      </c>
    </row>
    <row r="646" spans="1:7" ht="18.600000000000001" customHeight="1" x14ac:dyDescent="0.3">
      <c r="A646" s="150" t="s">
        <v>995</v>
      </c>
      <c r="B646" s="50" t="s">
        <v>244</v>
      </c>
      <c r="C646" s="51" t="s">
        <v>181</v>
      </c>
      <c r="D646" s="87" t="s">
        <v>292</v>
      </c>
      <c r="E646" s="126">
        <v>0</v>
      </c>
      <c r="F646" s="79">
        <f>BPU!E646</f>
        <v>0</v>
      </c>
      <c r="G646" s="95">
        <f t="shared" si="15"/>
        <v>0</v>
      </c>
    </row>
    <row r="647" spans="1:7" ht="18.600000000000001" customHeight="1" x14ac:dyDescent="0.3">
      <c r="A647" s="150" t="s">
        <v>996</v>
      </c>
      <c r="B647" s="50" t="s">
        <v>245</v>
      </c>
      <c r="C647" s="51" t="s">
        <v>181</v>
      </c>
      <c r="D647" s="87" t="s">
        <v>292</v>
      </c>
      <c r="E647" s="126">
        <v>0</v>
      </c>
      <c r="F647" s="79">
        <f>BPU!E647</f>
        <v>0</v>
      </c>
      <c r="G647" s="95">
        <f t="shared" si="15"/>
        <v>0</v>
      </c>
    </row>
    <row r="648" spans="1:7" ht="18.600000000000001" customHeight="1" x14ac:dyDescent="0.3">
      <c r="A648" s="150" t="s">
        <v>997</v>
      </c>
      <c r="B648" s="50" t="s">
        <v>246</v>
      </c>
      <c r="C648" s="51" t="s">
        <v>181</v>
      </c>
      <c r="D648" s="87" t="s">
        <v>292</v>
      </c>
      <c r="E648" s="126">
        <v>0</v>
      </c>
      <c r="F648" s="79">
        <f>BPU!E648</f>
        <v>0</v>
      </c>
      <c r="G648" s="95">
        <f t="shared" si="15"/>
        <v>0</v>
      </c>
    </row>
    <row r="649" spans="1:7" ht="18.600000000000001" customHeight="1" x14ac:dyDescent="0.3">
      <c r="A649" s="150" t="s">
        <v>998</v>
      </c>
      <c r="B649" s="50" t="s">
        <v>194</v>
      </c>
      <c r="C649" s="51" t="s">
        <v>181</v>
      </c>
      <c r="D649" s="87" t="s">
        <v>292</v>
      </c>
      <c r="E649" s="126">
        <v>0</v>
      </c>
      <c r="F649" s="79">
        <f>BPU!E649</f>
        <v>0</v>
      </c>
      <c r="G649" s="95">
        <f t="shared" si="15"/>
        <v>0</v>
      </c>
    </row>
    <row r="650" spans="1:7" ht="18.600000000000001" customHeight="1" x14ac:dyDescent="0.3">
      <c r="A650" s="52" t="s">
        <v>999</v>
      </c>
      <c r="B650" s="46" t="s">
        <v>175</v>
      </c>
      <c r="C650" s="52"/>
      <c r="D650" s="87"/>
      <c r="E650" s="126"/>
      <c r="F650" s="79">
        <f>BPU!E650</f>
        <v>0</v>
      </c>
      <c r="G650" s="95">
        <f t="shared" si="15"/>
        <v>0</v>
      </c>
    </row>
    <row r="651" spans="1:7" ht="18.600000000000001" customHeight="1" x14ac:dyDescent="0.3">
      <c r="A651" s="150" t="s">
        <v>1000</v>
      </c>
      <c r="B651" s="50" t="s">
        <v>180</v>
      </c>
      <c r="C651" s="51" t="s">
        <v>181</v>
      </c>
      <c r="D651" s="87" t="s">
        <v>292</v>
      </c>
      <c r="E651" s="126">
        <v>0</v>
      </c>
      <c r="F651" s="79">
        <f>BPU!E651</f>
        <v>0</v>
      </c>
      <c r="G651" s="95">
        <f t="shared" si="15"/>
        <v>0</v>
      </c>
    </row>
    <row r="652" spans="1:7" ht="18.600000000000001" customHeight="1" x14ac:dyDescent="0.3">
      <c r="A652" s="52" t="s">
        <v>1001</v>
      </c>
      <c r="B652" s="46" t="s">
        <v>176</v>
      </c>
      <c r="C652" s="52"/>
      <c r="D652" s="87"/>
      <c r="E652" s="126"/>
      <c r="F652" s="79">
        <f>BPU!E652</f>
        <v>0</v>
      </c>
      <c r="G652" s="95">
        <f t="shared" si="15"/>
        <v>0</v>
      </c>
    </row>
    <row r="653" spans="1:7" ht="18.600000000000001" customHeight="1" x14ac:dyDescent="0.3">
      <c r="A653" s="150" t="s">
        <v>1002</v>
      </c>
      <c r="B653" s="50" t="s">
        <v>257</v>
      </c>
      <c r="C653" s="51" t="s">
        <v>181</v>
      </c>
      <c r="D653" s="87" t="s">
        <v>292</v>
      </c>
      <c r="E653" s="126">
        <v>0</v>
      </c>
      <c r="F653" s="79">
        <f>BPU!E653</f>
        <v>0</v>
      </c>
      <c r="G653" s="95">
        <f t="shared" si="15"/>
        <v>0</v>
      </c>
    </row>
    <row r="654" spans="1:7" ht="18.600000000000001" customHeight="1" x14ac:dyDescent="0.3">
      <c r="A654" s="150" t="s">
        <v>1003</v>
      </c>
      <c r="B654" s="50" t="s">
        <v>253</v>
      </c>
      <c r="C654" s="51" t="s">
        <v>17</v>
      </c>
      <c r="D654" s="87" t="s">
        <v>292</v>
      </c>
      <c r="E654" s="126">
        <v>0</v>
      </c>
      <c r="F654" s="79">
        <f>BPU!E654</f>
        <v>0</v>
      </c>
      <c r="G654" s="95">
        <f t="shared" si="15"/>
        <v>0</v>
      </c>
    </row>
    <row r="655" spans="1:7" ht="18.600000000000001" customHeight="1" x14ac:dyDescent="0.3">
      <c r="A655" s="150" t="s">
        <v>1004</v>
      </c>
      <c r="B655" s="50" t="s">
        <v>252</v>
      </c>
      <c r="C655" s="51" t="s">
        <v>17</v>
      </c>
      <c r="D655" s="87" t="s">
        <v>292</v>
      </c>
      <c r="E655" s="126">
        <v>0</v>
      </c>
      <c r="F655" s="79">
        <f>BPU!E655</f>
        <v>0</v>
      </c>
      <c r="G655" s="95">
        <f t="shared" si="15"/>
        <v>0</v>
      </c>
    </row>
    <row r="656" spans="1:7" ht="18.600000000000001" customHeight="1" x14ac:dyDescent="0.3">
      <c r="A656" s="150" t="s">
        <v>1005</v>
      </c>
      <c r="B656" s="50" t="s">
        <v>254</v>
      </c>
      <c r="C656" s="51" t="s">
        <v>17</v>
      </c>
      <c r="D656" s="87" t="s">
        <v>292</v>
      </c>
      <c r="E656" s="126">
        <v>0</v>
      </c>
      <c r="F656" s="79">
        <f>BPU!E656</f>
        <v>0</v>
      </c>
      <c r="G656" s="95">
        <f t="shared" si="15"/>
        <v>0</v>
      </c>
    </row>
    <row r="657" spans="1:8" ht="18.600000000000001" customHeight="1" x14ac:dyDescent="0.3">
      <c r="A657" s="150" t="s">
        <v>1006</v>
      </c>
      <c r="B657" s="50" t="s">
        <v>255</v>
      </c>
      <c r="C657" s="51" t="s">
        <v>17</v>
      </c>
      <c r="D657" s="87" t="s">
        <v>292</v>
      </c>
      <c r="E657" s="126">
        <v>0</v>
      </c>
      <c r="F657" s="79">
        <f>BPU!E657</f>
        <v>0</v>
      </c>
      <c r="G657" s="95">
        <f t="shared" si="15"/>
        <v>0</v>
      </c>
    </row>
    <row r="658" spans="1:8" ht="28.8" customHeight="1" x14ac:dyDescent="0.3">
      <c r="A658" s="150" t="s">
        <v>1007</v>
      </c>
      <c r="B658" s="50" t="s">
        <v>251</v>
      </c>
      <c r="C658" s="51" t="s">
        <v>17</v>
      </c>
      <c r="D658" s="87" t="s">
        <v>292</v>
      </c>
      <c r="E658" s="126">
        <v>0</v>
      </c>
      <c r="F658" s="79">
        <f>BPU!E658</f>
        <v>0</v>
      </c>
      <c r="G658" s="95">
        <f t="shared" si="15"/>
        <v>0</v>
      </c>
    </row>
    <row r="659" spans="1:8" x14ac:dyDescent="0.3">
      <c r="A659" s="150" t="s">
        <v>1008</v>
      </c>
      <c r="B659" s="50" t="s">
        <v>256</v>
      </c>
      <c r="C659" s="51" t="s">
        <v>181</v>
      </c>
      <c r="D659" s="87" t="s">
        <v>292</v>
      </c>
      <c r="E659" s="126">
        <v>0</v>
      </c>
      <c r="F659" s="79">
        <f>BPU!E659</f>
        <v>0</v>
      </c>
      <c r="G659" s="95">
        <f t="shared" si="15"/>
        <v>0</v>
      </c>
    </row>
    <row r="660" spans="1:8" x14ac:dyDescent="0.3">
      <c r="A660" s="150" t="s">
        <v>1009</v>
      </c>
      <c r="B660" s="50" t="s">
        <v>258</v>
      </c>
      <c r="C660" s="51" t="s">
        <v>17</v>
      </c>
      <c r="D660" s="87" t="s">
        <v>292</v>
      </c>
      <c r="E660" s="126">
        <v>0</v>
      </c>
      <c r="F660" s="79">
        <f>BPU!E660</f>
        <v>0</v>
      </c>
      <c r="G660" s="95">
        <f t="shared" si="15"/>
        <v>0</v>
      </c>
    </row>
    <row r="661" spans="1:8" ht="18.600000000000001" customHeight="1" x14ac:dyDescent="0.3">
      <c r="A661" s="150" t="s">
        <v>1010</v>
      </c>
      <c r="B661" s="50" t="s">
        <v>193</v>
      </c>
      <c r="C661" s="51" t="s">
        <v>181</v>
      </c>
      <c r="D661" s="87" t="s">
        <v>292</v>
      </c>
      <c r="E661" s="126">
        <v>0</v>
      </c>
      <c r="F661" s="79">
        <f>BPU!E661</f>
        <v>0</v>
      </c>
      <c r="G661" s="95">
        <f t="shared" si="15"/>
        <v>0</v>
      </c>
    </row>
    <row r="662" spans="1:8" x14ac:dyDescent="0.3">
      <c r="A662" s="150" t="s">
        <v>1011</v>
      </c>
      <c r="B662" s="50" t="s">
        <v>192</v>
      </c>
      <c r="C662" s="51" t="s">
        <v>181</v>
      </c>
      <c r="D662" s="87" t="s">
        <v>292</v>
      </c>
      <c r="E662" s="126">
        <v>0</v>
      </c>
      <c r="F662" s="79">
        <f>BPU!E662</f>
        <v>0</v>
      </c>
      <c r="G662" s="95">
        <f t="shared" si="15"/>
        <v>0</v>
      </c>
    </row>
    <row r="663" spans="1:8" ht="28.8" x14ac:dyDescent="0.3">
      <c r="A663" s="150" t="s">
        <v>1012</v>
      </c>
      <c r="B663" s="50" t="s">
        <v>260</v>
      </c>
      <c r="C663" s="51" t="s">
        <v>181</v>
      </c>
      <c r="D663" s="87" t="s">
        <v>292</v>
      </c>
      <c r="E663" s="126">
        <v>0</v>
      </c>
      <c r="F663" s="79">
        <f>BPU!E663</f>
        <v>0</v>
      </c>
      <c r="G663" s="95">
        <f t="shared" si="15"/>
        <v>0</v>
      </c>
    </row>
    <row r="664" spans="1:8" ht="18.600000000000001" customHeight="1" x14ac:dyDescent="0.3">
      <c r="A664" s="52" t="s">
        <v>1013</v>
      </c>
      <c r="B664" s="46" t="s">
        <v>177</v>
      </c>
      <c r="C664" s="52"/>
      <c r="D664" s="87"/>
      <c r="E664" s="126"/>
      <c r="F664" s="79">
        <f>BPU!E664</f>
        <v>0</v>
      </c>
      <c r="G664" s="95">
        <f t="shared" si="15"/>
        <v>0</v>
      </c>
    </row>
    <row r="665" spans="1:8" ht="18.600000000000001" customHeight="1" x14ac:dyDescent="0.3">
      <c r="A665" s="150" t="s">
        <v>1014</v>
      </c>
      <c r="B665" s="50" t="s">
        <v>182</v>
      </c>
      <c r="C665" s="51" t="s">
        <v>181</v>
      </c>
      <c r="D665" s="87" t="s">
        <v>292</v>
      </c>
      <c r="E665" s="126">
        <v>0</v>
      </c>
      <c r="F665" s="79">
        <f>BPU!E665</f>
        <v>0</v>
      </c>
      <c r="G665" s="95">
        <f t="shared" si="15"/>
        <v>0</v>
      </c>
    </row>
    <row r="666" spans="1:8" ht="28.8" x14ac:dyDescent="0.3">
      <c r="A666" s="150" t="s">
        <v>1015</v>
      </c>
      <c r="B666" s="50" t="s">
        <v>1273</v>
      </c>
      <c r="C666" s="51" t="s">
        <v>181</v>
      </c>
      <c r="D666" s="87" t="s">
        <v>292</v>
      </c>
      <c r="E666" s="126">
        <v>0</v>
      </c>
      <c r="F666" s="79">
        <f>BPU!E666</f>
        <v>0</v>
      </c>
      <c r="G666" s="95">
        <f t="shared" si="15"/>
        <v>0</v>
      </c>
    </row>
    <row r="667" spans="1:8" x14ac:dyDescent="0.3">
      <c r="A667" s="150" t="s">
        <v>1016</v>
      </c>
      <c r="B667" s="50" t="s">
        <v>183</v>
      </c>
      <c r="C667" s="51" t="s">
        <v>181</v>
      </c>
      <c r="D667" s="87" t="s">
        <v>292</v>
      </c>
      <c r="E667" s="126">
        <v>0</v>
      </c>
      <c r="F667" s="79">
        <f>BPU!E667</f>
        <v>0</v>
      </c>
      <c r="G667" s="95">
        <f t="shared" si="15"/>
        <v>0</v>
      </c>
    </row>
    <row r="668" spans="1:8" x14ac:dyDescent="0.3">
      <c r="A668" s="150" t="s">
        <v>1017</v>
      </c>
      <c r="B668" s="50" t="s">
        <v>184</v>
      </c>
      <c r="C668" s="51" t="s">
        <v>181</v>
      </c>
      <c r="D668" s="87" t="s">
        <v>292</v>
      </c>
      <c r="E668" s="126">
        <v>0</v>
      </c>
      <c r="F668" s="79">
        <f>BPU!E668</f>
        <v>0</v>
      </c>
      <c r="G668" s="95">
        <f t="shared" si="15"/>
        <v>0</v>
      </c>
    </row>
    <row r="669" spans="1:8" x14ac:dyDescent="0.3">
      <c r="A669" s="150" t="s">
        <v>1018</v>
      </c>
      <c r="B669" s="50" t="s">
        <v>185</v>
      </c>
      <c r="C669" s="51" t="s">
        <v>181</v>
      </c>
      <c r="D669" s="87" t="s">
        <v>292</v>
      </c>
      <c r="E669" s="126">
        <v>0</v>
      </c>
      <c r="F669" s="79">
        <f>BPU!E669</f>
        <v>0</v>
      </c>
      <c r="G669" s="95">
        <f t="shared" si="15"/>
        <v>0</v>
      </c>
    </row>
    <row r="670" spans="1:8" ht="19.2" customHeight="1" x14ac:dyDescent="0.3">
      <c r="A670" s="52"/>
      <c r="B670" s="50" t="s">
        <v>394</v>
      </c>
      <c r="C670" s="51"/>
      <c r="D670" s="87"/>
      <c r="E670" s="126"/>
      <c r="F670" s="79">
        <f>BPU!E670</f>
        <v>0</v>
      </c>
      <c r="G670" s="143">
        <f>SUM(G594:G669)</f>
        <v>0</v>
      </c>
    </row>
    <row r="671" spans="1:8" s="58" customFormat="1" ht="16.8" customHeight="1" x14ac:dyDescent="0.3">
      <c r="A671" s="70" t="s">
        <v>384</v>
      </c>
      <c r="B671" s="70" t="s">
        <v>150</v>
      </c>
      <c r="C671" s="64"/>
      <c r="D671" s="88"/>
      <c r="E671" s="130"/>
      <c r="F671" s="79">
        <f>BPU!E671</f>
        <v>0</v>
      </c>
      <c r="G671" s="95">
        <f t="shared" si="15"/>
        <v>0</v>
      </c>
      <c r="H671" s="136"/>
    </row>
    <row r="672" spans="1:8" s="65" customFormat="1" ht="24" customHeight="1" x14ac:dyDescent="0.3">
      <c r="A672" s="64" t="s">
        <v>1019</v>
      </c>
      <c r="B672" s="53" t="s">
        <v>1318</v>
      </c>
      <c r="C672" s="64" t="s">
        <v>79</v>
      </c>
      <c r="D672" s="88" t="s">
        <v>292</v>
      </c>
      <c r="E672" s="130">
        <v>1</v>
      </c>
      <c r="F672" s="79">
        <f>BPU!E672</f>
        <v>0</v>
      </c>
      <c r="G672" s="95">
        <f t="shared" si="15"/>
        <v>0</v>
      </c>
      <c r="H672" s="66"/>
    </row>
    <row r="673" spans="1:23" s="65" customFormat="1" ht="16.2" x14ac:dyDescent="0.3">
      <c r="A673" s="64" t="s">
        <v>1020</v>
      </c>
      <c r="B673" s="53" t="s">
        <v>261</v>
      </c>
      <c r="C673" s="64" t="s">
        <v>334</v>
      </c>
      <c r="D673" s="88" t="s">
        <v>292</v>
      </c>
      <c r="E673" s="130">
        <f>+(31.9*33.44)*0.3</f>
        <v>320.02079999999995</v>
      </c>
      <c r="F673" s="79">
        <f>BPU!E673</f>
        <v>0</v>
      </c>
      <c r="G673" s="95">
        <f t="shared" si="15"/>
        <v>0</v>
      </c>
      <c r="H673" s="66"/>
    </row>
    <row r="674" spans="1:23" s="65" customFormat="1" ht="16.2" x14ac:dyDescent="0.3">
      <c r="A674" s="64" t="s">
        <v>1021</v>
      </c>
      <c r="B674" s="53" t="s">
        <v>1319</v>
      </c>
      <c r="C674" s="64" t="s">
        <v>334</v>
      </c>
      <c r="D674" s="88" t="s">
        <v>292</v>
      </c>
      <c r="E674" s="130">
        <v>0</v>
      </c>
      <c r="F674" s="79">
        <f>BPU!E674</f>
        <v>0</v>
      </c>
      <c r="G674" s="95">
        <f t="shared" si="15"/>
        <v>0</v>
      </c>
      <c r="H674" s="66"/>
    </row>
    <row r="675" spans="1:23" s="65" customFormat="1" ht="16.2" x14ac:dyDescent="0.3">
      <c r="A675" s="64" t="s">
        <v>1022</v>
      </c>
      <c r="B675" s="53" t="s">
        <v>262</v>
      </c>
      <c r="C675" s="64" t="s">
        <v>334</v>
      </c>
      <c r="D675" s="88" t="s">
        <v>292</v>
      </c>
      <c r="E675" s="130">
        <f>31.9+33.44*0.15</f>
        <v>36.915999999999997</v>
      </c>
      <c r="F675" s="79">
        <f>BPU!E675</f>
        <v>0</v>
      </c>
      <c r="G675" s="95">
        <f t="shared" si="15"/>
        <v>0</v>
      </c>
      <c r="H675" s="66"/>
    </row>
    <row r="676" spans="1:23" s="65" customFormat="1" ht="18.600000000000001" customHeight="1" x14ac:dyDescent="0.3">
      <c r="A676" s="64" t="s">
        <v>1023</v>
      </c>
      <c r="B676" s="53" t="s">
        <v>263</v>
      </c>
      <c r="C676" s="64" t="s">
        <v>333</v>
      </c>
      <c r="D676" s="88" t="s">
        <v>292</v>
      </c>
      <c r="E676" s="130">
        <v>0</v>
      </c>
      <c r="F676" s="79">
        <f>BPU!E676</f>
        <v>0</v>
      </c>
      <c r="G676" s="95">
        <f t="shared" si="15"/>
        <v>0</v>
      </c>
      <c r="H676" s="66"/>
    </row>
    <row r="677" spans="1:23" s="65" customFormat="1" ht="25.8" customHeight="1" x14ac:dyDescent="0.3">
      <c r="A677" s="64" t="s">
        <v>1024</v>
      </c>
      <c r="B677" s="53" t="s">
        <v>383</v>
      </c>
      <c r="C677" s="64" t="s">
        <v>17</v>
      </c>
      <c r="D677" s="88" t="s">
        <v>292</v>
      </c>
      <c r="E677" s="130">
        <v>118.63</v>
      </c>
      <c r="F677" s="79">
        <f>BPU!E677</f>
        <v>0</v>
      </c>
      <c r="G677" s="95">
        <f t="shared" si="15"/>
        <v>0</v>
      </c>
      <c r="H677" s="66"/>
    </row>
    <row r="678" spans="1:23" s="65" customFormat="1" ht="18.600000000000001" customHeight="1" x14ac:dyDescent="0.3">
      <c r="A678" s="64" t="s">
        <v>1025</v>
      </c>
      <c r="B678" s="53" t="s">
        <v>264</v>
      </c>
      <c r="C678" s="64" t="s">
        <v>333</v>
      </c>
      <c r="D678" s="88" t="s">
        <v>292</v>
      </c>
      <c r="E678" s="130">
        <f>2*4</f>
        <v>8</v>
      </c>
      <c r="F678" s="79">
        <f>BPU!E678</f>
        <v>0</v>
      </c>
      <c r="G678" s="95">
        <f t="shared" si="15"/>
        <v>0</v>
      </c>
      <c r="H678" s="66"/>
    </row>
    <row r="679" spans="1:23" s="65" customFormat="1" ht="29.4" customHeight="1" thickBot="1" x14ac:dyDescent="0.35">
      <c r="A679" s="64" t="s">
        <v>1026</v>
      </c>
      <c r="B679" s="53" t="s">
        <v>265</v>
      </c>
      <c r="C679" s="64" t="s">
        <v>197</v>
      </c>
      <c r="D679" s="88" t="s">
        <v>292</v>
      </c>
      <c r="E679" s="130">
        <v>3</v>
      </c>
      <c r="F679" s="79">
        <f>BPU!E679</f>
        <v>0</v>
      </c>
      <c r="G679" s="95">
        <f t="shared" si="15"/>
        <v>0</v>
      </c>
      <c r="H679" s="66"/>
    </row>
    <row r="680" spans="1:23" s="98" customFormat="1" ht="15" thickBot="1" x14ac:dyDescent="0.35">
      <c r="A680" s="65"/>
      <c r="B680" s="96" t="s">
        <v>395</v>
      </c>
      <c r="C680" s="97"/>
      <c r="D680" s="97"/>
      <c r="E680" s="128"/>
      <c r="F680" s="145">
        <f>BPU!E680</f>
        <v>0</v>
      </c>
      <c r="G680" s="146">
        <f>SUM(G672:G679)</f>
        <v>0</v>
      </c>
      <c r="H680" s="138"/>
      <c r="J680" s="99"/>
      <c r="K680" s="75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100"/>
      <c r="W680" s="100"/>
    </row>
    <row r="681" spans="1:23" s="58" customFormat="1" ht="18" customHeight="1" thickBot="1" x14ac:dyDescent="0.35">
      <c r="A681" s="47"/>
      <c r="B681" s="103" t="s">
        <v>358</v>
      </c>
      <c r="C681" s="72"/>
      <c r="D681" s="91"/>
      <c r="E681" s="131"/>
      <c r="F681" s="79">
        <f>BPU!E681</f>
        <v>0</v>
      </c>
      <c r="G681" s="105">
        <f>G680+G670+G591+G513+G413+G324</f>
        <v>0</v>
      </c>
      <c r="H681" s="136"/>
    </row>
    <row r="682" spans="1:23" s="58" customFormat="1" ht="18" customHeight="1" x14ac:dyDescent="0.3">
      <c r="A682" s="47"/>
      <c r="B682" s="114"/>
      <c r="D682" s="115"/>
      <c r="E682" s="132"/>
      <c r="F682" s="79">
        <f>BPU!E682</f>
        <v>0</v>
      </c>
      <c r="G682" s="136"/>
      <c r="H682" s="136"/>
    </row>
    <row r="683" spans="1:23" s="58" customFormat="1" ht="16.8" customHeight="1" x14ac:dyDescent="0.3">
      <c r="A683" s="59" t="s">
        <v>69</v>
      </c>
      <c r="B683" s="59" t="s">
        <v>70</v>
      </c>
      <c r="C683" s="59"/>
      <c r="D683" s="86"/>
      <c r="E683" s="124"/>
      <c r="F683" s="124"/>
      <c r="G683" s="59"/>
      <c r="H683" s="136"/>
    </row>
    <row r="684" spans="1:23" ht="43.2" x14ac:dyDescent="0.3">
      <c r="A684" s="60" t="s">
        <v>2</v>
      </c>
      <c r="B684" s="60" t="s">
        <v>3</v>
      </c>
      <c r="C684" s="60" t="s">
        <v>4</v>
      </c>
      <c r="D684" s="41" t="s">
        <v>152</v>
      </c>
      <c r="E684" s="125" t="s">
        <v>5</v>
      </c>
      <c r="F684" s="125" t="s">
        <v>382</v>
      </c>
      <c r="G684" s="42" t="s">
        <v>350</v>
      </c>
    </row>
    <row r="685" spans="1:23" s="58" customFormat="1" ht="16.8" customHeight="1" x14ac:dyDescent="0.3">
      <c r="A685" s="70" t="s">
        <v>72</v>
      </c>
      <c r="B685" s="70" t="s">
        <v>73</v>
      </c>
      <c r="C685" s="52"/>
      <c r="D685" s="87"/>
      <c r="E685" s="126"/>
      <c r="F685" s="79">
        <f>BPU!E685</f>
        <v>0</v>
      </c>
      <c r="G685" s="52"/>
      <c r="H685" s="136"/>
    </row>
    <row r="686" spans="1:23" ht="18.600000000000001" customHeight="1" x14ac:dyDescent="0.3">
      <c r="A686" s="52" t="s">
        <v>74</v>
      </c>
      <c r="B686" s="54" t="s">
        <v>266</v>
      </c>
      <c r="C686" s="52"/>
      <c r="D686" s="87"/>
      <c r="E686" s="126"/>
      <c r="F686" s="79">
        <f>BPU!E686</f>
        <v>0</v>
      </c>
      <c r="G686" s="52"/>
    </row>
    <row r="687" spans="1:23" ht="27" customHeight="1" x14ac:dyDescent="0.3">
      <c r="A687" s="150" t="s">
        <v>1027</v>
      </c>
      <c r="B687" s="152" t="s">
        <v>1315</v>
      </c>
      <c r="C687" s="51" t="s">
        <v>76</v>
      </c>
      <c r="D687" s="87" t="s">
        <v>292</v>
      </c>
      <c r="E687" s="130">
        <f>2*0</f>
        <v>0</v>
      </c>
      <c r="F687" s="79">
        <f>BPU!E687</f>
        <v>0</v>
      </c>
      <c r="G687" s="95">
        <f>E687*F687</f>
        <v>0</v>
      </c>
    </row>
    <row r="688" spans="1:23" ht="18.600000000000001" customHeight="1" x14ac:dyDescent="0.3">
      <c r="A688" s="52" t="s">
        <v>84</v>
      </c>
      <c r="B688" s="43" t="s">
        <v>268</v>
      </c>
      <c r="C688" s="52"/>
      <c r="D688" s="87"/>
      <c r="E688" s="126"/>
      <c r="F688" s="79">
        <f>BPU!E688</f>
        <v>0</v>
      </c>
      <c r="G688" s="95">
        <f t="shared" ref="G688:G748" si="16">E688*F688</f>
        <v>0</v>
      </c>
    </row>
    <row r="689" spans="1:9" ht="18.600000000000001" customHeight="1" x14ac:dyDescent="0.3">
      <c r="A689" s="150" t="s">
        <v>1028</v>
      </c>
      <c r="B689" s="50" t="s">
        <v>186</v>
      </c>
      <c r="C689" s="51" t="s">
        <v>230</v>
      </c>
      <c r="D689" s="87" t="s">
        <v>292</v>
      </c>
      <c r="E689" s="126">
        <f>162.3*0.4*1.2</f>
        <v>77.903999999999996</v>
      </c>
      <c r="F689" s="79">
        <f>BPU!E689</f>
        <v>0</v>
      </c>
      <c r="G689" s="95">
        <f t="shared" si="16"/>
        <v>0</v>
      </c>
    </row>
    <row r="690" spans="1:9" ht="18.600000000000001" customHeight="1" x14ac:dyDescent="0.3">
      <c r="A690" s="150" t="s">
        <v>1029</v>
      </c>
      <c r="B690" s="50" t="s">
        <v>188</v>
      </c>
      <c r="C690" s="51" t="s">
        <v>230</v>
      </c>
      <c r="D690" s="87" t="s">
        <v>292</v>
      </c>
      <c r="E690" s="126">
        <f>162.3*0.6*0.8</f>
        <v>77.904000000000011</v>
      </c>
      <c r="F690" s="79">
        <f>BPU!E690</f>
        <v>0</v>
      </c>
      <c r="G690" s="95">
        <f t="shared" si="16"/>
        <v>0</v>
      </c>
    </row>
    <row r="691" spans="1:9" ht="18.600000000000001" customHeight="1" x14ac:dyDescent="0.3">
      <c r="A691" s="150" t="s">
        <v>1030</v>
      </c>
      <c r="B691" s="50" t="s">
        <v>189</v>
      </c>
      <c r="C691" s="51" t="s">
        <v>230</v>
      </c>
      <c r="D691" s="87" t="s">
        <v>292</v>
      </c>
      <c r="E691" s="126">
        <f>162.3*0.6*0.4</f>
        <v>38.952000000000005</v>
      </c>
      <c r="F691" s="79">
        <f>BPU!E691</f>
        <v>0</v>
      </c>
      <c r="G691" s="95">
        <f t="shared" si="16"/>
        <v>0</v>
      </c>
    </row>
    <row r="692" spans="1:9" ht="18.600000000000001" customHeight="1" x14ac:dyDescent="0.3">
      <c r="A692" s="150" t="s">
        <v>1031</v>
      </c>
      <c r="B692" s="50" t="s">
        <v>190</v>
      </c>
      <c r="C692" s="51" t="s">
        <v>230</v>
      </c>
      <c r="D692" s="87" t="s">
        <v>292</v>
      </c>
      <c r="E692" s="126">
        <f>162.3*0.4*4</f>
        <v>259.68</v>
      </c>
      <c r="F692" s="79">
        <f>BPU!E692</f>
        <v>0</v>
      </c>
      <c r="G692" s="95">
        <f t="shared" si="16"/>
        <v>0</v>
      </c>
    </row>
    <row r="693" spans="1:9" ht="19.8" customHeight="1" x14ac:dyDescent="0.3">
      <c r="A693" s="150" t="s">
        <v>1032</v>
      </c>
      <c r="B693" s="50" t="s">
        <v>191</v>
      </c>
      <c r="C693" s="51" t="s">
        <v>167</v>
      </c>
      <c r="D693" s="87" t="s">
        <v>292</v>
      </c>
      <c r="E693" s="126">
        <f>6*4</f>
        <v>24</v>
      </c>
      <c r="F693" s="79">
        <f>BPU!E693</f>
        <v>0</v>
      </c>
      <c r="G693" s="95">
        <f t="shared" si="16"/>
        <v>0</v>
      </c>
      <c r="H693" s="139"/>
      <c r="I693" s="74"/>
    </row>
    <row r="694" spans="1:9" x14ac:dyDescent="0.3">
      <c r="A694" s="52" t="s">
        <v>85</v>
      </c>
      <c r="B694" s="43" t="s">
        <v>297</v>
      </c>
      <c r="C694" s="52"/>
      <c r="D694" s="87"/>
      <c r="E694" s="126"/>
      <c r="F694" s="79">
        <f>BPU!E694</f>
        <v>0</v>
      </c>
      <c r="G694" s="95">
        <f t="shared" si="16"/>
        <v>0</v>
      </c>
    </row>
    <row r="695" spans="1:9" ht="18.600000000000001" customHeight="1" x14ac:dyDescent="0.3">
      <c r="A695" s="52" t="s">
        <v>1033</v>
      </c>
      <c r="B695" s="46" t="s">
        <v>208</v>
      </c>
      <c r="C695" s="51"/>
      <c r="D695" s="87"/>
      <c r="E695" s="126"/>
      <c r="F695" s="79">
        <f>BPU!E695</f>
        <v>0</v>
      </c>
      <c r="G695" s="95">
        <f t="shared" si="16"/>
        <v>0</v>
      </c>
    </row>
    <row r="696" spans="1:9" ht="18.600000000000001" customHeight="1" x14ac:dyDescent="0.3">
      <c r="A696" s="150" t="s">
        <v>1034</v>
      </c>
      <c r="B696" s="52" t="s">
        <v>211</v>
      </c>
      <c r="C696" s="51" t="s">
        <v>230</v>
      </c>
      <c r="D696" s="87" t="s">
        <v>292</v>
      </c>
      <c r="E696" s="130">
        <f>7.488*0</f>
        <v>0</v>
      </c>
      <c r="F696" s="79">
        <f>BPU!E696</f>
        <v>0</v>
      </c>
      <c r="G696" s="95">
        <f t="shared" si="16"/>
        <v>0</v>
      </c>
    </row>
    <row r="697" spans="1:9" ht="18.600000000000001" customHeight="1" x14ac:dyDescent="0.3">
      <c r="A697" s="150" t="s">
        <v>1035</v>
      </c>
      <c r="B697" s="52" t="s">
        <v>326</v>
      </c>
      <c r="C697" s="51" t="s">
        <v>230</v>
      </c>
      <c r="D697" s="87" t="s">
        <v>292</v>
      </c>
      <c r="E697" s="130">
        <f>7.176*0</f>
        <v>0</v>
      </c>
      <c r="F697" s="79">
        <f>BPU!E697</f>
        <v>0</v>
      </c>
      <c r="G697" s="95">
        <f t="shared" si="16"/>
        <v>0</v>
      </c>
    </row>
    <row r="698" spans="1:9" ht="18.600000000000001" customHeight="1" x14ac:dyDescent="0.3">
      <c r="A698" s="52" t="s">
        <v>1036</v>
      </c>
      <c r="B698" s="46" t="s">
        <v>168</v>
      </c>
      <c r="C698" s="52"/>
      <c r="D698" s="87"/>
      <c r="E698" s="126"/>
      <c r="F698" s="79">
        <f>BPU!E698</f>
        <v>0</v>
      </c>
      <c r="G698" s="95">
        <f t="shared" si="16"/>
        <v>0</v>
      </c>
    </row>
    <row r="699" spans="1:9" s="65" customFormat="1" ht="18.600000000000001" customHeight="1" x14ac:dyDescent="0.3">
      <c r="A699" s="150" t="s">
        <v>1037</v>
      </c>
      <c r="B699" s="50" t="s">
        <v>213</v>
      </c>
      <c r="C699" s="51" t="s">
        <v>230</v>
      </c>
      <c r="D699" s="88" t="s">
        <v>292</v>
      </c>
      <c r="E699" s="130">
        <f>0.936*0</f>
        <v>0</v>
      </c>
      <c r="F699" s="79">
        <f>BPU!E699</f>
        <v>0</v>
      </c>
      <c r="G699" s="95">
        <f t="shared" si="16"/>
        <v>0</v>
      </c>
      <c r="H699" s="66"/>
    </row>
    <row r="700" spans="1:9" s="65" customFormat="1" ht="18.600000000000001" customHeight="1" x14ac:dyDescent="0.3">
      <c r="A700" s="150" t="s">
        <v>1038</v>
      </c>
      <c r="B700" s="50" t="s">
        <v>187</v>
      </c>
      <c r="C700" s="51" t="s">
        <v>230</v>
      </c>
      <c r="D700" s="88" t="s">
        <v>292</v>
      </c>
      <c r="E700" s="130">
        <f>7.488*0</f>
        <v>0</v>
      </c>
      <c r="F700" s="79">
        <f>BPU!E700</f>
        <v>0</v>
      </c>
      <c r="G700" s="95">
        <f t="shared" si="16"/>
        <v>0</v>
      </c>
      <c r="H700" s="66"/>
    </row>
    <row r="701" spans="1:9" s="65" customFormat="1" ht="18.600000000000001" customHeight="1" x14ac:dyDescent="0.3">
      <c r="A701" s="150" t="s">
        <v>1039</v>
      </c>
      <c r="B701" s="50" t="s">
        <v>214</v>
      </c>
      <c r="C701" s="51" t="s">
        <v>230</v>
      </c>
      <c r="D701" s="88" t="s">
        <v>292</v>
      </c>
      <c r="E701" s="130">
        <f>0.072*0</f>
        <v>0</v>
      </c>
      <c r="F701" s="79">
        <f>BPU!E701</f>
        <v>0</v>
      </c>
      <c r="G701" s="95">
        <f t="shared" si="16"/>
        <v>0</v>
      </c>
      <c r="H701" s="66"/>
    </row>
    <row r="702" spans="1:9" s="65" customFormat="1" ht="33" customHeight="1" x14ac:dyDescent="0.3">
      <c r="A702" s="150" t="s">
        <v>1040</v>
      </c>
      <c r="B702" s="50" t="s">
        <v>215</v>
      </c>
      <c r="C702" s="51" t="s">
        <v>230</v>
      </c>
      <c r="D702" s="88" t="s">
        <v>292</v>
      </c>
      <c r="E702" s="130">
        <f>7.86*0</f>
        <v>0</v>
      </c>
      <c r="F702" s="79">
        <f>BPU!E702</f>
        <v>0</v>
      </c>
      <c r="G702" s="95">
        <f t="shared" si="16"/>
        <v>0</v>
      </c>
      <c r="H702" s="66"/>
    </row>
    <row r="703" spans="1:9" ht="18.600000000000001" customHeight="1" x14ac:dyDescent="0.3">
      <c r="A703" s="52" t="s">
        <v>1041</v>
      </c>
      <c r="B703" s="46" t="s">
        <v>169</v>
      </c>
      <c r="C703" s="52"/>
      <c r="D703" s="87"/>
      <c r="E703" s="126"/>
      <c r="F703" s="79">
        <f>BPU!E703</f>
        <v>0</v>
      </c>
      <c r="G703" s="95">
        <f t="shared" si="16"/>
        <v>0</v>
      </c>
    </row>
    <row r="704" spans="1:9" ht="18.600000000000001" customHeight="1" x14ac:dyDescent="0.3">
      <c r="A704" s="150" t="s">
        <v>1042</v>
      </c>
      <c r="B704" s="50" t="s">
        <v>216</v>
      </c>
      <c r="C704" s="51" t="s">
        <v>230</v>
      </c>
      <c r="D704" s="87" t="s">
        <v>292</v>
      </c>
      <c r="E704" s="130">
        <f>2.392*0</f>
        <v>0</v>
      </c>
      <c r="F704" s="79">
        <f>BPU!E704</f>
        <v>0</v>
      </c>
      <c r="G704" s="95">
        <f t="shared" si="16"/>
        <v>0</v>
      </c>
    </row>
    <row r="705" spans="1:7" ht="18.600000000000001" customHeight="1" x14ac:dyDescent="0.3">
      <c r="A705" s="150" t="s">
        <v>1043</v>
      </c>
      <c r="B705" s="50" t="s">
        <v>217</v>
      </c>
      <c r="C705" s="51" t="s">
        <v>230</v>
      </c>
      <c r="D705" s="87" t="s">
        <v>292</v>
      </c>
      <c r="E705" s="130">
        <f>0.432*0</f>
        <v>0</v>
      </c>
      <c r="F705" s="79">
        <f>BPU!E705</f>
        <v>0</v>
      </c>
      <c r="G705" s="95">
        <f t="shared" si="16"/>
        <v>0</v>
      </c>
    </row>
    <row r="706" spans="1:7" ht="18.600000000000001" customHeight="1" x14ac:dyDescent="0.3">
      <c r="A706" s="150" t="s">
        <v>1044</v>
      </c>
      <c r="B706" s="50" t="s">
        <v>218</v>
      </c>
      <c r="C706" s="51" t="s">
        <v>230</v>
      </c>
      <c r="D706" s="87" t="s">
        <v>292</v>
      </c>
      <c r="E706" s="130">
        <f>1.248*0</f>
        <v>0</v>
      </c>
      <c r="F706" s="79">
        <f>BPU!E706</f>
        <v>0</v>
      </c>
      <c r="G706" s="95">
        <f t="shared" si="16"/>
        <v>0</v>
      </c>
    </row>
    <row r="707" spans="1:7" ht="18.600000000000001" customHeight="1" x14ac:dyDescent="0.3">
      <c r="A707" s="150" t="s">
        <v>1045</v>
      </c>
      <c r="B707" s="50" t="s">
        <v>219</v>
      </c>
      <c r="C707" s="51" t="s">
        <v>230</v>
      </c>
      <c r="D707" s="87" t="s">
        <v>292</v>
      </c>
      <c r="E707" s="130">
        <f>1.248*0</f>
        <v>0</v>
      </c>
      <c r="F707" s="79">
        <f>BPU!E707</f>
        <v>0</v>
      </c>
      <c r="G707" s="95">
        <f t="shared" si="16"/>
        <v>0</v>
      </c>
    </row>
    <row r="708" spans="1:7" ht="18.600000000000001" customHeight="1" x14ac:dyDescent="0.3">
      <c r="A708" s="150" t="s">
        <v>1046</v>
      </c>
      <c r="B708" s="50" t="s">
        <v>220</v>
      </c>
      <c r="C708" s="51" t="s">
        <v>230</v>
      </c>
      <c r="D708" s="87" t="s">
        <v>292</v>
      </c>
      <c r="E708" s="130">
        <f>0.096*0</f>
        <v>0</v>
      </c>
      <c r="F708" s="79">
        <f>BPU!E708</f>
        <v>0</v>
      </c>
      <c r="G708" s="95">
        <f t="shared" si="16"/>
        <v>0</v>
      </c>
    </row>
    <row r="709" spans="1:7" ht="18.600000000000001" customHeight="1" x14ac:dyDescent="0.3">
      <c r="A709" s="150" t="s">
        <v>1047</v>
      </c>
      <c r="B709" s="50" t="s">
        <v>221</v>
      </c>
      <c r="C709" s="51" t="s">
        <v>230</v>
      </c>
      <c r="D709" s="87" t="s">
        <v>292</v>
      </c>
      <c r="E709" s="130">
        <f>1.44*0</f>
        <v>0</v>
      </c>
      <c r="F709" s="79">
        <f>BPU!E709</f>
        <v>0</v>
      </c>
      <c r="G709" s="95">
        <f t="shared" si="16"/>
        <v>0</v>
      </c>
    </row>
    <row r="710" spans="1:7" ht="18.600000000000001" customHeight="1" x14ac:dyDescent="0.3">
      <c r="A710" s="150" t="s">
        <v>1048</v>
      </c>
      <c r="B710" s="50" t="s">
        <v>222</v>
      </c>
      <c r="C710" s="51" t="s">
        <v>230</v>
      </c>
      <c r="D710" s="87" t="s">
        <v>292</v>
      </c>
      <c r="E710" s="126">
        <v>0</v>
      </c>
      <c r="F710" s="79">
        <f>BPU!E710</f>
        <v>0</v>
      </c>
      <c r="G710" s="95">
        <f t="shared" si="16"/>
        <v>0</v>
      </c>
    </row>
    <row r="711" spans="1:7" ht="18.600000000000001" customHeight="1" x14ac:dyDescent="0.3">
      <c r="A711" s="52" t="s">
        <v>1049</v>
      </c>
      <c r="B711" s="46" t="s">
        <v>170</v>
      </c>
      <c r="C711" s="52"/>
      <c r="D711" s="87"/>
      <c r="E711" s="126"/>
      <c r="F711" s="79">
        <f>BPU!E711</f>
        <v>0</v>
      </c>
      <c r="G711" s="95">
        <f t="shared" si="16"/>
        <v>0</v>
      </c>
    </row>
    <row r="712" spans="1:7" ht="18.600000000000001" customHeight="1" x14ac:dyDescent="0.3">
      <c r="A712" s="150" t="s">
        <v>1050</v>
      </c>
      <c r="B712" s="50" t="s">
        <v>223</v>
      </c>
      <c r="C712" s="51" t="s">
        <v>230</v>
      </c>
      <c r="D712" s="87" t="s">
        <v>292</v>
      </c>
      <c r="E712" s="130">
        <f>1.495*0</f>
        <v>0</v>
      </c>
      <c r="F712" s="79">
        <f>BPU!E712</f>
        <v>0</v>
      </c>
      <c r="G712" s="95">
        <f t="shared" si="16"/>
        <v>0</v>
      </c>
    </row>
    <row r="713" spans="1:7" ht="18.600000000000001" customHeight="1" x14ac:dyDescent="0.3">
      <c r="A713" s="150" t="s">
        <v>1051</v>
      </c>
      <c r="B713" s="50" t="s">
        <v>224</v>
      </c>
      <c r="C713" s="51" t="s">
        <v>230</v>
      </c>
      <c r="D713" s="87" t="s">
        <v>292</v>
      </c>
      <c r="E713" s="130">
        <f>7.475*0</f>
        <v>0</v>
      </c>
      <c r="F713" s="79">
        <f>BPU!E713</f>
        <v>0</v>
      </c>
      <c r="G713" s="95">
        <f t="shared" si="16"/>
        <v>0</v>
      </c>
    </row>
    <row r="714" spans="1:7" ht="18.600000000000001" customHeight="1" x14ac:dyDescent="0.3">
      <c r="A714" s="150" t="s">
        <v>1052</v>
      </c>
      <c r="B714" s="50" t="s">
        <v>178</v>
      </c>
      <c r="C714" s="51" t="s">
        <v>230</v>
      </c>
      <c r="D714" s="87" t="s">
        <v>292</v>
      </c>
      <c r="E714" s="126">
        <v>0</v>
      </c>
      <c r="F714" s="79">
        <f>BPU!E714</f>
        <v>0</v>
      </c>
      <c r="G714" s="95">
        <f t="shared" si="16"/>
        <v>0</v>
      </c>
    </row>
    <row r="715" spans="1:7" ht="18.600000000000001" customHeight="1" x14ac:dyDescent="0.3">
      <c r="A715" s="52" t="s">
        <v>1053</v>
      </c>
      <c r="B715" s="46" t="s">
        <v>171</v>
      </c>
      <c r="C715" s="52"/>
      <c r="D715" s="87"/>
      <c r="E715" s="126"/>
      <c r="F715" s="79">
        <f>BPU!E715</f>
        <v>0</v>
      </c>
      <c r="G715" s="95">
        <f t="shared" si="16"/>
        <v>0</v>
      </c>
    </row>
    <row r="716" spans="1:7" ht="24.6" customHeight="1" x14ac:dyDescent="0.3">
      <c r="A716" s="150" t="s">
        <v>1054</v>
      </c>
      <c r="B716" s="50" t="s">
        <v>229</v>
      </c>
      <c r="C716" s="51" t="s">
        <v>181</v>
      </c>
      <c r="D716" s="87" t="s">
        <v>292</v>
      </c>
      <c r="E716" s="130">
        <f>12.48*0</f>
        <v>0</v>
      </c>
      <c r="F716" s="79">
        <f>BPU!E716</f>
        <v>0</v>
      </c>
      <c r="G716" s="95">
        <f t="shared" si="16"/>
        <v>0</v>
      </c>
    </row>
    <row r="717" spans="1:7" ht="18.600000000000001" customHeight="1" x14ac:dyDescent="0.3">
      <c r="A717" s="150" t="s">
        <v>1055</v>
      </c>
      <c r="B717" s="50" t="s">
        <v>225</v>
      </c>
      <c r="C717" s="51" t="s">
        <v>181</v>
      </c>
      <c r="D717" s="87" t="s">
        <v>292</v>
      </c>
      <c r="E717" s="130">
        <f>140.4*0</f>
        <v>0</v>
      </c>
      <c r="F717" s="79">
        <f>BPU!E717</f>
        <v>0</v>
      </c>
      <c r="G717" s="95">
        <f t="shared" si="16"/>
        <v>0</v>
      </c>
    </row>
    <row r="718" spans="1:7" ht="18.600000000000001" customHeight="1" x14ac:dyDescent="0.3">
      <c r="A718" s="150" t="s">
        <v>1056</v>
      </c>
      <c r="B718" s="50" t="s">
        <v>226</v>
      </c>
      <c r="C718" s="51" t="s">
        <v>181</v>
      </c>
      <c r="D718" s="87" t="s">
        <v>292</v>
      </c>
      <c r="E718" s="130">
        <f>12*0</f>
        <v>0</v>
      </c>
      <c r="F718" s="79">
        <f>BPU!E718</f>
        <v>0</v>
      </c>
      <c r="G718" s="95">
        <f t="shared" si="16"/>
        <v>0</v>
      </c>
    </row>
    <row r="719" spans="1:7" ht="18.600000000000001" customHeight="1" x14ac:dyDescent="0.3">
      <c r="A719" s="150" t="s">
        <v>1057</v>
      </c>
      <c r="B719" s="50" t="s">
        <v>227</v>
      </c>
      <c r="C719" s="51" t="s">
        <v>181</v>
      </c>
      <c r="D719" s="87" t="s">
        <v>292</v>
      </c>
      <c r="E719" s="130">
        <f>1.44*0</f>
        <v>0</v>
      </c>
      <c r="F719" s="79">
        <f>BPU!E719</f>
        <v>0</v>
      </c>
      <c r="G719" s="95">
        <f t="shared" si="16"/>
        <v>0</v>
      </c>
    </row>
    <row r="720" spans="1:7" ht="18.600000000000001" customHeight="1" x14ac:dyDescent="0.3">
      <c r="A720" s="150" t="s">
        <v>1058</v>
      </c>
      <c r="B720" s="50" t="s">
        <v>228</v>
      </c>
      <c r="C720" s="51" t="s">
        <v>181</v>
      </c>
      <c r="D720" s="87" t="s">
        <v>292</v>
      </c>
      <c r="E720" s="126">
        <v>0</v>
      </c>
      <c r="F720" s="79">
        <f>BPU!E720</f>
        <v>0</v>
      </c>
      <c r="G720" s="95">
        <f t="shared" si="16"/>
        <v>0</v>
      </c>
    </row>
    <row r="721" spans="1:7" ht="18.600000000000001" customHeight="1" x14ac:dyDescent="0.3">
      <c r="A721" s="52" t="s">
        <v>1059</v>
      </c>
      <c r="B721" s="46" t="s">
        <v>172</v>
      </c>
      <c r="C721" s="52"/>
      <c r="D721" s="87"/>
      <c r="E721" s="126"/>
      <c r="F721" s="79">
        <f>BPU!E721</f>
        <v>0</v>
      </c>
      <c r="G721" s="95">
        <f t="shared" si="16"/>
        <v>0</v>
      </c>
    </row>
    <row r="722" spans="1:7" ht="18.600000000000001" customHeight="1" x14ac:dyDescent="0.3">
      <c r="A722" s="150" t="s">
        <v>1060</v>
      </c>
      <c r="B722" s="50" t="s">
        <v>231</v>
      </c>
      <c r="C722" s="51" t="s">
        <v>181</v>
      </c>
      <c r="D722" s="87" t="s">
        <v>292</v>
      </c>
      <c r="E722" s="126">
        <v>0</v>
      </c>
      <c r="F722" s="79">
        <f>BPU!E722</f>
        <v>0</v>
      </c>
      <c r="G722" s="95">
        <f t="shared" si="16"/>
        <v>0</v>
      </c>
    </row>
    <row r="723" spans="1:7" ht="18.600000000000001" customHeight="1" x14ac:dyDescent="0.3">
      <c r="A723" s="150" t="s">
        <v>1061</v>
      </c>
      <c r="B723" s="50" t="s">
        <v>232</v>
      </c>
      <c r="C723" s="51" t="s">
        <v>181</v>
      </c>
      <c r="D723" s="87" t="s">
        <v>292</v>
      </c>
      <c r="E723" s="130">
        <f>23.92*0</f>
        <v>0</v>
      </c>
      <c r="F723" s="79">
        <f>BPU!E723</f>
        <v>0</v>
      </c>
      <c r="G723" s="95">
        <f t="shared" si="16"/>
        <v>0</v>
      </c>
    </row>
    <row r="724" spans="1:7" ht="28.2" customHeight="1" x14ac:dyDescent="0.3">
      <c r="A724" s="150" t="s">
        <v>1062</v>
      </c>
      <c r="B724" s="50" t="s">
        <v>233</v>
      </c>
      <c r="C724" s="51" t="s">
        <v>181</v>
      </c>
      <c r="D724" s="87" t="s">
        <v>292</v>
      </c>
      <c r="E724" s="130">
        <f>78.6*0</f>
        <v>0</v>
      </c>
      <c r="F724" s="79">
        <f>BPU!E724</f>
        <v>0</v>
      </c>
      <c r="G724" s="95">
        <f t="shared" si="16"/>
        <v>0</v>
      </c>
    </row>
    <row r="725" spans="1:7" ht="18.600000000000001" customHeight="1" x14ac:dyDescent="0.3">
      <c r="A725" s="150" t="s">
        <v>1063</v>
      </c>
      <c r="B725" s="50" t="s">
        <v>234</v>
      </c>
      <c r="C725" s="51" t="s">
        <v>181</v>
      </c>
      <c r="D725" s="87" t="s">
        <v>292</v>
      </c>
      <c r="E725" s="130">
        <f>3.24*0</f>
        <v>0</v>
      </c>
      <c r="F725" s="79">
        <f>BPU!E725</f>
        <v>0</v>
      </c>
      <c r="G725" s="95">
        <f t="shared" si="16"/>
        <v>0</v>
      </c>
    </row>
    <row r="726" spans="1:7" ht="18.600000000000001" customHeight="1" x14ac:dyDescent="0.3">
      <c r="A726" s="52" t="s">
        <v>1064</v>
      </c>
      <c r="B726" s="46" t="s">
        <v>173</v>
      </c>
      <c r="C726" s="52"/>
      <c r="D726" s="87"/>
      <c r="E726" s="126"/>
      <c r="F726" s="79">
        <f>BPU!E726</f>
        <v>0</v>
      </c>
      <c r="G726" s="95">
        <f t="shared" si="16"/>
        <v>0</v>
      </c>
    </row>
    <row r="727" spans="1:7" ht="18.600000000000001" customHeight="1" x14ac:dyDescent="0.3">
      <c r="A727" s="150" t="s">
        <v>1065</v>
      </c>
      <c r="B727" s="50" t="s">
        <v>259</v>
      </c>
      <c r="C727" s="51" t="s">
        <v>181</v>
      </c>
      <c r="D727" s="87" t="s">
        <v>292</v>
      </c>
      <c r="E727" s="126">
        <v>0</v>
      </c>
      <c r="F727" s="79">
        <f>BPU!E727</f>
        <v>0</v>
      </c>
      <c r="G727" s="95">
        <f t="shared" si="16"/>
        <v>0</v>
      </c>
    </row>
    <row r="728" spans="1:7" ht="18.600000000000001" customHeight="1" x14ac:dyDescent="0.3">
      <c r="A728" s="150" t="s">
        <v>1066</v>
      </c>
      <c r="B728" s="50" t="s">
        <v>235</v>
      </c>
      <c r="C728" s="51" t="s">
        <v>181</v>
      </c>
      <c r="D728" s="87" t="s">
        <v>292</v>
      </c>
      <c r="E728" s="130">
        <f>235.8*0</f>
        <v>0</v>
      </c>
      <c r="F728" s="79">
        <f>BPU!E728</f>
        <v>0</v>
      </c>
      <c r="G728" s="95">
        <f t="shared" si="16"/>
        <v>0</v>
      </c>
    </row>
    <row r="729" spans="1:7" ht="18.600000000000001" customHeight="1" x14ac:dyDescent="0.3">
      <c r="A729" s="150" t="s">
        <v>1067</v>
      </c>
      <c r="B729" s="50" t="s">
        <v>236</v>
      </c>
      <c r="C729" s="51" t="s">
        <v>181</v>
      </c>
      <c r="D729" s="87" t="s">
        <v>292</v>
      </c>
      <c r="E729" s="130">
        <f>251.52*0</f>
        <v>0</v>
      </c>
      <c r="F729" s="79">
        <f>BPU!E729</f>
        <v>0</v>
      </c>
      <c r="G729" s="95">
        <f t="shared" si="16"/>
        <v>0</v>
      </c>
    </row>
    <row r="730" spans="1:7" ht="18.600000000000001" customHeight="1" x14ac:dyDescent="0.3">
      <c r="A730" s="150" t="s">
        <v>1068</v>
      </c>
      <c r="B730" s="50" t="s">
        <v>237</v>
      </c>
      <c r="C730" s="51" t="s">
        <v>181</v>
      </c>
      <c r="D730" s="87" t="s">
        <v>292</v>
      </c>
      <c r="E730" s="126">
        <v>0</v>
      </c>
      <c r="F730" s="79">
        <f>BPU!E730</f>
        <v>0</v>
      </c>
      <c r="G730" s="95">
        <f t="shared" si="16"/>
        <v>0</v>
      </c>
    </row>
    <row r="731" spans="1:7" ht="18.600000000000001" customHeight="1" x14ac:dyDescent="0.3">
      <c r="A731" s="150" t="s">
        <v>1069</v>
      </c>
      <c r="B731" s="50" t="s">
        <v>238</v>
      </c>
      <c r="C731" s="51" t="s">
        <v>181</v>
      </c>
      <c r="D731" s="87" t="s">
        <v>292</v>
      </c>
      <c r="E731" s="130">
        <f>9.18*0</f>
        <v>0</v>
      </c>
      <c r="F731" s="79">
        <f>BPU!E731</f>
        <v>0</v>
      </c>
      <c r="G731" s="95">
        <f t="shared" si="16"/>
        <v>0</v>
      </c>
    </row>
    <row r="732" spans="1:7" ht="18.600000000000001" customHeight="1" x14ac:dyDescent="0.3">
      <c r="A732" s="150" t="s">
        <v>1070</v>
      </c>
      <c r="B732" s="50" t="s">
        <v>179</v>
      </c>
      <c r="C732" s="51" t="s">
        <v>181</v>
      </c>
      <c r="D732" s="87" t="s">
        <v>292</v>
      </c>
      <c r="E732" s="130">
        <f>2.61*0</f>
        <v>0</v>
      </c>
      <c r="F732" s="79">
        <f>BPU!E732</f>
        <v>0</v>
      </c>
      <c r="G732" s="95">
        <f t="shared" si="16"/>
        <v>0</v>
      </c>
    </row>
    <row r="733" spans="1:7" ht="18.600000000000001" customHeight="1" x14ac:dyDescent="0.3">
      <c r="A733" s="150" t="s">
        <v>1071</v>
      </c>
      <c r="B733" s="50" t="s">
        <v>239</v>
      </c>
      <c r="C733" s="51" t="s">
        <v>181</v>
      </c>
      <c r="D733" s="87" t="s">
        <v>292</v>
      </c>
      <c r="E733" s="126">
        <v>0</v>
      </c>
      <c r="F733" s="79">
        <f>BPU!E733</f>
        <v>0</v>
      </c>
      <c r="G733" s="95">
        <f t="shared" si="16"/>
        <v>0</v>
      </c>
    </row>
    <row r="734" spans="1:7" ht="18.600000000000001" customHeight="1" x14ac:dyDescent="0.3">
      <c r="A734" s="52" t="s">
        <v>1072</v>
      </c>
      <c r="B734" s="46" t="s">
        <v>174</v>
      </c>
      <c r="C734" s="52"/>
      <c r="D734" s="87"/>
      <c r="E734" s="126"/>
      <c r="F734" s="79">
        <f>BPU!E734</f>
        <v>0</v>
      </c>
      <c r="G734" s="95">
        <f t="shared" si="16"/>
        <v>0</v>
      </c>
    </row>
    <row r="735" spans="1:7" ht="18.600000000000001" customHeight="1" x14ac:dyDescent="0.3">
      <c r="A735" s="150" t="s">
        <v>1073</v>
      </c>
      <c r="B735" s="50" t="s">
        <v>240</v>
      </c>
      <c r="C735" s="51" t="s">
        <v>181</v>
      </c>
      <c r="D735" s="87" t="s">
        <v>292</v>
      </c>
      <c r="E735" s="130">
        <f>3.6*0</f>
        <v>0</v>
      </c>
      <c r="F735" s="79">
        <f>BPU!E735</f>
        <v>0</v>
      </c>
      <c r="G735" s="95">
        <f t="shared" si="16"/>
        <v>0</v>
      </c>
    </row>
    <row r="736" spans="1:7" ht="18.600000000000001" customHeight="1" x14ac:dyDescent="0.3">
      <c r="A736" s="150" t="s">
        <v>1074</v>
      </c>
      <c r="B736" s="50" t="s">
        <v>241</v>
      </c>
      <c r="C736" s="51" t="s">
        <v>181</v>
      </c>
      <c r="D736" s="87" t="s">
        <v>292</v>
      </c>
      <c r="E736" s="126">
        <v>0</v>
      </c>
      <c r="F736" s="79">
        <f>BPU!E736</f>
        <v>0</v>
      </c>
      <c r="G736" s="95">
        <f t="shared" si="16"/>
        <v>0</v>
      </c>
    </row>
    <row r="737" spans="1:7" ht="18.600000000000001" customHeight="1" x14ac:dyDescent="0.3">
      <c r="A737" s="150" t="s">
        <v>1075</v>
      </c>
      <c r="B737" s="50" t="s">
        <v>242</v>
      </c>
      <c r="C737" s="51" t="s">
        <v>181</v>
      </c>
      <c r="D737" s="87" t="s">
        <v>292</v>
      </c>
      <c r="E737" s="126">
        <v>0</v>
      </c>
      <c r="F737" s="79">
        <f>BPU!E737</f>
        <v>0</v>
      </c>
      <c r="G737" s="95">
        <f t="shared" si="16"/>
        <v>0</v>
      </c>
    </row>
    <row r="738" spans="1:7" ht="18.600000000000001" customHeight="1" x14ac:dyDescent="0.3">
      <c r="A738" s="150" t="s">
        <v>1076</v>
      </c>
      <c r="B738" s="50" t="s">
        <v>243</v>
      </c>
      <c r="C738" s="51" t="s">
        <v>181</v>
      </c>
      <c r="D738" s="87" t="s">
        <v>292</v>
      </c>
      <c r="E738" s="126">
        <v>0</v>
      </c>
      <c r="F738" s="79">
        <f>BPU!E738</f>
        <v>0</v>
      </c>
      <c r="G738" s="95">
        <f t="shared" si="16"/>
        <v>0</v>
      </c>
    </row>
    <row r="739" spans="1:7" ht="18.600000000000001" customHeight="1" x14ac:dyDescent="0.3">
      <c r="A739" s="150" t="s">
        <v>1077</v>
      </c>
      <c r="B739" s="50" t="s">
        <v>244</v>
      </c>
      <c r="C739" s="51" t="s">
        <v>181</v>
      </c>
      <c r="D739" s="87" t="s">
        <v>292</v>
      </c>
      <c r="E739" s="126">
        <v>0</v>
      </c>
      <c r="F739" s="79">
        <f>BPU!E739</f>
        <v>0</v>
      </c>
      <c r="G739" s="95">
        <f t="shared" si="16"/>
        <v>0</v>
      </c>
    </row>
    <row r="740" spans="1:7" ht="18.600000000000001" customHeight="1" x14ac:dyDescent="0.3">
      <c r="A740" s="150" t="s">
        <v>1078</v>
      </c>
      <c r="B740" s="50" t="s">
        <v>245</v>
      </c>
      <c r="C740" s="51" t="s">
        <v>181</v>
      </c>
      <c r="D740" s="87" t="s">
        <v>292</v>
      </c>
      <c r="E740" s="130">
        <f>5.67*0</f>
        <v>0</v>
      </c>
      <c r="F740" s="79">
        <f>BPU!E740</f>
        <v>0</v>
      </c>
      <c r="G740" s="95">
        <f t="shared" si="16"/>
        <v>0</v>
      </c>
    </row>
    <row r="741" spans="1:7" ht="18.600000000000001" customHeight="1" x14ac:dyDescent="0.3">
      <c r="A741" s="150" t="s">
        <v>1079</v>
      </c>
      <c r="B741" s="50" t="s">
        <v>246</v>
      </c>
      <c r="C741" s="51" t="s">
        <v>181</v>
      </c>
      <c r="D741" s="87" t="s">
        <v>292</v>
      </c>
      <c r="E741" s="126">
        <v>0</v>
      </c>
      <c r="F741" s="79">
        <f>BPU!E741</f>
        <v>0</v>
      </c>
      <c r="G741" s="95">
        <f t="shared" si="16"/>
        <v>0</v>
      </c>
    </row>
    <row r="742" spans="1:7" ht="18.600000000000001" customHeight="1" x14ac:dyDescent="0.3">
      <c r="A742" s="150" t="s">
        <v>1080</v>
      </c>
      <c r="B742" s="50" t="s">
        <v>247</v>
      </c>
      <c r="C742" s="51" t="s">
        <v>181</v>
      </c>
      <c r="D742" s="87" t="s">
        <v>292</v>
      </c>
      <c r="E742" s="126">
        <v>0</v>
      </c>
      <c r="F742" s="79">
        <f>BPU!E742</f>
        <v>0</v>
      </c>
      <c r="G742" s="95">
        <f t="shared" si="16"/>
        <v>0</v>
      </c>
    </row>
    <row r="743" spans="1:7" ht="18.600000000000001" customHeight="1" x14ac:dyDescent="0.3">
      <c r="A743" s="150" t="s">
        <v>1081</v>
      </c>
      <c r="B743" s="50" t="s">
        <v>194</v>
      </c>
      <c r="C743" s="51" t="s">
        <v>181</v>
      </c>
      <c r="D743" s="87" t="s">
        <v>292</v>
      </c>
      <c r="E743" s="130">
        <f>3.6*0</f>
        <v>0</v>
      </c>
      <c r="F743" s="79">
        <f>BPU!E743</f>
        <v>0</v>
      </c>
      <c r="G743" s="95">
        <f t="shared" si="16"/>
        <v>0</v>
      </c>
    </row>
    <row r="744" spans="1:7" ht="18.600000000000001" customHeight="1" x14ac:dyDescent="0.3">
      <c r="A744" s="52" t="s">
        <v>1082</v>
      </c>
      <c r="B744" s="46" t="s">
        <v>175</v>
      </c>
      <c r="C744" s="52"/>
      <c r="D744" s="87"/>
      <c r="E744" s="126"/>
      <c r="F744" s="79">
        <f>BPU!E744</f>
        <v>0</v>
      </c>
      <c r="G744" s="95">
        <f t="shared" si="16"/>
        <v>0</v>
      </c>
    </row>
    <row r="745" spans="1:7" ht="18.600000000000001" customHeight="1" x14ac:dyDescent="0.3">
      <c r="A745" s="150" t="s">
        <v>1083</v>
      </c>
      <c r="B745" s="50" t="s">
        <v>180</v>
      </c>
      <c r="C745" s="51" t="s">
        <v>181</v>
      </c>
      <c r="D745" s="87" t="s">
        <v>292</v>
      </c>
      <c r="E745" s="130">
        <f>23.92*0</f>
        <v>0</v>
      </c>
      <c r="F745" s="79">
        <f>BPU!E745</f>
        <v>0</v>
      </c>
      <c r="G745" s="95">
        <f t="shared" si="16"/>
        <v>0</v>
      </c>
    </row>
    <row r="746" spans="1:7" ht="18.600000000000001" customHeight="1" x14ac:dyDescent="0.3">
      <c r="A746" s="52" t="s">
        <v>1084</v>
      </c>
      <c r="B746" s="46" t="s">
        <v>176</v>
      </c>
      <c r="C746" s="52"/>
      <c r="D746" s="87"/>
      <c r="E746" s="126"/>
      <c r="F746" s="79">
        <f>BPU!E746</f>
        <v>0</v>
      </c>
      <c r="G746" s="95">
        <f t="shared" si="16"/>
        <v>0</v>
      </c>
    </row>
    <row r="747" spans="1:7" ht="18.600000000000001" customHeight="1" x14ac:dyDescent="0.3">
      <c r="A747" s="150" t="s">
        <v>1085</v>
      </c>
      <c r="B747" s="50" t="s">
        <v>257</v>
      </c>
      <c r="C747" s="51" t="s">
        <v>181</v>
      </c>
      <c r="D747" s="87" t="s">
        <v>292</v>
      </c>
      <c r="E747" s="126">
        <v>0</v>
      </c>
      <c r="F747" s="79">
        <f>BPU!E747</f>
        <v>0</v>
      </c>
      <c r="G747" s="95">
        <f t="shared" si="16"/>
        <v>0</v>
      </c>
    </row>
    <row r="748" spans="1:7" ht="18.600000000000001" customHeight="1" x14ac:dyDescent="0.3">
      <c r="A748" s="150" t="s">
        <v>1086</v>
      </c>
      <c r="B748" s="50" t="s">
        <v>253</v>
      </c>
      <c r="C748" s="51" t="s">
        <v>17</v>
      </c>
      <c r="D748" s="87" t="s">
        <v>292</v>
      </c>
      <c r="E748" s="130">
        <f>5*0</f>
        <v>0</v>
      </c>
      <c r="F748" s="79">
        <f>BPU!E748</f>
        <v>0</v>
      </c>
      <c r="G748" s="95">
        <f t="shared" si="16"/>
        <v>0</v>
      </c>
    </row>
    <row r="749" spans="1:7" ht="18.600000000000001" customHeight="1" x14ac:dyDescent="0.3">
      <c r="A749" s="150" t="s">
        <v>1087</v>
      </c>
      <c r="B749" s="50" t="s">
        <v>252</v>
      </c>
      <c r="C749" s="51" t="s">
        <v>17</v>
      </c>
      <c r="D749" s="87" t="s">
        <v>292</v>
      </c>
      <c r="E749" s="130">
        <f>17.7*0</f>
        <v>0</v>
      </c>
      <c r="F749" s="79">
        <f>BPU!E749</f>
        <v>0</v>
      </c>
      <c r="G749" s="95">
        <f t="shared" ref="G749:G810" si="17">E749*F749</f>
        <v>0</v>
      </c>
    </row>
    <row r="750" spans="1:7" ht="18.600000000000001" customHeight="1" x14ac:dyDescent="0.3">
      <c r="A750" s="150" t="s">
        <v>1088</v>
      </c>
      <c r="B750" s="50" t="s">
        <v>254</v>
      </c>
      <c r="C750" s="51" t="s">
        <v>17</v>
      </c>
      <c r="D750" s="87" t="s">
        <v>292</v>
      </c>
      <c r="E750" s="130">
        <f>37.45*0</f>
        <v>0</v>
      </c>
      <c r="F750" s="79">
        <f>BPU!E750</f>
        <v>0</v>
      </c>
      <c r="G750" s="95">
        <f t="shared" si="17"/>
        <v>0</v>
      </c>
    </row>
    <row r="751" spans="1:7" ht="18.600000000000001" customHeight="1" x14ac:dyDescent="0.3">
      <c r="A751" s="150" t="s">
        <v>1089</v>
      </c>
      <c r="B751" s="50" t="s">
        <v>255</v>
      </c>
      <c r="C751" s="51" t="s">
        <v>17</v>
      </c>
      <c r="D751" s="87" t="s">
        <v>292</v>
      </c>
      <c r="E751" s="126">
        <v>0</v>
      </c>
      <c r="F751" s="79">
        <f>BPU!E751</f>
        <v>0</v>
      </c>
      <c r="G751" s="95">
        <f t="shared" si="17"/>
        <v>0</v>
      </c>
    </row>
    <row r="752" spans="1:7" ht="28.8" customHeight="1" x14ac:dyDescent="0.3">
      <c r="A752" s="150" t="s">
        <v>1090</v>
      </c>
      <c r="B752" s="50" t="s">
        <v>251</v>
      </c>
      <c r="C752" s="51" t="s">
        <v>17</v>
      </c>
      <c r="D752" s="87" t="s">
        <v>292</v>
      </c>
      <c r="E752" s="126">
        <v>0</v>
      </c>
      <c r="F752" s="79">
        <f>BPU!E752</f>
        <v>0</v>
      </c>
      <c r="G752" s="95">
        <f t="shared" si="17"/>
        <v>0</v>
      </c>
    </row>
    <row r="753" spans="1:7" x14ac:dyDescent="0.3">
      <c r="A753" s="150" t="s">
        <v>1091</v>
      </c>
      <c r="B753" s="50" t="s">
        <v>256</v>
      </c>
      <c r="C753" s="51" t="s">
        <v>181</v>
      </c>
      <c r="D753" s="87" t="s">
        <v>292</v>
      </c>
      <c r="E753" s="130">
        <f>35.46*0</f>
        <v>0</v>
      </c>
      <c r="F753" s="79">
        <f>BPU!E753</f>
        <v>0</v>
      </c>
      <c r="G753" s="95">
        <f t="shared" si="17"/>
        <v>0</v>
      </c>
    </row>
    <row r="754" spans="1:7" x14ac:dyDescent="0.3">
      <c r="A754" s="150" t="s">
        <v>1092</v>
      </c>
      <c r="B754" s="50" t="s">
        <v>258</v>
      </c>
      <c r="C754" s="51" t="s">
        <v>17</v>
      </c>
      <c r="D754" s="87" t="s">
        <v>292</v>
      </c>
      <c r="E754" s="126">
        <v>0</v>
      </c>
      <c r="F754" s="79">
        <f>BPU!E754</f>
        <v>0</v>
      </c>
      <c r="G754" s="95">
        <f t="shared" si="17"/>
        <v>0</v>
      </c>
    </row>
    <row r="755" spans="1:7" ht="18.600000000000001" customHeight="1" x14ac:dyDescent="0.3">
      <c r="A755" s="150" t="s">
        <v>1093</v>
      </c>
      <c r="B755" s="50" t="s">
        <v>193</v>
      </c>
      <c r="C755" s="51" t="s">
        <v>181</v>
      </c>
      <c r="D755" s="87" t="s">
        <v>292</v>
      </c>
      <c r="E755" s="126">
        <v>0</v>
      </c>
      <c r="F755" s="79">
        <f>BPU!E755</f>
        <v>0</v>
      </c>
      <c r="G755" s="95">
        <f t="shared" si="17"/>
        <v>0</v>
      </c>
    </row>
    <row r="756" spans="1:7" x14ac:dyDescent="0.3">
      <c r="A756" s="150" t="s">
        <v>1094</v>
      </c>
      <c r="B756" s="50" t="s">
        <v>192</v>
      </c>
      <c r="C756" s="51" t="s">
        <v>181</v>
      </c>
      <c r="D756" s="87" t="s">
        <v>292</v>
      </c>
      <c r="E756" s="126">
        <v>0</v>
      </c>
      <c r="F756" s="79">
        <f>BPU!E756</f>
        <v>0</v>
      </c>
      <c r="G756" s="95">
        <f t="shared" si="17"/>
        <v>0</v>
      </c>
    </row>
    <row r="757" spans="1:7" ht="28.8" x14ac:dyDescent="0.3">
      <c r="A757" s="150" t="s">
        <v>1095</v>
      </c>
      <c r="B757" s="50" t="s">
        <v>260</v>
      </c>
      <c r="C757" s="51" t="s">
        <v>181</v>
      </c>
      <c r="D757" s="87" t="s">
        <v>292</v>
      </c>
      <c r="E757" s="126">
        <v>0</v>
      </c>
      <c r="F757" s="79">
        <f>BPU!E757</f>
        <v>0</v>
      </c>
      <c r="G757" s="95">
        <f t="shared" si="17"/>
        <v>0</v>
      </c>
    </row>
    <row r="758" spans="1:7" ht="18.600000000000001" customHeight="1" x14ac:dyDescent="0.3">
      <c r="A758" s="52" t="s">
        <v>1096</v>
      </c>
      <c r="B758" s="46" t="s">
        <v>177</v>
      </c>
      <c r="C758" s="52"/>
      <c r="D758" s="87"/>
      <c r="E758" s="126"/>
      <c r="F758" s="79">
        <f>BPU!E758</f>
        <v>0</v>
      </c>
      <c r="G758" s="95">
        <f t="shared" si="17"/>
        <v>0</v>
      </c>
    </row>
    <row r="759" spans="1:7" ht="18.600000000000001" customHeight="1" x14ac:dyDescent="0.3">
      <c r="A759" s="150" t="s">
        <v>1097</v>
      </c>
      <c r="B759" s="50" t="s">
        <v>182</v>
      </c>
      <c r="C759" s="51" t="s">
        <v>181</v>
      </c>
      <c r="D759" s="87" t="s">
        <v>292</v>
      </c>
      <c r="E759" s="130">
        <f>251.52*0</f>
        <v>0</v>
      </c>
      <c r="F759" s="79">
        <f>BPU!E759</f>
        <v>0</v>
      </c>
      <c r="G759" s="95">
        <f t="shared" si="17"/>
        <v>0</v>
      </c>
    </row>
    <row r="760" spans="1:7" ht="28.8" x14ac:dyDescent="0.3">
      <c r="A760" s="150" t="s">
        <v>1098</v>
      </c>
      <c r="B760" s="50" t="s">
        <v>1273</v>
      </c>
      <c r="C760" s="51" t="s">
        <v>181</v>
      </c>
      <c r="D760" s="87" t="s">
        <v>292</v>
      </c>
      <c r="E760" s="130">
        <f>251.52*0</f>
        <v>0</v>
      </c>
      <c r="F760" s="79">
        <f>BPU!E760</f>
        <v>0</v>
      </c>
      <c r="G760" s="95">
        <f t="shared" si="17"/>
        <v>0</v>
      </c>
    </row>
    <row r="761" spans="1:7" x14ac:dyDescent="0.3">
      <c r="A761" s="150" t="s">
        <v>1099</v>
      </c>
      <c r="B761" s="50" t="s">
        <v>183</v>
      </c>
      <c r="C761" s="51" t="s">
        <v>181</v>
      </c>
      <c r="D761" s="87" t="s">
        <v>292</v>
      </c>
      <c r="E761" s="130">
        <f>23.92*0</f>
        <v>0</v>
      </c>
      <c r="F761" s="79">
        <f>BPU!E761</f>
        <v>0</v>
      </c>
      <c r="G761" s="95">
        <f t="shared" si="17"/>
        <v>0</v>
      </c>
    </row>
    <row r="762" spans="1:7" x14ac:dyDescent="0.3">
      <c r="A762" s="150" t="s">
        <v>1100</v>
      </c>
      <c r="B762" s="50" t="s">
        <v>184</v>
      </c>
      <c r="C762" s="51" t="s">
        <v>181</v>
      </c>
      <c r="D762" s="87" t="s">
        <v>292</v>
      </c>
      <c r="E762" s="130">
        <f>5.67*0</f>
        <v>0</v>
      </c>
      <c r="F762" s="79">
        <f>BPU!E762</f>
        <v>0</v>
      </c>
      <c r="G762" s="95">
        <f t="shared" si="17"/>
        <v>0</v>
      </c>
    </row>
    <row r="763" spans="1:7" x14ac:dyDescent="0.3">
      <c r="A763" s="150" t="s">
        <v>1101</v>
      </c>
      <c r="B763" s="50" t="s">
        <v>185</v>
      </c>
      <c r="C763" s="51" t="s">
        <v>181</v>
      </c>
      <c r="D763" s="87" t="s">
        <v>292</v>
      </c>
      <c r="E763" s="130">
        <f>3.6*0</f>
        <v>0</v>
      </c>
      <c r="F763" s="79">
        <f>BPU!E763</f>
        <v>0</v>
      </c>
      <c r="G763" s="95">
        <f t="shared" si="17"/>
        <v>0</v>
      </c>
    </row>
    <row r="764" spans="1:7" x14ac:dyDescent="0.3">
      <c r="A764" s="52" t="s">
        <v>1102</v>
      </c>
      <c r="B764" s="46" t="s">
        <v>304</v>
      </c>
      <c r="C764" s="51"/>
      <c r="D764" s="87"/>
      <c r="E764" s="126"/>
      <c r="F764" s="79">
        <f>BPU!E764</f>
        <v>0</v>
      </c>
      <c r="G764" s="95">
        <f t="shared" si="17"/>
        <v>0</v>
      </c>
    </row>
    <row r="765" spans="1:7" ht="28.8" x14ac:dyDescent="0.3">
      <c r="A765" s="150" t="s">
        <v>1103</v>
      </c>
      <c r="B765" s="50" t="s">
        <v>305</v>
      </c>
      <c r="C765" s="51" t="s">
        <v>197</v>
      </c>
      <c r="D765" s="87" t="s">
        <v>292</v>
      </c>
      <c r="E765" s="130">
        <f>1*0</f>
        <v>0</v>
      </c>
      <c r="F765" s="79">
        <f>BPU!E765</f>
        <v>0</v>
      </c>
      <c r="G765" s="95">
        <f t="shared" si="17"/>
        <v>0</v>
      </c>
    </row>
    <row r="766" spans="1:7" ht="28.8" x14ac:dyDescent="0.3">
      <c r="A766" s="150" t="s">
        <v>1104</v>
      </c>
      <c r="B766" s="50" t="s">
        <v>306</v>
      </c>
      <c r="C766" s="51" t="s">
        <v>197</v>
      </c>
      <c r="D766" s="87" t="s">
        <v>292</v>
      </c>
      <c r="E766" s="126">
        <v>0</v>
      </c>
      <c r="F766" s="79">
        <f>BPU!E766</f>
        <v>0</v>
      </c>
      <c r="G766" s="95">
        <f t="shared" si="17"/>
        <v>0</v>
      </c>
    </row>
    <row r="767" spans="1:7" ht="28.8" x14ac:dyDescent="0.3">
      <c r="A767" s="150" t="s">
        <v>1105</v>
      </c>
      <c r="B767" s="50" t="s">
        <v>307</v>
      </c>
      <c r="C767" s="51" t="s">
        <v>197</v>
      </c>
      <c r="D767" s="87" t="s">
        <v>292</v>
      </c>
      <c r="E767" s="130">
        <f>1*0</f>
        <v>0</v>
      </c>
      <c r="F767" s="79">
        <f>BPU!E767</f>
        <v>0</v>
      </c>
      <c r="G767" s="95">
        <f t="shared" si="17"/>
        <v>0</v>
      </c>
    </row>
    <row r="768" spans="1:7" ht="28.8" x14ac:dyDescent="0.3">
      <c r="A768" s="150" t="s">
        <v>1106</v>
      </c>
      <c r="B768" s="50" t="s">
        <v>308</v>
      </c>
      <c r="C768" s="51" t="s">
        <v>197</v>
      </c>
      <c r="D768" s="87" t="s">
        <v>292</v>
      </c>
      <c r="E768" s="126">
        <v>0</v>
      </c>
      <c r="F768" s="79">
        <f>BPU!E768</f>
        <v>0</v>
      </c>
      <c r="G768" s="95">
        <f t="shared" si="17"/>
        <v>0</v>
      </c>
    </row>
    <row r="769" spans="1:23" ht="28.8" x14ac:dyDescent="0.3">
      <c r="A769" s="150" t="s">
        <v>1107</v>
      </c>
      <c r="B769" s="50" t="s">
        <v>315</v>
      </c>
      <c r="C769" s="51" t="s">
        <v>197</v>
      </c>
      <c r="D769" s="87" t="s">
        <v>292</v>
      </c>
      <c r="E769" s="126">
        <v>0</v>
      </c>
      <c r="F769" s="79">
        <f>BPU!E769</f>
        <v>0</v>
      </c>
      <c r="G769" s="95">
        <f t="shared" si="17"/>
        <v>0</v>
      </c>
    </row>
    <row r="770" spans="1:23" ht="28.8" x14ac:dyDescent="0.3">
      <c r="A770" s="150" t="s">
        <v>1108</v>
      </c>
      <c r="B770" s="50" t="s">
        <v>309</v>
      </c>
      <c r="C770" s="51" t="s">
        <v>197</v>
      </c>
      <c r="D770" s="87" t="s">
        <v>292</v>
      </c>
      <c r="E770" s="126">
        <v>0</v>
      </c>
      <c r="F770" s="79">
        <f>BPU!E770</f>
        <v>0</v>
      </c>
      <c r="G770" s="95">
        <f t="shared" si="17"/>
        <v>0</v>
      </c>
    </row>
    <row r="771" spans="1:23" ht="28.8" x14ac:dyDescent="0.3">
      <c r="A771" s="150" t="s">
        <v>1109</v>
      </c>
      <c r="B771" s="50" t="s">
        <v>310</v>
      </c>
      <c r="C771" s="51" t="s">
        <v>197</v>
      </c>
      <c r="D771" s="87" t="s">
        <v>292</v>
      </c>
      <c r="E771" s="130">
        <f>1*0</f>
        <v>0</v>
      </c>
      <c r="F771" s="79">
        <f>BPU!E771</f>
        <v>0</v>
      </c>
      <c r="G771" s="95">
        <f t="shared" si="17"/>
        <v>0</v>
      </c>
    </row>
    <row r="772" spans="1:23" ht="28.8" x14ac:dyDescent="0.3">
      <c r="A772" s="150" t="s">
        <v>1110</v>
      </c>
      <c r="B772" s="50" t="s">
        <v>311</v>
      </c>
      <c r="C772" s="51" t="s">
        <v>197</v>
      </c>
      <c r="D772" s="87" t="s">
        <v>292</v>
      </c>
      <c r="E772" s="126">
        <v>0</v>
      </c>
      <c r="F772" s="79">
        <f>BPU!E772</f>
        <v>0</v>
      </c>
      <c r="G772" s="95">
        <f t="shared" si="17"/>
        <v>0</v>
      </c>
    </row>
    <row r="773" spans="1:23" ht="28.2" customHeight="1" x14ac:dyDescent="0.3">
      <c r="A773" s="150" t="s">
        <v>1111</v>
      </c>
      <c r="B773" s="50" t="s">
        <v>313</v>
      </c>
      <c r="C773" s="51" t="s">
        <v>17</v>
      </c>
      <c r="D773" s="87" t="s">
        <v>292</v>
      </c>
      <c r="E773" s="130">
        <f>12*0</f>
        <v>0</v>
      </c>
      <c r="F773" s="79">
        <f>BPU!E773</f>
        <v>0</v>
      </c>
      <c r="G773" s="95">
        <f t="shared" si="17"/>
        <v>0</v>
      </c>
    </row>
    <row r="774" spans="1:23" ht="27" customHeight="1" thickBot="1" x14ac:dyDescent="0.35">
      <c r="A774" s="150" t="s">
        <v>1112</v>
      </c>
      <c r="B774" s="50" t="s">
        <v>312</v>
      </c>
      <c r="C774" s="51" t="s">
        <v>17</v>
      </c>
      <c r="D774" s="87" t="s">
        <v>292</v>
      </c>
      <c r="E774" s="130">
        <f>15*0</f>
        <v>0</v>
      </c>
      <c r="F774" s="79">
        <f>BPU!E774</f>
        <v>0</v>
      </c>
      <c r="G774" s="95">
        <f t="shared" si="17"/>
        <v>0</v>
      </c>
    </row>
    <row r="775" spans="1:23" s="98" customFormat="1" ht="15" thickBot="1" x14ac:dyDescent="0.35">
      <c r="A775" s="52"/>
      <c r="B775" s="96" t="s">
        <v>396</v>
      </c>
      <c r="C775" s="97"/>
      <c r="D775" s="97"/>
      <c r="E775" s="128"/>
      <c r="F775" s="145">
        <f>BPU!E775</f>
        <v>0</v>
      </c>
      <c r="G775" s="146">
        <f>SUM(G687:G774)</f>
        <v>0</v>
      </c>
      <c r="H775" s="138"/>
      <c r="J775" s="99"/>
      <c r="K775" s="75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100"/>
      <c r="W775" s="100"/>
    </row>
    <row r="776" spans="1:23" s="58" customFormat="1" ht="16.8" customHeight="1" x14ac:dyDescent="0.3">
      <c r="A776" s="70" t="s">
        <v>81</v>
      </c>
      <c r="B776" s="70" t="s">
        <v>82</v>
      </c>
      <c r="C776" s="52"/>
      <c r="D776" s="87"/>
      <c r="E776" s="126"/>
      <c r="F776" s="79">
        <f>BPU!E776</f>
        <v>0</v>
      </c>
      <c r="G776" s="95">
        <f t="shared" si="17"/>
        <v>0</v>
      </c>
      <c r="H776" s="136"/>
    </row>
    <row r="777" spans="1:23" ht="18.600000000000001" customHeight="1" x14ac:dyDescent="0.3">
      <c r="A777" s="52" t="s">
        <v>1113</v>
      </c>
      <c r="B777" s="50" t="s">
        <v>405</v>
      </c>
      <c r="C777" s="51" t="s">
        <v>181</v>
      </c>
      <c r="D777" s="87" t="s">
        <v>292</v>
      </c>
      <c r="E777" s="126"/>
      <c r="F777" s="79">
        <f>BPU!E777</f>
        <v>0</v>
      </c>
      <c r="G777" s="95">
        <f>E777*F777</f>
        <v>0</v>
      </c>
    </row>
    <row r="778" spans="1:23" ht="18.600000000000001" customHeight="1" x14ac:dyDescent="0.3">
      <c r="A778" s="52" t="s">
        <v>83</v>
      </c>
      <c r="B778" s="46" t="s">
        <v>174</v>
      </c>
      <c r="C778" s="52"/>
      <c r="D778" s="87"/>
      <c r="E778" s="126"/>
      <c r="F778" s="79">
        <f>BPU!E778</f>
        <v>0</v>
      </c>
      <c r="G778" s="95">
        <f t="shared" si="17"/>
        <v>0</v>
      </c>
    </row>
    <row r="779" spans="1:23" ht="50.4" customHeight="1" x14ac:dyDescent="0.3">
      <c r="A779" s="150" t="s">
        <v>1114</v>
      </c>
      <c r="B779" s="50" t="s">
        <v>145</v>
      </c>
      <c r="C779" s="51" t="s">
        <v>181</v>
      </c>
      <c r="D779" s="87" t="s">
        <v>292</v>
      </c>
      <c r="E779" s="126">
        <f>16.8*1.5</f>
        <v>25.200000000000003</v>
      </c>
      <c r="F779" s="79">
        <f>BPU!E779</f>
        <v>0</v>
      </c>
      <c r="G779" s="95">
        <f t="shared" si="17"/>
        <v>0</v>
      </c>
      <c r="H779" s="139"/>
    </row>
    <row r="780" spans="1:23" ht="18.600000000000001" customHeight="1" x14ac:dyDescent="0.3">
      <c r="A780" s="150" t="s">
        <v>1115</v>
      </c>
      <c r="B780" s="50" t="s">
        <v>240</v>
      </c>
      <c r="C780" s="51" t="s">
        <v>181</v>
      </c>
      <c r="D780" s="87" t="s">
        <v>292</v>
      </c>
      <c r="E780" s="126">
        <v>0</v>
      </c>
      <c r="F780" s="79">
        <f>BPU!E780</f>
        <v>0</v>
      </c>
      <c r="G780" s="95">
        <f t="shared" si="17"/>
        <v>0</v>
      </c>
    </row>
    <row r="781" spans="1:23" ht="18.600000000000001" customHeight="1" x14ac:dyDescent="0.3">
      <c r="A781" s="150" t="s">
        <v>1116</v>
      </c>
      <c r="B781" s="50" t="s">
        <v>241</v>
      </c>
      <c r="C781" s="51" t="s">
        <v>181</v>
      </c>
      <c r="D781" s="87" t="s">
        <v>292</v>
      </c>
      <c r="E781" s="126">
        <v>0</v>
      </c>
      <c r="F781" s="79">
        <f>BPU!E781</f>
        <v>0</v>
      </c>
      <c r="G781" s="95">
        <f t="shared" si="17"/>
        <v>0</v>
      </c>
    </row>
    <row r="782" spans="1:23" ht="18.600000000000001" customHeight="1" x14ac:dyDescent="0.3">
      <c r="A782" s="150" t="s">
        <v>1117</v>
      </c>
      <c r="B782" s="50" t="s">
        <v>242</v>
      </c>
      <c r="C782" s="51" t="s">
        <v>181</v>
      </c>
      <c r="D782" s="87" t="s">
        <v>292</v>
      </c>
      <c r="E782" s="126">
        <v>0</v>
      </c>
      <c r="F782" s="79">
        <f>BPU!E782</f>
        <v>0</v>
      </c>
      <c r="G782" s="95">
        <f t="shared" si="17"/>
        <v>0</v>
      </c>
    </row>
    <row r="783" spans="1:23" ht="18.600000000000001" customHeight="1" x14ac:dyDescent="0.3">
      <c r="A783" s="150" t="s">
        <v>1118</v>
      </c>
      <c r="B783" s="50" t="s">
        <v>243</v>
      </c>
      <c r="C783" s="51" t="s">
        <v>181</v>
      </c>
      <c r="D783" s="87" t="s">
        <v>292</v>
      </c>
      <c r="E783" s="126">
        <v>0</v>
      </c>
      <c r="F783" s="79">
        <f>BPU!E783</f>
        <v>0</v>
      </c>
      <c r="G783" s="95">
        <f t="shared" si="17"/>
        <v>0</v>
      </c>
    </row>
    <row r="784" spans="1:23" ht="18.600000000000001" customHeight="1" x14ac:dyDescent="0.3">
      <c r="A784" s="150" t="s">
        <v>1119</v>
      </c>
      <c r="B784" s="50" t="s">
        <v>244</v>
      </c>
      <c r="C784" s="51" t="s">
        <v>181</v>
      </c>
      <c r="D784" s="87" t="s">
        <v>292</v>
      </c>
      <c r="E784" s="126">
        <v>0</v>
      </c>
      <c r="F784" s="79">
        <f>BPU!E784</f>
        <v>0</v>
      </c>
      <c r="G784" s="95">
        <f t="shared" si="17"/>
        <v>0</v>
      </c>
    </row>
    <row r="785" spans="1:7" ht="18.600000000000001" customHeight="1" x14ac:dyDescent="0.3">
      <c r="A785" s="150" t="s">
        <v>1120</v>
      </c>
      <c r="B785" s="50" t="s">
        <v>245</v>
      </c>
      <c r="C785" s="51" t="s">
        <v>181</v>
      </c>
      <c r="D785" s="87" t="s">
        <v>292</v>
      </c>
      <c r="E785" s="126">
        <v>0</v>
      </c>
      <c r="F785" s="79">
        <f>BPU!E785</f>
        <v>0</v>
      </c>
      <c r="G785" s="95">
        <f t="shared" si="17"/>
        <v>0</v>
      </c>
    </row>
    <row r="786" spans="1:7" ht="18.600000000000001" customHeight="1" x14ac:dyDescent="0.3">
      <c r="A786" s="150" t="s">
        <v>1121</v>
      </c>
      <c r="B786" s="50" t="s">
        <v>246</v>
      </c>
      <c r="C786" s="51" t="s">
        <v>181</v>
      </c>
      <c r="D786" s="87" t="s">
        <v>292</v>
      </c>
      <c r="E786" s="126">
        <v>0</v>
      </c>
      <c r="F786" s="79">
        <f>BPU!E786</f>
        <v>0</v>
      </c>
      <c r="G786" s="95">
        <f t="shared" si="17"/>
        <v>0</v>
      </c>
    </row>
    <row r="787" spans="1:7" ht="18.600000000000001" customHeight="1" x14ac:dyDescent="0.3">
      <c r="A787" s="150" t="s">
        <v>1122</v>
      </c>
      <c r="B787" s="50" t="s">
        <v>247</v>
      </c>
      <c r="C787" s="51" t="s">
        <v>181</v>
      </c>
      <c r="D787" s="87" t="s">
        <v>292</v>
      </c>
      <c r="E787" s="126">
        <v>0</v>
      </c>
      <c r="F787" s="79">
        <f>BPU!E787</f>
        <v>0</v>
      </c>
      <c r="G787" s="95">
        <f t="shared" si="17"/>
        <v>0</v>
      </c>
    </row>
    <row r="788" spans="1:7" ht="18.600000000000001" customHeight="1" x14ac:dyDescent="0.3">
      <c r="A788" s="150" t="s">
        <v>1123</v>
      </c>
      <c r="B788" s="50" t="s">
        <v>194</v>
      </c>
      <c r="C788" s="51" t="s">
        <v>181</v>
      </c>
      <c r="D788" s="87" t="s">
        <v>292</v>
      </c>
      <c r="E788" s="126">
        <v>0</v>
      </c>
      <c r="F788" s="79">
        <f>BPU!E788</f>
        <v>0</v>
      </c>
      <c r="G788" s="95">
        <f t="shared" si="17"/>
        <v>0</v>
      </c>
    </row>
    <row r="789" spans="1:7" ht="18.600000000000001" customHeight="1" x14ac:dyDescent="0.3">
      <c r="A789" s="52" t="s">
        <v>89</v>
      </c>
      <c r="B789" s="46" t="s">
        <v>175</v>
      </c>
      <c r="C789" s="52"/>
      <c r="D789" s="87"/>
      <c r="E789" s="126"/>
      <c r="F789" s="79">
        <f>BPU!E789</f>
        <v>0</v>
      </c>
      <c r="G789" s="95">
        <f t="shared" si="17"/>
        <v>0</v>
      </c>
    </row>
    <row r="790" spans="1:7" ht="18.600000000000001" customHeight="1" x14ac:dyDescent="0.3">
      <c r="A790" s="150" t="s">
        <v>1124</v>
      </c>
      <c r="B790" s="50" t="s">
        <v>180</v>
      </c>
      <c r="C790" s="51" t="s">
        <v>181</v>
      </c>
      <c r="D790" s="87" t="s">
        <v>292</v>
      </c>
      <c r="E790" s="126">
        <v>77</v>
      </c>
      <c r="F790" s="79">
        <f>BPU!E790</f>
        <v>0</v>
      </c>
      <c r="G790" s="95">
        <f t="shared" si="17"/>
        <v>0</v>
      </c>
    </row>
    <row r="791" spans="1:7" ht="18.600000000000001" customHeight="1" x14ac:dyDescent="0.3">
      <c r="A791" s="52" t="s">
        <v>1125</v>
      </c>
      <c r="B791" s="46" t="s">
        <v>176</v>
      </c>
      <c r="C791" s="52"/>
      <c r="D791" s="87"/>
      <c r="E791" s="126"/>
      <c r="F791" s="79">
        <f>BPU!E791</f>
        <v>0</v>
      </c>
      <c r="G791" s="95">
        <f t="shared" si="17"/>
        <v>0</v>
      </c>
    </row>
    <row r="792" spans="1:7" ht="18.600000000000001" customHeight="1" x14ac:dyDescent="0.3">
      <c r="A792" s="150" t="s">
        <v>1126</v>
      </c>
      <c r="B792" s="50" t="s">
        <v>257</v>
      </c>
      <c r="C792" s="51" t="s">
        <v>181</v>
      </c>
      <c r="D792" s="87" t="s">
        <v>292</v>
      </c>
      <c r="E792" s="126">
        <v>0</v>
      </c>
      <c r="F792" s="79">
        <f>BPU!E792</f>
        <v>0</v>
      </c>
      <c r="G792" s="95">
        <f t="shared" si="17"/>
        <v>0</v>
      </c>
    </row>
    <row r="793" spans="1:7" ht="18.600000000000001" customHeight="1" x14ac:dyDescent="0.3">
      <c r="A793" s="150" t="s">
        <v>1127</v>
      </c>
      <c r="B793" s="50" t="s">
        <v>253</v>
      </c>
      <c r="C793" s="51" t="s">
        <v>17</v>
      </c>
      <c r="D793" s="87" t="s">
        <v>292</v>
      </c>
      <c r="E793" s="126">
        <v>0</v>
      </c>
      <c r="F793" s="79">
        <f>BPU!E793</f>
        <v>0</v>
      </c>
      <c r="G793" s="95">
        <f t="shared" si="17"/>
        <v>0</v>
      </c>
    </row>
    <row r="794" spans="1:7" ht="18.600000000000001" customHeight="1" x14ac:dyDescent="0.3">
      <c r="A794" s="150" t="s">
        <v>1128</v>
      </c>
      <c r="B794" s="50" t="s">
        <v>252</v>
      </c>
      <c r="C794" s="51" t="s">
        <v>17</v>
      </c>
      <c r="D794" s="87" t="s">
        <v>292</v>
      </c>
      <c r="E794" s="126">
        <v>0</v>
      </c>
      <c r="F794" s="79">
        <f>BPU!E794</f>
        <v>0</v>
      </c>
      <c r="G794" s="95">
        <f t="shared" si="17"/>
        <v>0</v>
      </c>
    </row>
    <row r="795" spans="1:7" ht="18.600000000000001" customHeight="1" x14ac:dyDescent="0.3">
      <c r="A795" s="150" t="s">
        <v>1129</v>
      </c>
      <c r="B795" s="50" t="s">
        <v>254</v>
      </c>
      <c r="C795" s="51" t="s">
        <v>17</v>
      </c>
      <c r="D795" s="87" t="s">
        <v>292</v>
      </c>
      <c r="E795" s="126">
        <v>0</v>
      </c>
      <c r="F795" s="79">
        <f>BPU!E795</f>
        <v>0</v>
      </c>
      <c r="G795" s="95">
        <f t="shared" si="17"/>
        <v>0</v>
      </c>
    </row>
    <row r="796" spans="1:7" ht="18.600000000000001" customHeight="1" x14ac:dyDescent="0.3">
      <c r="A796" s="150" t="s">
        <v>1130</v>
      </c>
      <c r="B796" s="50" t="s">
        <v>255</v>
      </c>
      <c r="C796" s="51" t="s">
        <v>17</v>
      </c>
      <c r="D796" s="87" t="s">
        <v>292</v>
      </c>
      <c r="E796" s="126">
        <v>0</v>
      </c>
      <c r="F796" s="79">
        <f>BPU!E796</f>
        <v>0</v>
      </c>
      <c r="G796" s="95">
        <f t="shared" si="17"/>
        <v>0</v>
      </c>
    </row>
    <row r="797" spans="1:7" ht="28.8" customHeight="1" x14ac:dyDescent="0.3">
      <c r="A797" s="150" t="s">
        <v>1131</v>
      </c>
      <c r="B797" s="50" t="s">
        <v>251</v>
      </c>
      <c r="C797" s="51" t="s">
        <v>17</v>
      </c>
      <c r="D797" s="87" t="s">
        <v>292</v>
      </c>
      <c r="E797" s="126">
        <v>0</v>
      </c>
      <c r="F797" s="79">
        <f>BPU!E797</f>
        <v>0</v>
      </c>
      <c r="G797" s="95">
        <f t="shared" si="17"/>
        <v>0</v>
      </c>
    </row>
    <row r="798" spans="1:7" x14ac:dyDescent="0.3">
      <c r="A798" s="150" t="s">
        <v>1132</v>
      </c>
      <c r="B798" s="50" t="s">
        <v>256</v>
      </c>
      <c r="C798" s="51" t="s">
        <v>181</v>
      </c>
      <c r="D798" s="87" t="s">
        <v>292</v>
      </c>
      <c r="E798" s="126">
        <v>0</v>
      </c>
      <c r="F798" s="79">
        <f>BPU!E798</f>
        <v>0</v>
      </c>
      <c r="G798" s="95">
        <f t="shared" si="17"/>
        <v>0</v>
      </c>
    </row>
    <row r="799" spans="1:7" x14ac:dyDescent="0.3">
      <c r="A799" s="150" t="s">
        <v>1133</v>
      </c>
      <c r="B799" s="50" t="s">
        <v>258</v>
      </c>
      <c r="C799" s="51" t="s">
        <v>17</v>
      </c>
      <c r="D799" s="87" t="s">
        <v>292</v>
      </c>
      <c r="E799" s="126">
        <v>0</v>
      </c>
      <c r="F799" s="79">
        <f>BPU!E799</f>
        <v>0</v>
      </c>
      <c r="G799" s="95">
        <f t="shared" si="17"/>
        <v>0</v>
      </c>
    </row>
    <row r="800" spans="1:7" ht="18.600000000000001" customHeight="1" x14ac:dyDescent="0.3">
      <c r="A800" s="150" t="s">
        <v>1134</v>
      </c>
      <c r="B800" s="50" t="s">
        <v>193</v>
      </c>
      <c r="C800" s="51" t="s">
        <v>181</v>
      </c>
      <c r="D800" s="87" t="s">
        <v>292</v>
      </c>
      <c r="E800" s="126">
        <v>0</v>
      </c>
      <c r="F800" s="79">
        <f>BPU!E800</f>
        <v>0</v>
      </c>
      <c r="G800" s="95">
        <f t="shared" si="17"/>
        <v>0</v>
      </c>
    </row>
    <row r="801" spans="1:7" x14ac:dyDescent="0.3">
      <c r="A801" s="150" t="s">
        <v>1135</v>
      </c>
      <c r="B801" s="50" t="s">
        <v>192</v>
      </c>
      <c r="C801" s="51" t="s">
        <v>181</v>
      </c>
      <c r="D801" s="87" t="s">
        <v>292</v>
      </c>
      <c r="E801" s="126">
        <v>0</v>
      </c>
      <c r="F801" s="79">
        <f>BPU!E801</f>
        <v>0</v>
      </c>
      <c r="G801" s="95">
        <f t="shared" si="17"/>
        <v>0</v>
      </c>
    </row>
    <row r="802" spans="1:7" ht="28.8" x14ac:dyDescent="0.3">
      <c r="A802" s="150" t="s">
        <v>1136</v>
      </c>
      <c r="B802" s="50" t="s">
        <v>260</v>
      </c>
      <c r="C802" s="51" t="s">
        <v>181</v>
      </c>
      <c r="D802" s="87" t="s">
        <v>292</v>
      </c>
      <c r="E802" s="126">
        <v>0</v>
      </c>
      <c r="F802" s="79">
        <f>BPU!E802</f>
        <v>0</v>
      </c>
      <c r="G802" s="95">
        <f t="shared" si="17"/>
        <v>0</v>
      </c>
    </row>
    <row r="803" spans="1:7" ht="18.600000000000001" customHeight="1" x14ac:dyDescent="0.3">
      <c r="A803" s="52" t="s">
        <v>1137</v>
      </c>
      <c r="B803" s="46" t="s">
        <v>177</v>
      </c>
      <c r="C803" s="52"/>
      <c r="D803" s="87"/>
      <c r="E803" s="126"/>
      <c r="F803" s="79">
        <f>BPU!E803</f>
        <v>0</v>
      </c>
      <c r="G803" s="95">
        <f t="shared" si="17"/>
        <v>0</v>
      </c>
    </row>
    <row r="804" spans="1:7" ht="18.600000000000001" customHeight="1" x14ac:dyDescent="0.3">
      <c r="A804" s="150" t="s">
        <v>1138</v>
      </c>
      <c r="B804" s="50" t="s">
        <v>182</v>
      </c>
      <c r="C804" s="51" t="s">
        <v>181</v>
      </c>
      <c r="D804" s="87" t="s">
        <v>292</v>
      </c>
      <c r="E804" s="126">
        <v>0</v>
      </c>
      <c r="F804" s="79">
        <f>BPU!E804</f>
        <v>0</v>
      </c>
      <c r="G804" s="95">
        <f t="shared" si="17"/>
        <v>0</v>
      </c>
    </row>
    <row r="805" spans="1:7" ht="28.8" x14ac:dyDescent="0.3">
      <c r="A805" s="150" t="s">
        <v>1139</v>
      </c>
      <c r="B805" s="50" t="s">
        <v>1273</v>
      </c>
      <c r="C805" s="51" t="s">
        <v>181</v>
      </c>
      <c r="D805" s="87" t="s">
        <v>292</v>
      </c>
      <c r="E805" s="126">
        <v>415.1</v>
      </c>
      <c r="F805" s="79">
        <f>BPU!E805</f>
        <v>0</v>
      </c>
      <c r="G805" s="95">
        <f t="shared" si="17"/>
        <v>0</v>
      </c>
    </row>
    <row r="806" spans="1:7" x14ac:dyDescent="0.3">
      <c r="A806" s="150" t="s">
        <v>1140</v>
      </c>
      <c r="B806" s="50" t="s">
        <v>183</v>
      </c>
      <c r="C806" s="51" t="s">
        <v>181</v>
      </c>
      <c r="D806" s="87" t="s">
        <v>292</v>
      </c>
      <c r="E806" s="126">
        <v>154</v>
      </c>
      <c r="F806" s="79">
        <f>BPU!E806</f>
        <v>0</v>
      </c>
      <c r="G806" s="95">
        <f t="shared" si="17"/>
        <v>0</v>
      </c>
    </row>
    <row r="807" spans="1:7" x14ac:dyDescent="0.3">
      <c r="A807" s="150" t="s">
        <v>1141</v>
      </c>
      <c r="B807" s="50" t="s">
        <v>184</v>
      </c>
      <c r="C807" s="51" t="s">
        <v>181</v>
      </c>
      <c r="D807" s="87" t="s">
        <v>292</v>
      </c>
      <c r="E807" s="126">
        <f>14*2.1*0.9*2</f>
        <v>52.92</v>
      </c>
      <c r="F807" s="79">
        <f>BPU!E807</f>
        <v>0</v>
      </c>
      <c r="G807" s="95">
        <f t="shared" si="17"/>
        <v>0</v>
      </c>
    </row>
    <row r="808" spans="1:7" x14ac:dyDescent="0.3">
      <c r="A808" s="150" t="s">
        <v>1142</v>
      </c>
      <c r="B808" s="50" t="s">
        <v>185</v>
      </c>
      <c r="C808" s="51" t="s">
        <v>181</v>
      </c>
      <c r="D808" s="87" t="s">
        <v>292</v>
      </c>
      <c r="E808" s="126">
        <v>25.2</v>
      </c>
      <c r="F808" s="79">
        <f>BPU!E808</f>
        <v>0</v>
      </c>
      <c r="G808" s="95">
        <f t="shared" si="17"/>
        <v>0</v>
      </c>
    </row>
    <row r="809" spans="1:7" x14ac:dyDescent="0.3">
      <c r="A809" s="52" t="s">
        <v>1143</v>
      </c>
      <c r="B809" s="46" t="s">
        <v>304</v>
      </c>
      <c r="C809" s="51"/>
      <c r="D809" s="87"/>
      <c r="E809" s="126"/>
      <c r="F809" s="79">
        <f>BPU!E809</f>
        <v>0</v>
      </c>
      <c r="G809" s="95">
        <f t="shared" si="17"/>
        <v>0</v>
      </c>
    </row>
    <row r="810" spans="1:7" ht="28.8" x14ac:dyDescent="0.3">
      <c r="A810" s="150" t="s">
        <v>1144</v>
      </c>
      <c r="B810" s="50" t="s">
        <v>305</v>
      </c>
      <c r="C810" s="51" t="s">
        <v>197</v>
      </c>
      <c r="D810" s="87" t="s">
        <v>292</v>
      </c>
      <c r="E810" s="126">
        <v>0</v>
      </c>
      <c r="F810" s="79">
        <f>BPU!E810</f>
        <v>0</v>
      </c>
      <c r="G810" s="95">
        <f t="shared" si="17"/>
        <v>0</v>
      </c>
    </row>
    <row r="811" spans="1:7" ht="28.8" x14ac:dyDescent="0.3">
      <c r="A811" s="150" t="s">
        <v>1145</v>
      </c>
      <c r="B811" s="50" t="s">
        <v>306</v>
      </c>
      <c r="C811" s="51" t="s">
        <v>197</v>
      </c>
      <c r="D811" s="87" t="s">
        <v>292</v>
      </c>
      <c r="E811" s="126">
        <v>0</v>
      </c>
      <c r="F811" s="79">
        <f>BPU!E811</f>
        <v>0</v>
      </c>
      <c r="G811" s="95">
        <f t="shared" ref="G811:G875" si="18">E811*F811</f>
        <v>0</v>
      </c>
    </row>
    <row r="812" spans="1:7" ht="28.8" x14ac:dyDescent="0.3">
      <c r="A812" s="150" t="s">
        <v>1146</v>
      </c>
      <c r="B812" s="50" t="s">
        <v>307</v>
      </c>
      <c r="C812" s="51" t="s">
        <v>197</v>
      </c>
      <c r="D812" s="87" t="s">
        <v>292</v>
      </c>
      <c r="E812" s="126">
        <v>0</v>
      </c>
      <c r="F812" s="79">
        <f>BPU!E812</f>
        <v>0</v>
      </c>
      <c r="G812" s="95">
        <f t="shared" si="18"/>
        <v>0</v>
      </c>
    </row>
    <row r="813" spans="1:7" ht="28.8" x14ac:dyDescent="0.3">
      <c r="A813" s="150" t="s">
        <v>1147</v>
      </c>
      <c r="B813" s="50" t="s">
        <v>308</v>
      </c>
      <c r="C813" s="51" t="s">
        <v>197</v>
      </c>
      <c r="D813" s="87" t="s">
        <v>292</v>
      </c>
      <c r="E813" s="126">
        <v>0</v>
      </c>
      <c r="F813" s="79">
        <f>BPU!E813</f>
        <v>0</v>
      </c>
      <c r="G813" s="95">
        <f t="shared" si="18"/>
        <v>0</v>
      </c>
    </row>
    <row r="814" spans="1:7" ht="28.8" x14ac:dyDescent="0.3">
      <c r="A814" s="150" t="s">
        <v>1148</v>
      </c>
      <c r="B814" s="50" t="s">
        <v>309</v>
      </c>
      <c r="C814" s="51" t="s">
        <v>197</v>
      </c>
      <c r="D814" s="87" t="s">
        <v>292</v>
      </c>
      <c r="E814" s="126">
        <v>0</v>
      </c>
      <c r="F814" s="79">
        <f>BPU!E814</f>
        <v>0</v>
      </c>
      <c r="G814" s="95">
        <f t="shared" si="18"/>
        <v>0</v>
      </c>
    </row>
    <row r="815" spans="1:7" ht="28.8" x14ac:dyDescent="0.3">
      <c r="A815" s="150" t="s">
        <v>1149</v>
      </c>
      <c r="B815" s="50" t="s">
        <v>310</v>
      </c>
      <c r="C815" s="51" t="s">
        <v>197</v>
      </c>
      <c r="D815" s="87" t="s">
        <v>292</v>
      </c>
      <c r="E815" s="126">
        <v>0</v>
      </c>
      <c r="F815" s="79">
        <f>BPU!E815</f>
        <v>0</v>
      </c>
      <c r="G815" s="95">
        <f t="shared" si="18"/>
        <v>0</v>
      </c>
    </row>
    <row r="816" spans="1:7" ht="28.8" x14ac:dyDescent="0.3">
      <c r="A816" s="150" t="s">
        <v>1150</v>
      </c>
      <c r="B816" s="50" t="s">
        <v>311</v>
      </c>
      <c r="C816" s="51" t="s">
        <v>197</v>
      </c>
      <c r="D816" s="87" t="s">
        <v>292</v>
      </c>
      <c r="E816" s="126">
        <v>0</v>
      </c>
      <c r="F816" s="79">
        <f>BPU!E816</f>
        <v>0</v>
      </c>
      <c r="G816" s="95">
        <f t="shared" si="18"/>
        <v>0</v>
      </c>
    </row>
    <row r="817" spans="1:23" ht="28.2" customHeight="1" x14ac:dyDescent="0.3">
      <c r="A817" s="150" t="s">
        <v>1151</v>
      </c>
      <c r="B817" s="50" t="s">
        <v>313</v>
      </c>
      <c r="C817" s="51" t="s">
        <v>17</v>
      </c>
      <c r="D817" s="87" t="s">
        <v>292</v>
      </c>
      <c r="E817" s="126">
        <v>0</v>
      </c>
      <c r="F817" s="79">
        <f>BPU!E817</f>
        <v>0</v>
      </c>
      <c r="G817" s="95">
        <f t="shared" si="18"/>
        <v>0</v>
      </c>
    </row>
    <row r="818" spans="1:23" ht="25.2" customHeight="1" thickBot="1" x14ac:dyDescent="0.35">
      <c r="A818" s="150" t="s">
        <v>1152</v>
      </c>
      <c r="B818" s="50" t="s">
        <v>312</v>
      </c>
      <c r="C818" s="51" t="s">
        <v>17</v>
      </c>
      <c r="D818" s="87" t="s">
        <v>292</v>
      </c>
      <c r="E818" s="126">
        <v>32</v>
      </c>
      <c r="F818" s="79">
        <f>BPU!E818</f>
        <v>0</v>
      </c>
      <c r="G818" s="95">
        <f t="shared" si="18"/>
        <v>0</v>
      </c>
    </row>
    <row r="819" spans="1:23" s="98" customFormat="1" ht="15" thickBot="1" x14ac:dyDescent="0.35">
      <c r="A819" s="52"/>
      <c r="B819" s="96" t="s">
        <v>397</v>
      </c>
      <c r="C819" s="97"/>
      <c r="D819" s="97"/>
      <c r="E819" s="128"/>
      <c r="F819" s="145">
        <f>BPU!E819</f>
        <v>0</v>
      </c>
      <c r="G819" s="146">
        <f>SUM(G777:G818)</f>
        <v>0</v>
      </c>
      <c r="H819" s="138"/>
      <c r="J819" s="99"/>
      <c r="K819" s="75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100"/>
      <c r="W819" s="100"/>
    </row>
    <row r="820" spans="1:23" s="58" customFormat="1" ht="16.8" customHeight="1" x14ac:dyDescent="0.3">
      <c r="A820" s="70" t="s">
        <v>91</v>
      </c>
      <c r="B820" s="70" t="s">
        <v>303</v>
      </c>
      <c r="C820" s="52"/>
      <c r="D820" s="87"/>
      <c r="E820" s="126"/>
      <c r="F820" s="79">
        <f>BPU!E820</f>
        <v>0</v>
      </c>
      <c r="G820" s="95">
        <f t="shared" si="18"/>
        <v>0</v>
      </c>
      <c r="H820" s="136"/>
    </row>
    <row r="821" spans="1:23" ht="28.8" x14ac:dyDescent="0.3">
      <c r="A821" s="150" t="s">
        <v>93</v>
      </c>
      <c r="B821" s="61" t="s">
        <v>316</v>
      </c>
      <c r="C821" s="52" t="s">
        <v>79</v>
      </c>
      <c r="D821" s="87" t="s">
        <v>158</v>
      </c>
      <c r="E821" s="126">
        <v>1</v>
      </c>
      <c r="F821" s="79">
        <f>BPU!E821</f>
        <v>0</v>
      </c>
      <c r="G821" s="95">
        <f t="shared" si="18"/>
        <v>0</v>
      </c>
      <c r="H821" s="139"/>
    </row>
    <row r="822" spans="1:23" x14ac:dyDescent="0.3">
      <c r="A822" s="150" t="s">
        <v>94</v>
      </c>
      <c r="B822" s="52" t="s">
        <v>346</v>
      </c>
      <c r="C822" s="52" t="s">
        <v>17</v>
      </c>
      <c r="D822" s="87" t="s">
        <v>292</v>
      </c>
      <c r="E822" s="126">
        <f>(28+6+17+17+17+104+50)*2*0.5</f>
        <v>239</v>
      </c>
      <c r="F822" s="79">
        <f>BPU!E822</f>
        <v>0</v>
      </c>
      <c r="G822" s="95">
        <f t="shared" si="18"/>
        <v>0</v>
      </c>
    </row>
    <row r="823" spans="1:23" x14ac:dyDescent="0.3">
      <c r="A823" s="150" t="s">
        <v>101</v>
      </c>
      <c r="B823" s="52" t="s">
        <v>345</v>
      </c>
      <c r="C823" s="52" t="s">
        <v>17</v>
      </c>
      <c r="D823" s="87" t="s">
        <v>292</v>
      </c>
      <c r="E823" s="126">
        <v>50</v>
      </c>
      <c r="F823" s="79">
        <f>BPU!E823</f>
        <v>0</v>
      </c>
      <c r="G823" s="95">
        <f t="shared" si="18"/>
        <v>0</v>
      </c>
      <c r="H823" s="139"/>
    </row>
    <row r="824" spans="1:23" x14ac:dyDescent="0.3">
      <c r="A824" s="150" t="s">
        <v>102</v>
      </c>
      <c r="B824" s="61" t="s">
        <v>325</v>
      </c>
      <c r="C824" s="52" t="s">
        <v>197</v>
      </c>
      <c r="D824" s="87" t="s">
        <v>292</v>
      </c>
      <c r="E824" s="126">
        <v>50</v>
      </c>
      <c r="F824" s="79">
        <f>BPU!E824</f>
        <v>0</v>
      </c>
      <c r="G824" s="95">
        <f t="shared" si="18"/>
        <v>0</v>
      </c>
    </row>
    <row r="825" spans="1:23" x14ac:dyDescent="0.3">
      <c r="A825" s="150" t="s">
        <v>103</v>
      </c>
      <c r="B825" s="61" t="s">
        <v>340</v>
      </c>
      <c r="C825" s="52" t="s">
        <v>197</v>
      </c>
      <c r="D825" s="87" t="s">
        <v>292</v>
      </c>
      <c r="E825" s="126">
        <v>1</v>
      </c>
      <c r="F825" s="79">
        <f>BPU!E825</f>
        <v>0</v>
      </c>
      <c r="G825" s="95">
        <f t="shared" si="18"/>
        <v>0</v>
      </c>
    </row>
    <row r="826" spans="1:23" ht="43.2" x14ac:dyDescent="0.3">
      <c r="A826" s="150" t="s">
        <v>104</v>
      </c>
      <c r="B826" s="61" t="s">
        <v>341</v>
      </c>
      <c r="C826" s="52" t="s">
        <v>197</v>
      </c>
      <c r="D826" s="87" t="s">
        <v>292</v>
      </c>
      <c r="E826" s="126">
        <v>0</v>
      </c>
      <c r="F826" s="79">
        <f>BPU!E826</f>
        <v>0</v>
      </c>
      <c r="G826" s="95">
        <f t="shared" si="18"/>
        <v>0</v>
      </c>
    </row>
    <row r="827" spans="1:23" ht="43.2" x14ac:dyDescent="0.3">
      <c r="A827" s="150" t="s">
        <v>1153</v>
      </c>
      <c r="B827" s="68" t="s">
        <v>342</v>
      </c>
      <c r="C827" s="52" t="s">
        <v>197</v>
      </c>
      <c r="D827" s="87" t="s">
        <v>292</v>
      </c>
      <c r="E827" s="126">
        <v>2</v>
      </c>
      <c r="F827" s="79">
        <f>BPU!E827</f>
        <v>0</v>
      </c>
      <c r="G827" s="95">
        <f t="shared" si="18"/>
        <v>0</v>
      </c>
    </row>
    <row r="828" spans="1:23" ht="43.2" x14ac:dyDescent="0.3">
      <c r="A828" s="150" t="s">
        <v>1154</v>
      </c>
      <c r="B828" s="68" t="s">
        <v>343</v>
      </c>
      <c r="C828" s="52" t="s">
        <v>197</v>
      </c>
      <c r="D828" s="87" t="s">
        <v>292</v>
      </c>
      <c r="E828" s="126">
        <v>0</v>
      </c>
      <c r="F828" s="79">
        <f>BPU!E828</f>
        <v>0</v>
      </c>
      <c r="G828" s="95">
        <f t="shared" si="18"/>
        <v>0</v>
      </c>
    </row>
    <row r="829" spans="1:23" x14ac:dyDescent="0.3">
      <c r="A829" s="150" t="s">
        <v>1155</v>
      </c>
      <c r="B829" s="61" t="s">
        <v>318</v>
      </c>
      <c r="C829" s="52" t="s">
        <v>317</v>
      </c>
      <c r="D829" s="87" t="s">
        <v>292</v>
      </c>
      <c r="E829" s="126">
        <v>1</v>
      </c>
      <c r="F829" s="79">
        <f>BPU!E829</f>
        <v>0</v>
      </c>
      <c r="G829" s="95">
        <f t="shared" si="18"/>
        <v>0</v>
      </c>
    </row>
    <row r="830" spans="1:23" ht="29.4" thickBot="1" x14ac:dyDescent="0.35">
      <c r="A830" s="150" t="s">
        <v>1156</v>
      </c>
      <c r="B830" s="61" t="s">
        <v>344</v>
      </c>
      <c r="C830" s="52" t="s">
        <v>197</v>
      </c>
      <c r="D830" s="87" t="s">
        <v>292</v>
      </c>
      <c r="E830" s="126">
        <v>2</v>
      </c>
      <c r="F830" s="79">
        <f>BPU!E830</f>
        <v>0</v>
      </c>
      <c r="G830" s="95">
        <f t="shared" si="18"/>
        <v>0</v>
      </c>
    </row>
    <row r="831" spans="1:23" s="98" customFormat="1" ht="15" thickBot="1" x14ac:dyDescent="0.35">
      <c r="A831" s="52"/>
      <c r="B831" s="96" t="s">
        <v>398</v>
      </c>
      <c r="C831" s="97"/>
      <c r="D831" s="97"/>
      <c r="E831" s="128"/>
      <c r="F831" s="145">
        <f>BPU!E831</f>
        <v>0</v>
      </c>
      <c r="G831" s="146">
        <f>SUM(G821:G830)</f>
        <v>0</v>
      </c>
      <c r="H831" s="138"/>
      <c r="J831" s="99"/>
      <c r="K831" s="75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100"/>
      <c r="W831" s="100"/>
    </row>
    <row r="832" spans="1:23" s="58" customFormat="1" ht="16.8" customHeight="1" x14ac:dyDescent="0.3">
      <c r="A832" s="70" t="s">
        <v>105</v>
      </c>
      <c r="B832" s="70" t="s">
        <v>301</v>
      </c>
      <c r="C832" s="52"/>
      <c r="D832" s="87"/>
      <c r="E832" s="126"/>
      <c r="F832" s="79">
        <f>BPU!E832</f>
        <v>0</v>
      </c>
      <c r="G832" s="95">
        <f t="shared" si="18"/>
        <v>0</v>
      </c>
      <c r="H832" s="136"/>
    </row>
    <row r="833" spans="1:23" x14ac:dyDescent="0.3">
      <c r="A833" s="150" t="s">
        <v>107</v>
      </c>
      <c r="B833" s="61" t="s">
        <v>298</v>
      </c>
      <c r="C833" s="52" t="s">
        <v>79</v>
      </c>
      <c r="D833" s="87" t="s">
        <v>158</v>
      </c>
      <c r="E833" s="126">
        <v>0</v>
      </c>
      <c r="F833" s="79">
        <f>BPU!E833</f>
        <v>0</v>
      </c>
      <c r="G833" s="95">
        <f t="shared" si="18"/>
        <v>0</v>
      </c>
    </row>
    <row r="834" spans="1:23" x14ac:dyDescent="0.3">
      <c r="A834" s="150" t="s">
        <v>128</v>
      </c>
      <c r="B834" s="61" t="s">
        <v>299</v>
      </c>
      <c r="C834" s="52" t="s">
        <v>17</v>
      </c>
      <c r="D834" s="87" t="s">
        <v>292</v>
      </c>
      <c r="E834" s="126">
        <f>+(30+20+60)*2+50+10</f>
        <v>280</v>
      </c>
      <c r="F834" s="79">
        <f>BPU!E834</f>
        <v>0</v>
      </c>
      <c r="G834" s="95">
        <f t="shared" si="18"/>
        <v>0</v>
      </c>
    </row>
    <row r="835" spans="1:23" ht="16.2" x14ac:dyDescent="0.3">
      <c r="A835" s="150" t="s">
        <v>129</v>
      </c>
      <c r="B835" s="61" t="s">
        <v>335</v>
      </c>
      <c r="C835" s="52" t="s">
        <v>110</v>
      </c>
      <c r="D835" s="87" t="s">
        <v>292</v>
      </c>
      <c r="E835" s="126">
        <v>1</v>
      </c>
      <c r="F835" s="79">
        <f>BPU!E835</f>
        <v>0</v>
      </c>
      <c r="G835" s="95">
        <f t="shared" si="18"/>
        <v>0</v>
      </c>
    </row>
    <row r="836" spans="1:23" ht="16.2" x14ac:dyDescent="0.3">
      <c r="A836" s="150" t="s">
        <v>130</v>
      </c>
      <c r="B836" s="61" t="s">
        <v>336</v>
      </c>
      <c r="C836" s="52" t="s">
        <v>110</v>
      </c>
      <c r="D836" s="87" t="s">
        <v>292</v>
      </c>
      <c r="E836" s="126">
        <v>0</v>
      </c>
      <c r="F836" s="79">
        <f>BPU!E836</f>
        <v>0</v>
      </c>
      <c r="G836" s="95">
        <f t="shared" si="18"/>
        <v>0</v>
      </c>
    </row>
    <row r="837" spans="1:23" ht="15" thickBot="1" x14ac:dyDescent="0.35">
      <c r="A837" s="150" t="s">
        <v>1157</v>
      </c>
      <c r="B837" s="61" t="s">
        <v>300</v>
      </c>
      <c r="C837" s="52" t="s">
        <v>110</v>
      </c>
      <c r="D837" s="87" t="s">
        <v>292</v>
      </c>
      <c r="E837" s="126">
        <v>0</v>
      </c>
      <c r="F837" s="79">
        <f>BPU!E837</f>
        <v>0</v>
      </c>
      <c r="G837" s="95">
        <f t="shared" si="18"/>
        <v>0</v>
      </c>
      <c r="H837" s="139"/>
    </row>
    <row r="838" spans="1:23" s="98" customFormat="1" ht="15" thickBot="1" x14ac:dyDescent="0.35">
      <c r="A838" s="52"/>
      <c r="B838" s="96" t="s">
        <v>399</v>
      </c>
      <c r="C838" s="97"/>
      <c r="D838" s="97"/>
      <c r="E838" s="128"/>
      <c r="F838" s="145">
        <f>BPU!E838</f>
        <v>0</v>
      </c>
      <c r="G838" s="146">
        <f>SUM(G833:G837)</f>
        <v>0</v>
      </c>
      <c r="H838" s="138"/>
      <c r="J838" s="99"/>
      <c r="K838" s="75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100"/>
      <c r="W838" s="100"/>
    </row>
    <row r="839" spans="1:23" s="58" customFormat="1" ht="16.8" customHeight="1" x14ac:dyDescent="0.3">
      <c r="A839" s="70" t="s">
        <v>112</v>
      </c>
      <c r="B839" s="70" t="s">
        <v>302</v>
      </c>
      <c r="C839" s="52"/>
      <c r="D839" s="87"/>
      <c r="E839" s="126"/>
      <c r="F839" s="79">
        <f>BPU!E839</f>
        <v>0</v>
      </c>
      <c r="G839" s="95">
        <f t="shared" si="18"/>
        <v>0</v>
      </c>
      <c r="H839" s="136"/>
    </row>
    <row r="840" spans="1:23" x14ac:dyDescent="0.3">
      <c r="A840" s="150" t="s">
        <v>131</v>
      </c>
      <c r="B840" s="52" t="s">
        <v>319</v>
      </c>
      <c r="C840" s="52" t="s">
        <v>17</v>
      </c>
      <c r="D840" s="87" t="s">
        <v>292</v>
      </c>
      <c r="E840" s="126">
        <f>115*2*0.5</f>
        <v>115</v>
      </c>
      <c r="F840" s="79">
        <f>BPU!E840</f>
        <v>0</v>
      </c>
      <c r="G840" s="95">
        <f t="shared" si="18"/>
        <v>0</v>
      </c>
    </row>
    <row r="841" spans="1:23" x14ac:dyDescent="0.3">
      <c r="A841" s="150" t="s">
        <v>1158</v>
      </c>
      <c r="B841" s="52" t="s">
        <v>324</v>
      </c>
      <c r="C841" s="52" t="s">
        <v>17</v>
      </c>
      <c r="D841" s="87" t="s">
        <v>292</v>
      </c>
      <c r="E841" s="126">
        <v>0</v>
      </c>
      <c r="F841" s="79">
        <f>BPU!E841</f>
        <v>0</v>
      </c>
      <c r="G841" s="95">
        <f t="shared" si="18"/>
        <v>0</v>
      </c>
    </row>
    <row r="842" spans="1:23" x14ac:dyDescent="0.3">
      <c r="A842" s="150" t="s">
        <v>1159</v>
      </c>
      <c r="B842" s="52" t="s">
        <v>323</v>
      </c>
      <c r="C842" s="52" t="s">
        <v>317</v>
      </c>
      <c r="D842" s="87" t="s">
        <v>292</v>
      </c>
      <c r="E842" s="126">
        <v>10</v>
      </c>
      <c r="F842" s="79">
        <f>BPU!E842</f>
        <v>0</v>
      </c>
      <c r="G842" s="95">
        <f t="shared" si="18"/>
        <v>0</v>
      </c>
    </row>
    <row r="843" spans="1:23" x14ac:dyDescent="0.3">
      <c r="A843" s="150" t="s">
        <v>1160</v>
      </c>
      <c r="B843" s="52" t="s">
        <v>355</v>
      </c>
      <c r="C843" s="52" t="s">
        <v>317</v>
      </c>
      <c r="D843" s="87" t="s">
        <v>292</v>
      </c>
      <c r="E843" s="126">
        <v>0</v>
      </c>
      <c r="F843" s="79">
        <f>BPU!E843</f>
        <v>0</v>
      </c>
      <c r="G843" s="95">
        <f t="shared" si="18"/>
        <v>0</v>
      </c>
    </row>
    <row r="844" spans="1:23" x14ac:dyDescent="0.3">
      <c r="A844" s="150" t="s">
        <v>1161</v>
      </c>
      <c r="B844" s="52" t="s">
        <v>321</v>
      </c>
      <c r="C844" s="52" t="s">
        <v>317</v>
      </c>
      <c r="D844" s="87" t="s">
        <v>292</v>
      </c>
      <c r="E844" s="126">
        <v>2</v>
      </c>
      <c r="F844" s="79">
        <f>BPU!E844</f>
        <v>0</v>
      </c>
      <c r="G844" s="95">
        <f t="shared" si="18"/>
        <v>0</v>
      </c>
    </row>
    <row r="845" spans="1:23" x14ac:dyDescent="0.3">
      <c r="A845" s="150" t="s">
        <v>1162</v>
      </c>
      <c r="B845" s="52" t="s">
        <v>322</v>
      </c>
      <c r="C845" s="52" t="s">
        <v>317</v>
      </c>
      <c r="D845" s="87" t="s">
        <v>292</v>
      </c>
      <c r="E845" s="126">
        <v>0</v>
      </c>
      <c r="F845" s="79">
        <f>BPU!E845</f>
        <v>0</v>
      </c>
      <c r="G845" s="95">
        <f t="shared" si="18"/>
        <v>0</v>
      </c>
    </row>
    <row r="846" spans="1:23" ht="31.2" thickBot="1" x14ac:dyDescent="0.35">
      <c r="A846" s="150" t="s">
        <v>1163</v>
      </c>
      <c r="B846" s="61" t="s">
        <v>337</v>
      </c>
      <c r="C846" s="52" t="s">
        <v>197</v>
      </c>
      <c r="D846" s="87" t="s">
        <v>292</v>
      </c>
      <c r="E846" s="126">
        <v>5</v>
      </c>
      <c r="F846" s="79">
        <f>BPU!E846</f>
        <v>0</v>
      </c>
      <c r="G846" s="95">
        <f t="shared" si="18"/>
        <v>0</v>
      </c>
      <c r="J846" s="74"/>
    </row>
    <row r="847" spans="1:23" s="98" customFormat="1" ht="15" thickBot="1" x14ac:dyDescent="0.35">
      <c r="A847" s="52"/>
      <c r="B847" s="96" t="s">
        <v>400</v>
      </c>
      <c r="C847" s="97"/>
      <c r="D847" s="97"/>
      <c r="E847" s="128"/>
      <c r="F847" s="145">
        <f>BPU!E847</f>
        <v>0</v>
      </c>
      <c r="G847" s="146">
        <f>SUM(G840:G846)</f>
        <v>0</v>
      </c>
      <c r="H847" s="138"/>
      <c r="J847" s="99"/>
      <c r="K847" s="75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100"/>
      <c r="W847" s="100"/>
    </row>
    <row r="848" spans="1:23" s="58" customFormat="1" ht="16.8" customHeight="1" x14ac:dyDescent="0.3">
      <c r="A848" s="70" t="s">
        <v>115</v>
      </c>
      <c r="B848" s="70" t="s">
        <v>116</v>
      </c>
      <c r="C848" s="52"/>
      <c r="D848" s="87"/>
      <c r="E848" s="126"/>
      <c r="F848" s="79">
        <f>BPU!E848</f>
        <v>0</v>
      </c>
      <c r="G848" s="95">
        <f t="shared" si="18"/>
        <v>0</v>
      </c>
      <c r="H848" s="136"/>
    </row>
    <row r="849" spans="1:8" ht="18.600000000000001" customHeight="1" x14ac:dyDescent="0.3">
      <c r="A849" s="52" t="s">
        <v>119</v>
      </c>
      <c r="B849" s="46" t="s">
        <v>208</v>
      </c>
      <c r="C849" s="51"/>
      <c r="D849" s="87"/>
      <c r="E849" s="126"/>
      <c r="F849" s="79">
        <f>BPU!E849</f>
        <v>0</v>
      </c>
      <c r="G849" s="95">
        <f t="shared" si="18"/>
        <v>0</v>
      </c>
    </row>
    <row r="850" spans="1:8" ht="18.600000000000001" customHeight="1" x14ac:dyDescent="0.3">
      <c r="A850" s="150" t="s">
        <v>1164</v>
      </c>
      <c r="B850" s="52" t="s">
        <v>211</v>
      </c>
      <c r="C850" s="51" t="s">
        <v>230</v>
      </c>
      <c r="D850" s="87" t="s">
        <v>292</v>
      </c>
      <c r="E850" s="126">
        <v>0</v>
      </c>
      <c r="F850" s="79">
        <f>BPU!E850</f>
        <v>0</v>
      </c>
      <c r="G850" s="95">
        <f t="shared" si="18"/>
        <v>0</v>
      </c>
    </row>
    <row r="851" spans="1:8" ht="18.600000000000001" customHeight="1" x14ac:dyDescent="0.3">
      <c r="A851" s="150" t="s">
        <v>1165</v>
      </c>
      <c r="B851" s="52" t="s">
        <v>326</v>
      </c>
      <c r="C851" s="51" t="s">
        <v>230</v>
      </c>
      <c r="D851" s="87" t="s">
        <v>292</v>
      </c>
      <c r="E851" s="126">
        <v>0</v>
      </c>
      <c r="F851" s="79">
        <f>BPU!E851</f>
        <v>0</v>
      </c>
      <c r="G851" s="95">
        <f t="shared" si="18"/>
        <v>0</v>
      </c>
    </row>
    <row r="852" spans="1:8" ht="18.600000000000001" customHeight="1" x14ac:dyDescent="0.3">
      <c r="A852" s="52" t="s">
        <v>1166</v>
      </c>
      <c r="B852" s="46" t="s">
        <v>168</v>
      </c>
      <c r="C852" s="52"/>
      <c r="D852" s="87"/>
      <c r="E852" s="126"/>
      <c r="F852" s="79">
        <f>BPU!E852</f>
        <v>0</v>
      </c>
      <c r="G852" s="95">
        <f t="shared" si="18"/>
        <v>0</v>
      </c>
    </row>
    <row r="853" spans="1:8" s="65" customFormat="1" ht="18.600000000000001" customHeight="1" x14ac:dyDescent="0.3">
      <c r="A853" s="150" t="s">
        <v>1167</v>
      </c>
      <c r="B853" s="50" t="s">
        <v>213</v>
      </c>
      <c r="C853" s="51" t="s">
        <v>230</v>
      </c>
      <c r="D853" s="88" t="s">
        <v>292</v>
      </c>
      <c r="E853" s="130">
        <v>0</v>
      </c>
      <c r="F853" s="79">
        <f>BPU!E853</f>
        <v>0</v>
      </c>
      <c r="G853" s="95">
        <f t="shared" si="18"/>
        <v>0</v>
      </c>
      <c r="H853" s="66"/>
    </row>
    <row r="854" spans="1:8" s="65" customFormat="1" ht="18.600000000000001" customHeight="1" x14ac:dyDescent="0.3">
      <c r="A854" s="150" t="s">
        <v>1168</v>
      </c>
      <c r="B854" s="50" t="s">
        <v>187</v>
      </c>
      <c r="C854" s="51" t="s">
        <v>230</v>
      </c>
      <c r="D854" s="88" t="s">
        <v>292</v>
      </c>
      <c r="E854" s="130">
        <v>0</v>
      </c>
      <c r="F854" s="79">
        <f>BPU!E854</f>
        <v>0</v>
      </c>
      <c r="G854" s="95">
        <f t="shared" si="18"/>
        <v>0</v>
      </c>
      <c r="H854" s="66"/>
    </row>
    <row r="855" spans="1:8" s="65" customFormat="1" ht="18.600000000000001" customHeight="1" x14ac:dyDescent="0.3">
      <c r="A855" s="150" t="s">
        <v>1169</v>
      </c>
      <c r="B855" s="50" t="s">
        <v>214</v>
      </c>
      <c r="C855" s="51" t="s">
        <v>230</v>
      </c>
      <c r="D855" s="88" t="s">
        <v>292</v>
      </c>
      <c r="E855" s="130">
        <v>0</v>
      </c>
      <c r="F855" s="79">
        <f>BPU!E855</f>
        <v>0</v>
      </c>
      <c r="G855" s="95">
        <f t="shared" si="18"/>
        <v>0</v>
      </c>
      <c r="H855" s="66"/>
    </row>
    <row r="856" spans="1:8" s="65" customFormat="1" ht="33" customHeight="1" x14ac:dyDescent="0.3">
      <c r="A856" s="150" t="s">
        <v>1170</v>
      </c>
      <c r="B856" s="50" t="s">
        <v>215</v>
      </c>
      <c r="C856" s="51" t="s">
        <v>230</v>
      </c>
      <c r="D856" s="88" t="s">
        <v>292</v>
      </c>
      <c r="E856" s="130">
        <v>0</v>
      </c>
      <c r="F856" s="79">
        <f>BPU!E856</f>
        <v>0</v>
      </c>
      <c r="G856" s="95">
        <f t="shared" si="18"/>
        <v>0</v>
      </c>
      <c r="H856" s="66"/>
    </row>
    <row r="857" spans="1:8" ht="18.600000000000001" customHeight="1" x14ac:dyDescent="0.3">
      <c r="A857" s="52" t="s">
        <v>1171</v>
      </c>
      <c r="B857" s="46" t="s">
        <v>169</v>
      </c>
      <c r="C857" s="52"/>
      <c r="D857" s="87"/>
      <c r="E857" s="126"/>
      <c r="F857" s="79">
        <f>BPU!E857</f>
        <v>0</v>
      </c>
      <c r="G857" s="95">
        <f t="shared" si="18"/>
        <v>0</v>
      </c>
    </row>
    <row r="858" spans="1:8" ht="18.600000000000001" customHeight="1" x14ac:dyDescent="0.3">
      <c r="A858" s="150" t="s">
        <v>1172</v>
      </c>
      <c r="B858" s="50" t="s">
        <v>216</v>
      </c>
      <c r="C858" s="51" t="s">
        <v>230</v>
      </c>
      <c r="D858" s="87" t="s">
        <v>292</v>
      </c>
      <c r="E858" s="126">
        <v>0</v>
      </c>
      <c r="F858" s="79">
        <f>BPU!E858</f>
        <v>0</v>
      </c>
      <c r="G858" s="95">
        <f t="shared" si="18"/>
        <v>0</v>
      </c>
    </row>
    <row r="859" spans="1:8" ht="18.600000000000001" customHeight="1" x14ac:dyDescent="0.3">
      <c r="A859" s="150" t="s">
        <v>1173</v>
      </c>
      <c r="B859" s="50" t="s">
        <v>217</v>
      </c>
      <c r="C859" s="51" t="s">
        <v>230</v>
      </c>
      <c r="D859" s="87" t="s">
        <v>292</v>
      </c>
      <c r="E859" s="126">
        <v>0</v>
      </c>
      <c r="F859" s="79">
        <f>BPU!E859</f>
        <v>0</v>
      </c>
      <c r="G859" s="95">
        <f t="shared" si="18"/>
        <v>0</v>
      </c>
    </row>
    <row r="860" spans="1:8" ht="18.600000000000001" customHeight="1" x14ac:dyDescent="0.3">
      <c r="A860" s="150" t="s">
        <v>1174</v>
      </c>
      <c r="B860" s="50" t="s">
        <v>218</v>
      </c>
      <c r="C860" s="51" t="s">
        <v>230</v>
      </c>
      <c r="D860" s="87" t="s">
        <v>292</v>
      </c>
      <c r="E860" s="126">
        <v>0</v>
      </c>
      <c r="F860" s="79">
        <f>BPU!E860</f>
        <v>0</v>
      </c>
      <c r="G860" s="95">
        <f t="shared" si="18"/>
        <v>0</v>
      </c>
    </row>
    <row r="861" spans="1:8" ht="18.600000000000001" customHeight="1" x14ac:dyDescent="0.3">
      <c r="A861" s="150" t="s">
        <v>1175</v>
      </c>
      <c r="B861" s="50" t="s">
        <v>219</v>
      </c>
      <c r="C861" s="51" t="s">
        <v>230</v>
      </c>
      <c r="D861" s="87" t="s">
        <v>292</v>
      </c>
      <c r="E861" s="126">
        <v>0</v>
      </c>
      <c r="F861" s="79">
        <f>BPU!E861</f>
        <v>0</v>
      </c>
      <c r="G861" s="95">
        <f t="shared" si="18"/>
        <v>0</v>
      </c>
    </row>
    <row r="862" spans="1:8" ht="18.600000000000001" customHeight="1" x14ac:dyDescent="0.3">
      <c r="A862" s="150" t="s">
        <v>1176</v>
      </c>
      <c r="B862" s="50" t="s">
        <v>220</v>
      </c>
      <c r="C862" s="51" t="s">
        <v>230</v>
      </c>
      <c r="D862" s="87" t="s">
        <v>292</v>
      </c>
      <c r="E862" s="126">
        <v>0</v>
      </c>
      <c r="F862" s="79">
        <f>BPU!E862</f>
        <v>0</v>
      </c>
      <c r="G862" s="95">
        <f t="shared" si="18"/>
        <v>0</v>
      </c>
    </row>
    <row r="863" spans="1:8" ht="18.600000000000001" customHeight="1" x14ac:dyDescent="0.3">
      <c r="A863" s="150" t="s">
        <v>1177</v>
      </c>
      <c r="B863" s="50" t="s">
        <v>221</v>
      </c>
      <c r="C863" s="51" t="s">
        <v>230</v>
      </c>
      <c r="D863" s="87" t="s">
        <v>292</v>
      </c>
      <c r="E863" s="126">
        <v>0</v>
      </c>
      <c r="F863" s="79">
        <f>BPU!E863</f>
        <v>0</v>
      </c>
      <c r="G863" s="95">
        <f t="shared" si="18"/>
        <v>0</v>
      </c>
    </row>
    <row r="864" spans="1:8" ht="18.600000000000001" customHeight="1" x14ac:dyDescent="0.3">
      <c r="A864" s="150" t="s">
        <v>1178</v>
      </c>
      <c r="B864" s="50" t="s">
        <v>222</v>
      </c>
      <c r="C864" s="51" t="s">
        <v>230</v>
      </c>
      <c r="D864" s="87" t="s">
        <v>292</v>
      </c>
      <c r="E864" s="126">
        <v>0</v>
      </c>
      <c r="F864" s="79">
        <f>BPU!E864</f>
        <v>0</v>
      </c>
      <c r="G864" s="95">
        <f t="shared" si="18"/>
        <v>0</v>
      </c>
    </row>
    <row r="865" spans="1:7" ht="18.600000000000001" customHeight="1" x14ac:dyDescent="0.3">
      <c r="A865" s="52" t="s">
        <v>1179</v>
      </c>
      <c r="B865" s="46" t="s">
        <v>170</v>
      </c>
      <c r="C865" s="52"/>
      <c r="D865" s="87"/>
      <c r="E865" s="126">
        <v>0</v>
      </c>
      <c r="F865" s="79">
        <f>BPU!E865</f>
        <v>0</v>
      </c>
      <c r="G865" s="95">
        <f t="shared" si="18"/>
        <v>0</v>
      </c>
    </row>
    <row r="866" spans="1:7" ht="18.600000000000001" customHeight="1" x14ac:dyDescent="0.3">
      <c r="A866" s="150" t="s">
        <v>1180</v>
      </c>
      <c r="B866" s="50" t="s">
        <v>223</v>
      </c>
      <c r="C866" s="51" t="s">
        <v>230</v>
      </c>
      <c r="D866" s="87" t="s">
        <v>292</v>
      </c>
      <c r="E866" s="126">
        <v>0</v>
      </c>
      <c r="F866" s="79">
        <f>BPU!E866</f>
        <v>0</v>
      </c>
      <c r="G866" s="95">
        <f t="shared" si="18"/>
        <v>0</v>
      </c>
    </row>
    <row r="867" spans="1:7" ht="18.600000000000001" customHeight="1" x14ac:dyDescent="0.3">
      <c r="A867" s="150" t="s">
        <v>1181</v>
      </c>
      <c r="B867" s="50" t="s">
        <v>224</v>
      </c>
      <c r="C867" s="51" t="s">
        <v>230</v>
      </c>
      <c r="D867" s="87" t="s">
        <v>292</v>
      </c>
      <c r="E867" s="126">
        <v>0</v>
      </c>
      <c r="F867" s="79">
        <f>BPU!E867</f>
        <v>0</v>
      </c>
      <c r="G867" s="95">
        <f t="shared" si="18"/>
        <v>0</v>
      </c>
    </row>
    <row r="868" spans="1:7" ht="18.600000000000001" customHeight="1" x14ac:dyDescent="0.3">
      <c r="A868" s="150" t="s">
        <v>1182</v>
      </c>
      <c r="B868" s="50" t="s">
        <v>178</v>
      </c>
      <c r="C868" s="51" t="s">
        <v>230</v>
      </c>
      <c r="D868" s="87" t="s">
        <v>292</v>
      </c>
      <c r="E868" s="126">
        <v>0</v>
      </c>
      <c r="F868" s="79">
        <f>BPU!E868</f>
        <v>0</v>
      </c>
      <c r="G868" s="95">
        <f t="shared" si="18"/>
        <v>0</v>
      </c>
    </row>
    <row r="869" spans="1:7" ht="18.600000000000001" customHeight="1" x14ac:dyDescent="0.3">
      <c r="A869" s="52" t="s">
        <v>1183</v>
      </c>
      <c r="B869" s="46" t="s">
        <v>171</v>
      </c>
      <c r="C869" s="52"/>
      <c r="D869" s="87"/>
      <c r="E869" s="126">
        <v>0</v>
      </c>
      <c r="F869" s="79">
        <f>BPU!E869</f>
        <v>0</v>
      </c>
      <c r="G869" s="95">
        <f t="shared" si="18"/>
        <v>0</v>
      </c>
    </row>
    <row r="870" spans="1:7" ht="24.6" customHeight="1" x14ac:dyDescent="0.3">
      <c r="A870" s="150" t="s">
        <v>1184</v>
      </c>
      <c r="B870" s="50" t="s">
        <v>229</v>
      </c>
      <c r="C870" s="51" t="s">
        <v>181</v>
      </c>
      <c r="D870" s="87" t="s">
        <v>292</v>
      </c>
      <c r="E870" s="126">
        <v>0</v>
      </c>
      <c r="F870" s="79">
        <f>BPU!E870</f>
        <v>0</v>
      </c>
      <c r="G870" s="95">
        <f t="shared" si="18"/>
        <v>0</v>
      </c>
    </row>
    <row r="871" spans="1:7" ht="24.6" customHeight="1" x14ac:dyDescent="0.3">
      <c r="A871" s="150" t="s">
        <v>1185</v>
      </c>
      <c r="B871" s="50" t="s">
        <v>366</v>
      </c>
      <c r="C871" s="51" t="s">
        <v>181</v>
      </c>
      <c r="D871" s="87" t="s">
        <v>292</v>
      </c>
      <c r="E871" s="126"/>
      <c r="F871" s="79">
        <f>BPU!E871</f>
        <v>0</v>
      </c>
      <c r="G871" s="95">
        <f t="shared" si="18"/>
        <v>0</v>
      </c>
    </row>
    <row r="872" spans="1:7" ht="18.600000000000001" customHeight="1" x14ac:dyDescent="0.3">
      <c r="A872" s="150" t="s">
        <v>1186</v>
      </c>
      <c r="B872" s="50" t="s">
        <v>225</v>
      </c>
      <c r="C872" s="51" t="s">
        <v>181</v>
      </c>
      <c r="D872" s="87" t="s">
        <v>292</v>
      </c>
      <c r="E872" s="126">
        <v>0</v>
      </c>
      <c r="F872" s="79">
        <f>BPU!E872</f>
        <v>0</v>
      </c>
      <c r="G872" s="95">
        <f t="shared" si="18"/>
        <v>0</v>
      </c>
    </row>
    <row r="873" spans="1:7" ht="18.600000000000001" customHeight="1" x14ac:dyDescent="0.3">
      <c r="A873" s="150" t="s">
        <v>1187</v>
      </c>
      <c r="B873" s="50" t="s">
        <v>226</v>
      </c>
      <c r="C873" s="51" t="s">
        <v>181</v>
      </c>
      <c r="D873" s="87" t="s">
        <v>292</v>
      </c>
      <c r="E873" s="126">
        <v>0</v>
      </c>
      <c r="F873" s="79">
        <f>BPU!E873</f>
        <v>0</v>
      </c>
      <c r="G873" s="95">
        <f t="shared" si="18"/>
        <v>0</v>
      </c>
    </row>
    <row r="874" spans="1:7" ht="18.600000000000001" customHeight="1" x14ac:dyDescent="0.3">
      <c r="A874" s="150" t="s">
        <v>1188</v>
      </c>
      <c r="B874" s="50" t="s">
        <v>227</v>
      </c>
      <c r="C874" s="51" t="s">
        <v>181</v>
      </c>
      <c r="D874" s="87" t="s">
        <v>292</v>
      </c>
      <c r="E874" s="126">
        <v>0</v>
      </c>
      <c r="F874" s="79">
        <f>BPU!E874</f>
        <v>0</v>
      </c>
      <c r="G874" s="95">
        <f t="shared" si="18"/>
        <v>0</v>
      </c>
    </row>
    <row r="875" spans="1:7" ht="18.600000000000001" customHeight="1" x14ac:dyDescent="0.3">
      <c r="A875" s="150" t="s">
        <v>1189</v>
      </c>
      <c r="B875" s="50" t="s">
        <v>228</v>
      </c>
      <c r="C875" s="51" t="s">
        <v>181</v>
      </c>
      <c r="D875" s="87" t="s">
        <v>292</v>
      </c>
      <c r="E875" s="126">
        <v>0</v>
      </c>
      <c r="F875" s="79">
        <f>BPU!E875</f>
        <v>0</v>
      </c>
      <c r="G875" s="95">
        <f t="shared" si="18"/>
        <v>0</v>
      </c>
    </row>
    <row r="876" spans="1:7" ht="18.600000000000001" customHeight="1" x14ac:dyDescent="0.3">
      <c r="A876" s="52" t="s">
        <v>1190</v>
      </c>
      <c r="B876" s="46" t="s">
        <v>172</v>
      </c>
      <c r="C876" s="52"/>
      <c r="D876" s="87"/>
      <c r="E876" s="126">
        <v>0</v>
      </c>
      <c r="F876" s="79">
        <f>BPU!E876</f>
        <v>0</v>
      </c>
      <c r="G876" s="95">
        <f t="shared" ref="G876:G939" si="19">E876*F876</f>
        <v>0</v>
      </c>
    </row>
    <row r="877" spans="1:7" ht="18.600000000000001" customHeight="1" x14ac:dyDescent="0.3">
      <c r="A877" s="150" t="s">
        <v>1191</v>
      </c>
      <c r="B877" s="50" t="s">
        <v>231</v>
      </c>
      <c r="C877" s="51" t="s">
        <v>181</v>
      </c>
      <c r="D877" s="87" t="s">
        <v>292</v>
      </c>
      <c r="E877" s="126">
        <v>0</v>
      </c>
      <c r="F877" s="79">
        <f>BPU!E877</f>
        <v>0</v>
      </c>
      <c r="G877" s="95">
        <f t="shared" si="19"/>
        <v>0</v>
      </c>
    </row>
    <row r="878" spans="1:7" ht="18.600000000000001" customHeight="1" x14ac:dyDescent="0.3">
      <c r="A878" s="150" t="s">
        <v>1192</v>
      </c>
      <c r="B878" s="50" t="s">
        <v>232</v>
      </c>
      <c r="C878" s="51" t="s">
        <v>181</v>
      </c>
      <c r="D878" s="87" t="s">
        <v>292</v>
      </c>
      <c r="E878" s="126">
        <v>0</v>
      </c>
      <c r="F878" s="79">
        <f>BPU!E878</f>
        <v>0</v>
      </c>
      <c r="G878" s="95">
        <f t="shared" si="19"/>
        <v>0</v>
      </c>
    </row>
    <row r="879" spans="1:7" ht="28.2" customHeight="1" x14ac:dyDescent="0.3">
      <c r="A879" s="150" t="s">
        <v>1193</v>
      </c>
      <c r="B879" s="50" t="s">
        <v>233</v>
      </c>
      <c r="C879" s="51" t="s">
        <v>181</v>
      </c>
      <c r="D879" s="87" t="s">
        <v>292</v>
      </c>
      <c r="E879" s="126">
        <v>0</v>
      </c>
      <c r="F879" s="79">
        <f>BPU!E879</f>
        <v>0</v>
      </c>
      <c r="G879" s="95">
        <f t="shared" si="19"/>
        <v>0</v>
      </c>
    </row>
    <row r="880" spans="1:7" ht="18.600000000000001" customHeight="1" x14ac:dyDescent="0.3">
      <c r="A880" s="150" t="s">
        <v>1194</v>
      </c>
      <c r="B880" s="50" t="s">
        <v>234</v>
      </c>
      <c r="C880" s="51" t="s">
        <v>181</v>
      </c>
      <c r="D880" s="87" t="s">
        <v>292</v>
      </c>
      <c r="E880" s="126">
        <v>0</v>
      </c>
      <c r="F880" s="79">
        <f>BPU!E880</f>
        <v>0</v>
      </c>
      <c r="G880" s="95">
        <f t="shared" si="19"/>
        <v>0</v>
      </c>
    </row>
    <row r="881" spans="1:7" ht="18.600000000000001" customHeight="1" x14ac:dyDescent="0.3">
      <c r="A881" s="52" t="s">
        <v>1195</v>
      </c>
      <c r="B881" s="46" t="s">
        <v>173</v>
      </c>
      <c r="C881" s="52"/>
      <c r="D881" s="87"/>
      <c r="E881" s="126">
        <v>0</v>
      </c>
      <c r="F881" s="79">
        <f>BPU!E881</f>
        <v>0</v>
      </c>
      <c r="G881" s="95">
        <f t="shared" si="19"/>
        <v>0</v>
      </c>
    </row>
    <row r="882" spans="1:7" ht="18.600000000000001" customHeight="1" x14ac:dyDescent="0.3">
      <c r="A882" s="150" t="s">
        <v>1196</v>
      </c>
      <c r="B882" s="50" t="s">
        <v>259</v>
      </c>
      <c r="C882" s="51" t="s">
        <v>181</v>
      </c>
      <c r="D882" s="87" t="s">
        <v>292</v>
      </c>
      <c r="E882" s="126">
        <v>0</v>
      </c>
      <c r="F882" s="79">
        <f>BPU!E882</f>
        <v>0</v>
      </c>
      <c r="G882" s="95">
        <f t="shared" si="19"/>
        <v>0</v>
      </c>
    </row>
    <row r="883" spans="1:7" ht="18.600000000000001" customHeight="1" x14ac:dyDescent="0.3">
      <c r="A883" s="150" t="s">
        <v>1197</v>
      </c>
      <c r="B883" s="50" t="s">
        <v>235</v>
      </c>
      <c r="C883" s="51" t="s">
        <v>181</v>
      </c>
      <c r="D883" s="87" t="s">
        <v>292</v>
      </c>
      <c r="E883" s="126">
        <v>0</v>
      </c>
      <c r="F883" s="79">
        <f>BPU!E883</f>
        <v>0</v>
      </c>
      <c r="G883" s="95">
        <f t="shared" si="19"/>
        <v>0</v>
      </c>
    </row>
    <row r="884" spans="1:7" ht="18.600000000000001" customHeight="1" x14ac:dyDescent="0.3">
      <c r="A884" s="150" t="s">
        <v>1198</v>
      </c>
      <c r="B884" s="50" t="s">
        <v>236</v>
      </c>
      <c r="C884" s="51" t="s">
        <v>181</v>
      </c>
      <c r="D884" s="87" t="s">
        <v>292</v>
      </c>
      <c r="E884" s="126">
        <v>0</v>
      </c>
      <c r="F884" s="79">
        <f>BPU!E884</f>
        <v>0</v>
      </c>
      <c r="G884" s="95">
        <f t="shared" si="19"/>
        <v>0</v>
      </c>
    </row>
    <row r="885" spans="1:7" ht="18.600000000000001" customHeight="1" x14ac:dyDescent="0.3">
      <c r="A885" s="150" t="s">
        <v>1199</v>
      </c>
      <c r="B885" s="50" t="s">
        <v>237</v>
      </c>
      <c r="C885" s="51" t="s">
        <v>181</v>
      </c>
      <c r="D885" s="87" t="s">
        <v>292</v>
      </c>
      <c r="E885" s="126">
        <v>0</v>
      </c>
      <c r="F885" s="79">
        <f>BPU!E885</f>
        <v>0</v>
      </c>
      <c r="G885" s="95">
        <f t="shared" si="19"/>
        <v>0</v>
      </c>
    </row>
    <row r="886" spans="1:7" ht="18.600000000000001" customHeight="1" x14ac:dyDescent="0.3">
      <c r="A886" s="150" t="s">
        <v>1200</v>
      </c>
      <c r="B886" s="50" t="s">
        <v>238</v>
      </c>
      <c r="C886" s="51" t="s">
        <v>181</v>
      </c>
      <c r="D886" s="87" t="s">
        <v>292</v>
      </c>
      <c r="E886" s="126">
        <v>0</v>
      </c>
      <c r="F886" s="79">
        <f>BPU!E886</f>
        <v>0</v>
      </c>
      <c r="G886" s="95">
        <f t="shared" si="19"/>
        <v>0</v>
      </c>
    </row>
    <row r="887" spans="1:7" ht="18.600000000000001" customHeight="1" x14ac:dyDescent="0.3">
      <c r="A887" s="150" t="s">
        <v>1201</v>
      </c>
      <c r="B887" s="50" t="s">
        <v>179</v>
      </c>
      <c r="C887" s="51" t="s">
        <v>181</v>
      </c>
      <c r="D887" s="87" t="s">
        <v>292</v>
      </c>
      <c r="E887" s="126">
        <v>0</v>
      </c>
      <c r="F887" s="79">
        <f>BPU!E887</f>
        <v>0</v>
      </c>
      <c r="G887" s="95">
        <f t="shared" si="19"/>
        <v>0</v>
      </c>
    </row>
    <row r="888" spans="1:7" ht="18.600000000000001" customHeight="1" x14ac:dyDescent="0.3">
      <c r="A888" s="150" t="s">
        <v>1202</v>
      </c>
      <c r="B888" s="50" t="s">
        <v>239</v>
      </c>
      <c r="C888" s="51" t="s">
        <v>181</v>
      </c>
      <c r="D888" s="87" t="s">
        <v>292</v>
      </c>
      <c r="E888" s="126">
        <v>0</v>
      </c>
      <c r="F888" s="79">
        <f>BPU!E888</f>
        <v>0</v>
      </c>
      <c r="G888" s="95">
        <f t="shared" si="19"/>
        <v>0</v>
      </c>
    </row>
    <row r="889" spans="1:7" ht="18.600000000000001" customHeight="1" x14ac:dyDescent="0.3">
      <c r="A889" s="52" t="s">
        <v>1203</v>
      </c>
      <c r="B889" s="46" t="s">
        <v>174</v>
      </c>
      <c r="C889" s="52"/>
      <c r="D889" s="87"/>
      <c r="E889" s="126"/>
      <c r="F889" s="79">
        <f>BPU!E889</f>
        <v>0</v>
      </c>
      <c r="G889" s="95">
        <f t="shared" si="19"/>
        <v>0</v>
      </c>
    </row>
    <row r="890" spans="1:7" ht="18.600000000000001" customHeight="1" x14ac:dyDescent="0.3">
      <c r="A890" s="150" t="s">
        <v>1204</v>
      </c>
      <c r="B890" s="50" t="s">
        <v>240</v>
      </c>
      <c r="C890" s="51" t="s">
        <v>181</v>
      </c>
      <c r="D890" s="87" t="s">
        <v>292</v>
      </c>
      <c r="E890" s="126">
        <v>0</v>
      </c>
      <c r="F890" s="79">
        <f>BPU!E890</f>
        <v>0</v>
      </c>
      <c r="G890" s="95">
        <f t="shared" si="19"/>
        <v>0</v>
      </c>
    </row>
    <row r="891" spans="1:7" ht="18.600000000000001" customHeight="1" x14ac:dyDescent="0.3">
      <c r="A891" s="150" t="s">
        <v>1205</v>
      </c>
      <c r="B891" s="50" t="s">
        <v>241</v>
      </c>
      <c r="C891" s="51" t="s">
        <v>181</v>
      </c>
      <c r="D891" s="87" t="s">
        <v>292</v>
      </c>
      <c r="E891" s="126">
        <v>0</v>
      </c>
      <c r="F891" s="79">
        <f>BPU!E891</f>
        <v>0</v>
      </c>
      <c r="G891" s="95">
        <f t="shared" si="19"/>
        <v>0</v>
      </c>
    </row>
    <row r="892" spans="1:7" ht="18.600000000000001" customHeight="1" x14ac:dyDescent="0.3">
      <c r="A892" s="150" t="s">
        <v>1206</v>
      </c>
      <c r="B892" s="50" t="s">
        <v>242</v>
      </c>
      <c r="C892" s="51" t="s">
        <v>181</v>
      </c>
      <c r="D892" s="87" t="s">
        <v>292</v>
      </c>
      <c r="E892" s="126">
        <v>0</v>
      </c>
      <c r="F892" s="79">
        <f>BPU!E892</f>
        <v>0</v>
      </c>
      <c r="G892" s="95">
        <f t="shared" si="19"/>
        <v>0</v>
      </c>
    </row>
    <row r="893" spans="1:7" ht="18.600000000000001" customHeight="1" x14ac:dyDescent="0.3">
      <c r="A893" s="150" t="s">
        <v>1207</v>
      </c>
      <c r="B893" s="50" t="s">
        <v>243</v>
      </c>
      <c r="C893" s="51" t="s">
        <v>181</v>
      </c>
      <c r="D893" s="87" t="s">
        <v>292</v>
      </c>
      <c r="E893" s="126">
        <v>0</v>
      </c>
      <c r="F893" s="79">
        <f>BPU!E893</f>
        <v>0</v>
      </c>
      <c r="G893" s="95">
        <f t="shared" si="19"/>
        <v>0</v>
      </c>
    </row>
    <row r="894" spans="1:7" ht="18.600000000000001" customHeight="1" x14ac:dyDescent="0.3">
      <c r="A894" s="150" t="s">
        <v>1208</v>
      </c>
      <c r="B894" s="50" t="s">
        <v>244</v>
      </c>
      <c r="C894" s="51" t="s">
        <v>181</v>
      </c>
      <c r="D894" s="87" t="s">
        <v>292</v>
      </c>
      <c r="E894" s="126">
        <v>0</v>
      </c>
      <c r="F894" s="79">
        <f>BPU!E894</f>
        <v>0</v>
      </c>
      <c r="G894" s="95">
        <f t="shared" si="19"/>
        <v>0</v>
      </c>
    </row>
    <row r="895" spans="1:7" ht="18.600000000000001" customHeight="1" x14ac:dyDescent="0.3">
      <c r="A895" s="150" t="s">
        <v>1209</v>
      </c>
      <c r="B895" s="50" t="s">
        <v>245</v>
      </c>
      <c r="C895" s="51" t="s">
        <v>181</v>
      </c>
      <c r="D895" s="87" t="s">
        <v>292</v>
      </c>
      <c r="E895" s="126">
        <v>0</v>
      </c>
      <c r="F895" s="79">
        <f>BPU!E895</f>
        <v>0</v>
      </c>
      <c r="G895" s="95">
        <f t="shared" si="19"/>
        <v>0</v>
      </c>
    </row>
    <row r="896" spans="1:7" ht="18.600000000000001" customHeight="1" x14ac:dyDescent="0.3">
      <c r="A896" s="150" t="s">
        <v>1210</v>
      </c>
      <c r="B896" s="50" t="s">
        <v>246</v>
      </c>
      <c r="C896" s="51" t="s">
        <v>181</v>
      </c>
      <c r="D896" s="87" t="s">
        <v>292</v>
      </c>
      <c r="E896" s="126">
        <v>0</v>
      </c>
      <c r="F896" s="79">
        <f>BPU!E896</f>
        <v>0</v>
      </c>
      <c r="G896" s="95">
        <f t="shared" si="19"/>
        <v>0</v>
      </c>
    </row>
    <row r="897" spans="1:7" ht="18.600000000000001" customHeight="1" x14ac:dyDescent="0.3">
      <c r="A897" s="150" t="s">
        <v>1211</v>
      </c>
      <c r="B897" s="50" t="s">
        <v>247</v>
      </c>
      <c r="C897" s="51" t="s">
        <v>181</v>
      </c>
      <c r="D897" s="87" t="s">
        <v>292</v>
      </c>
      <c r="E897" s="126">
        <v>0</v>
      </c>
      <c r="F897" s="79">
        <f>BPU!E897</f>
        <v>0</v>
      </c>
      <c r="G897" s="95">
        <f t="shared" si="19"/>
        <v>0</v>
      </c>
    </row>
    <row r="898" spans="1:7" ht="18.600000000000001" customHeight="1" x14ac:dyDescent="0.3">
      <c r="A898" s="150" t="s">
        <v>1212</v>
      </c>
      <c r="B898" s="50" t="s">
        <v>248</v>
      </c>
      <c r="C898" s="51" t="s">
        <v>181</v>
      </c>
      <c r="D898" s="87" t="s">
        <v>292</v>
      </c>
      <c r="E898" s="126">
        <v>0</v>
      </c>
      <c r="F898" s="79">
        <f>BPU!E898</f>
        <v>0</v>
      </c>
      <c r="G898" s="95">
        <f t="shared" si="19"/>
        <v>0</v>
      </c>
    </row>
    <row r="899" spans="1:7" ht="28.8" customHeight="1" x14ac:dyDescent="0.3">
      <c r="A899" s="150" t="s">
        <v>1213</v>
      </c>
      <c r="B899" s="50" t="s">
        <v>249</v>
      </c>
      <c r="C899" s="51" t="s">
        <v>181</v>
      </c>
      <c r="D899" s="87" t="s">
        <v>292</v>
      </c>
      <c r="E899" s="126">
        <v>0</v>
      </c>
      <c r="F899" s="79">
        <f>BPU!E899</f>
        <v>0</v>
      </c>
      <c r="G899" s="95">
        <f t="shared" si="19"/>
        <v>0</v>
      </c>
    </row>
    <row r="900" spans="1:7" ht="18.600000000000001" customHeight="1" x14ac:dyDescent="0.3">
      <c r="A900" s="150" t="s">
        <v>1214</v>
      </c>
      <c r="B900" s="50" t="s">
        <v>250</v>
      </c>
      <c r="C900" s="51" t="s">
        <v>17</v>
      </c>
      <c r="D900" s="87" t="s">
        <v>292</v>
      </c>
      <c r="E900" s="126">
        <v>0</v>
      </c>
      <c r="F900" s="79">
        <f>BPU!E900</f>
        <v>0</v>
      </c>
      <c r="G900" s="95">
        <f t="shared" si="19"/>
        <v>0</v>
      </c>
    </row>
    <row r="901" spans="1:7" ht="18.600000000000001" customHeight="1" x14ac:dyDescent="0.3">
      <c r="A901" s="150" t="s">
        <v>1215</v>
      </c>
      <c r="B901" s="50" t="s">
        <v>194</v>
      </c>
      <c r="C901" s="51" t="s">
        <v>181</v>
      </c>
      <c r="D901" s="87" t="s">
        <v>292</v>
      </c>
      <c r="E901" s="126">
        <v>0</v>
      </c>
      <c r="F901" s="79">
        <f>BPU!E901</f>
        <v>0</v>
      </c>
      <c r="G901" s="95">
        <f t="shared" si="19"/>
        <v>0</v>
      </c>
    </row>
    <row r="902" spans="1:7" ht="18.600000000000001" customHeight="1" x14ac:dyDescent="0.3">
      <c r="A902" s="52" t="s">
        <v>1216</v>
      </c>
      <c r="B902" s="46" t="s">
        <v>175</v>
      </c>
      <c r="C902" s="52"/>
      <c r="D902" s="87"/>
      <c r="E902" s="126"/>
      <c r="F902" s="79">
        <f>BPU!E902</f>
        <v>0</v>
      </c>
      <c r="G902" s="95">
        <f t="shared" si="19"/>
        <v>0</v>
      </c>
    </row>
    <row r="903" spans="1:7" ht="18.600000000000001" customHeight="1" x14ac:dyDescent="0.3">
      <c r="A903" s="150" t="s">
        <v>1217</v>
      </c>
      <c r="B903" s="50" t="s">
        <v>180</v>
      </c>
      <c r="C903" s="51" t="s">
        <v>181</v>
      </c>
      <c r="D903" s="87" t="s">
        <v>292</v>
      </c>
      <c r="E903" s="126">
        <v>0</v>
      </c>
      <c r="F903" s="79">
        <f>BPU!E903</f>
        <v>0</v>
      </c>
      <c r="G903" s="95">
        <f t="shared" si="19"/>
        <v>0</v>
      </c>
    </row>
    <row r="904" spans="1:7" ht="18.600000000000001" customHeight="1" x14ac:dyDescent="0.3">
      <c r="A904" s="52" t="s">
        <v>1218</v>
      </c>
      <c r="B904" s="46" t="s">
        <v>176</v>
      </c>
      <c r="C904" s="52"/>
      <c r="D904" s="87"/>
      <c r="E904" s="126"/>
      <c r="F904" s="79">
        <f>BPU!E904</f>
        <v>0</v>
      </c>
      <c r="G904" s="95">
        <f t="shared" si="19"/>
        <v>0</v>
      </c>
    </row>
    <row r="905" spans="1:7" ht="18.600000000000001" customHeight="1" x14ac:dyDescent="0.3">
      <c r="A905" s="150" t="s">
        <v>1219</v>
      </c>
      <c r="B905" s="50" t="s">
        <v>257</v>
      </c>
      <c r="C905" s="51" t="s">
        <v>181</v>
      </c>
      <c r="D905" s="87" t="s">
        <v>292</v>
      </c>
      <c r="E905" s="126">
        <v>0</v>
      </c>
      <c r="F905" s="79">
        <f>BPU!E905</f>
        <v>0</v>
      </c>
      <c r="G905" s="95">
        <f t="shared" si="19"/>
        <v>0</v>
      </c>
    </row>
    <row r="906" spans="1:7" ht="18.600000000000001" customHeight="1" x14ac:dyDescent="0.3">
      <c r="A906" s="150" t="s">
        <v>1220</v>
      </c>
      <c r="B906" s="50" t="s">
        <v>253</v>
      </c>
      <c r="C906" s="51" t="s">
        <v>17</v>
      </c>
      <c r="D906" s="87" t="s">
        <v>292</v>
      </c>
      <c r="E906" s="126">
        <v>0</v>
      </c>
      <c r="F906" s="79">
        <f>BPU!E906</f>
        <v>0</v>
      </c>
      <c r="G906" s="95">
        <f t="shared" si="19"/>
        <v>0</v>
      </c>
    </row>
    <row r="907" spans="1:7" ht="18.600000000000001" customHeight="1" x14ac:dyDescent="0.3">
      <c r="A907" s="150" t="s">
        <v>1221</v>
      </c>
      <c r="B907" s="50" t="s">
        <v>252</v>
      </c>
      <c r="C907" s="51" t="s">
        <v>17</v>
      </c>
      <c r="D907" s="87" t="s">
        <v>292</v>
      </c>
      <c r="E907" s="126">
        <v>0</v>
      </c>
      <c r="F907" s="79">
        <f>BPU!E907</f>
        <v>0</v>
      </c>
      <c r="G907" s="95">
        <f t="shared" si="19"/>
        <v>0</v>
      </c>
    </row>
    <row r="908" spans="1:7" ht="18.600000000000001" customHeight="1" x14ac:dyDescent="0.3">
      <c r="A908" s="150" t="s">
        <v>1222</v>
      </c>
      <c r="B908" s="50" t="s">
        <v>254</v>
      </c>
      <c r="C908" s="51" t="s">
        <v>17</v>
      </c>
      <c r="D908" s="87" t="s">
        <v>292</v>
      </c>
      <c r="E908" s="126">
        <v>0</v>
      </c>
      <c r="F908" s="79">
        <f>BPU!E908</f>
        <v>0</v>
      </c>
      <c r="G908" s="95">
        <f t="shared" si="19"/>
        <v>0</v>
      </c>
    </row>
    <row r="909" spans="1:7" ht="18.600000000000001" customHeight="1" x14ac:dyDescent="0.3">
      <c r="A909" s="150" t="s">
        <v>1223</v>
      </c>
      <c r="B909" s="50" t="s">
        <v>255</v>
      </c>
      <c r="C909" s="51" t="s">
        <v>17</v>
      </c>
      <c r="D909" s="87" t="s">
        <v>292</v>
      </c>
      <c r="E909" s="126">
        <v>0</v>
      </c>
      <c r="F909" s="79">
        <f>BPU!E909</f>
        <v>0</v>
      </c>
      <c r="G909" s="95">
        <f t="shared" si="19"/>
        <v>0</v>
      </c>
    </row>
    <row r="910" spans="1:7" ht="28.8" customHeight="1" x14ac:dyDescent="0.3">
      <c r="A910" s="150" t="s">
        <v>1224</v>
      </c>
      <c r="B910" s="50" t="s">
        <v>251</v>
      </c>
      <c r="C910" s="51" t="s">
        <v>17</v>
      </c>
      <c r="D910" s="87" t="s">
        <v>292</v>
      </c>
      <c r="E910" s="126">
        <v>0</v>
      </c>
      <c r="F910" s="79">
        <f>BPU!E910</f>
        <v>0</v>
      </c>
      <c r="G910" s="95">
        <f t="shared" si="19"/>
        <v>0</v>
      </c>
    </row>
    <row r="911" spans="1:7" x14ac:dyDescent="0.3">
      <c r="A911" s="150" t="s">
        <v>1225</v>
      </c>
      <c r="B911" s="50" t="s">
        <v>256</v>
      </c>
      <c r="C911" s="51" t="s">
        <v>181</v>
      </c>
      <c r="D911" s="87" t="s">
        <v>292</v>
      </c>
      <c r="E911" s="126">
        <v>0</v>
      </c>
      <c r="F911" s="79">
        <f>BPU!E911</f>
        <v>0</v>
      </c>
      <c r="G911" s="95">
        <f t="shared" si="19"/>
        <v>0</v>
      </c>
    </row>
    <row r="912" spans="1:7" x14ac:dyDescent="0.3">
      <c r="A912" s="150" t="s">
        <v>1226</v>
      </c>
      <c r="B912" s="50" t="s">
        <v>258</v>
      </c>
      <c r="C912" s="51" t="s">
        <v>17</v>
      </c>
      <c r="D912" s="87" t="s">
        <v>292</v>
      </c>
      <c r="E912" s="126">
        <v>0</v>
      </c>
      <c r="F912" s="79">
        <f>BPU!E912</f>
        <v>0</v>
      </c>
      <c r="G912" s="95">
        <f t="shared" si="19"/>
        <v>0</v>
      </c>
    </row>
    <row r="913" spans="1:7" ht="18.600000000000001" customHeight="1" x14ac:dyDescent="0.3">
      <c r="A913" s="150" t="s">
        <v>1227</v>
      </c>
      <c r="B913" s="50" t="s">
        <v>193</v>
      </c>
      <c r="C913" s="51" t="s">
        <v>181</v>
      </c>
      <c r="D913" s="87" t="s">
        <v>292</v>
      </c>
      <c r="E913" s="126">
        <v>0</v>
      </c>
      <c r="F913" s="79">
        <f>BPU!E913</f>
        <v>0</v>
      </c>
      <c r="G913" s="95">
        <f t="shared" si="19"/>
        <v>0</v>
      </c>
    </row>
    <row r="914" spans="1:7" x14ac:dyDescent="0.3">
      <c r="A914" s="150" t="s">
        <v>1228</v>
      </c>
      <c r="B914" s="50" t="s">
        <v>192</v>
      </c>
      <c r="C914" s="51" t="s">
        <v>181</v>
      </c>
      <c r="D914" s="87" t="s">
        <v>292</v>
      </c>
      <c r="E914" s="126">
        <v>0</v>
      </c>
      <c r="F914" s="79">
        <f>BPU!E914</f>
        <v>0</v>
      </c>
      <c r="G914" s="95">
        <f t="shared" si="19"/>
        <v>0</v>
      </c>
    </row>
    <row r="915" spans="1:7" ht="28.8" x14ac:dyDescent="0.3">
      <c r="A915" s="150" t="s">
        <v>1229</v>
      </c>
      <c r="B915" s="50" t="s">
        <v>260</v>
      </c>
      <c r="C915" s="51" t="s">
        <v>181</v>
      </c>
      <c r="D915" s="87" t="s">
        <v>292</v>
      </c>
      <c r="E915" s="126">
        <v>0</v>
      </c>
      <c r="F915" s="79">
        <f>BPU!E915</f>
        <v>0</v>
      </c>
      <c r="G915" s="95">
        <f t="shared" si="19"/>
        <v>0</v>
      </c>
    </row>
    <row r="916" spans="1:7" ht="18.600000000000001" customHeight="1" x14ac:dyDescent="0.3">
      <c r="A916" s="52" t="s">
        <v>1230</v>
      </c>
      <c r="B916" s="46" t="s">
        <v>177</v>
      </c>
      <c r="C916" s="52"/>
      <c r="D916" s="87"/>
      <c r="E916" s="126"/>
      <c r="F916" s="79">
        <f>BPU!E916</f>
        <v>0</v>
      </c>
      <c r="G916" s="95">
        <f t="shared" si="19"/>
        <v>0</v>
      </c>
    </row>
    <row r="917" spans="1:7" ht="18.600000000000001" customHeight="1" x14ac:dyDescent="0.3">
      <c r="A917" s="150" t="s">
        <v>1231</v>
      </c>
      <c r="B917" s="50" t="s">
        <v>182</v>
      </c>
      <c r="C917" s="51" t="s">
        <v>181</v>
      </c>
      <c r="D917" s="87" t="s">
        <v>292</v>
      </c>
      <c r="E917" s="126">
        <v>0</v>
      </c>
      <c r="F917" s="79">
        <f>BPU!E917</f>
        <v>0</v>
      </c>
      <c r="G917" s="95">
        <f t="shared" si="19"/>
        <v>0</v>
      </c>
    </row>
    <row r="918" spans="1:7" ht="28.8" x14ac:dyDescent="0.3">
      <c r="A918" s="150" t="s">
        <v>1232</v>
      </c>
      <c r="B918" s="50" t="s">
        <v>1273</v>
      </c>
      <c r="C918" s="51" t="s">
        <v>181</v>
      </c>
      <c r="D918" s="87" t="s">
        <v>292</v>
      </c>
      <c r="E918" s="126">
        <v>0</v>
      </c>
      <c r="F918" s="79">
        <f>BPU!E918</f>
        <v>0</v>
      </c>
      <c r="G918" s="95">
        <f t="shared" si="19"/>
        <v>0</v>
      </c>
    </row>
    <row r="919" spans="1:7" x14ac:dyDescent="0.3">
      <c r="A919" s="150" t="s">
        <v>1233</v>
      </c>
      <c r="B919" s="50" t="s">
        <v>183</v>
      </c>
      <c r="C919" s="51" t="s">
        <v>181</v>
      </c>
      <c r="D919" s="87" t="s">
        <v>292</v>
      </c>
      <c r="E919" s="126">
        <v>0</v>
      </c>
      <c r="F919" s="79">
        <f>BPU!E919</f>
        <v>0</v>
      </c>
      <c r="G919" s="95">
        <f t="shared" si="19"/>
        <v>0</v>
      </c>
    </row>
    <row r="920" spans="1:7" x14ac:dyDescent="0.3">
      <c r="A920" s="150" t="s">
        <v>1234</v>
      </c>
      <c r="B920" s="50" t="s">
        <v>184</v>
      </c>
      <c r="C920" s="51" t="s">
        <v>181</v>
      </c>
      <c r="D920" s="87" t="s">
        <v>292</v>
      </c>
      <c r="E920" s="126">
        <v>0</v>
      </c>
      <c r="F920" s="79">
        <f>BPU!E920</f>
        <v>0</v>
      </c>
      <c r="G920" s="95">
        <f t="shared" si="19"/>
        <v>0</v>
      </c>
    </row>
    <row r="921" spans="1:7" x14ac:dyDescent="0.3">
      <c r="A921" s="150" t="s">
        <v>1235</v>
      </c>
      <c r="B921" s="50" t="s">
        <v>185</v>
      </c>
      <c r="C921" s="51" t="s">
        <v>181</v>
      </c>
      <c r="D921" s="87" t="s">
        <v>292</v>
      </c>
      <c r="E921" s="126">
        <v>0</v>
      </c>
      <c r="F921" s="79">
        <f>BPU!E921</f>
        <v>0</v>
      </c>
      <c r="G921" s="95">
        <f t="shared" si="19"/>
        <v>0</v>
      </c>
    </row>
    <row r="922" spans="1:7" x14ac:dyDescent="0.3">
      <c r="A922" s="52" t="s">
        <v>1236</v>
      </c>
      <c r="B922" s="46" t="s">
        <v>304</v>
      </c>
      <c r="C922" s="51"/>
      <c r="D922" s="87"/>
      <c r="E922" s="126"/>
      <c r="F922" s="79">
        <f>BPU!E922</f>
        <v>0</v>
      </c>
      <c r="G922" s="95">
        <f t="shared" si="19"/>
        <v>0</v>
      </c>
    </row>
    <row r="923" spans="1:7" ht="28.8" x14ac:dyDescent="0.3">
      <c r="A923" s="150" t="s">
        <v>1237</v>
      </c>
      <c r="B923" s="50" t="s">
        <v>305</v>
      </c>
      <c r="C923" s="51" t="s">
        <v>197</v>
      </c>
      <c r="D923" s="87" t="s">
        <v>292</v>
      </c>
      <c r="E923" s="126">
        <v>0</v>
      </c>
      <c r="F923" s="79">
        <f>BPU!E923</f>
        <v>0</v>
      </c>
      <c r="G923" s="95">
        <f t="shared" si="19"/>
        <v>0</v>
      </c>
    </row>
    <row r="924" spans="1:7" ht="28.8" x14ac:dyDescent="0.3">
      <c r="A924" s="150" t="s">
        <v>1238</v>
      </c>
      <c r="B924" s="50" t="s">
        <v>306</v>
      </c>
      <c r="C924" s="51" t="s">
        <v>197</v>
      </c>
      <c r="D924" s="87" t="s">
        <v>292</v>
      </c>
      <c r="E924" s="126">
        <v>0</v>
      </c>
      <c r="F924" s="79">
        <f>BPU!E924</f>
        <v>0</v>
      </c>
      <c r="G924" s="95">
        <f t="shared" si="19"/>
        <v>0</v>
      </c>
    </row>
    <row r="925" spans="1:7" ht="28.8" x14ac:dyDescent="0.3">
      <c r="A925" s="150" t="s">
        <v>1239</v>
      </c>
      <c r="B925" s="50" t="s">
        <v>307</v>
      </c>
      <c r="C925" s="51" t="s">
        <v>197</v>
      </c>
      <c r="D925" s="87" t="s">
        <v>292</v>
      </c>
      <c r="E925" s="126">
        <v>0</v>
      </c>
      <c r="F925" s="79">
        <f>BPU!E925</f>
        <v>0</v>
      </c>
      <c r="G925" s="95">
        <f t="shared" si="19"/>
        <v>0</v>
      </c>
    </row>
    <row r="926" spans="1:7" ht="28.8" x14ac:dyDescent="0.3">
      <c r="A926" s="150" t="s">
        <v>1240</v>
      </c>
      <c r="B926" s="50" t="s">
        <v>308</v>
      </c>
      <c r="C926" s="51" t="s">
        <v>197</v>
      </c>
      <c r="D926" s="87" t="s">
        <v>292</v>
      </c>
      <c r="E926" s="126">
        <v>0</v>
      </c>
      <c r="F926" s="79">
        <f>BPU!E926</f>
        <v>0</v>
      </c>
      <c r="G926" s="95">
        <f t="shared" si="19"/>
        <v>0</v>
      </c>
    </row>
    <row r="927" spans="1:7" ht="28.8" x14ac:dyDescent="0.3">
      <c r="A927" s="150" t="s">
        <v>1241</v>
      </c>
      <c r="B927" s="50" t="s">
        <v>315</v>
      </c>
      <c r="C927" s="51" t="s">
        <v>197</v>
      </c>
      <c r="D927" s="87" t="s">
        <v>292</v>
      </c>
      <c r="E927" s="126">
        <v>0</v>
      </c>
      <c r="F927" s="79">
        <f>BPU!E927</f>
        <v>0</v>
      </c>
      <c r="G927" s="95">
        <f t="shared" si="19"/>
        <v>0</v>
      </c>
    </row>
    <row r="928" spans="1:7" ht="28.8" x14ac:dyDescent="0.3">
      <c r="A928" s="150" t="s">
        <v>1242</v>
      </c>
      <c r="B928" s="50" t="s">
        <v>309</v>
      </c>
      <c r="C928" s="51" t="s">
        <v>197</v>
      </c>
      <c r="D928" s="87" t="s">
        <v>292</v>
      </c>
      <c r="E928" s="126">
        <v>0</v>
      </c>
      <c r="F928" s="79">
        <f>BPU!E928</f>
        <v>0</v>
      </c>
      <c r="G928" s="95">
        <f t="shared" si="19"/>
        <v>0</v>
      </c>
    </row>
    <row r="929" spans="1:23" ht="28.8" x14ac:dyDescent="0.3">
      <c r="A929" s="150" t="s">
        <v>1243</v>
      </c>
      <c r="B929" s="50" t="s">
        <v>310</v>
      </c>
      <c r="C929" s="51" t="s">
        <v>197</v>
      </c>
      <c r="D929" s="87" t="s">
        <v>292</v>
      </c>
      <c r="E929" s="126">
        <v>0</v>
      </c>
      <c r="F929" s="79">
        <f>BPU!E929</f>
        <v>0</v>
      </c>
      <c r="G929" s="95">
        <f t="shared" si="19"/>
        <v>0</v>
      </c>
    </row>
    <row r="930" spans="1:23" ht="28.8" x14ac:dyDescent="0.3">
      <c r="A930" s="150" t="s">
        <v>1244</v>
      </c>
      <c r="B930" s="50" t="s">
        <v>311</v>
      </c>
      <c r="C930" s="51" t="s">
        <v>197</v>
      </c>
      <c r="D930" s="87" t="s">
        <v>292</v>
      </c>
      <c r="E930" s="126">
        <v>0</v>
      </c>
      <c r="F930" s="79">
        <f>BPU!E930</f>
        <v>0</v>
      </c>
      <c r="G930" s="95">
        <f t="shared" si="19"/>
        <v>0</v>
      </c>
    </row>
    <row r="931" spans="1:23" ht="26.4" customHeight="1" x14ac:dyDescent="0.3">
      <c r="A931" s="150" t="s">
        <v>1245</v>
      </c>
      <c r="B931" s="50" t="s">
        <v>313</v>
      </c>
      <c r="C931" s="51" t="s">
        <v>17</v>
      </c>
      <c r="D931" s="87" t="s">
        <v>292</v>
      </c>
      <c r="E931" s="126">
        <v>0</v>
      </c>
      <c r="F931" s="79">
        <f>BPU!E931</f>
        <v>0</v>
      </c>
      <c r="G931" s="95">
        <f t="shared" si="19"/>
        <v>0</v>
      </c>
    </row>
    <row r="932" spans="1:23" ht="28.2" customHeight="1" thickBot="1" x14ac:dyDescent="0.35">
      <c r="A932" s="150" t="s">
        <v>1246</v>
      </c>
      <c r="B932" s="50" t="s">
        <v>312</v>
      </c>
      <c r="C932" s="51" t="s">
        <v>17</v>
      </c>
      <c r="D932" s="87" t="s">
        <v>292</v>
      </c>
      <c r="E932" s="126">
        <v>0</v>
      </c>
      <c r="F932" s="79">
        <f>BPU!E932</f>
        <v>0</v>
      </c>
      <c r="G932" s="95">
        <f t="shared" si="19"/>
        <v>0</v>
      </c>
    </row>
    <row r="933" spans="1:23" s="98" customFormat="1" ht="15" thickBot="1" x14ac:dyDescent="0.35">
      <c r="A933" s="52"/>
      <c r="B933" s="96" t="s">
        <v>401</v>
      </c>
      <c r="C933" s="97"/>
      <c r="D933" s="97"/>
      <c r="E933" s="128"/>
      <c r="F933" s="145">
        <f>BPU!E933</f>
        <v>0</v>
      </c>
      <c r="G933" s="146">
        <f>SUM(G850:G932)</f>
        <v>0</v>
      </c>
      <c r="H933" s="138"/>
      <c r="J933" s="99"/>
      <c r="K933" s="75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100"/>
      <c r="W933" s="100"/>
    </row>
    <row r="934" spans="1:23" s="58" customFormat="1" ht="16.8" customHeight="1" x14ac:dyDescent="0.3">
      <c r="A934" s="70" t="s">
        <v>121</v>
      </c>
      <c r="B934" s="70" t="s">
        <v>296</v>
      </c>
      <c r="C934" s="72"/>
      <c r="D934" s="91"/>
      <c r="E934" s="131"/>
      <c r="F934" s="79">
        <f>BPU!E934</f>
        <v>0</v>
      </c>
      <c r="G934" s="95">
        <f t="shared" si="19"/>
        <v>0</v>
      </c>
      <c r="H934" s="136"/>
    </row>
    <row r="935" spans="1:23" x14ac:dyDescent="0.3">
      <c r="A935" s="150" t="s">
        <v>123</v>
      </c>
      <c r="B935" s="50" t="s">
        <v>269</v>
      </c>
      <c r="C935" s="51" t="s">
        <v>17</v>
      </c>
      <c r="D935" s="87" t="s">
        <v>292</v>
      </c>
      <c r="E935" s="126">
        <v>3950</v>
      </c>
      <c r="F935" s="79">
        <f>BPU!E935</f>
        <v>0</v>
      </c>
      <c r="G935" s="95">
        <f t="shared" si="19"/>
        <v>0</v>
      </c>
    </row>
    <row r="936" spans="1:23" x14ac:dyDescent="0.3">
      <c r="A936" s="150" t="s">
        <v>1247</v>
      </c>
      <c r="B936" s="50" t="s">
        <v>270</v>
      </c>
      <c r="C936" s="51" t="s">
        <v>17</v>
      </c>
      <c r="D936" s="87" t="s">
        <v>292</v>
      </c>
      <c r="E936" s="126">
        <v>2350</v>
      </c>
      <c r="F936" s="79">
        <f>BPU!E936</f>
        <v>0</v>
      </c>
      <c r="G936" s="95">
        <f t="shared" si="19"/>
        <v>0</v>
      </c>
    </row>
    <row r="937" spans="1:23" ht="28.8" x14ac:dyDescent="0.3">
      <c r="A937" s="150" t="s">
        <v>1248</v>
      </c>
      <c r="B937" s="53" t="s">
        <v>360</v>
      </c>
      <c r="C937" s="51" t="s">
        <v>17</v>
      </c>
      <c r="D937" s="87" t="s">
        <v>292</v>
      </c>
      <c r="E937" s="126">
        <f>80*4</f>
        <v>320</v>
      </c>
      <c r="F937" s="79">
        <f>BPU!E937</f>
        <v>0</v>
      </c>
      <c r="G937" s="95">
        <f t="shared" si="19"/>
        <v>0</v>
      </c>
    </row>
    <row r="938" spans="1:23" ht="28.8" x14ac:dyDescent="0.3">
      <c r="A938" s="150" t="s">
        <v>1249</v>
      </c>
      <c r="B938" s="50" t="s">
        <v>284</v>
      </c>
      <c r="C938" s="51" t="s">
        <v>17</v>
      </c>
      <c r="D938" s="87" t="s">
        <v>292</v>
      </c>
      <c r="E938" s="126">
        <v>120</v>
      </c>
      <c r="F938" s="79">
        <f>BPU!E938</f>
        <v>0</v>
      </c>
      <c r="G938" s="95">
        <f t="shared" si="19"/>
        <v>0</v>
      </c>
    </row>
    <row r="939" spans="1:23" x14ac:dyDescent="0.3">
      <c r="A939" s="150" t="s">
        <v>1250</v>
      </c>
      <c r="B939" s="50" t="s">
        <v>271</v>
      </c>
      <c r="C939" s="51" t="s">
        <v>110</v>
      </c>
      <c r="D939" s="87" t="s">
        <v>292</v>
      </c>
      <c r="E939" s="126">
        <v>30</v>
      </c>
      <c r="F939" s="79">
        <f>BPU!E939</f>
        <v>0</v>
      </c>
      <c r="G939" s="95">
        <f t="shared" si="19"/>
        <v>0</v>
      </c>
    </row>
    <row r="940" spans="1:23" x14ac:dyDescent="0.3">
      <c r="A940" s="150" t="s">
        <v>1251</v>
      </c>
      <c r="B940" s="50" t="s">
        <v>286</v>
      </c>
      <c r="C940" s="51" t="s">
        <v>110</v>
      </c>
      <c r="D940" s="87" t="s">
        <v>292</v>
      </c>
      <c r="E940" s="126">
        <v>210</v>
      </c>
      <c r="F940" s="79">
        <f>BPU!E940</f>
        <v>0</v>
      </c>
      <c r="G940" s="95">
        <f t="shared" ref="G940:G961" si="20">E940*F940</f>
        <v>0</v>
      </c>
    </row>
    <row r="941" spans="1:23" x14ac:dyDescent="0.3">
      <c r="A941" s="150" t="s">
        <v>1252</v>
      </c>
      <c r="B941" s="50" t="s">
        <v>285</v>
      </c>
      <c r="C941" s="51" t="s">
        <v>110</v>
      </c>
      <c r="D941" s="87" t="s">
        <v>292</v>
      </c>
      <c r="E941" s="126">
        <v>210</v>
      </c>
      <c r="F941" s="79">
        <f>BPU!E941</f>
        <v>0</v>
      </c>
      <c r="G941" s="95">
        <f t="shared" si="20"/>
        <v>0</v>
      </c>
    </row>
    <row r="942" spans="1:23" ht="28.8" x14ac:dyDescent="0.3">
      <c r="A942" s="150" t="s">
        <v>1253</v>
      </c>
      <c r="B942" s="50" t="s">
        <v>287</v>
      </c>
      <c r="C942" s="51" t="s">
        <v>110</v>
      </c>
      <c r="D942" s="87" t="s">
        <v>292</v>
      </c>
      <c r="E942" s="126">
        <v>16</v>
      </c>
      <c r="F942" s="79">
        <f>BPU!E942</f>
        <v>0</v>
      </c>
      <c r="G942" s="95">
        <f t="shared" si="20"/>
        <v>0</v>
      </c>
    </row>
    <row r="943" spans="1:23" x14ac:dyDescent="0.3">
      <c r="A943" s="150" t="s">
        <v>1254</v>
      </c>
      <c r="B943" s="50" t="s">
        <v>272</v>
      </c>
      <c r="C943" s="51" t="s">
        <v>110</v>
      </c>
      <c r="D943" s="87" t="s">
        <v>292</v>
      </c>
      <c r="E943" s="126">
        <v>0</v>
      </c>
      <c r="F943" s="79">
        <f>BPU!E943</f>
        <v>0</v>
      </c>
      <c r="G943" s="95">
        <f t="shared" si="20"/>
        <v>0</v>
      </c>
    </row>
    <row r="944" spans="1:23" x14ac:dyDescent="0.3">
      <c r="A944" s="150" t="s">
        <v>1255</v>
      </c>
      <c r="B944" s="50" t="s">
        <v>273</v>
      </c>
      <c r="C944" s="51" t="s">
        <v>110</v>
      </c>
      <c r="D944" s="87" t="s">
        <v>292</v>
      </c>
      <c r="E944" s="140">
        <v>110</v>
      </c>
      <c r="F944" s="79">
        <f>BPU!E944</f>
        <v>0</v>
      </c>
      <c r="G944" s="95">
        <f t="shared" si="20"/>
        <v>0</v>
      </c>
    </row>
    <row r="945" spans="1:7" x14ac:dyDescent="0.3">
      <c r="A945" s="150" t="s">
        <v>1256</v>
      </c>
      <c r="B945" s="50" t="s">
        <v>274</v>
      </c>
      <c r="C945" s="51" t="s">
        <v>110</v>
      </c>
      <c r="D945" s="87" t="s">
        <v>292</v>
      </c>
      <c r="E945" s="126">
        <v>10</v>
      </c>
      <c r="F945" s="79">
        <f>BPU!E945</f>
        <v>0</v>
      </c>
      <c r="G945" s="95">
        <f t="shared" si="20"/>
        <v>0</v>
      </c>
    </row>
    <row r="946" spans="1:7" x14ac:dyDescent="0.3">
      <c r="A946" s="150" t="s">
        <v>1257</v>
      </c>
      <c r="B946" s="50" t="s">
        <v>275</v>
      </c>
      <c r="C946" s="51" t="s">
        <v>110</v>
      </c>
      <c r="D946" s="87" t="s">
        <v>292</v>
      </c>
      <c r="E946" s="126">
        <v>0</v>
      </c>
      <c r="F946" s="79">
        <f>BPU!E946</f>
        <v>0</v>
      </c>
      <c r="G946" s="95">
        <f t="shared" si="20"/>
        <v>0</v>
      </c>
    </row>
    <row r="947" spans="1:7" x14ac:dyDescent="0.3">
      <c r="A947" s="150" t="s">
        <v>1258</v>
      </c>
      <c r="B947" s="50" t="s">
        <v>276</v>
      </c>
      <c r="C947" s="51" t="s">
        <v>110</v>
      </c>
      <c r="D947" s="87" t="s">
        <v>292</v>
      </c>
      <c r="E947" s="126">
        <v>0</v>
      </c>
      <c r="F947" s="79">
        <f>BPU!E947</f>
        <v>0</v>
      </c>
      <c r="G947" s="95">
        <f t="shared" si="20"/>
        <v>0</v>
      </c>
    </row>
    <row r="948" spans="1:7" ht="28.8" x14ac:dyDescent="0.3">
      <c r="A948" s="150" t="s">
        <v>1259</v>
      </c>
      <c r="B948" s="50" t="s">
        <v>277</v>
      </c>
      <c r="C948" s="51" t="s">
        <v>17</v>
      </c>
      <c r="D948" s="87" t="s">
        <v>292</v>
      </c>
      <c r="E948" s="126">
        <v>0</v>
      </c>
      <c r="F948" s="79">
        <f>BPU!E948</f>
        <v>0</v>
      </c>
      <c r="G948" s="95">
        <f t="shared" si="20"/>
        <v>0</v>
      </c>
    </row>
    <row r="949" spans="1:7" x14ac:dyDescent="0.3">
      <c r="A949" s="150" t="s">
        <v>1260</v>
      </c>
      <c r="B949" s="50" t="s">
        <v>278</v>
      </c>
      <c r="C949" s="51" t="s">
        <v>17</v>
      </c>
      <c r="D949" s="87" t="s">
        <v>292</v>
      </c>
      <c r="E949" s="126">
        <v>400</v>
      </c>
      <c r="F949" s="79">
        <f>BPU!E949</f>
        <v>0</v>
      </c>
      <c r="G949" s="95">
        <f t="shared" si="20"/>
        <v>0</v>
      </c>
    </row>
    <row r="950" spans="1:7" x14ac:dyDescent="0.3">
      <c r="A950" s="150" t="s">
        <v>1261</v>
      </c>
      <c r="B950" s="50" t="s">
        <v>279</v>
      </c>
      <c r="C950" s="51" t="s">
        <v>110</v>
      </c>
      <c r="D950" s="87" t="s">
        <v>292</v>
      </c>
      <c r="E950" s="126">
        <v>10</v>
      </c>
      <c r="F950" s="79">
        <f>BPU!E950</f>
        <v>0</v>
      </c>
      <c r="G950" s="95">
        <f t="shared" si="20"/>
        <v>0</v>
      </c>
    </row>
    <row r="951" spans="1:7" x14ac:dyDescent="0.3">
      <c r="A951" s="150" t="s">
        <v>1262</v>
      </c>
      <c r="B951" s="50" t="s">
        <v>280</v>
      </c>
      <c r="C951" s="51" t="s">
        <v>17</v>
      </c>
      <c r="D951" s="87" t="s">
        <v>292</v>
      </c>
      <c r="E951" s="126">
        <v>200</v>
      </c>
      <c r="F951" s="79">
        <f>BPU!E951</f>
        <v>0</v>
      </c>
      <c r="G951" s="95">
        <f t="shared" si="20"/>
        <v>0</v>
      </c>
    </row>
    <row r="952" spans="1:7" x14ac:dyDescent="0.3">
      <c r="A952" s="150" t="s">
        <v>1263</v>
      </c>
      <c r="B952" s="50" t="s">
        <v>281</v>
      </c>
      <c r="C952" s="51" t="s">
        <v>110</v>
      </c>
      <c r="D952" s="87" t="s">
        <v>292</v>
      </c>
      <c r="E952" s="126">
        <v>4</v>
      </c>
      <c r="F952" s="79">
        <f>BPU!E952</f>
        <v>0</v>
      </c>
      <c r="G952" s="95">
        <f t="shared" si="20"/>
        <v>0</v>
      </c>
    </row>
    <row r="953" spans="1:7" x14ac:dyDescent="0.3">
      <c r="A953" s="150" t="s">
        <v>1264</v>
      </c>
      <c r="B953" s="50" t="s">
        <v>288</v>
      </c>
      <c r="C953" s="51" t="s">
        <v>110</v>
      </c>
      <c r="D953" s="87" t="s">
        <v>292</v>
      </c>
      <c r="E953" s="126">
        <v>2</v>
      </c>
      <c r="F953" s="79">
        <f>BPU!E953</f>
        <v>0</v>
      </c>
      <c r="G953" s="95">
        <f t="shared" si="20"/>
        <v>0</v>
      </c>
    </row>
    <row r="954" spans="1:7" x14ac:dyDescent="0.3">
      <c r="A954" s="150" t="s">
        <v>1265</v>
      </c>
      <c r="B954" s="50" t="s">
        <v>291</v>
      </c>
      <c r="C954" s="51" t="s">
        <v>110</v>
      </c>
      <c r="D954" s="87" t="s">
        <v>292</v>
      </c>
      <c r="E954" s="126">
        <v>5</v>
      </c>
      <c r="F954" s="79">
        <f>BPU!E954</f>
        <v>0</v>
      </c>
      <c r="G954" s="95">
        <f t="shared" si="20"/>
        <v>0</v>
      </c>
    </row>
    <row r="955" spans="1:7" x14ac:dyDescent="0.3">
      <c r="A955" s="150" t="s">
        <v>1266</v>
      </c>
      <c r="B955" s="50" t="s">
        <v>282</v>
      </c>
      <c r="C955" s="51" t="s">
        <v>110</v>
      </c>
      <c r="D955" s="87" t="s">
        <v>292</v>
      </c>
      <c r="E955" s="126">
        <v>15</v>
      </c>
      <c r="F955" s="79">
        <f>BPU!E955</f>
        <v>0</v>
      </c>
      <c r="G955" s="95">
        <f t="shared" si="20"/>
        <v>0</v>
      </c>
    </row>
    <row r="956" spans="1:7" x14ac:dyDescent="0.3">
      <c r="A956" s="150" t="s">
        <v>1267</v>
      </c>
      <c r="B956" s="50" t="s">
        <v>283</v>
      </c>
      <c r="C956" s="51" t="s">
        <v>110</v>
      </c>
      <c r="D956" s="87" t="s">
        <v>292</v>
      </c>
      <c r="E956" s="126">
        <v>30</v>
      </c>
      <c r="F956" s="79">
        <f>BPU!E956</f>
        <v>0</v>
      </c>
      <c r="G956" s="95">
        <f t="shared" si="20"/>
        <v>0</v>
      </c>
    </row>
    <row r="957" spans="1:7" ht="27" customHeight="1" x14ac:dyDescent="0.3">
      <c r="A957" s="150" t="s">
        <v>1268</v>
      </c>
      <c r="B957" s="50" t="s">
        <v>361</v>
      </c>
      <c r="C957" s="51" t="s">
        <v>110</v>
      </c>
      <c r="D957" s="87" t="s">
        <v>292</v>
      </c>
      <c r="E957" s="126">
        <v>2</v>
      </c>
      <c r="F957" s="79">
        <f>BPU!E957</f>
        <v>0</v>
      </c>
      <c r="G957" s="95">
        <f t="shared" si="20"/>
        <v>0</v>
      </c>
    </row>
    <row r="958" spans="1:7" ht="27" customHeight="1" x14ac:dyDescent="0.3">
      <c r="A958" s="150" t="s">
        <v>1269</v>
      </c>
      <c r="B958" s="50" t="s">
        <v>362</v>
      </c>
      <c r="C958" s="51" t="s">
        <v>110</v>
      </c>
      <c r="D958" s="87" t="s">
        <v>292</v>
      </c>
      <c r="E958" s="126">
        <v>4</v>
      </c>
      <c r="F958" s="79">
        <f>BPU!E958</f>
        <v>0</v>
      </c>
      <c r="G958" s="95">
        <f t="shared" si="20"/>
        <v>0</v>
      </c>
    </row>
    <row r="959" spans="1:7" ht="25.8" customHeight="1" x14ac:dyDescent="0.3">
      <c r="A959" s="150" t="s">
        <v>1270</v>
      </c>
      <c r="B959" s="50" t="s">
        <v>289</v>
      </c>
      <c r="C959" s="51" t="s">
        <v>110</v>
      </c>
      <c r="D959" s="87" t="s">
        <v>292</v>
      </c>
      <c r="E959" s="126">
        <v>4</v>
      </c>
      <c r="F959" s="79">
        <f>BPU!E959</f>
        <v>0</v>
      </c>
      <c r="G959" s="95">
        <f t="shared" si="20"/>
        <v>0</v>
      </c>
    </row>
    <row r="960" spans="1:7" ht="28.8" customHeight="1" x14ac:dyDescent="0.3">
      <c r="A960" s="150" t="s">
        <v>1271</v>
      </c>
      <c r="B960" s="50" t="s">
        <v>290</v>
      </c>
      <c r="C960" s="51" t="s">
        <v>110</v>
      </c>
      <c r="D960" s="87" t="s">
        <v>292</v>
      </c>
      <c r="E960" s="126">
        <v>0</v>
      </c>
      <c r="F960" s="79">
        <f>BPU!E960</f>
        <v>0</v>
      </c>
      <c r="G960" s="95">
        <f t="shared" si="20"/>
        <v>0</v>
      </c>
    </row>
    <row r="961" spans="1:23" ht="15" thickBot="1" x14ac:dyDescent="0.35">
      <c r="A961" s="150" t="s">
        <v>1272</v>
      </c>
      <c r="B961" s="52" t="s">
        <v>406</v>
      </c>
      <c r="C961" s="51" t="s">
        <v>110</v>
      </c>
      <c r="D961" s="87" t="s">
        <v>292</v>
      </c>
      <c r="E961" s="126">
        <v>1</v>
      </c>
      <c r="F961" s="79">
        <f>BPU!E961</f>
        <v>0</v>
      </c>
      <c r="G961" s="95">
        <f t="shared" si="20"/>
        <v>0</v>
      </c>
    </row>
    <row r="962" spans="1:23" s="98" customFormat="1" ht="15" thickBot="1" x14ac:dyDescent="0.35">
      <c r="A962" s="43"/>
      <c r="B962" s="96" t="s">
        <v>402</v>
      </c>
      <c r="C962" s="97"/>
      <c r="D962" s="97"/>
      <c r="E962" s="128"/>
      <c r="F962" s="145"/>
      <c r="G962" s="146">
        <f>SUM(G935:G961)</f>
        <v>0</v>
      </c>
      <c r="H962" s="138"/>
      <c r="J962" s="99"/>
      <c r="K962" s="75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100"/>
      <c r="W962" s="100"/>
    </row>
    <row r="963" spans="1:23" s="58" customFormat="1" ht="18" customHeight="1" thickBot="1" x14ac:dyDescent="0.35">
      <c r="A963" s="72"/>
      <c r="B963" s="103" t="s">
        <v>359</v>
      </c>
      <c r="C963" s="72"/>
      <c r="D963" s="91"/>
      <c r="E963" s="131"/>
      <c r="F963" s="79"/>
      <c r="G963" s="105">
        <f>G962+G933+G847+G838+G831+G819+G775</f>
        <v>0</v>
      </c>
      <c r="H963" s="136"/>
    </row>
    <row r="964" spans="1:23" s="58" customFormat="1" ht="12" customHeight="1" thickBot="1" x14ac:dyDescent="0.35">
      <c r="B964" s="114"/>
      <c r="D964" s="115"/>
      <c r="E964" s="132"/>
      <c r="F964" s="108"/>
      <c r="G964" s="136"/>
      <c r="H964" s="136"/>
    </row>
    <row r="965" spans="1:23" ht="15" thickBot="1" x14ac:dyDescent="0.35">
      <c r="A965" s="116"/>
      <c r="B965" s="120" t="s">
        <v>364</v>
      </c>
      <c r="C965" s="117"/>
      <c r="D965" s="118"/>
      <c r="E965" s="135"/>
      <c r="F965" s="119"/>
      <c r="G965" s="121">
        <f>+G963+G681+G242+G23</f>
        <v>0</v>
      </c>
    </row>
    <row r="966" spans="1:23" x14ac:dyDescent="0.3">
      <c r="G966" s="144"/>
      <c r="I966" s="147"/>
    </row>
  </sheetData>
  <mergeCells count="1">
    <mergeCell ref="A4:G4"/>
  </mergeCells>
  <conditionalFormatting sqref="A10:A125">
    <cfRule type="containsText" dxfId="29" priority="15" operator="containsText" text="priodité 01">
      <formula>NOT(ISERROR(SEARCH("priodité 01",A10)))</formula>
    </cfRule>
  </conditionalFormatting>
  <conditionalFormatting sqref="A149">
    <cfRule type="containsText" dxfId="28" priority="14" operator="containsText" text="priodité 01">
      <formula>NOT(ISERROR(SEARCH("priodité 01",A149)))</formula>
    </cfRule>
  </conditionalFormatting>
  <conditionalFormatting sqref="A241">
    <cfRule type="containsText" dxfId="27" priority="13" operator="containsText" text="priodité 01">
      <formula>NOT(ISERROR(SEARCH("priodité 01",A241)))</formula>
    </cfRule>
  </conditionalFormatting>
  <conditionalFormatting sqref="A324">
    <cfRule type="containsText" dxfId="26" priority="12" operator="containsText" text="priodité 01">
      <formula>NOT(ISERROR(SEARCH("priodité 01",A324)))</formula>
    </cfRule>
  </conditionalFormatting>
  <conditionalFormatting sqref="A413">
    <cfRule type="containsText" dxfId="25" priority="11" operator="containsText" text="priodité 01">
      <formula>NOT(ISERROR(SEARCH("priodité 01",A413)))</formula>
    </cfRule>
  </conditionalFormatting>
  <conditionalFormatting sqref="A513">
    <cfRule type="containsText" dxfId="24" priority="10" operator="containsText" text="priodité 01">
      <formula>NOT(ISERROR(SEARCH("priodité 01",A513)))</formula>
    </cfRule>
  </conditionalFormatting>
  <conditionalFormatting sqref="A591">
    <cfRule type="containsText" dxfId="23" priority="9" operator="containsText" text="priodité 01">
      <formula>NOT(ISERROR(SEARCH("priodité 01",A591)))</formula>
    </cfRule>
  </conditionalFormatting>
  <conditionalFormatting sqref="A680">
    <cfRule type="containsText" dxfId="22" priority="8" operator="containsText" text="priodité 01">
      <formula>NOT(ISERROR(SEARCH("priodité 01",A680)))</formula>
    </cfRule>
  </conditionalFormatting>
  <conditionalFormatting sqref="A775">
    <cfRule type="containsText" dxfId="21" priority="7" operator="containsText" text="priodité 01">
      <formula>NOT(ISERROR(SEARCH("priodité 01",A775)))</formula>
    </cfRule>
  </conditionalFormatting>
  <conditionalFormatting sqref="A819">
    <cfRule type="containsText" dxfId="20" priority="6" operator="containsText" text="priodité 01">
      <formula>NOT(ISERROR(SEARCH("priodité 01",A819)))</formula>
    </cfRule>
  </conditionalFormatting>
  <conditionalFormatting sqref="A831">
    <cfRule type="containsText" dxfId="19" priority="5" operator="containsText" text="priodité 01">
      <formula>NOT(ISERROR(SEARCH("priodité 01",A831)))</formula>
    </cfRule>
  </conditionalFormatting>
  <conditionalFormatting sqref="A838">
    <cfRule type="containsText" dxfId="18" priority="4" operator="containsText" text="priodité 01">
      <formula>NOT(ISERROR(SEARCH("priodité 01",A838)))</formula>
    </cfRule>
  </conditionalFormatting>
  <conditionalFormatting sqref="A847">
    <cfRule type="containsText" dxfId="17" priority="3" operator="containsText" text="priodité 01">
      <formula>NOT(ISERROR(SEARCH("priodité 01",A847)))</formula>
    </cfRule>
  </conditionalFormatting>
  <conditionalFormatting sqref="A933">
    <cfRule type="containsText" dxfId="16" priority="2" operator="containsText" text="priodité 01">
      <formula>NOT(ISERROR(SEARCH("priodité 01",A933)))</formula>
    </cfRule>
  </conditionalFormatting>
  <conditionalFormatting sqref="A962">
    <cfRule type="containsText" dxfId="15" priority="1" operator="containsText" text="priodité 01">
      <formula>NOT(ISERROR(SEARCH("priodité 01",A962)))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97" fitToHeight="24" orientation="portrait" r:id="rId1"/>
  <headerFooter>
    <oddHeader>&amp;CDQE - Lot N°2 (24 pages au total)</oddHeader>
    <oddFooter>&amp;CDQE Lot N°2 : &amp;P/ &amp;N Pages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E1C5-2C8A-4D7B-809D-1A179E12A991}">
  <sheetPr>
    <pageSetUpPr fitToPage="1"/>
  </sheetPr>
  <dimension ref="A4:W966"/>
  <sheetViews>
    <sheetView view="pageLayout" topLeftCell="A709" zoomScaleNormal="160" workbookViewId="0">
      <selection activeCell="B687" sqref="B687"/>
    </sheetView>
  </sheetViews>
  <sheetFormatPr baseColWidth="10" defaultColWidth="10.90625" defaultRowHeight="14.4" x14ac:dyDescent="0.3"/>
  <cols>
    <col min="1" max="1" width="7.453125" style="47" customWidth="1"/>
    <col min="2" max="2" width="40.36328125" style="47" customWidth="1"/>
    <col min="3" max="3" width="3.90625" style="47" customWidth="1"/>
    <col min="4" max="4" width="4.08984375" style="85" customWidth="1"/>
    <col min="5" max="5" width="9.36328125" style="134" customWidth="1"/>
    <col min="6" max="6" width="7.453125" style="55" customWidth="1"/>
    <col min="7" max="7" width="8.36328125" style="47" customWidth="1"/>
    <col min="8" max="8" width="13.36328125" style="47" bestFit="1" customWidth="1"/>
    <col min="9" max="9" width="12.6328125" style="47" bestFit="1" customWidth="1"/>
    <col min="10" max="16384" width="10.90625" style="47"/>
  </cols>
  <sheetData>
    <row r="4" spans="1:23" ht="31.8" customHeight="1" x14ac:dyDescent="0.3">
      <c r="A4" s="155" t="s">
        <v>155</v>
      </c>
      <c r="B4" s="156"/>
      <c r="C4" s="156"/>
      <c r="D4" s="156"/>
      <c r="E4" s="156"/>
      <c r="F4" s="156"/>
      <c r="G4" s="157"/>
    </row>
    <row r="5" spans="1:23" ht="13.8" customHeight="1" x14ac:dyDescent="0.3">
      <c r="A5" s="45"/>
      <c r="B5" s="57"/>
      <c r="C5" s="45"/>
      <c r="D5" s="84"/>
      <c r="E5" s="122"/>
      <c r="F5" s="76"/>
      <c r="G5" s="45"/>
    </row>
    <row r="6" spans="1:23" x14ac:dyDescent="0.3">
      <c r="B6" s="58" t="s">
        <v>347</v>
      </c>
      <c r="C6" s="73" t="s">
        <v>352</v>
      </c>
      <c r="D6" s="92"/>
      <c r="E6" s="123"/>
      <c r="F6" s="93"/>
      <c r="G6" s="73"/>
    </row>
    <row r="8" spans="1:23" s="58" customFormat="1" ht="16.8" customHeight="1" x14ac:dyDescent="0.3">
      <c r="A8" s="69">
        <v>0</v>
      </c>
      <c r="B8" s="59" t="s">
        <v>294</v>
      </c>
      <c r="C8" s="59"/>
      <c r="D8" s="86"/>
      <c r="E8" s="124"/>
      <c r="F8" s="77"/>
      <c r="G8" s="59"/>
    </row>
    <row r="9" spans="1:23" ht="43.2" x14ac:dyDescent="0.3">
      <c r="A9" s="60" t="s">
        <v>2</v>
      </c>
      <c r="B9" s="60" t="s">
        <v>3</v>
      </c>
      <c r="C9" s="60" t="s">
        <v>4</v>
      </c>
      <c r="D9" s="41" t="s">
        <v>152</v>
      </c>
      <c r="E9" s="125" t="s">
        <v>5</v>
      </c>
      <c r="F9" s="78" t="s">
        <v>349</v>
      </c>
      <c r="G9" s="42" t="s">
        <v>350</v>
      </c>
    </row>
    <row r="10" spans="1:23" s="58" customFormat="1" ht="16.8" customHeight="1" x14ac:dyDescent="0.3">
      <c r="A10" s="70" t="s">
        <v>156</v>
      </c>
      <c r="B10" s="70" t="s">
        <v>195</v>
      </c>
      <c r="C10" s="52"/>
      <c r="D10" s="87"/>
      <c r="E10" s="126"/>
      <c r="F10" s="49"/>
      <c r="G10" s="52"/>
    </row>
    <row r="11" spans="1:23" s="48" customFormat="1" x14ac:dyDescent="0.3">
      <c r="A11" s="149" t="s">
        <v>407</v>
      </c>
      <c r="B11" s="50" t="s">
        <v>157</v>
      </c>
      <c r="C11" s="51" t="s">
        <v>79</v>
      </c>
      <c r="D11" s="51" t="s">
        <v>158</v>
      </c>
      <c r="E11" s="127">
        <v>1</v>
      </c>
      <c r="F11" s="79">
        <f>BPU!E11</f>
        <v>0</v>
      </c>
      <c r="G11" s="94">
        <f>E11*F11</f>
        <v>0</v>
      </c>
      <c r="J11" s="63"/>
      <c r="K11" s="75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44"/>
      <c r="W11" s="44"/>
    </row>
    <row r="12" spans="1:23" s="48" customFormat="1" ht="15" thickBot="1" x14ac:dyDescent="0.35">
      <c r="A12" s="149" t="s">
        <v>408</v>
      </c>
      <c r="B12" s="50" t="s">
        <v>160</v>
      </c>
      <c r="C12" s="51" t="s">
        <v>79</v>
      </c>
      <c r="D12" s="51" t="s">
        <v>158</v>
      </c>
      <c r="E12" s="127">
        <v>1</v>
      </c>
      <c r="F12" s="79">
        <f>BPU!E12</f>
        <v>0</v>
      </c>
      <c r="G12" s="101">
        <f t="shared" ref="G12:G21" si="0">E12*F12</f>
        <v>0</v>
      </c>
      <c r="J12" s="63"/>
      <c r="K12" s="75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44"/>
      <c r="W12" s="44"/>
    </row>
    <row r="13" spans="1:23" s="98" customFormat="1" ht="15" thickBot="1" x14ac:dyDescent="0.35">
      <c r="A13" s="50"/>
      <c r="B13" s="96" t="s">
        <v>385</v>
      </c>
      <c r="C13" s="97"/>
      <c r="D13" s="97"/>
      <c r="E13" s="128"/>
      <c r="F13" s="145">
        <f>BPU!E13</f>
        <v>0</v>
      </c>
      <c r="G13" s="146">
        <f>SUM(G11:G12)</f>
        <v>0</v>
      </c>
      <c r="J13" s="99"/>
      <c r="K13" s="75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0"/>
      <c r="W13" s="100"/>
    </row>
    <row r="14" spans="1:23" s="58" customFormat="1" ht="16.8" customHeight="1" x14ac:dyDescent="0.3">
      <c r="A14" s="70" t="s">
        <v>159</v>
      </c>
      <c r="B14" s="70" t="s">
        <v>295</v>
      </c>
      <c r="C14" s="52"/>
      <c r="D14" s="87"/>
      <c r="E14" s="126"/>
      <c r="F14" s="79">
        <f>BPU!E14</f>
        <v>0</v>
      </c>
      <c r="G14" s="102">
        <f t="shared" si="0"/>
        <v>0</v>
      </c>
    </row>
    <row r="15" spans="1:23" s="48" customFormat="1" ht="16.2" x14ac:dyDescent="0.3">
      <c r="A15" s="149" t="s">
        <v>409</v>
      </c>
      <c r="B15" s="50" t="s">
        <v>165</v>
      </c>
      <c r="C15" s="51" t="s">
        <v>167</v>
      </c>
      <c r="D15" s="51" t="s">
        <v>292</v>
      </c>
      <c r="E15" s="127">
        <f>332.22*1.25</f>
        <v>415.27500000000003</v>
      </c>
      <c r="F15" s="79">
        <f>BPU!E15</f>
        <v>0</v>
      </c>
      <c r="G15" s="94">
        <f t="shared" si="0"/>
        <v>0</v>
      </c>
      <c r="J15" s="63"/>
      <c r="K15" s="75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44"/>
      <c r="W15" s="44"/>
    </row>
    <row r="16" spans="1:23" s="48" customFormat="1" ht="16.2" x14ac:dyDescent="0.3">
      <c r="A16" s="149" t="s">
        <v>410</v>
      </c>
      <c r="B16" s="152" t="s">
        <v>1281</v>
      </c>
      <c r="C16" s="51" t="s">
        <v>162</v>
      </c>
      <c r="D16" s="51" t="s">
        <v>292</v>
      </c>
      <c r="E16" s="127">
        <f>102*0.4*4</f>
        <v>163.20000000000002</v>
      </c>
      <c r="F16" s="79">
        <f>BPU!E16</f>
        <v>0</v>
      </c>
      <c r="G16" s="94">
        <f t="shared" si="0"/>
        <v>0</v>
      </c>
      <c r="J16" s="63"/>
      <c r="K16" s="75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4"/>
      <c r="W16" s="44"/>
    </row>
    <row r="17" spans="1:23" s="48" customFormat="1" ht="16.2" x14ac:dyDescent="0.3">
      <c r="A17" s="149" t="s">
        <v>411</v>
      </c>
      <c r="B17" s="152" t="s">
        <v>1282</v>
      </c>
      <c r="C17" s="51" t="s">
        <v>162</v>
      </c>
      <c r="D17" s="51" t="s">
        <v>292</v>
      </c>
      <c r="E17" s="127">
        <f>+(14+22+54+10+26+19+8)*0.3*4.5</f>
        <v>206.54999999999998</v>
      </c>
      <c r="F17" s="79">
        <f>BPU!E17</f>
        <v>0</v>
      </c>
      <c r="G17" s="94">
        <f t="shared" si="0"/>
        <v>0</v>
      </c>
      <c r="J17" s="63"/>
      <c r="K17" s="75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44"/>
      <c r="W17" s="44"/>
    </row>
    <row r="18" spans="1:23" s="48" customFormat="1" x14ac:dyDescent="0.3">
      <c r="A18" s="149" t="s">
        <v>412</v>
      </c>
      <c r="B18" s="152" t="s">
        <v>1317</v>
      </c>
      <c r="C18" s="51" t="s">
        <v>79</v>
      </c>
      <c r="D18" s="51" t="s">
        <v>158</v>
      </c>
      <c r="E18" s="127">
        <v>1</v>
      </c>
      <c r="F18" s="79">
        <f>BPU!E18</f>
        <v>0</v>
      </c>
      <c r="G18" s="94">
        <f t="shared" si="0"/>
        <v>0</v>
      </c>
      <c r="J18" s="63"/>
      <c r="K18" s="75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4"/>
      <c r="W18" s="44"/>
    </row>
    <row r="19" spans="1:23" s="48" customFormat="1" x14ac:dyDescent="0.3">
      <c r="A19" s="149" t="s">
        <v>413</v>
      </c>
      <c r="B19" s="152" t="s">
        <v>1284</v>
      </c>
      <c r="C19" s="51" t="s">
        <v>164</v>
      </c>
      <c r="D19" s="51" t="s">
        <v>292</v>
      </c>
      <c r="E19" s="127">
        <v>0</v>
      </c>
      <c r="F19" s="79">
        <f>BPU!E19</f>
        <v>0</v>
      </c>
      <c r="G19" s="94">
        <f t="shared" si="0"/>
        <v>0</v>
      </c>
      <c r="J19" s="63"/>
      <c r="K19" s="75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44"/>
      <c r="W19" s="44"/>
    </row>
    <row r="20" spans="1:23" s="48" customFormat="1" x14ac:dyDescent="0.3">
      <c r="A20" s="149" t="s">
        <v>414</v>
      </c>
      <c r="B20" s="50" t="s">
        <v>163</v>
      </c>
      <c r="C20" s="51" t="s">
        <v>79</v>
      </c>
      <c r="D20" s="51" t="s">
        <v>158</v>
      </c>
      <c r="E20" s="127">
        <v>0</v>
      </c>
      <c r="F20" s="79">
        <f>BPU!E20</f>
        <v>0</v>
      </c>
      <c r="G20" s="94">
        <f t="shared" si="0"/>
        <v>0</v>
      </c>
      <c r="J20" s="63"/>
      <c r="K20" s="75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44"/>
      <c r="W20" s="44"/>
    </row>
    <row r="21" spans="1:23" s="48" customFormat="1" ht="16.8" thickBot="1" x14ac:dyDescent="0.35">
      <c r="A21" s="149" t="s">
        <v>415</v>
      </c>
      <c r="B21" s="50" t="s">
        <v>166</v>
      </c>
      <c r="C21" s="51" t="s">
        <v>167</v>
      </c>
      <c r="D21" s="51" t="s">
        <v>292</v>
      </c>
      <c r="E21" s="127">
        <v>984.82</v>
      </c>
      <c r="F21" s="79">
        <f>BPU!E21</f>
        <v>0</v>
      </c>
      <c r="G21" s="101">
        <f t="shared" si="0"/>
        <v>0</v>
      </c>
      <c r="J21" s="63"/>
      <c r="K21" s="75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44"/>
      <c r="W21" s="44"/>
    </row>
    <row r="22" spans="1:23" s="98" customFormat="1" ht="15" thickBot="1" x14ac:dyDescent="0.35">
      <c r="A22" s="50"/>
      <c r="B22" s="96" t="s">
        <v>386</v>
      </c>
      <c r="C22" s="97"/>
      <c r="D22" s="97"/>
      <c r="E22" s="128"/>
      <c r="F22" s="145">
        <f>BPU!E22</f>
        <v>0</v>
      </c>
      <c r="G22" s="146">
        <f>SUM(G15:G21)</f>
        <v>0</v>
      </c>
      <c r="J22" s="99"/>
      <c r="K22" s="75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  <c r="W22" s="100"/>
    </row>
    <row r="23" spans="1:23" s="98" customFormat="1" ht="15" thickBot="1" x14ac:dyDescent="0.35">
      <c r="A23" s="50"/>
      <c r="B23" s="96" t="s">
        <v>356</v>
      </c>
      <c r="C23" s="97"/>
      <c r="D23" s="97"/>
      <c r="E23" s="128"/>
      <c r="F23" s="79">
        <f>BPU!E23</f>
        <v>0</v>
      </c>
      <c r="G23" s="105">
        <f>G13+G22</f>
        <v>0</v>
      </c>
      <c r="J23" s="99"/>
      <c r="K23" s="75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100"/>
      <c r="W23" s="100"/>
    </row>
    <row r="24" spans="1:23" s="98" customFormat="1" x14ac:dyDescent="0.3">
      <c r="A24" s="106"/>
      <c r="B24" s="110"/>
      <c r="C24" s="111"/>
      <c r="D24" s="111"/>
      <c r="E24" s="129"/>
      <c r="F24" s="79">
        <f>BPU!E24</f>
        <v>0</v>
      </c>
      <c r="J24" s="99"/>
      <c r="K24" s="75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100"/>
      <c r="W24" s="100"/>
    </row>
    <row r="25" spans="1:23" s="58" customFormat="1" ht="16.8" customHeight="1" x14ac:dyDescent="0.3">
      <c r="A25" s="59" t="s">
        <v>13</v>
      </c>
      <c r="B25" s="59" t="s">
        <v>23</v>
      </c>
      <c r="C25" s="59"/>
      <c r="D25" s="86"/>
      <c r="E25" s="124"/>
      <c r="F25" s="86"/>
      <c r="G25" s="59"/>
    </row>
    <row r="26" spans="1:23" ht="43.2" x14ac:dyDescent="0.3">
      <c r="A26" s="60" t="s">
        <v>2</v>
      </c>
      <c r="B26" s="60" t="s">
        <v>3</v>
      </c>
      <c r="C26" s="60" t="s">
        <v>4</v>
      </c>
      <c r="D26" s="41" t="s">
        <v>152</v>
      </c>
      <c r="E26" s="125" t="s">
        <v>5</v>
      </c>
      <c r="F26" s="41" t="s">
        <v>349</v>
      </c>
      <c r="G26" s="42" t="s">
        <v>350</v>
      </c>
    </row>
    <row r="27" spans="1:23" s="58" customFormat="1" ht="16.8" customHeight="1" x14ac:dyDescent="0.3">
      <c r="A27" s="70" t="s">
        <v>18</v>
      </c>
      <c r="B27" s="70" t="s">
        <v>151</v>
      </c>
      <c r="C27" s="52"/>
      <c r="D27" s="87"/>
      <c r="E27" s="126"/>
      <c r="F27" s="79">
        <f>BPU!E27</f>
        <v>0</v>
      </c>
      <c r="G27" s="52"/>
    </row>
    <row r="28" spans="1:23" ht="18.600000000000001" customHeight="1" x14ac:dyDescent="0.3">
      <c r="A28" s="52" t="s">
        <v>24</v>
      </c>
      <c r="B28" s="46" t="s">
        <v>161</v>
      </c>
      <c r="C28" s="52"/>
      <c r="D28" s="87"/>
      <c r="E28" s="126"/>
      <c r="F28" s="79">
        <f>BPU!E28</f>
        <v>0</v>
      </c>
      <c r="G28" s="52"/>
    </row>
    <row r="29" spans="1:23" ht="28.8" customHeight="1" x14ac:dyDescent="0.3">
      <c r="A29" s="150" t="s">
        <v>416</v>
      </c>
      <c r="B29" s="153" t="s">
        <v>1308</v>
      </c>
      <c r="C29" s="51" t="s">
        <v>181</v>
      </c>
      <c r="D29" s="87" t="s">
        <v>292</v>
      </c>
      <c r="E29" s="126">
        <f>17.39+13.28+22.25+13.6+26.12+37.14</f>
        <v>129.78</v>
      </c>
      <c r="F29" s="79">
        <f>BPU!E29</f>
        <v>0</v>
      </c>
      <c r="G29" s="95">
        <f>E29*F29</f>
        <v>0</v>
      </c>
    </row>
    <row r="30" spans="1:23" ht="18.600000000000001" customHeight="1" x14ac:dyDescent="0.3">
      <c r="A30" s="150" t="s">
        <v>417</v>
      </c>
      <c r="B30" s="52" t="s">
        <v>196</v>
      </c>
      <c r="C30" s="51" t="s">
        <v>17</v>
      </c>
      <c r="D30" s="87" t="s">
        <v>292</v>
      </c>
      <c r="E30" s="126">
        <v>0</v>
      </c>
      <c r="F30" s="79">
        <f>BPU!E30</f>
        <v>0</v>
      </c>
      <c r="G30" s="95">
        <f t="shared" ref="G30:G93" si="1">E30*F30</f>
        <v>0</v>
      </c>
    </row>
    <row r="31" spans="1:23" ht="18.600000000000001" customHeight="1" x14ac:dyDescent="0.3">
      <c r="A31" s="150" t="s">
        <v>418</v>
      </c>
      <c r="B31" s="52" t="s">
        <v>210</v>
      </c>
      <c r="C31" s="51" t="s">
        <v>197</v>
      </c>
      <c r="D31" s="87" t="s">
        <v>292</v>
      </c>
      <c r="E31" s="126">
        <v>21</v>
      </c>
      <c r="F31" s="79">
        <f>BPU!E31</f>
        <v>0</v>
      </c>
      <c r="G31" s="95">
        <f t="shared" si="1"/>
        <v>0</v>
      </c>
    </row>
    <row r="32" spans="1:23" ht="18.600000000000001" customHeight="1" x14ac:dyDescent="0.3">
      <c r="A32" s="150" t="s">
        <v>419</v>
      </c>
      <c r="B32" s="52" t="s">
        <v>209</v>
      </c>
      <c r="C32" s="51" t="s">
        <v>197</v>
      </c>
      <c r="D32" s="87" t="s">
        <v>292</v>
      </c>
      <c r="E32" s="126">
        <v>0</v>
      </c>
      <c r="F32" s="79">
        <f>BPU!E32</f>
        <v>0</v>
      </c>
      <c r="G32" s="95">
        <f t="shared" si="1"/>
        <v>0</v>
      </c>
    </row>
    <row r="33" spans="1:7" ht="18.600000000000001" customHeight="1" x14ac:dyDescent="0.3">
      <c r="A33" s="150" t="s">
        <v>420</v>
      </c>
      <c r="B33" s="52" t="s">
        <v>199</v>
      </c>
      <c r="C33" s="51" t="s">
        <v>181</v>
      </c>
      <c r="D33" s="87" t="s">
        <v>292</v>
      </c>
      <c r="E33" s="126">
        <f>49.1*1.35</f>
        <v>66.285000000000011</v>
      </c>
      <c r="F33" s="79">
        <f>BPU!E33</f>
        <v>0</v>
      </c>
      <c r="G33" s="95">
        <f t="shared" si="1"/>
        <v>0</v>
      </c>
    </row>
    <row r="34" spans="1:7" ht="18.600000000000001" customHeight="1" x14ac:dyDescent="0.3">
      <c r="A34" s="150" t="s">
        <v>421</v>
      </c>
      <c r="B34" s="52" t="s">
        <v>293</v>
      </c>
      <c r="C34" s="51" t="s">
        <v>181</v>
      </c>
      <c r="D34" s="87" t="s">
        <v>292</v>
      </c>
      <c r="E34" s="126">
        <v>0</v>
      </c>
      <c r="F34" s="79">
        <f>BPU!E34</f>
        <v>0</v>
      </c>
      <c r="G34" s="95">
        <f t="shared" si="1"/>
        <v>0</v>
      </c>
    </row>
    <row r="35" spans="1:7" ht="28.2" customHeight="1" x14ac:dyDescent="0.3">
      <c r="A35" s="150" t="s">
        <v>422</v>
      </c>
      <c r="B35" s="61" t="s">
        <v>198</v>
      </c>
      <c r="C35" s="51" t="s">
        <v>79</v>
      </c>
      <c r="D35" s="87" t="s">
        <v>158</v>
      </c>
      <c r="E35" s="126">
        <v>0</v>
      </c>
      <c r="F35" s="79">
        <f>BPU!E35</f>
        <v>0</v>
      </c>
      <c r="G35" s="95">
        <f t="shared" si="1"/>
        <v>0</v>
      </c>
    </row>
    <row r="36" spans="1:7" ht="18.600000000000001" customHeight="1" x14ac:dyDescent="0.3">
      <c r="A36" s="52" t="s">
        <v>25</v>
      </c>
      <c r="B36" s="46" t="s">
        <v>208</v>
      </c>
      <c r="C36" s="51"/>
      <c r="D36" s="87"/>
      <c r="E36" s="126"/>
      <c r="F36" s="79">
        <f>BPU!E36</f>
        <v>0</v>
      </c>
      <c r="G36" s="95">
        <f t="shared" si="1"/>
        <v>0</v>
      </c>
    </row>
    <row r="37" spans="1:7" ht="18.600000000000001" customHeight="1" x14ac:dyDescent="0.3">
      <c r="A37" s="150" t="s">
        <v>423</v>
      </c>
      <c r="B37" s="52" t="s">
        <v>211</v>
      </c>
      <c r="C37" s="51" t="s">
        <v>230</v>
      </c>
      <c r="D37" s="87" t="s">
        <v>292</v>
      </c>
      <c r="E37" s="126">
        <f>(6+15+13+10.7+13.7+5.2+4.6)*0.4*0.6</f>
        <v>16.367999999999999</v>
      </c>
      <c r="F37" s="79">
        <f>BPU!E37</f>
        <v>0</v>
      </c>
      <c r="G37" s="95">
        <f t="shared" si="1"/>
        <v>0</v>
      </c>
    </row>
    <row r="38" spans="1:7" ht="18.600000000000001" customHeight="1" x14ac:dyDescent="0.3">
      <c r="A38" s="150" t="s">
        <v>424</v>
      </c>
      <c r="B38" s="52" t="s">
        <v>212</v>
      </c>
      <c r="C38" s="51" t="s">
        <v>230</v>
      </c>
      <c r="D38" s="87" t="s">
        <v>292</v>
      </c>
      <c r="E38" s="126">
        <f>121.89*0.3</f>
        <v>36.567</v>
      </c>
      <c r="F38" s="79">
        <f>BPU!E38</f>
        <v>0</v>
      </c>
      <c r="G38" s="95">
        <f t="shared" si="1"/>
        <v>0</v>
      </c>
    </row>
    <row r="39" spans="1:7" ht="18.600000000000001" customHeight="1" x14ac:dyDescent="0.3">
      <c r="A39" s="52" t="s">
        <v>26</v>
      </c>
      <c r="B39" s="46" t="s">
        <v>168</v>
      </c>
      <c r="C39" s="52"/>
      <c r="D39" s="87"/>
      <c r="E39" s="126"/>
      <c r="F39" s="79">
        <f>BPU!E39</f>
        <v>0</v>
      </c>
      <c r="G39" s="95">
        <f t="shared" si="1"/>
        <v>0</v>
      </c>
    </row>
    <row r="40" spans="1:7" s="65" customFormat="1" ht="18.600000000000001" customHeight="1" x14ac:dyDescent="0.3">
      <c r="A40" s="150" t="s">
        <v>425</v>
      </c>
      <c r="B40" s="50" t="s">
        <v>213</v>
      </c>
      <c r="C40" s="51" t="s">
        <v>230</v>
      </c>
      <c r="D40" s="88" t="s">
        <v>292</v>
      </c>
      <c r="E40" s="130">
        <f>68.2*0.05</f>
        <v>3.41</v>
      </c>
      <c r="F40" s="79">
        <f>BPU!E40</f>
        <v>0</v>
      </c>
      <c r="G40" s="95">
        <f t="shared" si="1"/>
        <v>0</v>
      </c>
    </row>
    <row r="41" spans="1:7" s="65" customFormat="1" ht="18.600000000000001" customHeight="1" x14ac:dyDescent="0.3">
      <c r="A41" s="150" t="s">
        <v>426</v>
      </c>
      <c r="B41" s="50" t="s">
        <v>187</v>
      </c>
      <c r="C41" s="51" t="s">
        <v>230</v>
      </c>
      <c r="D41" s="88" t="s">
        <v>292</v>
      </c>
      <c r="E41" s="130">
        <f>68.2*0.4*0.6</f>
        <v>16.367999999999999</v>
      </c>
      <c r="F41" s="79">
        <f>BPU!E41</f>
        <v>0</v>
      </c>
      <c r="G41" s="95">
        <f t="shared" si="1"/>
        <v>0</v>
      </c>
    </row>
    <row r="42" spans="1:7" s="65" customFormat="1" ht="18.600000000000001" customHeight="1" x14ac:dyDescent="0.3">
      <c r="A42" s="150" t="s">
        <v>427</v>
      </c>
      <c r="B42" s="50" t="s">
        <v>214</v>
      </c>
      <c r="C42" s="51" t="s">
        <v>230</v>
      </c>
      <c r="D42" s="88" t="s">
        <v>292</v>
      </c>
      <c r="E42" s="130">
        <v>0</v>
      </c>
      <c r="F42" s="79">
        <f>BPU!E42</f>
        <v>0</v>
      </c>
      <c r="G42" s="95">
        <f t="shared" si="1"/>
        <v>0</v>
      </c>
    </row>
    <row r="43" spans="1:7" s="65" customFormat="1" ht="33" customHeight="1" x14ac:dyDescent="0.3">
      <c r="A43" s="150" t="s">
        <v>428</v>
      </c>
      <c r="B43" s="50" t="s">
        <v>215</v>
      </c>
      <c r="C43" s="51" t="s">
        <v>230</v>
      </c>
      <c r="D43" s="88" t="s">
        <v>292</v>
      </c>
      <c r="E43" s="130">
        <v>0</v>
      </c>
      <c r="F43" s="79">
        <f>BPU!E43</f>
        <v>0</v>
      </c>
      <c r="G43" s="95">
        <f t="shared" si="1"/>
        <v>0</v>
      </c>
    </row>
    <row r="44" spans="1:7" ht="18.600000000000001" customHeight="1" x14ac:dyDescent="0.3">
      <c r="A44" s="52" t="s">
        <v>27</v>
      </c>
      <c r="B44" s="46" t="s">
        <v>169</v>
      </c>
      <c r="C44" s="52"/>
      <c r="D44" s="87"/>
      <c r="E44" s="126"/>
      <c r="F44" s="79">
        <f>BPU!E44</f>
        <v>0</v>
      </c>
      <c r="G44" s="95">
        <f t="shared" si="1"/>
        <v>0</v>
      </c>
    </row>
    <row r="45" spans="1:7" ht="18.600000000000001" customHeight="1" x14ac:dyDescent="0.3">
      <c r="A45" s="150" t="s">
        <v>429</v>
      </c>
      <c r="B45" s="50" t="s">
        <v>216</v>
      </c>
      <c r="C45" s="51" t="s">
        <v>230</v>
      </c>
      <c r="D45" s="87" t="s">
        <v>292</v>
      </c>
      <c r="E45" s="126">
        <f>+(129.78+79.54)*0.1</f>
        <v>20.932000000000002</v>
      </c>
      <c r="F45" s="79">
        <f>BPU!E45</f>
        <v>0</v>
      </c>
      <c r="G45" s="95">
        <f t="shared" si="1"/>
        <v>0</v>
      </c>
    </row>
    <row r="46" spans="1:7" ht="18.600000000000001" customHeight="1" x14ac:dyDescent="0.3">
      <c r="A46" s="150" t="s">
        <v>430</v>
      </c>
      <c r="B46" s="50" t="s">
        <v>217</v>
      </c>
      <c r="C46" s="51" t="s">
        <v>230</v>
      </c>
      <c r="D46" s="87" t="s">
        <v>292</v>
      </c>
      <c r="E46" s="126">
        <f>0.6*0.6*0.15*10*1.25</f>
        <v>0.67500000000000004</v>
      </c>
      <c r="F46" s="79">
        <f>BPU!E46</f>
        <v>0</v>
      </c>
      <c r="G46" s="95">
        <f t="shared" si="1"/>
        <v>0</v>
      </c>
    </row>
    <row r="47" spans="1:7" ht="18.600000000000001" customHeight="1" x14ac:dyDescent="0.3">
      <c r="A47" s="150" t="s">
        <v>431</v>
      </c>
      <c r="B47" s="50" t="s">
        <v>218</v>
      </c>
      <c r="C47" s="51" t="s">
        <v>230</v>
      </c>
      <c r="D47" s="87" t="s">
        <v>292</v>
      </c>
      <c r="E47" s="126">
        <f>(28+9.8+4.5+12.5)*0.2*0.2</f>
        <v>2.1920000000000002</v>
      </c>
      <c r="F47" s="79">
        <f>BPU!E47</f>
        <v>0</v>
      </c>
      <c r="G47" s="95">
        <f t="shared" si="1"/>
        <v>0</v>
      </c>
    </row>
    <row r="48" spans="1:7" ht="18.600000000000001" customHeight="1" x14ac:dyDescent="0.3">
      <c r="A48" s="150" t="s">
        <v>432</v>
      </c>
      <c r="B48" s="50" t="s">
        <v>219</v>
      </c>
      <c r="C48" s="51" t="s">
        <v>230</v>
      </c>
      <c r="D48" s="87" t="s">
        <v>292</v>
      </c>
      <c r="E48" s="126">
        <f>+E47</f>
        <v>2.1920000000000002</v>
      </c>
      <c r="F48" s="79">
        <f>BPU!E48</f>
        <v>0</v>
      </c>
      <c r="G48" s="95">
        <f t="shared" si="1"/>
        <v>0</v>
      </c>
    </row>
    <row r="49" spans="1:7" ht="18.600000000000001" customHeight="1" x14ac:dyDescent="0.3">
      <c r="A49" s="150" t="s">
        <v>433</v>
      </c>
      <c r="B49" s="50" t="s">
        <v>220</v>
      </c>
      <c r="C49" s="51" t="s">
        <v>230</v>
      </c>
      <c r="D49" s="87" t="s">
        <v>292</v>
      </c>
      <c r="E49" s="126">
        <v>0</v>
      </c>
      <c r="F49" s="79">
        <f>BPU!E49</f>
        <v>0</v>
      </c>
      <c r="G49" s="95">
        <f t="shared" si="1"/>
        <v>0</v>
      </c>
    </row>
    <row r="50" spans="1:7" ht="18.600000000000001" customHeight="1" x14ac:dyDescent="0.3">
      <c r="A50" s="150" t="s">
        <v>434</v>
      </c>
      <c r="B50" s="50" t="s">
        <v>221</v>
      </c>
      <c r="C50" s="51" t="s">
        <v>230</v>
      </c>
      <c r="D50" s="87" t="s">
        <v>292</v>
      </c>
      <c r="E50" s="126">
        <f>0.2*0.2*4.5*10</f>
        <v>1.8000000000000005</v>
      </c>
      <c r="F50" s="79">
        <f>BPU!E50</f>
        <v>0</v>
      </c>
      <c r="G50" s="95">
        <f t="shared" si="1"/>
        <v>0</v>
      </c>
    </row>
    <row r="51" spans="1:7" ht="18.600000000000001" customHeight="1" x14ac:dyDescent="0.3">
      <c r="A51" s="150" t="s">
        <v>435</v>
      </c>
      <c r="B51" s="50" t="s">
        <v>222</v>
      </c>
      <c r="C51" s="51" t="s">
        <v>230</v>
      </c>
      <c r="D51" s="87" t="s">
        <v>292</v>
      </c>
      <c r="E51" s="126">
        <v>0</v>
      </c>
      <c r="F51" s="79">
        <f>BPU!E51</f>
        <v>0</v>
      </c>
      <c r="G51" s="95">
        <f t="shared" si="1"/>
        <v>0</v>
      </c>
    </row>
    <row r="52" spans="1:7" ht="18.600000000000001" customHeight="1" x14ac:dyDescent="0.3">
      <c r="A52" s="52" t="s">
        <v>28</v>
      </c>
      <c r="B52" s="46" t="s">
        <v>170</v>
      </c>
      <c r="C52" s="52"/>
      <c r="D52" s="87"/>
      <c r="E52" s="126"/>
      <c r="F52" s="79">
        <f>BPU!E52</f>
        <v>0</v>
      </c>
      <c r="G52" s="95">
        <f t="shared" si="1"/>
        <v>0</v>
      </c>
    </row>
    <row r="53" spans="1:7" ht="18.600000000000001" customHeight="1" x14ac:dyDescent="0.3">
      <c r="A53" s="150" t="s">
        <v>436</v>
      </c>
      <c r="B53" s="50" t="s">
        <v>223</v>
      </c>
      <c r="C53" s="51" t="s">
        <v>230</v>
      </c>
      <c r="D53" s="87" t="s">
        <v>292</v>
      </c>
      <c r="E53" s="126">
        <f>79.54*0.05*0.35</f>
        <v>1.39195</v>
      </c>
      <c r="F53" s="79">
        <f>BPU!E53</f>
        <v>0</v>
      </c>
      <c r="G53" s="95">
        <f t="shared" si="1"/>
        <v>0</v>
      </c>
    </row>
    <row r="54" spans="1:7" ht="18.600000000000001" customHeight="1" x14ac:dyDescent="0.3">
      <c r="A54" s="150" t="s">
        <v>437</v>
      </c>
      <c r="B54" s="50" t="s">
        <v>224</v>
      </c>
      <c r="C54" s="51" t="s">
        <v>230</v>
      </c>
      <c r="D54" s="87" t="s">
        <v>292</v>
      </c>
      <c r="E54" s="126">
        <f>+(42.35+79.54)*0.25</f>
        <v>30.472500000000004</v>
      </c>
      <c r="F54" s="79">
        <f>BPU!E54</f>
        <v>0</v>
      </c>
      <c r="G54" s="95">
        <f t="shared" si="1"/>
        <v>0</v>
      </c>
    </row>
    <row r="55" spans="1:7" ht="18.600000000000001" customHeight="1" x14ac:dyDescent="0.3">
      <c r="A55" s="150" t="s">
        <v>438</v>
      </c>
      <c r="B55" s="50" t="s">
        <v>178</v>
      </c>
      <c r="C55" s="51" t="s">
        <v>230</v>
      </c>
      <c r="D55" s="87" t="s">
        <v>292</v>
      </c>
      <c r="E55" s="126">
        <f>+(56.43+105.08)*0.25</f>
        <v>40.377499999999998</v>
      </c>
      <c r="F55" s="79">
        <f>BPU!E55</f>
        <v>0</v>
      </c>
      <c r="G55" s="95">
        <f t="shared" si="1"/>
        <v>0</v>
      </c>
    </row>
    <row r="56" spans="1:7" ht="18.600000000000001" customHeight="1" x14ac:dyDescent="0.3">
      <c r="A56" s="52" t="s">
        <v>29</v>
      </c>
      <c r="B56" s="46" t="s">
        <v>171</v>
      </c>
      <c r="C56" s="52"/>
      <c r="D56" s="87"/>
      <c r="E56" s="126"/>
      <c r="F56" s="79">
        <f>BPU!E56</f>
        <v>0</v>
      </c>
      <c r="G56" s="95">
        <f t="shared" si="1"/>
        <v>0</v>
      </c>
    </row>
    <row r="57" spans="1:7" ht="24.6" customHeight="1" x14ac:dyDescent="0.3">
      <c r="A57" s="150" t="s">
        <v>439</v>
      </c>
      <c r="B57" s="50" t="s">
        <v>229</v>
      </c>
      <c r="C57" s="51" t="s">
        <v>181</v>
      </c>
      <c r="D57" s="87" t="s">
        <v>292</v>
      </c>
      <c r="E57" s="126">
        <f>68.2*0.4*0.4</f>
        <v>10.912000000000001</v>
      </c>
      <c r="F57" s="79">
        <f>BPU!E57</f>
        <v>0</v>
      </c>
      <c r="G57" s="95">
        <f t="shared" si="1"/>
        <v>0</v>
      </c>
    </row>
    <row r="58" spans="1:7" ht="19.2" customHeight="1" x14ac:dyDescent="0.3">
      <c r="A58" s="150" t="s">
        <v>440</v>
      </c>
      <c r="B58" s="50" t="s">
        <v>368</v>
      </c>
      <c r="C58" s="51" t="s">
        <v>181</v>
      </c>
      <c r="D58" s="87" t="s">
        <v>292</v>
      </c>
      <c r="E58" s="126">
        <v>181</v>
      </c>
      <c r="F58" s="79">
        <f>BPU!E58</f>
        <v>0</v>
      </c>
      <c r="G58" s="95">
        <f t="shared" si="1"/>
        <v>0</v>
      </c>
    </row>
    <row r="59" spans="1:7" ht="18.600000000000001" customHeight="1" x14ac:dyDescent="0.3">
      <c r="A59" s="150" t="s">
        <v>441</v>
      </c>
      <c r="B59" s="50" t="s">
        <v>366</v>
      </c>
      <c r="C59" s="51" t="s">
        <v>181</v>
      </c>
      <c r="D59" s="87" t="s">
        <v>292</v>
      </c>
      <c r="E59" s="126">
        <f>+(6.05+7.65+7.65+12+9.95+5.2+4.6+12.3)*4.5</f>
        <v>294.3</v>
      </c>
      <c r="F59" s="79">
        <f>BPU!E59</f>
        <v>0</v>
      </c>
      <c r="G59" s="95">
        <f t="shared" si="1"/>
        <v>0</v>
      </c>
    </row>
    <row r="60" spans="1:7" ht="18.600000000000001" customHeight="1" x14ac:dyDescent="0.3">
      <c r="A60" s="150" t="s">
        <v>442</v>
      </c>
      <c r="B60" s="50" t="s">
        <v>225</v>
      </c>
      <c r="C60" s="51" t="s">
        <v>181</v>
      </c>
      <c r="D60" s="87" t="s">
        <v>292</v>
      </c>
      <c r="E60" s="126">
        <v>0</v>
      </c>
      <c r="F60" s="79">
        <f>BPU!E60</f>
        <v>0</v>
      </c>
      <c r="G60" s="95">
        <f t="shared" si="1"/>
        <v>0</v>
      </c>
    </row>
    <row r="61" spans="1:7" ht="18.600000000000001" customHeight="1" x14ac:dyDescent="0.3">
      <c r="A61" s="150" t="s">
        <v>443</v>
      </c>
      <c r="B61" s="50" t="s">
        <v>226</v>
      </c>
      <c r="C61" s="51" t="s">
        <v>181</v>
      </c>
      <c r="D61" s="87" t="s">
        <v>292</v>
      </c>
      <c r="E61" s="126">
        <v>0</v>
      </c>
      <c r="F61" s="79">
        <f>BPU!E61</f>
        <v>0</v>
      </c>
      <c r="G61" s="95">
        <f t="shared" si="1"/>
        <v>0</v>
      </c>
    </row>
    <row r="62" spans="1:7" ht="18.600000000000001" customHeight="1" x14ac:dyDescent="0.3">
      <c r="A62" s="150" t="s">
        <v>444</v>
      </c>
      <c r="B62" s="50" t="s">
        <v>227</v>
      </c>
      <c r="C62" s="51" t="s">
        <v>181</v>
      </c>
      <c r="D62" s="87" t="s">
        <v>292</v>
      </c>
      <c r="E62" s="126">
        <v>0</v>
      </c>
      <c r="F62" s="79">
        <f>BPU!E62</f>
        <v>0</v>
      </c>
      <c r="G62" s="95">
        <f t="shared" si="1"/>
        <v>0</v>
      </c>
    </row>
    <row r="63" spans="1:7" ht="18.600000000000001" customHeight="1" x14ac:dyDescent="0.3">
      <c r="A63" s="150" t="s">
        <v>445</v>
      </c>
      <c r="B63" s="50" t="s">
        <v>228</v>
      </c>
      <c r="C63" s="51" t="s">
        <v>181</v>
      </c>
      <c r="D63" s="87" t="s">
        <v>292</v>
      </c>
      <c r="E63" s="126">
        <v>0</v>
      </c>
      <c r="F63" s="79">
        <f>BPU!E63</f>
        <v>0</v>
      </c>
      <c r="G63" s="95">
        <f t="shared" si="1"/>
        <v>0</v>
      </c>
    </row>
    <row r="64" spans="1:7" ht="18.600000000000001" customHeight="1" x14ac:dyDescent="0.3">
      <c r="A64" s="52" t="s">
        <v>30</v>
      </c>
      <c r="B64" s="46" t="s">
        <v>172</v>
      </c>
      <c r="C64" s="52"/>
      <c r="D64" s="87"/>
      <c r="E64" s="126"/>
      <c r="F64" s="79">
        <f>BPU!E64</f>
        <v>0</v>
      </c>
      <c r="G64" s="95">
        <f t="shared" si="1"/>
        <v>0</v>
      </c>
    </row>
    <row r="65" spans="1:7" ht="18.600000000000001" customHeight="1" x14ac:dyDescent="0.3">
      <c r="A65" s="150" t="s">
        <v>446</v>
      </c>
      <c r="B65" s="50" t="s">
        <v>231</v>
      </c>
      <c r="C65" s="51" t="s">
        <v>181</v>
      </c>
      <c r="D65" s="87" t="s">
        <v>292</v>
      </c>
      <c r="E65" s="126">
        <v>0</v>
      </c>
      <c r="F65" s="79">
        <f>BPU!E65</f>
        <v>0</v>
      </c>
      <c r="G65" s="95">
        <f t="shared" si="1"/>
        <v>0</v>
      </c>
    </row>
    <row r="66" spans="1:7" ht="18.600000000000001" customHeight="1" x14ac:dyDescent="0.3">
      <c r="A66" s="150" t="s">
        <v>447</v>
      </c>
      <c r="B66" s="50" t="s">
        <v>232</v>
      </c>
      <c r="C66" s="51" t="s">
        <v>181</v>
      </c>
      <c r="D66" s="87" t="s">
        <v>292</v>
      </c>
      <c r="E66" s="126">
        <f>17.39+13.28+22.25+13.6+26.12+37.14+56.43+105.08+42.35+79.54</f>
        <v>413.18000000000006</v>
      </c>
      <c r="F66" s="79">
        <f>BPU!E66</f>
        <v>0</v>
      </c>
      <c r="G66" s="95">
        <f t="shared" si="1"/>
        <v>0</v>
      </c>
    </row>
    <row r="67" spans="1:7" ht="28.2" customHeight="1" x14ac:dyDescent="0.3">
      <c r="A67" s="150" t="s">
        <v>448</v>
      </c>
      <c r="B67" s="50" t="s">
        <v>233</v>
      </c>
      <c r="C67" s="51" t="s">
        <v>181</v>
      </c>
      <c r="D67" s="87" t="s">
        <v>292</v>
      </c>
      <c r="E67" s="126">
        <f>100.5*1.5</f>
        <v>150.75</v>
      </c>
      <c r="F67" s="79">
        <f>BPU!E67</f>
        <v>0</v>
      </c>
      <c r="G67" s="95">
        <f t="shared" si="1"/>
        <v>0</v>
      </c>
    </row>
    <row r="68" spans="1:7" ht="18.600000000000001" customHeight="1" x14ac:dyDescent="0.3">
      <c r="A68" s="150" t="s">
        <v>449</v>
      </c>
      <c r="B68" s="50" t="s">
        <v>234</v>
      </c>
      <c r="C68" s="51" t="s">
        <v>181</v>
      </c>
      <c r="D68" s="87" t="s">
        <v>292</v>
      </c>
      <c r="E68" s="126">
        <v>0</v>
      </c>
      <c r="F68" s="79">
        <f>BPU!E68</f>
        <v>0</v>
      </c>
      <c r="G68" s="95">
        <f t="shared" si="1"/>
        <v>0</v>
      </c>
    </row>
    <row r="69" spans="1:7" ht="18.600000000000001" customHeight="1" x14ac:dyDescent="0.3">
      <c r="A69" s="52" t="s">
        <v>450</v>
      </c>
      <c r="B69" s="46" t="s">
        <v>173</v>
      </c>
      <c r="C69" s="52"/>
      <c r="D69" s="87"/>
      <c r="E69" s="126"/>
      <c r="F69" s="79">
        <f>BPU!E69</f>
        <v>0</v>
      </c>
      <c r="G69" s="95">
        <f t="shared" si="1"/>
        <v>0</v>
      </c>
    </row>
    <row r="70" spans="1:7" ht="18.600000000000001" customHeight="1" x14ac:dyDescent="0.3">
      <c r="A70" s="150" t="s">
        <v>451</v>
      </c>
      <c r="B70" s="50" t="s">
        <v>259</v>
      </c>
      <c r="C70" s="51" t="s">
        <v>181</v>
      </c>
      <c r="D70" s="87" t="s">
        <v>292</v>
      </c>
      <c r="E70" s="126">
        <v>0</v>
      </c>
      <c r="F70" s="79">
        <f>BPU!E70</f>
        <v>0</v>
      </c>
      <c r="G70" s="95">
        <f t="shared" si="1"/>
        <v>0</v>
      </c>
    </row>
    <row r="71" spans="1:7" ht="18.600000000000001" customHeight="1" x14ac:dyDescent="0.3">
      <c r="A71" s="150" t="s">
        <v>452</v>
      </c>
      <c r="B71" s="50" t="s">
        <v>235</v>
      </c>
      <c r="C71" s="51" t="s">
        <v>181</v>
      </c>
      <c r="D71" s="87" t="s">
        <v>292</v>
      </c>
      <c r="E71" s="126">
        <f>68.2*5</f>
        <v>341</v>
      </c>
      <c r="F71" s="79">
        <f>BPU!E71</f>
        <v>0</v>
      </c>
      <c r="G71" s="95">
        <f t="shared" si="1"/>
        <v>0</v>
      </c>
    </row>
    <row r="72" spans="1:7" ht="18.600000000000001" customHeight="1" x14ac:dyDescent="0.3">
      <c r="A72" s="150" t="s">
        <v>453</v>
      </c>
      <c r="B72" s="50" t="s">
        <v>236</v>
      </c>
      <c r="C72" s="51" t="s">
        <v>181</v>
      </c>
      <c r="D72" s="87" t="s">
        <v>292</v>
      </c>
      <c r="E72" s="126">
        <f>68.2*3.2</f>
        <v>218.24</v>
      </c>
      <c r="F72" s="79">
        <f>BPU!E72</f>
        <v>0</v>
      </c>
      <c r="G72" s="95">
        <f t="shared" si="1"/>
        <v>0</v>
      </c>
    </row>
    <row r="73" spans="1:7" ht="18.600000000000001" customHeight="1" x14ac:dyDescent="0.3">
      <c r="A73" s="150" t="s">
        <v>454</v>
      </c>
      <c r="B73" s="50" t="s">
        <v>237</v>
      </c>
      <c r="C73" s="51" t="s">
        <v>181</v>
      </c>
      <c r="D73" s="87" t="s">
        <v>292</v>
      </c>
      <c r="E73" s="126">
        <v>0</v>
      </c>
      <c r="F73" s="79">
        <f>BPU!E73</f>
        <v>0</v>
      </c>
      <c r="G73" s="95">
        <f t="shared" si="1"/>
        <v>0</v>
      </c>
    </row>
    <row r="74" spans="1:7" ht="18.600000000000001" customHeight="1" x14ac:dyDescent="0.3">
      <c r="A74" s="150" t="s">
        <v>455</v>
      </c>
      <c r="B74" s="50" t="s">
        <v>238</v>
      </c>
      <c r="C74" s="51" t="s">
        <v>181</v>
      </c>
      <c r="D74" s="87" t="s">
        <v>292</v>
      </c>
      <c r="E74" s="126">
        <v>0</v>
      </c>
      <c r="F74" s="79">
        <f>BPU!E74</f>
        <v>0</v>
      </c>
      <c r="G74" s="95">
        <f t="shared" si="1"/>
        <v>0</v>
      </c>
    </row>
    <row r="75" spans="1:7" ht="18.600000000000001" customHeight="1" x14ac:dyDescent="0.3">
      <c r="A75" s="150" t="s">
        <v>456</v>
      </c>
      <c r="B75" s="50" t="s">
        <v>179</v>
      </c>
      <c r="C75" s="51" t="s">
        <v>181</v>
      </c>
      <c r="D75" s="87" t="s">
        <v>292</v>
      </c>
      <c r="E75" s="126">
        <f>68.2*0.15*1.25</f>
        <v>12.787500000000001</v>
      </c>
      <c r="F75" s="79">
        <f>BPU!E75</f>
        <v>0</v>
      </c>
      <c r="G75" s="95">
        <f t="shared" si="1"/>
        <v>0</v>
      </c>
    </row>
    <row r="76" spans="1:7" ht="18.600000000000001" customHeight="1" x14ac:dyDescent="0.3">
      <c r="A76" s="150" t="s">
        <v>457</v>
      </c>
      <c r="B76" s="50" t="s">
        <v>239</v>
      </c>
      <c r="C76" s="51" t="s">
        <v>181</v>
      </c>
      <c r="D76" s="87" t="s">
        <v>292</v>
      </c>
      <c r="E76" s="126">
        <v>0</v>
      </c>
      <c r="F76" s="79">
        <f>BPU!E76</f>
        <v>0</v>
      </c>
      <c r="G76" s="95">
        <f t="shared" si="1"/>
        <v>0</v>
      </c>
    </row>
    <row r="77" spans="1:7" ht="18.600000000000001" customHeight="1" x14ac:dyDescent="0.3">
      <c r="A77" s="52" t="s">
        <v>458</v>
      </c>
      <c r="B77" s="46" t="s">
        <v>174</v>
      </c>
      <c r="C77" s="52"/>
      <c r="D77" s="87"/>
      <c r="E77" s="126"/>
      <c r="F77" s="79">
        <f>BPU!E77</f>
        <v>0</v>
      </c>
      <c r="G77" s="95">
        <f t="shared" si="1"/>
        <v>0</v>
      </c>
    </row>
    <row r="78" spans="1:7" ht="18.600000000000001" customHeight="1" x14ac:dyDescent="0.3">
      <c r="A78" s="150" t="s">
        <v>459</v>
      </c>
      <c r="B78" s="50" t="s">
        <v>367</v>
      </c>
      <c r="C78" s="51" t="s">
        <v>181</v>
      </c>
      <c r="D78" s="87" t="s">
        <v>292</v>
      </c>
      <c r="E78" s="126">
        <f>2*1*34</f>
        <v>68</v>
      </c>
      <c r="F78" s="79">
        <f>BPU!E78</f>
        <v>0</v>
      </c>
      <c r="G78" s="95">
        <f t="shared" ref="G78" si="2">E78*F78</f>
        <v>0</v>
      </c>
    </row>
    <row r="79" spans="1:7" ht="18.600000000000001" customHeight="1" x14ac:dyDescent="0.3">
      <c r="A79" s="150" t="s">
        <v>460</v>
      </c>
      <c r="B79" s="50" t="s">
        <v>240</v>
      </c>
      <c r="C79" s="51" t="s">
        <v>181</v>
      </c>
      <c r="D79" s="87" t="s">
        <v>292</v>
      </c>
      <c r="E79" s="126">
        <v>0</v>
      </c>
      <c r="F79" s="79">
        <f>BPU!E79</f>
        <v>0</v>
      </c>
      <c r="G79" s="95">
        <f t="shared" si="1"/>
        <v>0</v>
      </c>
    </row>
    <row r="80" spans="1:7" ht="18.600000000000001" customHeight="1" x14ac:dyDescent="0.3">
      <c r="A80" s="150" t="s">
        <v>461</v>
      </c>
      <c r="B80" s="50" t="s">
        <v>241</v>
      </c>
      <c r="C80" s="51" t="s">
        <v>181</v>
      </c>
      <c r="D80" s="87" t="s">
        <v>292</v>
      </c>
      <c r="E80" s="126">
        <v>0</v>
      </c>
      <c r="F80" s="79">
        <f>BPU!E80</f>
        <v>0</v>
      </c>
      <c r="G80" s="95">
        <f t="shared" si="1"/>
        <v>0</v>
      </c>
    </row>
    <row r="81" spans="1:7" ht="18.600000000000001" customHeight="1" x14ac:dyDescent="0.3">
      <c r="A81" s="150" t="s">
        <v>462</v>
      </c>
      <c r="B81" s="50" t="s">
        <v>242</v>
      </c>
      <c r="C81" s="51" t="s">
        <v>181</v>
      </c>
      <c r="D81" s="87" t="s">
        <v>292</v>
      </c>
      <c r="E81" s="126">
        <v>0</v>
      </c>
      <c r="F81" s="79">
        <f>BPU!E81</f>
        <v>0</v>
      </c>
      <c r="G81" s="95">
        <f t="shared" si="1"/>
        <v>0</v>
      </c>
    </row>
    <row r="82" spans="1:7" ht="18.600000000000001" customHeight="1" x14ac:dyDescent="0.3">
      <c r="A82" s="150" t="s">
        <v>463</v>
      </c>
      <c r="B82" s="50" t="s">
        <v>243</v>
      </c>
      <c r="C82" s="51" t="s">
        <v>181</v>
      </c>
      <c r="D82" s="87" t="s">
        <v>292</v>
      </c>
      <c r="E82" s="126">
        <v>0</v>
      </c>
      <c r="F82" s="79">
        <f>BPU!E82</f>
        <v>0</v>
      </c>
      <c r="G82" s="95">
        <f t="shared" si="1"/>
        <v>0</v>
      </c>
    </row>
    <row r="83" spans="1:7" ht="18.600000000000001" customHeight="1" x14ac:dyDescent="0.3">
      <c r="A83" s="150" t="s">
        <v>464</v>
      </c>
      <c r="B83" s="50" t="s">
        <v>244</v>
      </c>
      <c r="C83" s="51" t="s">
        <v>181</v>
      </c>
      <c r="D83" s="87" t="s">
        <v>292</v>
      </c>
      <c r="E83" s="126">
        <v>0</v>
      </c>
      <c r="F83" s="79">
        <f>BPU!E83</f>
        <v>0</v>
      </c>
      <c r="G83" s="95">
        <f t="shared" si="1"/>
        <v>0</v>
      </c>
    </row>
    <row r="84" spans="1:7" ht="18.600000000000001" customHeight="1" x14ac:dyDescent="0.3">
      <c r="A84" s="150" t="s">
        <v>465</v>
      </c>
      <c r="B84" s="50" t="s">
        <v>245</v>
      </c>
      <c r="C84" s="51" t="s">
        <v>181</v>
      </c>
      <c r="D84" s="87" t="s">
        <v>292</v>
      </c>
      <c r="E84" s="126">
        <f>+(2.1*0.9*8)+(1.6*2.1)</f>
        <v>18.48</v>
      </c>
      <c r="F84" s="79">
        <f>BPU!E84</f>
        <v>0</v>
      </c>
      <c r="G84" s="95">
        <f t="shared" si="1"/>
        <v>0</v>
      </c>
    </row>
    <row r="85" spans="1:7" ht="18.600000000000001" customHeight="1" x14ac:dyDescent="0.3">
      <c r="A85" s="150" t="s">
        <v>466</v>
      </c>
      <c r="B85" s="50" t="s">
        <v>246</v>
      </c>
      <c r="C85" s="51" t="s">
        <v>181</v>
      </c>
      <c r="D85" s="87" t="s">
        <v>292</v>
      </c>
      <c r="E85" s="126">
        <v>0</v>
      </c>
      <c r="F85" s="79">
        <f>BPU!E85</f>
        <v>0</v>
      </c>
      <c r="G85" s="95">
        <f t="shared" si="1"/>
        <v>0</v>
      </c>
    </row>
    <row r="86" spans="1:7" ht="18.600000000000001" customHeight="1" x14ac:dyDescent="0.3">
      <c r="A86" s="150" t="s">
        <v>467</v>
      </c>
      <c r="B86" s="50" t="s">
        <v>247</v>
      </c>
      <c r="C86" s="51" t="s">
        <v>181</v>
      </c>
      <c r="D86" s="87" t="s">
        <v>292</v>
      </c>
      <c r="E86" s="126">
        <v>0</v>
      </c>
      <c r="F86" s="79">
        <f>BPU!E86</f>
        <v>0</v>
      </c>
      <c r="G86" s="95">
        <f t="shared" si="1"/>
        <v>0</v>
      </c>
    </row>
    <row r="87" spans="1:7" ht="18.600000000000001" customHeight="1" x14ac:dyDescent="0.3">
      <c r="A87" s="150" t="s">
        <v>468</v>
      </c>
      <c r="B87" s="50" t="s">
        <v>194</v>
      </c>
      <c r="C87" s="51" t="s">
        <v>181</v>
      </c>
      <c r="D87" s="87" t="s">
        <v>292</v>
      </c>
      <c r="E87" s="126">
        <v>0</v>
      </c>
      <c r="F87" s="79">
        <f>BPU!E87</f>
        <v>0</v>
      </c>
      <c r="G87" s="95">
        <f t="shared" si="1"/>
        <v>0</v>
      </c>
    </row>
    <row r="88" spans="1:7" ht="18.600000000000001" customHeight="1" x14ac:dyDescent="0.3">
      <c r="A88" s="52" t="s">
        <v>469</v>
      </c>
      <c r="B88" s="46" t="s">
        <v>175</v>
      </c>
      <c r="C88" s="52"/>
      <c r="D88" s="87"/>
      <c r="E88" s="126"/>
      <c r="F88" s="79">
        <f>BPU!E88</f>
        <v>0</v>
      </c>
      <c r="G88" s="95">
        <f t="shared" si="1"/>
        <v>0</v>
      </c>
    </row>
    <row r="89" spans="1:7" ht="18.600000000000001" customHeight="1" x14ac:dyDescent="0.3">
      <c r="A89" s="150" t="s">
        <v>470</v>
      </c>
      <c r="B89" s="50" t="s">
        <v>180</v>
      </c>
      <c r="C89" s="51" t="s">
        <v>181</v>
      </c>
      <c r="D89" s="87" t="s">
        <v>292</v>
      </c>
      <c r="E89" s="126">
        <v>413.18</v>
      </c>
      <c r="F89" s="79">
        <f>BPU!E89</f>
        <v>0</v>
      </c>
      <c r="G89" s="95">
        <f t="shared" si="1"/>
        <v>0</v>
      </c>
    </row>
    <row r="90" spans="1:7" ht="18.600000000000001" customHeight="1" x14ac:dyDescent="0.3">
      <c r="A90" s="52" t="s">
        <v>471</v>
      </c>
      <c r="B90" s="46" t="s">
        <v>176</v>
      </c>
      <c r="C90" s="52"/>
      <c r="D90" s="87"/>
      <c r="E90" s="126"/>
      <c r="F90" s="79">
        <f>BPU!E90</f>
        <v>0</v>
      </c>
      <c r="G90" s="95">
        <f t="shared" si="1"/>
        <v>0</v>
      </c>
    </row>
    <row r="91" spans="1:7" ht="18.600000000000001" customHeight="1" x14ac:dyDescent="0.3">
      <c r="A91" s="150" t="s">
        <v>472</v>
      </c>
      <c r="B91" s="50" t="s">
        <v>257</v>
      </c>
      <c r="C91" s="51" t="s">
        <v>181</v>
      </c>
      <c r="D91" s="87" t="s">
        <v>292</v>
      </c>
      <c r="E91" s="126">
        <v>0</v>
      </c>
      <c r="F91" s="79">
        <f>BPU!E91</f>
        <v>0</v>
      </c>
      <c r="G91" s="95">
        <f t="shared" si="1"/>
        <v>0</v>
      </c>
    </row>
    <row r="92" spans="1:7" ht="18.600000000000001" customHeight="1" x14ac:dyDescent="0.3">
      <c r="A92" s="150" t="s">
        <v>473</v>
      </c>
      <c r="B92" s="50" t="s">
        <v>253</v>
      </c>
      <c r="C92" s="51" t="s">
        <v>17</v>
      </c>
      <c r="D92" s="87" t="s">
        <v>292</v>
      </c>
      <c r="E92" s="130">
        <f>37.5+(9.5*4)+13+16</f>
        <v>104.5</v>
      </c>
      <c r="F92" s="79">
        <f>BPU!E92</f>
        <v>0</v>
      </c>
      <c r="G92" s="95">
        <f t="shared" si="1"/>
        <v>0</v>
      </c>
    </row>
    <row r="93" spans="1:7" ht="18.600000000000001" customHeight="1" x14ac:dyDescent="0.3">
      <c r="A93" s="150" t="s">
        <v>474</v>
      </c>
      <c r="B93" s="50" t="s">
        <v>252</v>
      </c>
      <c r="C93" s="51" t="s">
        <v>17</v>
      </c>
      <c r="D93" s="87" t="s">
        <v>292</v>
      </c>
      <c r="E93" s="130">
        <f>45+38+16</f>
        <v>99</v>
      </c>
      <c r="F93" s="79">
        <f>BPU!E93</f>
        <v>0</v>
      </c>
      <c r="G93" s="95">
        <f t="shared" si="1"/>
        <v>0</v>
      </c>
    </row>
    <row r="94" spans="1:7" ht="18.600000000000001" customHeight="1" x14ac:dyDescent="0.3">
      <c r="A94" s="150" t="s">
        <v>475</v>
      </c>
      <c r="B94" s="50" t="s">
        <v>254</v>
      </c>
      <c r="C94" s="51" t="s">
        <v>17</v>
      </c>
      <c r="D94" s="87" t="s">
        <v>292</v>
      </c>
      <c r="E94" s="130">
        <f>216+(33*6)+(13*6)</f>
        <v>492</v>
      </c>
      <c r="F94" s="79">
        <f>BPU!E94</f>
        <v>0</v>
      </c>
      <c r="G94" s="95">
        <f t="shared" ref="G94:G157" si="3">E94*F94</f>
        <v>0</v>
      </c>
    </row>
    <row r="95" spans="1:7" ht="18.600000000000001" customHeight="1" x14ac:dyDescent="0.3">
      <c r="A95" s="150" t="s">
        <v>476</v>
      </c>
      <c r="B95" s="50" t="s">
        <v>255</v>
      </c>
      <c r="C95" s="51" t="s">
        <v>17</v>
      </c>
      <c r="D95" s="87" t="s">
        <v>292</v>
      </c>
      <c r="E95" s="130">
        <v>0</v>
      </c>
      <c r="F95" s="79">
        <f>BPU!E95</f>
        <v>0</v>
      </c>
      <c r="G95" s="95">
        <f t="shared" si="3"/>
        <v>0</v>
      </c>
    </row>
    <row r="96" spans="1:7" ht="28.8" customHeight="1" x14ac:dyDescent="0.3">
      <c r="A96" s="150" t="s">
        <v>477</v>
      </c>
      <c r="B96" s="50" t="s">
        <v>251</v>
      </c>
      <c r="C96" s="51" t="s">
        <v>17</v>
      </c>
      <c r="D96" s="87" t="s">
        <v>292</v>
      </c>
      <c r="E96" s="126">
        <v>0</v>
      </c>
      <c r="F96" s="79">
        <f>BPU!E96</f>
        <v>0</v>
      </c>
      <c r="G96" s="95">
        <f t="shared" si="3"/>
        <v>0</v>
      </c>
    </row>
    <row r="97" spans="1:23" x14ac:dyDescent="0.3">
      <c r="A97" s="150" t="s">
        <v>478</v>
      </c>
      <c r="B97" s="50" t="s">
        <v>256</v>
      </c>
      <c r="C97" s="51" t="s">
        <v>181</v>
      </c>
      <c r="D97" s="87" t="s">
        <v>292</v>
      </c>
      <c r="E97" s="126">
        <f>56.4+42.35+79.54</f>
        <v>178.29000000000002</v>
      </c>
      <c r="F97" s="79">
        <f>BPU!E97</f>
        <v>0</v>
      </c>
      <c r="G97" s="95">
        <f t="shared" si="3"/>
        <v>0</v>
      </c>
    </row>
    <row r="98" spans="1:23" x14ac:dyDescent="0.3">
      <c r="A98" s="150" t="s">
        <v>479</v>
      </c>
      <c r="B98" s="50" t="s">
        <v>258</v>
      </c>
      <c r="C98" s="51" t="s">
        <v>17</v>
      </c>
      <c r="D98" s="87" t="s">
        <v>292</v>
      </c>
      <c r="E98" s="126">
        <v>27</v>
      </c>
      <c r="F98" s="79">
        <f>BPU!E98</f>
        <v>0</v>
      </c>
      <c r="G98" s="95">
        <f t="shared" si="3"/>
        <v>0</v>
      </c>
    </row>
    <row r="99" spans="1:23" ht="18.600000000000001" customHeight="1" x14ac:dyDescent="0.3">
      <c r="A99" s="150" t="s">
        <v>480</v>
      </c>
      <c r="B99" s="50" t="s">
        <v>193</v>
      </c>
      <c r="C99" s="51" t="s">
        <v>181</v>
      </c>
      <c r="D99" s="87" t="s">
        <v>292</v>
      </c>
      <c r="E99" s="126">
        <f>2.8*0.75*16</f>
        <v>33.599999999999994</v>
      </c>
      <c r="F99" s="79">
        <f>BPU!E99</f>
        <v>0</v>
      </c>
      <c r="G99" s="95">
        <f t="shared" si="3"/>
        <v>0</v>
      </c>
    </row>
    <row r="100" spans="1:23" x14ac:dyDescent="0.3">
      <c r="A100" s="150" t="s">
        <v>481</v>
      </c>
      <c r="B100" s="50" t="s">
        <v>192</v>
      </c>
      <c r="C100" s="51" t="s">
        <v>181</v>
      </c>
      <c r="D100" s="87" t="s">
        <v>292</v>
      </c>
      <c r="E100" s="126">
        <v>0</v>
      </c>
      <c r="F100" s="79">
        <f>BPU!E100</f>
        <v>0</v>
      </c>
      <c r="G100" s="95">
        <f t="shared" si="3"/>
        <v>0</v>
      </c>
    </row>
    <row r="101" spans="1:23" ht="28.8" x14ac:dyDescent="0.3">
      <c r="A101" s="150" t="s">
        <v>482</v>
      </c>
      <c r="B101" s="50" t="s">
        <v>260</v>
      </c>
      <c r="C101" s="51" t="s">
        <v>181</v>
      </c>
      <c r="D101" s="87" t="s">
        <v>292</v>
      </c>
      <c r="E101" s="126">
        <v>0</v>
      </c>
      <c r="F101" s="79">
        <f>BPU!E101</f>
        <v>0</v>
      </c>
      <c r="G101" s="95">
        <f t="shared" si="3"/>
        <v>0</v>
      </c>
    </row>
    <row r="102" spans="1:23" ht="18.600000000000001" customHeight="1" x14ac:dyDescent="0.3">
      <c r="A102" s="52" t="s">
        <v>483</v>
      </c>
      <c r="B102" s="46" t="s">
        <v>177</v>
      </c>
      <c r="C102" s="52"/>
      <c r="D102" s="87"/>
      <c r="E102" s="126"/>
      <c r="F102" s="79">
        <f>BPU!E102</f>
        <v>0</v>
      </c>
      <c r="G102" s="95">
        <f t="shared" si="3"/>
        <v>0</v>
      </c>
    </row>
    <row r="103" spans="1:23" ht="18.600000000000001" customHeight="1" x14ac:dyDescent="0.3">
      <c r="A103" s="150" t="s">
        <v>484</v>
      </c>
      <c r="B103" s="50" t="s">
        <v>182</v>
      </c>
      <c r="C103" s="51" t="s">
        <v>181</v>
      </c>
      <c r="D103" s="87" t="s">
        <v>292</v>
      </c>
      <c r="E103" s="126">
        <f>294.3*0.85</f>
        <v>250.155</v>
      </c>
      <c r="F103" s="79">
        <f>BPU!E103</f>
        <v>0</v>
      </c>
      <c r="G103" s="95">
        <f t="shared" si="3"/>
        <v>0</v>
      </c>
    </row>
    <row r="104" spans="1:23" x14ac:dyDescent="0.3">
      <c r="A104" s="150" t="s">
        <v>485</v>
      </c>
      <c r="B104" s="50" t="s">
        <v>1273</v>
      </c>
      <c r="C104" s="51" t="s">
        <v>181</v>
      </c>
      <c r="D104" s="87" t="s">
        <v>292</v>
      </c>
      <c r="E104" s="126">
        <v>250.16</v>
      </c>
      <c r="F104" s="79">
        <f>BPU!E104</f>
        <v>0</v>
      </c>
      <c r="G104" s="95">
        <f t="shared" si="3"/>
        <v>0</v>
      </c>
    </row>
    <row r="105" spans="1:23" x14ac:dyDescent="0.3">
      <c r="A105" s="150" t="s">
        <v>486</v>
      </c>
      <c r="B105" s="50" t="s">
        <v>183</v>
      </c>
      <c r="C105" s="51" t="s">
        <v>181</v>
      </c>
      <c r="D105" s="87" t="s">
        <v>292</v>
      </c>
      <c r="E105" s="126">
        <v>413.18</v>
      </c>
      <c r="F105" s="79">
        <f>BPU!E105</f>
        <v>0</v>
      </c>
      <c r="G105" s="95">
        <f t="shared" si="3"/>
        <v>0</v>
      </c>
    </row>
    <row r="106" spans="1:23" x14ac:dyDescent="0.3">
      <c r="A106" s="150" t="s">
        <v>487</v>
      </c>
      <c r="B106" s="50" t="s">
        <v>184</v>
      </c>
      <c r="C106" s="51" t="s">
        <v>181</v>
      </c>
      <c r="D106" s="87" t="s">
        <v>292</v>
      </c>
      <c r="E106" s="126">
        <f>18.48*2</f>
        <v>36.96</v>
      </c>
      <c r="F106" s="79">
        <f>BPU!E106</f>
        <v>0</v>
      </c>
      <c r="G106" s="95">
        <f t="shared" si="3"/>
        <v>0</v>
      </c>
    </row>
    <row r="107" spans="1:23" ht="15" thickBot="1" x14ac:dyDescent="0.35">
      <c r="A107" s="150" t="s">
        <v>488</v>
      </c>
      <c r="B107" s="50" t="s">
        <v>185</v>
      </c>
      <c r="C107" s="51" t="s">
        <v>181</v>
      </c>
      <c r="D107" s="87" t="s">
        <v>292</v>
      </c>
      <c r="E107" s="126">
        <f>68*1.35</f>
        <v>91.800000000000011</v>
      </c>
      <c r="F107" s="79">
        <f>BPU!E107</f>
        <v>0</v>
      </c>
      <c r="G107" s="95">
        <f t="shared" si="3"/>
        <v>0</v>
      </c>
    </row>
    <row r="108" spans="1:23" s="98" customFormat="1" ht="15" thickBot="1" x14ac:dyDescent="0.35">
      <c r="A108" s="52"/>
      <c r="B108" s="96" t="s">
        <v>387</v>
      </c>
      <c r="C108" s="97"/>
      <c r="D108" s="97"/>
      <c r="E108" s="128"/>
      <c r="F108" s="145">
        <f>BPU!E108</f>
        <v>0</v>
      </c>
      <c r="G108" s="146">
        <f>SUM(G29:G107)</f>
        <v>0</v>
      </c>
      <c r="J108" s="99"/>
      <c r="K108" s="75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100"/>
      <c r="W108" s="100"/>
    </row>
    <row r="109" spans="1:23" s="58" customFormat="1" ht="16.8" customHeight="1" x14ac:dyDescent="0.3">
      <c r="A109" s="70" t="s">
        <v>19</v>
      </c>
      <c r="B109" s="70" t="s">
        <v>126</v>
      </c>
      <c r="C109" s="52"/>
      <c r="D109" s="87"/>
      <c r="E109" s="126"/>
      <c r="F109" s="79">
        <f>BPU!E109</f>
        <v>0</v>
      </c>
      <c r="G109" s="95">
        <f t="shared" si="3"/>
        <v>0</v>
      </c>
    </row>
    <row r="110" spans="1:23" ht="18.600000000000001" customHeight="1" x14ac:dyDescent="0.3">
      <c r="A110" s="52" t="s">
        <v>32</v>
      </c>
      <c r="B110" s="46" t="s">
        <v>161</v>
      </c>
      <c r="C110" s="52"/>
      <c r="D110" s="87"/>
      <c r="E110" s="126"/>
      <c r="F110" s="79">
        <f>BPU!E110</f>
        <v>0</v>
      </c>
      <c r="G110" s="95">
        <f t="shared" si="3"/>
        <v>0</v>
      </c>
    </row>
    <row r="111" spans="1:23" ht="28.8" customHeight="1" x14ac:dyDescent="0.3">
      <c r="A111" s="150" t="s">
        <v>489</v>
      </c>
      <c r="B111" s="153" t="s">
        <v>1308</v>
      </c>
      <c r="C111" s="51" t="s">
        <v>181</v>
      </c>
      <c r="D111" s="87" t="s">
        <v>292</v>
      </c>
      <c r="E111" s="126">
        <v>0</v>
      </c>
      <c r="F111" s="79">
        <f>BPU!E111</f>
        <v>0</v>
      </c>
      <c r="G111" s="95">
        <f t="shared" si="3"/>
        <v>0</v>
      </c>
    </row>
    <row r="112" spans="1:23" ht="18.600000000000001" customHeight="1" x14ac:dyDescent="0.3">
      <c r="A112" s="150" t="s">
        <v>490</v>
      </c>
      <c r="B112" s="52" t="s">
        <v>196</v>
      </c>
      <c r="C112" s="51" t="s">
        <v>17</v>
      </c>
      <c r="D112" s="87" t="s">
        <v>292</v>
      </c>
      <c r="E112" s="126">
        <v>150</v>
      </c>
      <c r="F112" s="79">
        <f>BPU!E112</f>
        <v>0</v>
      </c>
      <c r="G112" s="95">
        <f t="shared" si="3"/>
        <v>0</v>
      </c>
    </row>
    <row r="113" spans="1:7" ht="18.600000000000001" customHeight="1" x14ac:dyDescent="0.3">
      <c r="A113" s="150" t="s">
        <v>491</v>
      </c>
      <c r="B113" s="52" t="s">
        <v>210</v>
      </c>
      <c r="C113" s="51" t="s">
        <v>197</v>
      </c>
      <c r="D113" s="87" t="s">
        <v>292</v>
      </c>
      <c r="E113" s="126">
        <v>0</v>
      </c>
      <c r="F113" s="79">
        <f>BPU!E113</f>
        <v>0</v>
      </c>
      <c r="G113" s="95">
        <f t="shared" si="3"/>
        <v>0</v>
      </c>
    </row>
    <row r="114" spans="1:7" ht="18.600000000000001" customHeight="1" x14ac:dyDescent="0.3">
      <c r="A114" s="150" t="s">
        <v>492</v>
      </c>
      <c r="B114" s="52" t="s">
        <v>209</v>
      </c>
      <c r="C114" s="51" t="s">
        <v>197</v>
      </c>
      <c r="D114" s="87" t="s">
        <v>292</v>
      </c>
      <c r="E114" s="126">
        <v>0</v>
      </c>
      <c r="F114" s="79">
        <f>BPU!E114</f>
        <v>0</v>
      </c>
      <c r="G114" s="95">
        <f t="shared" si="3"/>
        <v>0</v>
      </c>
    </row>
    <row r="115" spans="1:7" ht="18.600000000000001" customHeight="1" x14ac:dyDescent="0.3">
      <c r="A115" s="150" t="s">
        <v>493</v>
      </c>
      <c r="B115" s="52" t="s">
        <v>199</v>
      </c>
      <c r="C115" s="51" t="s">
        <v>181</v>
      </c>
      <c r="D115" s="87" t="s">
        <v>292</v>
      </c>
      <c r="E115" s="126">
        <v>0</v>
      </c>
      <c r="F115" s="79">
        <f>BPU!E115</f>
        <v>0</v>
      </c>
      <c r="G115" s="95">
        <f t="shared" si="3"/>
        <v>0</v>
      </c>
    </row>
    <row r="116" spans="1:7" ht="18.600000000000001" customHeight="1" x14ac:dyDescent="0.3">
      <c r="A116" s="150" t="s">
        <v>494</v>
      </c>
      <c r="B116" s="52" t="s">
        <v>293</v>
      </c>
      <c r="C116" s="51" t="s">
        <v>181</v>
      </c>
      <c r="D116" s="87" t="s">
        <v>292</v>
      </c>
      <c r="E116" s="126">
        <v>0</v>
      </c>
      <c r="F116" s="79">
        <f>BPU!E116</f>
        <v>0</v>
      </c>
      <c r="G116" s="95">
        <f t="shared" si="3"/>
        <v>0</v>
      </c>
    </row>
    <row r="117" spans="1:7" ht="28.2" customHeight="1" x14ac:dyDescent="0.3">
      <c r="A117" s="150" t="s">
        <v>495</v>
      </c>
      <c r="B117" s="61" t="s">
        <v>198</v>
      </c>
      <c r="C117" s="51" t="s">
        <v>79</v>
      </c>
      <c r="D117" s="87" t="s">
        <v>158</v>
      </c>
      <c r="E117" s="126">
        <v>0</v>
      </c>
      <c r="F117" s="79">
        <f>BPU!E117</f>
        <v>0</v>
      </c>
      <c r="G117" s="95">
        <f t="shared" si="3"/>
        <v>0</v>
      </c>
    </row>
    <row r="118" spans="1:7" ht="18.600000000000001" customHeight="1" x14ac:dyDescent="0.3">
      <c r="A118" s="52" t="s">
        <v>33</v>
      </c>
      <c r="B118" s="46" t="s">
        <v>208</v>
      </c>
      <c r="C118" s="51"/>
      <c r="D118" s="87"/>
      <c r="E118" s="126"/>
      <c r="F118" s="79">
        <f>BPU!E118</f>
        <v>0</v>
      </c>
      <c r="G118" s="95">
        <f t="shared" si="3"/>
        <v>0</v>
      </c>
    </row>
    <row r="119" spans="1:7" ht="18.600000000000001" customHeight="1" x14ac:dyDescent="0.3">
      <c r="A119" s="150" t="s">
        <v>496</v>
      </c>
      <c r="B119" s="52" t="s">
        <v>211</v>
      </c>
      <c r="C119" s="51" t="s">
        <v>230</v>
      </c>
      <c r="D119" s="87" t="s">
        <v>292</v>
      </c>
      <c r="E119" s="126">
        <v>0</v>
      </c>
      <c r="F119" s="79">
        <f>BPU!E119</f>
        <v>0</v>
      </c>
      <c r="G119" s="95">
        <f t="shared" si="3"/>
        <v>0</v>
      </c>
    </row>
    <row r="120" spans="1:7" ht="18.600000000000001" customHeight="1" x14ac:dyDescent="0.3">
      <c r="A120" s="150" t="s">
        <v>497</v>
      </c>
      <c r="B120" s="52" t="s">
        <v>212</v>
      </c>
      <c r="C120" s="51" t="s">
        <v>230</v>
      </c>
      <c r="D120" s="87" t="s">
        <v>292</v>
      </c>
      <c r="E120" s="126">
        <v>0</v>
      </c>
      <c r="F120" s="79">
        <f>BPU!E120</f>
        <v>0</v>
      </c>
      <c r="G120" s="95">
        <f t="shared" si="3"/>
        <v>0</v>
      </c>
    </row>
    <row r="121" spans="1:7" ht="18.600000000000001" customHeight="1" x14ac:dyDescent="0.3">
      <c r="A121" s="52" t="s">
        <v>498</v>
      </c>
      <c r="B121" s="46" t="s">
        <v>168</v>
      </c>
      <c r="C121" s="52"/>
      <c r="D121" s="87"/>
      <c r="E121" s="126"/>
      <c r="F121" s="79">
        <f>BPU!E121</f>
        <v>0</v>
      </c>
      <c r="G121" s="95">
        <f t="shared" si="3"/>
        <v>0</v>
      </c>
    </row>
    <row r="122" spans="1:7" s="65" customFormat="1" ht="18.600000000000001" customHeight="1" x14ac:dyDescent="0.3">
      <c r="A122" s="150" t="s">
        <v>499</v>
      </c>
      <c r="B122" s="50" t="s">
        <v>213</v>
      </c>
      <c r="C122" s="51" t="s">
        <v>230</v>
      </c>
      <c r="D122" s="88" t="s">
        <v>292</v>
      </c>
      <c r="E122" s="130">
        <v>0</v>
      </c>
      <c r="F122" s="79">
        <f>BPU!E122</f>
        <v>0</v>
      </c>
      <c r="G122" s="95">
        <f t="shared" si="3"/>
        <v>0</v>
      </c>
    </row>
    <row r="123" spans="1:7" s="65" customFormat="1" ht="18.600000000000001" customHeight="1" x14ac:dyDescent="0.3">
      <c r="A123" s="150" t="s">
        <v>500</v>
      </c>
      <c r="B123" s="50" t="s">
        <v>187</v>
      </c>
      <c r="C123" s="51" t="s">
        <v>230</v>
      </c>
      <c r="D123" s="88" t="s">
        <v>292</v>
      </c>
      <c r="E123" s="130">
        <v>0</v>
      </c>
      <c r="F123" s="79">
        <f>BPU!E123</f>
        <v>0</v>
      </c>
      <c r="G123" s="95">
        <f t="shared" si="3"/>
        <v>0</v>
      </c>
    </row>
    <row r="124" spans="1:7" s="65" customFormat="1" ht="18.600000000000001" customHeight="1" x14ac:dyDescent="0.3">
      <c r="A124" s="150" t="s">
        <v>501</v>
      </c>
      <c r="B124" s="50" t="s">
        <v>214</v>
      </c>
      <c r="C124" s="51" t="s">
        <v>230</v>
      </c>
      <c r="D124" s="88" t="s">
        <v>292</v>
      </c>
      <c r="E124" s="130">
        <v>0</v>
      </c>
      <c r="F124" s="79">
        <f>BPU!E124</f>
        <v>0</v>
      </c>
      <c r="G124" s="95">
        <f t="shared" si="3"/>
        <v>0</v>
      </c>
    </row>
    <row r="125" spans="1:7" s="65" customFormat="1" ht="33" customHeight="1" x14ac:dyDescent="0.3">
      <c r="A125" s="150" t="s">
        <v>502</v>
      </c>
      <c r="B125" s="50" t="s">
        <v>215</v>
      </c>
      <c r="C125" s="51" t="s">
        <v>230</v>
      </c>
      <c r="D125" s="88" t="s">
        <v>292</v>
      </c>
      <c r="E125" s="130">
        <f>86.5*0.1</f>
        <v>8.65</v>
      </c>
      <c r="F125" s="79">
        <f>BPU!E125</f>
        <v>0</v>
      </c>
      <c r="G125" s="95">
        <f t="shared" si="3"/>
        <v>0</v>
      </c>
    </row>
    <row r="126" spans="1:7" ht="18.600000000000001" customHeight="1" x14ac:dyDescent="0.3">
      <c r="A126" s="52" t="s">
        <v>503</v>
      </c>
      <c r="B126" s="46" t="s">
        <v>169</v>
      </c>
      <c r="C126" s="52"/>
      <c r="D126" s="87"/>
      <c r="E126" s="126"/>
      <c r="F126" s="79">
        <f>BPU!E126</f>
        <v>0</v>
      </c>
      <c r="G126" s="95">
        <f t="shared" si="3"/>
        <v>0</v>
      </c>
    </row>
    <row r="127" spans="1:7" ht="18.600000000000001" customHeight="1" x14ac:dyDescent="0.3">
      <c r="A127" s="150" t="s">
        <v>504</v>
      </c>
      <c r="B127" s="50" t="s">
        <v>216</v>
      </c>
      <c r="C127" s="51" t="s">
        <v>230</v>
      </c>
      <c r="D127" s="87" t="s">
        <v>292</v>
      </c>
      <c r="E127" s="126">
        <v>0</v>
      </c>
      <c r="F127" s="79">
        <f>BPU!E127</f>
        <v>0</v>
      </c>
      <c r="G127" s="95">
        <f t="shared" si="3"/>
        <v>0</v>
      </c>
    </row>
    <row r="128" spans="1:7" ht="18.600000000000001" customHeight="1" x14ac:dyDescent="0.3">
      <c r="A128" s="150" t="s">
        <v>505</v>
      </c>
      <c r="B128" s="50" t="s">
        <v>217</v>
      </c>
      <c r="C128" s="51" t="s">
        <v>230</v>
      </c>
      <c r="D128" s="87" t="s">
        <v>292</v>
      </c>
      <c r="E128" s="126">
        <v>0</v>
      </c>
      <c r="F128" s="79">
        <f>BPU!E128</f>
        <v>0</v>
      </c>
      <c r="G128" s="95">
        <f t="shared" si="3"/>
        <v>0</v>
      </c>
    </row>
    <row r="129" spans="1:7" ht="18.600000000000001" customHeight="1" x14ac:dyDescent="0.3">
      <c r="A129" s="150" t="s">
        <v>506</v>
      </c>
      <c r="B129" s="50" t="s">
        <v>218</v>
      </c>
      <c r="C129" s="51" t="s">
        <v>230</v>
      </c>
      <c r="D129" s="87" t="s">
        <v>292</v>
      </c>
      <c r="E129" s="126">
        <v>0</v>
      </c>
      <c r="F129" s="79">
        <f>BPU!E129</f>
        <v>0</v>
      </c>
      <c r="G129" s="95">
        <f t="shared" si="3"/>
        <v>0</v>
      </c>
    </row>
    <row r="130" spans="1:7" ht="18.600000000000001" customHeight="1" x14ac:dyDescent="0.3">
      <c r="A130" s="150" t="s">
        <v>507</v>
      </c>
      <c r="B130" s="50" t="s">
        <v>219</v>
      </c>
      <c r="C130" s="51" t="s">
        <v>230</v>
      </c>
      <c r="D130" s="87" t="s">
        <v>292</v>
      </c>
      <c r="E130" s="126">
        <v>0</v>
      </c>
      <c r="F130" s="79">
        <f>BPU!E130</f>
        <v>0</v>
      </c>
      <c r="G130" s="95">
        <f t="shared" si="3"/>
        <v>0</v>
      </c>
    </row>
    <row r="131" spans="1:7" ht="18.600000000000001" customHeight="1" x14ac:dyDescent="0.3">
      <c r="A131" s="150" t="s">
        <v>508</v>
      </c>
      <c r="B131" s="50" t="s">
        <v>220</v>
      </c>
      <c r="C131" s="51" t="s">
        <v>230</v>
      </c>
      <c r="D131" s="87" t="s">
        <v>292</v>
      </c>
      <c r="E131" s="126">
        <v>0</v>
      </c>
      <c r="F131" s="79">
        <f>BPU!E131</f>
        <v>0</v>
      </c>
      <c r="G131" s="95">
        <f t="shared" si="3"/>
        <v>0</v>
      </c>
    </row>
    <row r="132" spans="1:7" ht="18.600000000000001" customHeight="1" x14ac:dyDescent="0.3">
      <c r="A132" s="150" t="s">
        <v>509</v>
      </c>
      <c r="B132" s="50" t="s">
        <v>221</v>
      </c>
      <c r="C132" s="51" t="s">
        <v>230</v>
      </c>
      <c r="D132" s="87" t="s">
        <v>292</v>
      </c>
      <c r="E132" s="126">
        <v>0</v>
      </c>
      <c r="F132" s="79">
        <f>BPU!E132</f>
        <v>0</v>
      </c>
      <c r="G132" s="95">
        <f t="shared" si="3"/>
        <v>0</v>
      </c>
    </row>
    <row r="133" spans="1:7" ht="18.600000000000001" customHeight="1" x14ac:dyDescent="0.3">
      <c r="A133" s="150" t="s">
        <v>510</v>
      </c>
      <c r="B133" s="50" t="s">
        <v>222</v>
      </c>
      <c r="C133" s="51" t="s">
        <v>230</v>
      </c>
      <c r="D133" s="87" t="s">
        <v>292</v>
      </c>
      <c r="E133" s="126">
        <v>0</v>
      </c>
      <c r="F133" s="79">
        <f>BPU!E133</f>
        <v>0</v>
      </c>
      <c r="G133" s="95">
        <f t="shared" si="3"/>
        <v>0</v>
      </c>
    </row>
    <row r="134" spans="1:7" ht="18.600000000000001" customHeight="1" x14ac:dyDescent="0.3">
      <c r="A134" s="52" t="s">
        <v>511</v>
      </c>
      <c r="B134" s="46" t="s">
        <v>170</v>
      </c>
      <c r="C134" s="52"/>
      <c r="D134" s="87"/>
      <c r="E134" s="126">
        <v>0</v>
      </c>
      <c r="F134" s="79">
        <f>BPU!E134</f>
        <v>0</v>
      </c>
      <c r="G134" s="95">
        <f t="shared" si="3"/>
        <v>0</v>
      </c>
    </row>
    <row r="135" spans="1:7" ht="18.600000000000001" customHeight="1" x14ac:dyDescent="0.3">
      <c r="A135" s="150" t="s">
        <v>512</v>
      </c>
      <c r="B135" s="50" t="s">
        <v>223</v>
      </c>
      <c r="C135" s="51" t="s">
        <v>230</v>
      </c>
      <c r="D135" s="87" t="s">
        <v>292</v>
      </c>
      <c r="E135" s="130">
        <f>(86.5+168.84)*0.05</f>
        <v>12.767000000000001</v>
      </c>
      <c r="F135" s="79">
        <f>BPU!E135</f>
        <v>0</v>
      </c>
      <c r="G135" s="95">
        <f t="shared" si="3"/>
        <v>0</v>
      </c>
    </row>
    <row r="136" spans="1:7" ht="18.600000000000001" customHeight="1" x14ac:dyDescent="0.3">
      <c r="A136" s="150" t="s">
        <v>513</v>
      </c>
      <c r="B136" s="50" t="s">
        <v>224</v>
      </c>
      <c r="C136" s="51" t="s">
        <v>230</v>
      </c>
      <c r="D136" s="87" t="s">
        <v>292</v>
      </c>
      <c r="E136" s="130">
        <f>(86.5+168.84)*0.25</f>
        <v>63.835000000000001</v>
      </c>
      <c r="F136" s="79">
        <f>BPU!E136</f>
        <v>0</v>
      </c>
      <c r="G136" s="95">
        <f t="shared" si="3"/>
        <v>0</v>
      </c>
    </row>
    <row r="137" spans="1:7" ht="18.600000000000001" customHeight="1" x14ac:dyDescent="0.3">
      <c r="A137" s="150" t="s">
        <v>514</v>
      </c>
      <c r="B137" s="50" t="s">
        <v>178</v>
      </c>
      <c r="C137" s="51" t="s">
        <v>230</v>
      </c>
      <c r="D137" s="87" t="s">
        <v>292</v>
      </c>
      <c r="E137" s="126">
        <v>0</v>
      </c>
      <c r="F137" s="79">
        <f>BPU!E137</f>
        <v>0</v>
      </c>
      <c r="G137" s="95">
        <f t="shared" si="3"/>
        <v>0</v>
      </c>
    </row>
    <row r="138" spans="1:7" ht="18.600000000000001" customHeight="1" x14ac:dyDescent="0.3">
      <c r="A138" s="52" t="s">
        <v>515</v>
      </c>
      <c r="B138" s="46" t="s">
        <v>171</v>
      </c>
      <c r="C138" s="52"/>
      <c r="D138" s="87"/>
      <c r="E138" s="126"/>
      <c r="F138" s="79">
        <f>BPU!E138</f>
        <v>0</v>
      </c>
      <c r="G138" s="95">
        <f t="shared" si="3"/>
        <v>0</v>
      </c>
    </row>
    <row r="139" spans="1:7" ht="24.6" customHeight="1" x14ac:dyDescent="0.3">
      <c r="A139" s="150" t="s">
        <v>516</v>
      </c>
      <c r="B139" s="50" t="s">
        <v>229</v>
      </c>
      <c r="C139" s="51" t="s">
        <v>181</v>
      </c>
      <c r="D139" s="87" t="s">
        <v>292</v>
      </c>
      <c r="E139" s="126">
        <v>0</v>
      </c>
      <c r="F139" s="79">
        <f>BPU!E139</f>
        <v>0</v>
      </c>
      <c r="G139" s="95">
        <f t="shared" si="3"/>
        <v>0</v>
      </c>
    </row>
    <row r="140" spans="1:7" ht="18.600000000000001" customHeight="1" x14ac:dyDescent="0.3">
      <c r="A140" s="150" t="s">
        <v>517</v>
      </c>
      <c r="B140" s="50" t="s">
        <v>225</v>
      </c>
      <c r="C140" s="51" t="s">
        <v>181</v>
      </c>
      <c r="D140" s="87" t="s">
        <v>292</v>
      </c>
      <c r="E140" s="126">
        <v>0</v>
      </c>
      <c r="F140" s="79">
        <f>BPU!E140</f>
        <v>0</v>
      </c>
      <c r="G140" s="95">
        <f t="shared" si="3"/>
        <v>0</v>
      </c>
    </row>
    <row r="141" spans="1:7" ht="18.600000000000001" customHeight="1" x14ac:dyDescent="0.3">
      <c r="A141" s="150" t="s">
        <v>518</v>
      </c>
      <c r="B141" s="50" t="s">
        <v>226</v>
      </c>
      <c r="C141" s="51" t="s">
        <v>181</v>
      </c>
      <c r="D141" s="87" t="s">
        <v>292</v>
      </c>
      <c r="E141" s="126">
        <v>0</v>
      </c>
      <c r="F141" s="79">
        <f>BPU!E141</f>
        <v>0</v>
      </c>
      <c r="G141" s="95">
        <f t="shared" si="3"/>
        <v>0</v>
      </c>
    </row>
    <row r="142" spans="1:7" ht="18.600000000000001" customHeight="1" x14ac:dyDescent="0.3">
      <c r="A142" s="150" t="s">
        <v>519</v>
      </c>
      <c r="B142" s="50" t="s">
        <v>227</v>
      </c>
      <c r="C142" s="51" t="s">
        <v>181</v>
      </c>
      <c r="D142" s="87" t="s">
        <v>292</v>
      </c>
      <c r="E142" s="126">
        <v>0</v>
      </c>
      <c r="F142" s="79">
        <f>BPU!E142</f>
        <v>0</v>
      </c>
      <c r="G142" s="95">
        <f t="shared" si="3"/>
        <v>0</v>
      </c>
    </row>
    <row r="143" spans="1:7" ht="18.600000000000001" customHeight="1" x14ac:dyDescent="0.3">
      <c r="A143" s="150" t="s">
        <v>520</v>
      </c>
      <c r="B143" s="50" t="s">
        <v>228</v>
      </c>
      <c r="C143" s="51" t="s">
        <v>181</v>
      </c>
      <c r="D143" s="87" t="s">
        <v>292</v>
      </c>
      <c r="E143" s="126">
        <v>0</v>
      </c>
      <c r="F143" s="79">
        <f>BPU!E143</f>
        <v>0</v>
      </c>
      <c r="G143" s="95">
        <f t="shared" si="3"/>
        <v>0</v>
      </c>
    </row>
    <row r="144" spans="1:7" ht="18.600000000000001" customHeight="1" x14ac:dyDescent="0.3">
      <c r="A144" s="52" t="s">
        <v>521</v>
      </c>
      <c r="B144" s="46" t="s">
        <v>172</v>
      </c>
      <c r="C144" s="52"/>
      <c r="D144" s="87"/>
      <c r="E144" s="126"/>
      <c r="F144" s="79">
        <f>BPU!E144</f>
        <v>0</v>
      </c>
      <c r="G144" s="95">
        <f t="shared" si="3"/>
        <v>0</v>
      </c>
    </row>
    <row r="145" spans="1:23" ht="18.600000000000001" customHeight="1" x14ac:dyDescent="0.3">
      <c r="A145" s="150" t="s">
        <v>522</v>
      </c>
      <c r="B145" s="50" t="s">
        <v>231</v>
      </c>
      <c r="C145" s="51" t="s">
        <v>181</v>
      </c>
      <c r="D145" s="87" t="s">
        <v>292</v>
      </c>
      <c r="E145" s="126">
        <v>0</v>
      </c>
      <c r="F145" s="79">
        <f>BPU!E145</f>
        <v>0</v>
      </c>
      <c r="G145" s="95">
        <f t="shared" si="3"/>
        <v>0</v>
      </c>
    </row>
    <row r="146" spans="1:23" ht="18.600000000000001" customHeight="1" x14ac:dyDescent="0.3">
      <c r="A146" s="150" t="s">
        <v>523</v>
      </c>
      <c r="B146" s="50" t="s">
        <v>232</v>
      </c>
      <c r="C146" s="51" t="s">
        <v>181</v>
      </c>
      <c r="D146" s="87" t="s">
        <v>292</v>
      </c>
      <c r="E146" s="126">
        <v>0</v>
      </c>
      <c r="F146" s="79">
        <f>BPU!E146</f>
        <v>0</v>
      </c>
      <c r="G146" s="95">
        <f t="shared" si="3"/>
        <v>0</v>
      </c>
    </row>
    <row r="147" spans="1:23" ht="28.2" customHeight="1" x14ac:dyDescent="0.3">
      <c r="A147" s="150" t="s">
        <v>524</v>
      </c>
      <c r="B147" s="50" t="s">
        <v>369</v>
      </c>
      <c r="C147" s="51" t="s">
        <v>181</v>
      </c>
      <c r="D147" s="87" t="s">
        <v>292</v>
      </c>
      <c r="E147" s="126">
        <f>86.5+168.84</f>
        <v>255.34</v>
      </c>
      <c r="F147" s="79">
        <f>BPU!E147</f>
        <v>0</v>
      </c>
      <c r="G147" s="95">
        <f t="shared" si="3"/>
        <v>0</v>
      </c>
    </row>
    <row r="148" spans="1:23" ht="18.600000000000001" customHeight="1" thickBot="1" x14ac:dyDescent="0.35">
      <c r="A148" s="150" t="s">
        <v>525</v>
      </c>
      <c r="B148" s="50" t="s">
        <v>234</v>
      </c>
      <c r="C148" s="51" t="s">
        <v>181</v>
      </c>
      <c r="D148" s="87" t="s">
        <v>292</v>
      </c>
      <c r="E148" s="126">
        <v>0</v>
      </c>
      <c r="F148" s="79">
        <f>BPU!E148</f>
        <v>0</v>
      </c>
      <c r="G148" s="95">
        <f t="shared" si="3"/>
        <v>0</v>
      </c>
    </row>
    <row r="149" spans="1:23" s="98" customFormat="1" ht="15" thickBot="1" x14ac:dyDescent="0.35">
      <c r="A149" s="52"/>
      <c r="B149" s="96" t="s">
        <v>388</v>
      </c>
      <c r="C149" s="97"/>
      <c r="D149" s="97"/>
      <c r="E149" s="128"/>
      <c r="F149" s="145">
        <f>BPU!E149</f>
        <v>0</v>
      </c>
      <c r="G149" s="146">
        <f>SUM(G111:G148)</f>
        <v>0</v>
      </c>
      <c r="J149" s="99"/>
      <c r="K149" s="75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100"/>
      <c r="W149" s="100"/>
    </row>
    <row r="150" spans="1:23" s="58" customFormat="1" ht="16.8" customHeight="1" x14ac:dyDescent="0.3">
      <c r="A150" s="70" t="s">
        <v>20</v>
      </c>
      <c r="B150" s="70" t="s">
        <v>127</v>
      </c>
      <c r="C150" s="52"/>
      <c r="D150" s="87"/>
      <c r="E150" s="126"/>
      <c r="F150" s="79">
        <f>BPU!E150</f>
        <v>0</v>
      </c>
      <c r="G150" s="95">
        <f t="shared" si="3"/>
        <v>0</v>
      </c>
    </row>
    <row r="151" spans="1:23" ht="18.600000000000001" customHeight="1" x14ac:dyDescent="0.3">
      <c r="A151" s="52" t="s">
        <v>34</v>
      </c>
      <c r="B151" s="46" t="s">
        <v>161</v>
      </c>
      <c r="C151" s="52"/>
      <c r="D151" s="87"/>
      <c r="E151" s="126"/>
      <c r="F151" s="79">
        <f>BPU!E151</f>
        <v>0</v>
      </c>
      <c r="G151" s="95">
        <f t="shared" si="3"/>
        <v>0</v>
      </c>
    </row>
    <row r="152" spans="1:23" ht="28.8" customHeight="1" x14ac:dyDescent="0.3">
      <c r="A152" s="150" t="s">
        <v>526</v>
      </c>
      <c r="B152" s="153" t="s">
        <v>1308</v>
      </c>
      <c r="C152" s="51" t="s">
        <v>181</v>
      </c>
      <c r="D152" s="87" t="s">
        <v>292</v>
      </c>
      <c r="E152" s="126">
        <v>0</v>
      </c>
      <c r="F152" s="79">
        <f>BPU!E152</f>
        <v>0</v>
      </c>
      <c r="G152" s="95">
        <f t="shared" si="3"/>
        <v>0</v>
      </c>
    </row>
    <row r="153" spans="1:23" ht="18.600000000000001" customHeight="1" x14ac:dyDescent="0.3">
      <c r="A153" s="150" t="s">
        <v>527</v>
      </c>
      <c r="B153" s="52" t="s">
        <v>196</v>
      </c>
      <c r="C153" s="51" t="s">
        <v>17</v>
      </c>
      <c r="D153" s="87" t="s">
        <v>292</v>
      </c>
      <c r="E153" s="126">
        <v>0</v>
      </c>
      <c r="F153" s="79">
        <f>BPU!E153</f>
        <v>0</v>
      </c>
      <c r="G153" s="95">
        <f t="shared" si="3"/>
        <v>0</v>
      </c>
    </row>
    <row r="154" spans="1:23" ht="18.600000000000001" customHeight="1" x14ac:dyDescent="0.3">
      <c r="A154" s="150" t="s">
        <v>528</v>
      </c>
      <c r="B154" s="52" t="s">
        <v>210</v>
      </c>
      <c r="C154" s="51" t="s">
        <v>197</v>
      </c>
      <c r="D154" s="87" t="s">
        <v>292</v>
      </c>
      <c r="E154" s="126">
        <v>16</v>
      </c>
      <c r="F154" s="79">
        <f>BPU!E154</f>
        <v>0</v>
      </c>
      <c r="G154" s="95">
        <f t="shared" si="3"/>
        <v>0</v>
      </c>
    </row>
    <row r="155" spans="1:23" ht="18.600000000000001" customHeight="1" x14ac:dyDescent="0.3">
      <c r="A155" s="150" t="s">
        <v>529</v>
      </c>
      <c r="B155" s="52" t="s">
        <v>209</v>
      </c>
      <c r="C155" s="51" t="s">
        <v>197</v>
      </c>
      <c r="D155" s="87" t="s">
        <v>292</v>
      </c>
      <c r="E155" s="126">
        <v>0</v>
      </c>
      <c r="F155" s="79">
        <f>BPU!E155</f>
        <v>0</v>
      </c>
      <c r="G155" s="95">
        <f t="shared" si="3"/>
        <v>0</v>
      </c>
    </row>
    <row r="156" spans="1:23" ht="18.600000000000001" customHeight="1" x14ac:dyDescent="0.3">
      <c r="A156" s="150" t="s">
        <v>530</v>
      </c>
      <c r="B156" s="52" t="s">
        <v>199</v>
      </c>
      <c r="C156" s="51" t="s">
        <v>181</v>
      </c>
      <c r="D156" s="87" t="s">
        <v>292</v>
      </c>
      <c r="E156" s="126">
        <v>0</v>
      </c>
      <c r="F156" s="79">
        <f>BPU!E156</f>
        <v>0</v>
      </c>
      <c r="G156" s="95">
        <f t="shared" si="3"/>
        <v>0</v>
      </c>
    </row>
    <row r="157" spans="1:23" ht="18.600000000000001" customHeight="1" x14ac:dyDescent="0.3">
      <c r="A157" s="150" t="s">
        <v>531</v>
      </c>
      <c r="B157" s="52" t="s">
        <v>293</v>
      </c>
      <c r="C157" s="51" t="s">
        <v>181</v>
      </c>
      <c r="D157" s="87" t="s">
        <v>292</v>
      </c>
      <c r="E157" s="126">
        <v>0</v>
      </c>
      <c r="F157" s="79">
        <f>BPU!E157</f>
        <v>0</v>
      </c>
      <c r="G157" s="95">
        <f t="shared" si="3"/>
        <v>0</v>
      </c>
    </row>
    <row r="158" spans="1:23" ht="28.2" customHeight="1" x14ac:dyDescent="0.3">
      <c r="A158" s="150" t="s">
        <v>532</v>
      </c>
      <c r="B158" s="61" t="s">
        <v>198</v>
      </c>
      <c r="C158" s="51" t="s">
        <v>79</v>
      </c>
      <c r="D158" s="87" t="s">
        <v>158</v>
      </c>
      <c r="E158" s="126">
        <v>1</v>
      </c>
      <c r="F158" s="79">
        <f>BPU!E158</f>
        <v>0</v>
      </c>
      <c r="G158" s="95">
        <f t="shared" ref="G158:G218" si="4">E158*F158</f>
        <v>0</v>
      </c>
    </row>
    <row r="159" spans="1:23" ht="18.600000000000001" customHeight="1" x14ac:dyDescent="0.3">
      <c r="A159" s="52" t="s">
        <v>35</v>
      </c>
      <c r="B159" s="46" t="s">
        <v>208</v>
      </c>
      <c r="C159" s="51"/>
      <c r="D159" s="87"/>
      <c r="E159" s="126"/>
      <c r="F159" s="79">
        <f>BPU!E159</f>
        <v>0</v>
      </c>
      <c r="G159" s="95">
        <f t="shared" si="4"/>
        <v>0</v>
      </c>
    </row>
    <row r="160" spans="1:23" ht="18.600000000000001" customHeight="1" x14ac:dyDescent="0.3">
      <c r="A160" s="150" t="s">
        <v>533</v>
      </c>
      <c r="B160" s="52" t="s">
        <v>211</v>
      </c>
      <c r="C160" s="51" t="s">
        <v>230</v>
      </c>
      <c r="D160" s="87" t="s">
        <v>292</v>
      </c>
      <c r="E160" s="126">
        <f>+(5+6.4)*0.4*0.4</f>
        <v>1.8240000000000003</v>
      </c>
      <c r="F160" s="79">
        <f>BPU!E160</f>
        <v>0</v>
      </c>
      <c r="G160" s="95">
        <f t="shared" si="4"/>
        <v>0</v>
      </c>
    </row>
    <row r="161" spans="1:7" ht="18.600000000000001" customHeight="1" x14ac:dyDescent="0.3">
      <c r="A161" s="150" t="s">
        <v>534</v>
      </c>
      <c r="B161" s="52" t="s">
        <v>212</v>
      </c>
      <c r="C161" s="51" t="s">
        <v>230</v>
      </c>
      <c r="D161" s="87" t="s">
        <v>292</v>
      </c>
      <c r="E161" s="126">
        <f>4.9*1.6*0.2</f>
        <v>1.5680000000000003</v>
      </c>
      <c r="F161" s="79">
        <f>BPU!E161</f>
        <v>0</v>
      </c>
      <c r="G161" s="95">
        <f t="shared" si="4"/>
        <v>0</v>
      </c>
    </row>
    <row r="162" spans="1:7" ht="18.600000000000001" customHeight="1" x14ac:dyDescent="0.3">
      <c r="A162" s="52" t="s">
        <v>535</v>
      </c>
      <c r="B162" s="46" t="s">
        <v>168</v>
      </c>
      <c r="C162" s="52"/>
      <c r="D162" s="87"/>
      <c r="E162" s="126"/>
      <c r="F162" s="79">
        <f>BPU!E162</f>
        <v>0</v>
      </c>
      <c r="G162" s="95">
        <f t="shared" si="4"/>
        <v>0</v>
      </c>
    </row>
    <row r="163" spans="1:7" s="65" customFormat="1" ht="18.600000000000001" customHeight="1" x14ac:dyDescent="0.3">
      <c r="A163" s="150" t="s">
        <v>536</v>
      </c>
      <c r="B163" s="50" t="s">
        <v>213</v>
      </c>
      <c r="C163" s="51" t="s">
        <v>230</v>
      </c>
      <c r="D163" s="88" t="s">
        <v>292</v>
      </c>
      <c r="E163" s="130">
        <f>11.4*0.4*0.05</f>
        <v>0.22800000000000004</v>
      </c>
      <c r="F163" s="79">
        <f>BPU!E163</f>
        <v>0</v>
      </c>
      <c r="G163" s="95">
        <f t="shared" si="4"/>
        <v>0</v>
      </c>
    </row>
    <row r="164" spans="1:7" s="65" customFormat="1" ht="18.600000000000001" customHeight="1" x14ac:dyDescent="0.3">
      <c r="A164" s="150" t="s">
        <v>537</v>
      </c>
      <c r="B164" s="50" t="s">
        <v>187</v>
      </c>
      <c r="C164" s="51" t="s">
        <v>230</v>
      </c>
      <c r="D164" s="88" t="s">
        <v>292</v>
      </c>
      <c r="E164" s="130">
        <f>11.4*0.4*0.4</f>
        <v>1.8240000000000003</v>
      </c>
      <c r="F164" s="79">
        <f>BPU!E164</f>
        <v>0</v>
      </c>
      <c r="G164" s="95">
        <f t="shared" si="4"/>
        <v>0</v>
      </c>
    </row>
    <row r="165" spans="1:7" s="65" customFormat="1" ht="18.600000000000001" customHeight="1" x14ac:dyDescent="0.3">
      <c r="A165" s="150" t="s">
        <v>538</v>
      </c>
      <c r="B165" s="50" t="s">
        <v>214</v>
      </c>
      <c r="C165" s="51" t="s">
        <v>230</v>
      </c>
      <c r="D165" s="88" t="s">
        <v>292</v>
      </c>
      <c r="E165" s="130">
        <v>0</v>
      </c>
      <c r="F165" s="79">
        <f>BPU!E165</f>
        <v>0</v>
      </c>
      <c r="G165" s="95">
        <f t="shared" si="4"/>
        <v>0</v>
      </c>
    </row>
    <row r="166" spans="1:7" s="65" customFormat="1" ht="33" customHeight="1" x14ac:dyDescent="0.3">
      <c r="A166" s="150" t="s">
        <v>539</v>
      </c>
      <c r="B166" s="50" t="s">
        <v>215</v>
      </c>
      <c r="C166" s="51" t="s">
        <v>230</v>
      </c>
      <c r="D166" s="88" t="s">
        <v>292</v>
      </c>
      <c r="E166" s="130">
        <f>4.9*1.6*0.1</f>
        <v>0.78400000000000014</v>
      </c>
      <c r="F166" s="79">
        <f>BPU!E166</f>
        <v>0</v>
      </c>
      <c r="G166" s="95">
        <f t="shared" si="4"/>
        <v>0</v>
      </c>
    </row>
    <row r="167" spans="1:7" ht="18.600000000000001" customHeight="1" x14ac:dyDescent="0.3">
      <c r="A167" s="52" t="s">
        <v>540</v>
      </c>
      <c r="B167" s="46" t="s">
        <v>169</v>
      </c>
      <c r="C167" s="52"/>
      <c r="D167" s="87"/>
      <c r="E167" s="126"/>
      <c r="F167" s="79">
        <f>BPU!E167</f>
        <v>0</v>
      </c>
      <c r="G167" s="95">
        <f t="shared" si="4"/>
        <v>0</v>
      </c>
    </row>
    <row r="168" spans="1:7" ht="18.600000000000001" customHeight="1" x14ac:dyDescent="0.3">
      <c r="A168" s="150" t="s">
        <v>541</v>
      </c>
      <c r="B168" s="50" t="s">
        <v>216</v>
      </c>
      <c r="C168" s="51" t="s">
        <v>230</v>
      </c>
      <c r="D168" s="87" t="s">
        <v>292</v>
      </c>
      <c r="E168" s="126">
        <v>0</v>
      </c>
      <c r="F168" s="79">
        <f>BPU!E168</f>
        <v>0</v>
      </c>
      <c r="G168" s="95">
        <f t="shared" si="4"/>
        <v>0</v>
      </c>
    </row>
    <row r="169" spans="1:7" ht="18.600000000000001" customHeight="1" x14ac:dyDescent="0.3">
      <c r="A169" s="150" t="s">
        <v>542</v>
      </c>
      <c r="B169" s="50" t="s">
        <v>217</v>
      </c>
      <c r="C169" s="51" t="s">
        <v>230</v>
      </c>
      <c r="D169" s="87" t="s">
        <v>292</v>
      </c>
      <c r="E169" s="126">
        <v>0</v>
      </c>
      <c r="F169" s="79">
        <f>BPU!E169</f>
        <v>0</v>
      </c>
      <c r="G169" s="95">
        <f t="shared" si="4"/>
        <v>0</v>
      </c>
    </row>
    <row r="170" spans="1:7" ht="18.600000000000001" customHeight="1" x14ac:dyDescent="0.3">
      <c r="A170" s="150" t="s">
        <v>543</v>
      </c>
      <c r="B170" s="50" t="s">
        <v>218</v>
      </c>
      <c r="C170" s="51" t="s">
        <v>230</v>
      </c>
      <c r="D170" s="87" t="s">
        <v>292</v>
      </c>
      <c r="E170" s="126">
        <v>0</v>
      </c>
      <c r="F170" s="79">
        <f>BPU!E170</f>
        <v>0</v>
      </c>
      <c r="G170" s="95">
        <f t="shared" si="4"/>
        <v>0</v>
      </c>
    </row>
    <row r="171" spans="1:7" ht="18.600000000000001" customHeight="1" x14ac:dyDescent="0.3">
      <c r="A171" s="150" t="s">
        <v>544</v>
      </c>
      <c r="B171" s="50" t="s">
        <v>219</v>
      </c>
      <c r="C171" s="51" t="s">
        <v>230</v>
      </c>
      <c r="D171" s="87" t="s">
        <v>292</v>
      </c>
      <c r="E171" s="126">
        <v>0</v>
      </c>
      <c r="F171" s="79">
        <f>BPU!E171</f>
        <v>0</v>
      </c>
      <c r="G171" s="95">
        <f t="shared" si="4"/>
        <v>0</v>
      </c>
    </row>
    <row r="172" spans="1:7" ht="18.600000000000001" customHeight="1" x14ac:dyDescent="0.3">
      <c r="A172" s="150" t="s">
        <v>545</v>
      </c>
      <c r="B172" s="50" t="s">
        <v>220</v>
      </c>
      <c r="C172" s="51" t="s">
        <v>230</v>
      </c>
      <c r="D172" s="87" t="s">
        <v>292</v>
      </c>
      <c r="E172" s="126">
        <f>5*0.2*0.2</f>
        <v>0.2</v>
      </c>
      <c r="F172" s="79">
        <f>BPU!E172</f>
        <v>0</v>
      </c>
      <c r="G172" s="95">
        <f t="shared" si="4"/>
        <v>0</v>
      </c>
    </row>
    <row r="173" spans="1:7" ht="18.600000000000001" customHeight="1" x14ac:dyDescent="0.3">
      <c r="A173" s="150" t="s">
        <v>546</v>
      </c>
      <c r="B173" s="50" t="s">
        <v>221</v>
      </c>
      <c r="C173" s="51" t="s">
        <v>230</v>
      </c>
      <c r="D173" s="87" t="s">
        <v>292</v>
      </c>
      <c r="E173" s="126">
        <v>0</v>
      </c>
      <c r="F173" s="79">
        <f>BPU!E173</f>
        <v>0</v>
      </c>
      <c r="G173" s="95">
        <f t="shared" si="4"/>
        <v>0</v>
      </c>
    </row>
    <row r="174" spans="1:7" ht="18.600000000000001" customHeight="1" x14ac:dyDescent="0.3">
      <c r="A174" s="150" t="s">
        <v>547</v>
      </c>
      <c r="B174" s="50" t="s">
        <v>222</v>
      </c>
      <c r="C174" s="51" t="s">
        <v>230</v>
      </c>
      <c r="D174" s="87" t="s">
        <v>292</v>
      </c>
      <c r="E174" s="126">
        <v>0</v>
      </c>
      <c r="F174" s="79">
        <f>BPU!E174</f>
        <v>0</v>
      </c>
      <c r="G174" s="95">
        <f t="shared" si="4"/>
        <v>0</v>
      </c>
    </row>
    <row r="175" spans="1:7" ht="18.600000000000001" customHeight="1" x14ac:dyDescent="0.3">
      <c r="A175" s="52" t="s">
        <v>548</v>
      </c>
      <c r="B175" s="46" t="s">
        <v>170</v>
      </c>
      <c r="C175" s="52"/>
      <c r="D175" s="87"/>
      <c r="E175" s="126"/>
      <c r="F175" s="79">
        <f>BPU!E175</f>
        <v>0</v>
      </c>
      <c r="G175" s="95">
        <f t="shared" si="4"/>
        <v>0</v>
      </c>
    </row>
    <row r="176" spans="1:7" ht="18.600000000000001" customHeight="1" x14ac:dyDescent="0.3">
      <c r="A176" s="150" t="s">
        <v>549</v>
      </c>
      <c r="B176" s="50" t="s">
        <v>223</v>
      </c>
      <c r="C176" s="51" t="s">
        <v>230</v>
      </c>
      <c r="D176" s="87" t="s">
        <v>292</v>
      </c>
      <c r="E176" s="126">
        <f>4.9*1.6*0.05</f>
        <v>0.39200000000000007</v>
      </c>
      <c r="F176" s="79">
        <f>BPU!E176</f>
        <v>0</v>
      </c>
      <c r="G176" s="95">
        <f t="shared" si="4"/>
        <v>0</v>
      </c>
    </row>
    <row r="177" spans="1:7" ht="18.600000000000001" customHeight="1" x14ac:dyDescent="0.3">
      <c r="A177" s="150" t="s">
        <v>550</v>
      </c>
      <c r="B177" s="50" t="s">
        <v>224</v>
      </c>
      <c r="C177" s="51" t="s">
        <v>230</v>
      </c>
      <c r="D177" s="87" t="s">
        <v>292</v>
      </c>
      <c r="E177" s="126">
        <f>4.9*1.6*0.25</f>
        <v>1.9600000000000002</v>
      </c>
      <c r="F177" s="79">
        <f>BPU!E177</f>
        <v>0</v>
      </c>
      <c r="G177" s="95">
        <f t="shared" si="4"/>
        <v>0</v>
      </c>
    </row>
    <row r="178" spans="1:7" ht="18.600000000000001" customHeight="1" x14ac:dyDescent="0.3">
      <c r="A178" s="150" t="s">
        <v>551</v>
      </c>
      <c r="B178" s="50" t="s">
        <v>178</v>
      </c>
      <c r="C178" s="51" t="s">
        <v>230</v>
      </c>
      <c r="D178" s="87" t="s">
        <v>292</v>
      </c>
      <c r="E178" s="126">
        <v>0</v>
      </c>
      <c r="F178" s="79">
        <f>BPU!E178</f>
        <v>0</v>
      </c>
      <c r="G178" s="95">
        <f t="shared" si="4"/>
        <v>0</v>
      </c>
    </row>
    <row r="179" spans="1:7" ht="18.600000000000001" customHeight="1" x14ac:dyDescent="0.3">
      <c r="A179" s="52" t="s">
        <v>552</v>
      </c>
      <c r="B179" s="46" t="s">
        <v>171</v>
      </c>
      <c r="C179" s="52"/>
      <c r="D179" s="87"/>
      <c r="E179" s="126"/>
      <c r="F179" s="79">
        <f>BPU!E179</f>
        <v>0</v>
      </c>
      <c r="G179" s="95">
        <f t="shared" si="4"/>
        <v>0</v>
      </c>
    </row>
    <row r="180" spans="1:7" ht="24.6" customHeight="1" x14ac:dyDescent="0.3">
      <c r="A180" s="150" t="s">
        <v>553</v>
      </c>
      <c r="B180" s="50" t="s">
        <v>229</v>
      </c>
      <c r="C180" s="51" t="s">
        <v>181</v>
      </c>
      <c r="D180" s="87" t="s">
        <v>292</v>
      </c>
      <c r="E180" s="126">
        <f>11.4*0.4</f>
        <v>4.5600000000000005</v>
      </c>
      <c r="F180" s="79">
        <f>BPU!E180</f>
        <v>0</v>
      </c>
      <c r="G180" s="95">
        <f t="shared" si="4"/>
        <v>0</v>
      </c>
    </row>
    <row r="181" spans="1:7" ht="18.600000000000001" customHeight="1" x14ac:dyDescent="0.3">
      <c r="A181" s="150" t="s">
        <v>554</v>
      </c>
      <c r="B181" s="50" t="s">
        <v>225</v>
      </c>
      <c r="C181" s="51" t="s">
        <v>181</v>
      </c>
      <c r="D181" s="87" t="s">
        <v>292</v>
      </c>
      <c r="E181" s="126">
        <f>11.4*2.8</f>
        <v>31.919999999999998</v>
      </c>
      <c r="F181" s="79">
        <f>BPU!E181</f>
        <v>0</v>
      </c>
      <c r="G181" s="95">
        <f t="shared" si="4"/>
        <v>0</v>
      </c>
    </row>
    <row r="182" spans="1:7" ht="18.600000000000001" customHeight="1" x14ac:dyDescent="0.3">
      <c r="A182" s="150" t="s">
        <v>555</v>
      </c>
      <c r="B182" s="50" t="s">
        <v>226</v>
      </c>
      <c r="C182" s="51" t="s">
        <v>181</v>
      </c>
      <c r="D182" s="87" t="s">
        <v>292</v>
      </c>
      <c r="E182" s="126">
        <f>1.6*4*2.1</f>
        <v>13.440000000000001</v>
      </c>
      <c r="F182" s="79">
        <f>BPU!E182</f>
        <v>0</v>
      </c>
      <c r="G182" s="95">
        <f t="shared" si="4"/>
        <v>0</v>
      </c>
    </row>
    <row r="183" spans="1:7" ht="18.600000000000001" customHeight="1" x14ac:dyDescent="0.3">
      <c r="A183" s="150" t="s">
        <v>556</v>
      </c>
      <c r="B183" s="50" t="s">
        <v>227</v>
      </c>
      <c r="C183" s="51" t="s">
        <v>181</v>
      </c>
      <c r="D183" s="87" t="s">
        <v>292</v>
      </c>
      <c r="E183" s="126">
        <v>0</v>
      </c>
      <c r="F183" s="79">
        <f>BPU!E183</f>
        <v>0</v>
      </c>
      <c r="G183" s="95">
        <f t="shared" si="4"/>
        <v>0</v>
      </c>
    </row>
    <row r="184" spans="1:7" ht="18.600000000000001" customHeight="1" x14ac:dyDescent="0.3">
      <c r="A184" s="150" t="s">
        <v>557</v>
      </c>
      <c r="B184" s="50" t="s">
        <v>228</v>
      </c>
      <c r="C184" s="51" t="s">
        <v>181</v>
      </c>
      <c r="D184" s="87" t="s">
        <v>292</v>
      </c>
      <c r="E184" s="126">
        <v>0</v>
      </c>
      <c r="F184" s="79">
        <f>BPU!E184</f>
        <v>0</v>
      </c>
      <c r="G184" s="95">
        <f t="shared" si="4"/>
        <v>0</v>
      </c>
    </row>
    <row r="185" spans="1:7" ht="18.600000000000001" customHeight="1" x14ac:dyDescent="0.3">
      <c r="A185" s="52" t="s">
        <v>558</v>
      </c>
      <c r="B185" s="46" t="s">
        <v>172</v>
      </c>
      <c r="C185" s="52"/>
      <c r="D185" s="87"/>
      <c r="E185" s="126"/>
      <c r="F185" s="79">
        <f>BPU!E185</f>
        <v>0</v>
      </c>
      <c r="G185" s="95">
        <f t="shared" si="4"/>
        <v>0</v>
      </c>
    </row>
    <row r="186" spans="1:7" ht="18.600000000000001" customHeight="1" x14ac:dyDescent="0.3">
      <c r="A186" s="150" t="s">
        <v>559</v>
      </c>
      <c r="B186" s="50" t="s">
        <v>231</v>
      </c>
      <c r="C186" s="51" t="s">
        <v>181</v>
      </c>
      <c r="D186" s="87" t="s">
        <v>292</v>
      </c>
      <c r="E186" s="126">
        <v>0</v>
      </c>
      <c r="F186" s="79">
        <f>BPU!E186</f>
        <v>0</v>
      </c>
      <c r="G186" s="95">
        <f t="shared" si="4"/>
        <v>0</v>
      </c>
    </row>
    <row r="187" spans="1:7" ht="18.600000000000001" customHeight="1" x14ac:dyDescent="0.3">
      <c r="A187" s="150" t="s">
        <v>560</v>
      </c>
      <c r="B187" s="50" t="s">
        <v>232</v>
      </c>
      <c r="C187" s="51" t="s">
        <v>181</v>
      </c>
      <c r="D187" s="87" t="s">
        <v>292</v>
      </c>
      <c r="E187" s="126">
        <f>4.9*1.6</f>
        <v>7.8400000000000007</v>
      </c>
      <c r="F187" s="79">
        <f>BPU!E187</f>
        <v>0</v>
      </c>
      <c r="G187" s="95">
        <f t="shared" si="4"/>
        <v>0</v>
      </c>
    </row>
    <row r="188" spans="1:7" ht="28.2" customHeight="1" x14ac:dyDescent="0.3">
      <c r="A188" s="150" t="s">
        <v>561</v>
      </c>
      <c r="B188" s="50" t="s">
        <v>233</v>
      </c>
      <c r="C188" s="51" t="s">
        <v>181</v>
      </c>
      <c r="D188" s="87" t="s">
        <v>292</v>
      </c>
      <c r="E188" s="126">
        <v>0</v>
      </c>
      <c r="F188" s="79">
        <f>BPU!E188</f>
        <v>0</v>
      </c>
      <c r="G188" s="95">
        <f t="shared" si="4"/>
        <v>0</v>
      </c>
    </row>
    <row r="189" spans="1:7" ht="18.600000000000001" customHeight="1" x14ac:dyDescent="0.3">
      <c r="A189" s="150" t="s">
        <v>562</v>
      </c>
      <c r="B189" s="50" t="s">
        <v>234</v>
      </c>
      <c r="C189" s="51" t="s">
        <v>181</v>
      </c>
      <c r="D189" s="87" t="s">
        <v>292</v>
      </c>
      <c r="E189" s="126">
        <f>1.4*1.2*4</f>
        <v>6.72</v>
      </c>
      <c r="F189" s="79">
        <f>BPU!E189</f>
        <v>0</v>
      </c>
      <c r="G189" s="95">
        <f t="shared" si="4"/>
        <v>0</v>
      </c>
    </row>
    <row r="190" spans="1:7" ht="18.600000000000001" customHeight="1" x14ac:dyDescent="0.3">
      <c r="A190" s="52" t="s">
        <v>563</v>
      </c>
      <c r="B190" s="46" t="s">
        <v>173</v>
      </c>
      <c r="C190" s="52"/>
      <c r="D190" s="87"/>
      <c r="E190" s="126"/>
      <c r="F190" s="79">
        <f>BPU!E190</f>
        <v>0</v>
      </c>
      <c r="G190" s="95">
        <f t="shared" si="4"/>
        <v>0</v>
      </c>
    </row>
    <row r="191" spans="1:7" ht="18.600000000000001" customHeight="1" x14ac:dyDescent="0.3">
      <c r="A191" s="150" t="s">
        <v>564</v>
      </c>
      <c r="B191" s="50" t="s">
        <v>259</v>
      </c>
      <c r="C191" s="51" t="s">
        <v>181</v>
      </c>
      <c r="D191" s="87" t="s">
        <v>292</v>
      </c>
      <c r="E191" s="126">
        <v>0</v>
      </c>
      <c r="F191" s="79">
        <f>BPU!E191</f>
        <v>0</v>
      </c>
      <c r="G191" s="95">
        <f t="shared" si="4"/>
        <v>0</v>
      </c>
    </row>
    <row r="192" spans="1:7" ht="18.600000000000001" customHeight="1" x14ac:dyDescent="0.3">
      <c r="A192" s="150" t="s">
        <v>565</v>
      </c>
      <c r="B192" s="50" t="s">
        <v>235</v>
      </c>
      <c r="C192" s="51" t="s">
        <v>181</v>
      </c>
      <c r="D192" s="87" t="s">
        <v>292</v>
      </c>
      <c r="E192" s="126">
        <f>+(4.9+1.6)*2.8</f>
        <v>18.2</v>
      </c>
      <c r="F192" s="79">
        <f>BPU!E192</f>
        <v>0</v>
      </c>
      <c r="G192" s="95">
        <f t="shared" si="4"/>
        <v>0</v>
      </c>
    </row>
    <row r="193" spans="1:7" ht="18.600000000000001" customHeight="1" x14ac:dyDescent="0.3">
      <c r="A193" s="150" t="s">
        <v>566</v>
      </c>
      <c r="B193" s="50" t="s">
        <v>236</v>
      </c>
      <c r="C193" s="51" t="s">
        <v>181</v>
      </c>
      <c r="D193" s="87" t="s">
        <v>292</v>
      </c>
      <c r="E193" s="126">
        <f>1.2*4*2.1*4</f>
        <v>40.32</v>
      </c>
      <c r="F193" s="79">
        <f>BPU!E193</f>
        <v>0</v>
      </c>
      <c r="G193" s="95">
        <f t="shared" si="4"/>
        <v>0</v>
      </c>
    </row>
    <row r="194" spans="1:7" ht="18.600000000000001" customHeight="1" x14ac:dyDescent="0.3">
      <c r="A194" s="150" t="s">
        <v>567</v>
      </c>
      <c r="B194" s="50" t="s">
        <v>237</v>
      </c>
      <c r="C194" s="51" t="s">
        <v>181</v>
      </c>
      <c r="D194" s="87" t="s">
        <v>292</v>
      </c>
      <c r="E194" s="126">
        <v>0</v>
      </c>
      <c r="F194" s="79">
        <f>BPU!E194</f>
        <v>0</v>
      </c>
      <c r="G194" s="95">
        <f t="shared" si="4"/>
        <v>0</v>
      </c>
    </row>
    <row r="195" spans="1:7" ht="18.600000000000001" customHeight="1" x14ac:dyDescent="0.3">
      <c r="A195" s="150" t="s">
        <v>568</v>
      </c>
      <c r="B195" s="50" t="s">
        <v>238</v>
      </c>
      <c r="C195" s="51" t="s">
        <v>181</v>
      </c>
      <c r="D195" s="87" t="s">
        <v>292</v>
      </c>
      <c r="E195" s="126">
        <f>+E193/2</f>
        <v>20.16</v>
      </c>
      <c r="F195" s="79">
        <f>BPU!E195</f>
        <v>0</v>
      </c>
      <c r="G195" s="95">
        <f t="shared" si="4"/>
        <v>0</v>
      </c>
    </row>
    <row r="196" spans="1:7" ht="18.600000000000001" customHeight="1" x14ac:dyDescent="0.3">
      <c r="A196" s="150" t="s">
        <v>569</v>
      </c>
      <c r="B196" s="50" t="s">
        <v>179</v>
      </c>
      <c r="C196" s="51" t="s">
        <v>181</v>
      </c>
      <c r="D196" s="87" t="s">
        <v>292</v>
      </c>
      <c r="E196" s="126">
        <v>0</v>
      </c>
      <c r="F196" s="79">
        <f>BPU!E196</f>
        <v>0</v>
      </c>
      <c r="G196" s="95">
        <f t="shared" si="4"/>
        <v>0</v>
      </c>
    </row>
    <row r="197" spans="1:7" ht="18.600000000000001" customHeight="1" x14ac:dyDescent="0.3">
      <c r="A197" s="150" t="s">
        <v>570</v>
      </c>
      <c r="B197" s="50" t="s">
        <v>239</v>
      </c>
      <c r="C197" s="51" t="s">
        <v>181</v>
      </c>
      <c r="D197" s="87" t="s">
        <v>292</v>
      </c>
      <c r="E197" s="126">
        <v>0</v>
      </c>
      <c r="F197" s="79">
        <f>BPU!E197</f>
        <v>0</v>
      </c>
      <c r="G197" s="95">
        <f t="shared" si="4"/>
        <v>0</v>
      </c>
    </row>
    <row r="198" spans="1:7" ht="18.600000000000001" customHeight="1" x14ac:dyDescent="0.3">
      <c r="A198" s="52" t="s">
        <v>571</v>
      </c>
      <c r="B198" s="46" t="s">
        <v>174</v>
      </c>
      <c r="C198" s="52"/>
      <c r="D198" s="87"/>
      <c r="E198" s="126"/>
      <c r="F198" s="79">
        <f>BPU!E198</f>
        <v>0</v>
      </c>
      <c r="G198" s="95">
        <f t="shared" si="4"/>
        <v>0</v>
      </c>
    </row>
    <row r="199" spans="1:7" ht="18.600000000000001" customHeight="1" x14ac:dyDescent="0.3">
      <c r="A199" s="150" t="s">
        <v>572</v>
      </c>
      <c r="B199" s="50" t="s">
        <v>240</v>
      </c>
      <c r="C199" s="51" t="s">
        <v>181</v>
      </c>
      <c r="D199" s="87" t="s">
        <v>292</v>
      </c>
      <c r="E199" s="126">
        <v>0</v>
      </c>
      <c r="F199" s="79">
        <f>BPU!E199</f>
        <v>0</v>
      </c>
      <c r="G199" s="95">
        <f t="shared" si="4"/>
        <v>0</v>
      </c>
    </row>
    <row r="200" spans="1:7" ht="18.600000000000001" customHeight="1" x14ac:dyDescent="0.3">
      <c r="A200" s="150" t="s">
        <v>573</v>
      </c>
      <c r="B200" s="50" t="s">
        <v>241</v>
      </c>
      <c r="C200" s="51" t="s">
        <v>181</v>
      </c>
      <c r="D200" s="87" t="s">
        <v>292</v>
      </c>
      <c r="E200" s="126">
        <v>0</v>
      </c>
      <c r="F200" s="79">
        <f>BPU!E200</f>
        <v>0</v>
      </c>
      <c r="G200" s="95">
        <f t="shared" si="4"/>
        <v>0</v>
      </c>
    </row>
    <row r="201" spans="1:7" ht="18.600000000000001" customHeight="1" x14ac:dyDescent="0.3">
      <c r="A201" s="150" t="s">
        <v>574</v>
      </c>
      <c r="B201" s="50" t="s">
        <v>242</v>
      </c>
      <c r="C201" s="51" t="s">
        <v>181</v>
      </c>
      <c r="D201" s="87" t="s">
        <v>292</v>
      </c>
      <c r="E201" s="126">
        <v>0</v>
      </c>
      <c r="F201" s="79">
        <f>BPU!E201</f>
        <v>0</v>
      </c>
      <c r="G201" s="95">
        <f t="shared" si="4"/>
        <v>0</v>
      </c>
    </row>
    <row r="202" spans="1:7" ht="18.600000000000001" customHeight="1" x14ac:dyDescent="0.3">
      <c r="A202" s="150" t="s">
        <v>575</v>
      </c>
      <c r="B202" s="50" t="s">
        <v>243</v>
      </c>
      <c r="C202" s="51" t="s">
        <v>181</v>
      </c>
      <c r="D202" s="87" t="s">
        <v>292</v>
      </c>
      <c r="E202" s="126">
        <v>0</v>
      </c>
      <c r="F202" s="79">
        <f>BPU!E202</f>
        <v>0</v>
      </c>
      <c r="G202" s="95">
        <f t="shared" si="4"/>
        <v>0</v>
      </c>
    </row>
    <row r="203" spans="1:7" ht="18.600000000000001" customHeight="1" x14ac:dyDescent="0.3">
      <c r="A203" s="150" t="s">
        <v>576</v>
      </c>
      <c r="B203" s="50" t="s">
        <v>244</v>
      </c>
      <c r="C203" s="51" t="s">
        <v>181</v>
      </c>
      <c r="D203" s="87" t="s">
        <v>292</v>
      </c>
      <c r="E203" s="126">
        <v>0</v>
      </c>
      <c r="F203" s="79">
        <f>BPU!E203</f>
        <v>0</v>
      </c>
      <c r="G203" s="95">
        <f t="shared" si="4"/>
        <v>0</v>
      </c>
    </row>
    <row r="204" spans="1:7" ht="18.600000000000001" customHeight="1" x14ac:dyDescent="0.3">
      <c r="A204" s="150" t="s">
        <v>577</v>
      </c>
      <c r="B204" s="50" t="s">
        <v>245</v>
      </c>
      <c r="C204" s="51" t="s">
        <v>181</v>
      </c>
      <c r="D204" s="87" t="s">
        <v>292</v>
      </c>
      <c r="E204" s="126">
        <f>0.7*2.1*4</f>
        <v>5.88</v>
      </c>
      <c r="F204" s="79">
        <f>BPU!E204</f>
        <v>0</v>
      </c>
      <c r="G204" s="95">
        <f t="shared" si="4"/>
        <v>0</v>
      </c>
    </row>
    <row r="205" spans="1:7" ht="18.600000000000001" customHeight="1" x14ac:dyDescent="0.3">
      <c r="A205" s="150" t="s">
        <v>578</v>
      </c>
      <c r="B205" s="50" t="s">
        <v>246</v>
      </c>
      <c r="C205" s="51" t="s">
        <v>181</v>
      </c>
      <c r="D205" s="87" t="s">
        <v>292</v>
      </c>
      <c r="E205" s="126">
        <v>0</v>
      </c>
      <c r="F205" s="79">
        <f>BPU!E205</f>
        <v>0</v>
      </c>
      <c r="G205" s="95">
        <f t="shared" si="4"/>
        <v>0</v>
      </c>
    </row>
    <row r="206" spans="1:7" ht="18.600000000000001" customHeight="1" x14ac:dyDescent="0.3">
      <c r="A206" s="150" t="s">
        <v>579</v>
      </c>
      <c r="B206" s="50" t="s">
        <v>247</v>
      </c>
      <c r="C206" s="51" t="s">
        <v>181</v>
      </c>
      <c r="D206" s="87" t="s">
        <v>292</v>
      </c>
      <c r="E206" s="126">
        <v>0</v>
      </c>
      <c r="F206" s="79">
        <f>BPU!E206</f>
        <v>0</v>
      </c>
      <c r="G206" s="95">
        <f t="shared" si="4"/>
        <v>0</v>
      </c>
    </row>
    <row r="207" spans="1:7" ht="18.600000000000001" customHeight="1" x14ac:dyDescent="0.3">
      <c r="A207" s="150" t="s">
        <v>580</v>
      </c>
      <c r="B207" s="50" t="s">
        <v>194</v>
      </c>
      <c r="C207" s="51" t="s">
        <v>181</v>
      </c>
      <c r="D207" s="87" t="s">
        <v>292</v>
      </c>
      <c r="E207" s="126">
        <v>0</v>
      </c>
      <c r="F207" s="79">
        <f>BPU!E207</f>
        <v>0</v>
      </c>
      <c r="G207" s="95">
        <f t="shared" si="4"/>
        <v>0</v>
      </c>
    </row>
    <row r="208" spans="1:7" ht="18.600000000000001" customHeight="1" x14ac:dyDescent="0.3">
      <c r="A208" s="52" t="s">
        <v>581</v>
      </c>
      <c r="B208" s="46" t="s">
        <v>175</v>
      </c>
      <c r="C208" s="52"/>
      <c r="D208" s="87"/>
      <c r="E208" s="126"/>
      <c r="F208" s="79">
        <f>BPU!E208</f>
        <v>0</v>
      </c>
      <c r="G208" s="95">
        <f t="shared" si="4"/>
        <v>0</v>
      </c>
    </row>
    <row r="209" spans="1:7" ht="18.600000000000001" customHeight="1" x14ac:dyDescent="0.3">
      <c r="A209" s="150" t="s">
        <v>582</v>
      </c>
      <c r="B209" s="50" t="s">
        <v>180</v>
      </c>
      <c r="C209" s="51" t="s">
        <v>181</v>
      </c>
      <c r="D209" s="87" t="s">
        <v>292</v>
      </c>
      <c r="E209" s="126">
        <v>0</v>
      </c>
      <c r="F209" s="79">
        <f>BPU!E209</f>
        <v>0</v>
      </c>
      <c r="G209" s="95">
        <f t="shared" si="4"/>
        <v>0</v>
      </c>
    </row>
    <row r="210" spans="1:7" ht="18.600000000000001" customHeight="1" x14ac:dyDescent="0.3">
      <c r="A210" s="52" t="s">
        <v>583</v>
      </c>
      <c r="B210" s="46" t="s">
        <v>176</v>
      </c>
      <c r="C210" s="52"/>
      <c r="D210" s="87"/>
      <c r="E210" s="126"/>
      <c r="F210" s="79">
        <f>BPU!E210</f>
        <v>0</v>
      </c>
      <c r="G210" s="95">
        <f t="shared" si="4"/>
        <v>0</v>
      </c>
    </row>
    <row r="211" spans="1:7" ht="18.600000000000001" customHeight="1" x14ac:dyDescent="0.3">
      <c r="A211" s="150" t="s">
        <v>584</v>
      </c>
      <c r="B211" s="50" t="s">
        <v>257</v>
      </c>
      <c r="C211" s="51" t="s">
        <v>181</v>
      </c>
      <c r="D211" s="87" t="s">
        <v>292</v>
      </c>
      <c r="E211" s="126">
        <v>0</v>
      </c>
      <c r="F211" s="79">
        <f>BPU!E211</f>
        <v>0</v>
      </c>
      <c r="G211" s="95">
        <f t="shared" si="4"/>
        <v>0</v>
      </c>
    </row>
    <row r="212" spans="1:7" ht="18.600000000000001" customHeight="1" x14ac:dyDescent="0.3">
      <c r="A212" s="150" t="s">
        <v>585</v>
      </c>
      <c r="B212" s="50" t="s">
        <v>253</v>
      </c>
      <c r="C212" s="51" t="s">
        <v>17</v>
      </c>
      <c r="D212" s="87" t="s">
        <v>292</v>
      </c>
      <c r="E212" s="126">
        <v>0</v>
      </c>
      <c r="F212" s="79">
        <f>BPU!E212</f>
        <v>0</v>
      </c>
      <c r="G212" s="95">
        <f t="shared" si="4"/>
        <v>0</v>
      </c>
    </row>
    <row r="213" spans="1:7" ht="18.600000000000001" customHeight="1" x14ac:dyDescent="0.3">
      <c r="A213" s="150" t="s">
        <v>586</v>
      </c>
      <c r="B213" s="50" t="s">
        <v>252</v>
      </c>
      <c r="C213" s="51" t="s">
        <v>17</v>
      </c>
      <c r="D213" s="87" t="s">
        <v>292</v>
      </c>
      <c r="E213" s="126">
        <f>2.4*3</f>
        <v>7.1999999999999993</v>
      </c>
      <c r="F213" s="79">
        <f>BPU!E213</f>
        <v>0</v>
      </c>
      <c r="G213" s="95">
        <f t="shared" si="4"/>
        <v>0</v>
      </c>
    </row>
    <row r="214" spans="1:7" ht="18.600000000000001" customHeight="1" x14ac:dyDescent="0.3">
      <c r="A214" s="150" t="s">
        <v>587</v>
      </c>
      <c r="B214" s="50" t="s">
        <v>254</v>
      </c>
      <c r="C214" s="51" t="s">
        <v>17</v>
      </c>
      <c r="D214" s="87" t="s">
        <v>292</v>
      </c>
      <c r="E214" s="126">
        <v>0</v>
      </c>
      <c r="F214" s="79">
        <f>BPU!E214</f>
        <v>0</v>
      </c>
      <c r="G214" s="95">
        <f t="shared" si="4"/>
        <v>0</v>
      </c>
    </row>
    <row r="215" spans="1:7" ht="18.600000000000001" customHeight="1" x14ac:dyDescent="0.3">
      <c r="A215" s="150" t="s">
        <v>588</v>
      </c>
      <c r="B215" s="50" t="s">
        <v>255</v>
      </c>
      <c r="C215" s="51" t="s">
        <v>17</v>
      </c>
      <c r="D215" s="87" t="s">
        <v>292</v>
      </c>
      <c r="E215" s="126">
        <v>18</v>
      </c>
      <c r="F215" s="79">
        <f>BPU!E215</f>
        <v>0</v>
      </c>
      <c r="G215" s="95">
        <f t="shared" si="4"/>
        <v>0</v>
      </c>
    </row>
    <row r="216" spans="1:7" ht="28.8" customHeight="1" x14ac:dyDescent="0.3">
      <c r="A216" s="150" t="s">
        <v>589</v>
      </c>
      <c r="B216" s="50" t="s">
        <v>251</v>
      </c>
      <c r="C216" s="51" t="s">
        <v>17</v>
      </c>
      <c r="D216" s="87" t="s">
        <v>292</v>
      </c>
      <c r="E216" s="126">
        <v>0</v>
      </c>
      <c r="F216" s="79">
        <f>BPU!E216</f>
        <v>0</v>
      </c>
      <c r="G216" s="95">
        <f t="shared" si="4"/>
        <v>0</v>
      </c>
    </row>
    <row r="217" spans="1:7" x14ac:dyDescent="0.3">
      <c r="A217" s="150" t="s">
        <v>590</v>
      </c>
      <c r="B217" s="50" t="s">
        <v>256</v>
      </c>
      <c r="C217" s="51" t="s">
        <v>181</v>
      </c>
      <c r="D217" s="87" t="s">
        <v>292</v>
      </c>
      <c r="E217" s="126">
        <f>9*2.2*1.15</f>
        <v>22.77</v>
      </c>
      <c r="F217" s="79">
        <f>BPU!E217</f>
        <v>0</v>
      </c>
      <c r="G217" s="95">
        <f t="shared" si="4"/>
        <v>0</v>
      </c>
    </row>
    <row r="218" spans="1:7" x14ac:dyDescent="0.3">
      <c r="A218" s="150" t="s">
        <v>591</v>
      </c>
      <c r="B218" s="50" t="s">
        <v>258</v>
      </c>
      <c r="C218" s="51" t="s">
        <v>17</v>
      </c>
      <c r="D218" s="87" t="s">
        <v>292</v>
      </c>
      <c r="E218" s="126">
        <v>0</v>
      </c>
      <c r="F218" s="79">
        <f>BPU!E218</f>
        <v>0</v>
      </c>
      <c r="G218" s="95">
        <f t="shared" si="4"/>
        <v>0</v>
      </c>
    </row>
    <row r="219" spans="1:7" ht="18.600000000000001" customHeight="1" x14ac:dyDescent="0.3">
      <c r="A219" s="150" t="s">
        <v>592</v>
      </c>
      <c r="B219" s="50" t="s">
        <v>193</v>
      </c>
      <c r="C219" s="51" t="s">
        <v>181</v>
      </c>
      <c r="D219" s="87" t="s">
        <v>292</v>
      </c>
      <c r="E219" s="126">
        <v>0</v>
      </c>
      <c r="F219" s="79">
        <f>BPU!E219</f>
        <v>0</v>
      </c>
      <c r="G219" s="95">
        <f t="shared" ref="G219:G240" si="5">E219*F219</f>
        <v>0</v>
      </c>
    </row>
    <row r="220" spans="1:7" x14ac:dyDescent="0.3">
      <c r="A220" s="150" t="s">
        <v>593</v>
      </c>
      <c r="B220" s="50" t="s">
        <v>192</v>
      </c>
      <c r="C220" s="51" t="s">
        <v>181</v>
      </c>
      <c r="D220" s="87" t="s">
        <v>292</v>
      </c>
      <c r="E220" s="126">
        <v>0</v>
      </c>
      <c r="F220" s="79">
        <f>BPU!E220</f>
        <v>0</v>
      </c>
      <c r="G220" s="95">
        <f t="shared" si="5"/>
        <v>0</v>
      </c>
    </row>
    <row r="221" spans="1:7" ht="28.8" x14ac:dyDescent="0.3">
      <c r="A221" s="150" t="s">
        <v>594</v>
      </c>
      <c r="B221" s="50" t="s">
        <v>260</v>
      </c>
      <c r="C221" s="51" t="s">
        <v>181</v>
      </c>
      <c r="D221" s="87" t="s">
        <v>292</v>
      </c>
      <c r="E221" s="126">
        <v>0</v>
      </c>
      <c r="F221" s="79">
        <f>BPU!E221</f>
        <v>0</v>
      </c>
      <c r="G221" s="95">
        <f t="shared" si="5"/>
        <v>0</v>
      </c>
    </row>
    <row r="222" spans="1:7" ht="18.600000000000001" customHeight="1" x14ac:dyDescent="0.3">
      <c r="A222" s="52" t="s">
        <v>595</v>
      </c>
      <c r="B222" s="46" t="s">
        <v>177</v>
      </c>
      <c r="C222" s="52"/>
      <c r="D222" s="87"/>
      <c r="E222" s="126"/>
      <c r="F222" s="79">
        <f>BPU!E222</f>
        <v>0</v>
      </c>
      <c r="G222" s="95">
        <f t="shared" si="5"/>
        <v>0</v>
      </c>
    </row>
    <row r="223" spans="1:7" ht="18.600000000000001" customHeight="1" x14ac:dyDescent="0.3">
      <c r="A223" s="150" t="s">
        <v>596</v>
      </c>
      <c r="B223" s="50" t="s">
        <v>182</v>
      </c>
      <c r="C223" s="51" t="s">
        <v>181</v>
      </c>
      <c r="D223" s="87" t="s">
        <v>292</v>
      </c>
      <c r="E223" s="126">
        <v>0</v>
      </c>
      <c r="F223" s="79">
        <f>BPU!E223</f>
        <v>0</v>
      </c>
      <c r="G223" s="95">
        <f t="shared" si="5"/>
        <v>0</v>
      </c>
    </row>
    <row r="224" spans="1:7" x14ac:dyDescent="0.3">
      <c r="A224" s="150" t="s">
        <v>597</v>
      </c>
      <c r="B224" s="50" t="s">
        <v>1273</v>
      </c>
      <c r="C224" s="51" t="s">
        <v>181</v>
      </c>
      <c r="D224" s="87" t="s">
        <v>292</v>
      </c>
      <c r="E224" s="126">
        <v>0</v>
      </c>
      <c r="F224" s="79">
        <f>BPU!E224</f>
        <v>0</v>
      </c>
      <c r="G224" s="95">
        <f t="shared" si="5"/>
        <v>0</v>
      </c>
    </row>
    <row r="225" spans="1:7" x14ac:dyDescent="0.3">
      <c r="A225" s="150" t="s">
        <v>598</v>
      </c>
      <c r="B225" s="50" t="s">
        <v>183</v>
      </c>
      <c r="C225" s="51" t="s">
        <v>181</v>
      </c>
      <c r="D225" s="87" t="s">
        <v>292</v>
      </c>
      <c r="E225" s="126">
        <v>0</v>
      </c>
      <c r="F225" s="79">
        <f>BPU!E225</f>
        <v>0</v>
      </c>
      <c r="G225" s="95">
        <f t="shared" si="5"/>
        <v>0</v>
      </c>
    </row>
    <row r="226" spans="1:7" x14ac:dyDescent="0.3">
      <c r="A226" s="150" t="s">
        <v>599</v>
      </c>
      <c r="B226" s="50" t="s">
        <v>184</v>
      </c>
      <c r="C226" s="51" t="s">
        <v>181</v>
      </c>
      <c r="D226" s="87" t="s">
        <v>292</v>
      </c>
      <c r="E226" s="126">
        <f>0.7*2.1*2*4</f>
        <v>11.76</v>
      </c>
      <c r="F226" s="79">
        <f>BPU!E226</f>
        <v>0</v>
      </c>
      <c r="G226" s="95">
        <f t="shared" si="5"/>
        <v>0</v>
      </c>
    </row>
    <row r="227" spans="1:7" x14ac:dyDescent="0.3">
      <c r="A227" s="150" t="s">
        <v>600</v>
      </c>
      <c r="B227" s="50" t="s">
        <v>185</v>
      </c>
      <c r="C227" s="51" t="s">
        <v>181</v>
      </c>
      <c r="D227" s="87" t="s">
        <v>292</v>
      </c>
      <c r="E227" s="126">
        <v>0</v>
      </c>
      <c r="F227" s="79">
        <f>BPU!E227</f>
        <v>0</v>
      </c>
      <c r="G227" s="95">
        <f t="shared" si="5"/>
        <v>0</v>
      </c>
    </row>
    <row r="228" spans="1:7" x14ac:dyDescent="0.3">
      <c r="A228" s="52" t="s">
        <v>601</v>
      </c>
      <c r="B228" s="46" t="s">
        <v>304</v>
      </c>
      <c r="C228" s="51"/>
      <c r="D228" s="87"/>
      <c r="E228" s="126"/>
      <c r="F228" s="79">
        <f>BPU!E228</f>
        <v>0</v>
      </c>
      <c r="G228" s="95">
        <f t="shared" si="5"/>
        <v>0</v>
      </c>
    </row>
    <row r="229" spans="1:7" s="65" customFormat="1" x14ac:dyDescent="0.3">
      <c r="A229" s="150" t="s">
        <v>602</v>
      </c>
      <c r="B229" s="53" t="s">
        <v>370</v>
      </c>
      <c r="C229" s="67" t="s">
        <v>197</v>
      </c>
      <c r="D229" s="88" t="s">
        <v>292</v>
      </c>
      <c r="E229" s="130">
        <v>1</v>
      </c>
      <c r="F229" s="79">
        <f>BPU!E229</f>
        <v>0</v>
      </c>
      <c r="G229" s="95">
        <f t="shared" si="5"/>
        <v>0</v>
      </c>
    </row>
    <row r="230" spans="1:7" x14ac:dyDescent="0.3">
      <c r="A230" s="150" t="s">
        <v>603</v>
      </c>
      <c r="B230" s="50" t="s">
        <v>305</v>
      </c>
      <c r="C230" s="51" t="s">
        <v>197</v>
      </c>
      <c r="D230" s="87" t="s">
        <v>292</v>
      </c>
      <c r="E230" s="126">
        <v>1</v>
      </c>
      <c r="F230" s="79">
        <f>BPU!E230</f>
        <v>0</v>
      </c>
      <c r="G230" s="95">
        <f t="shared" si="5"/>
        <v>0</v>
      </c>
    </row>
    <row r="231" spans="1:7" x14ac:dyDescent="0.3">
      <c r="A231" s="150" t="s">
        <v>604</v>
      </c>
      <c r="B231" s="50" t="s">
        <v>306</v>
      </c>
      <c r="C231" s="51" t="s">
        <v>197</v>
      </c>
      <c r="D231" s="87" t="s">
        <v>292</v>
      </c>
      <c r="E231" s="126">
        <v>2</v>
      </c>
      <c r="F231" s="79">
        <f>BPU!E231</f>
        <v>0</v>
      </c>
      <c r="G231" s="95">
        <f t="shared" si="5"/>
        <v>0</v>
      </c>
    </row>
    <row r="232" spans="1:7" x14ac:dyDescent="0.3">
      <c r="A232" s="150" t="s">
        <v>605</v>
      </c>
      <c r="B232" s="50" t="s">
        <v>307</v>
      </c>
      <c r="C232" s="51" t="s">
        <v>197</v>
      </c>
      <c r="D232" s="87" t="s">
        <v>292</v>
      </c>
      <c r="E232" s="126">
        <v>0</v>
      </c>
      <c r="F232" s="79">
        <f>BPU!E232</f>
        <v>0</v>
      </c>
      <c r="G232" s="95">
        <f t="shared" si="5"/>
        <v>0</v>
      </c>
    </row>
    <row r="233" spans="1:7" x14ac:dyDescent="0.3">
      <c r="A233" s="150" t="s">
        <v>606</v>
      </c>
      <c r="B233" s="50" t="s">
        <v>371</v>
      </c>
      <c r="C233" s="51" t="s">
        <v>317</v>
      </c>
      <c r="D233" s="87" t="s">
        <v>292</v>
      </c>
      <c r="E233" s="126">
        <v>1</v>
      </c>
      <c r="F233" s="79">
        <f>BPU!E233</f>
        <v>0</v>
      </c>
      <c r="G233" s="95">
        <f t="shared" si="5"/>
        <v>0</v>
      </c>
    </row>
    <row r="234" spans="1:7" x14ac:dyDescent="0.3">
      <c r="A234" s="150" t="s">
        <v>607</v>
      </c>
      <c r="B234" s="50" t="s">
        <v>308</v>
      </c>
      <c r="C234" s="51" t="s">
        <v>197</v>
      </c>
      <c r="D234" s="87" t="s">
        <v>292</v>
      </c>
      <c r="E234" s="126">
        <v>2</v>
      </c>
      <c r="F234" s="79">
        <f>BPU!E234</f>
        <v>0</v>
      </c>
      <c r="G234" s="95">
        <f t="shared" si="5"/>
        <v>0</v>
      </c>
    </row>
    <row r="235" spans="1:7" x14ac:dyDescent="0.3">
      <c r="A235" s="150" t="s">
        <v>608</v>
      </c>
      <c r="B235" s="50" t="s">
        <v>314</v>
      </c>
      <c r="C235" s="51" t="s">
        <v>197</v>
      </c>
      <c r="D235" s="87" t="s">
        <v>292</v>
      </c>
      <c r="E235" s="126">
        <v>3</v>
      </c>
      <c r="F235" s="79">
        <f>BPU!E235</f>
        <v>0</v>
      </c>
      <c r="G235" s="95">
        <f t="shared" si="5"/>
        <v>0</v>
      </c>
    </row>
    <row r="236" spans="1:7" x14ac:dyDescent="0.3">
      <c r="A236" s="150" t="s">
        <v>609</v>
      </c>
      <c r="B236" s="50" t="s">
        <v>309</v>
      </c>
      <c r="C236" s="51" t="s">
        <v>197</v>
      </c>
      <c r="D236" s="87" t="s">
        <v>292</v>
      </c>
      <c r="E236" s="126">
        <v>0</v>
      </c>
      <c r="F236" s="79">
        <f>BPU!E236</f>
        <v>0</v>
      </c>
      <c r="G236" s="95">
        <f t="shared" si="5"/>
        <v>0</v>
      </c>
    </row>
    <row r="237" spans="1:7" x14ac:dyDescent="0.3">
      <c r="A237" s="150" t="s">
        <v>610</v>
      </c>
      <c r="B237" s="50" t="s">
        <v>310</v>
      </c>
      <c r="C237" s="51" t="s">
        <v>197</v>
      </c>
      <c r="D237" s="87" t="s">
        <v>292</v>
      </c>
      <c r="E237" s="126">
        <v>0</v>
      </c>
      <c r="F237" s="79">
        <f>BPU!E237</f>
        <v>0</v>
      </c>
      <c r="G237" s="95">
        <f t="shared" si="5"/>
        <v>0</v>
      </c>
    </row>
    <row r="238" spans="1:7" x14ac:dyDescent="0.3">
      <c r="A238" s="150" t="s">
        <v>611</v>
      </c>
      <c r="B238" s="50" t="s">
        <v>311</v>
      </c>
      <c r="C238" s="51" t="s">
        <v>197</v>
      </c>
      <c r="D238" s="87" t="s">
        <v>292</v>
      </c>
      <c r="E238" s="126">
        <v>0</v>
      </c>
      <c r="F238" s="79">
        <f>BPU!E238</f>
        <v>0</v>
      </c>
      <c r="G238" s="95">
        <f t="shared" si="5"/>
        <v>0</v>
      </c>
    </row>
    <row r="239" spans="1:7" ht="24.6" customHeight="1" x14ac:dyDescent="0.3">
      <c r="A239" s="150" t="s">
        <v>612</v>
      </c>
      <c r="B239" s="50" t="s">
        <v>313</v>
      </c>
      <c r="C239" s="51" t="s">
        <v>17</v>
      </c>
      <c r="D239" s="87" t="s">
        <v>292</v>
      </c>
      <c r="E239" s="126">
        <f>9*4</f>
        <v>36</v>
      </c>
      <c r="F239" s="79">
        <f>BPU!E239</f>
        <v>0</v>
      </c>
      <c r="G239" s="95">
        <f t="shared" si="5"/>
        <v>0</v>
      </c>
    </row>
    <row r="240" spans="1:7" ht="19.2" customHeight="1" thickBot="1" x14ac:dyDescent="0.35">
      <c r="A240" s="150" t="s">
        <v>613</v>
      </c>
      <c r="B240" s="50" t="s">
        <v>312</v>
      </c>
      <c r="C240" s="51" t="s">
        <v>17</v>
      </c>
      <c r="D240" s="87" t="s">
        <v>292</v>
      </c>
      <c r="E240" s="126">
        <v>75</v>
      </c>
      <c r="F240" s="79">
        <f>BPU!E240</f>
        <v>0</v>
      </c>
      <c r="G240" s="95">
        <f t="shared" si="5"/>
        <v>0</v>
      </c>
    </row>
    <row r="241" spans="1:23" s="98" customFormat="1" ht="15" thickBot="1" x14ac:dyDescent="0.35">
      <c r="A241" s="52"/>
      <c r="B241" s="96" t="s">
        <v>389</v>
      </c>
      <c r="C241" s="97"/>
      <c r="D241" s="97"/>
      <c r="E241" s="128"/>
      <c r="F241" s="145">
        <f>BPU!E241</f>
        <v>0</v>
      </c>
      <c r="G241" s="146">
        <f>SUM(G152:G240)</f>
        <v>0</v>
      </c>
      <c r="J241" s="99"/>
      <c r="K241" s="75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100"/>
      <c r="W241" s="100"/>
    </row>
    <row r="242" spans="1:23" s="58" customFormat="1" ht="18" customHeight="1" thickBot="1" x14ac:dyDescent="0.35">
      <c r="A242" s="52"/>
      <c r="B242" s="103" t="s">
        <v>357</v>
      </c>
      <c r="C242" s="72"/>
      <c r="D242" s="91"/>
      <c r="E242" s="131"/>
      <c r="F242" s="79">
        <f>BPU!E242</f>
        <v>0</v>
      </c>
      <c r="G242" s="105">
        <f>G241+G149+G108</f>
        <v>0</v>
      </c>
    </row>
    <row r="243" spans="1:23" s="58" customFormat="1" ht="18" customHeight="1" x14ac:dyDescent="0.3">
      <c r="A243" s="47"/>
      <c r="B243" s="114"/>
      <c r="D243" s="115"/>
      <c r="E243" s="132"/>
      <c r="F243" s="79">
        <f>BPU!E243</f>
        <v>0</v>
      </c>
    </row>
    <row r="244" spans="1:23" s="58" customFormat="1" ht="16.8" customHeight="1" x14ac:dyDescent="0.3">
      <c r="A244" s="59" t="s">
        <v>14</v>
      </c>
      <c r="B244" s="59" t="s">
        <v>71</v>
      </c>
      <c r="C244" s="59"/>
      <c r="D244" s="86"/>
      <c r="E244" s="124"/>
      <c r="F244" s="86"/>
      <c r="G244" s="59"/>
    </row>
    <row r="245" spans="1:23" ht="43.2" x14ac:dyDescent="0.3">
      <c r="A245" s="60" t="s">
        <v>2</v>
      </c>
      <c r="B245" s="60" t="s">
        <v>3</v>
      </c>
      <c r="C245" s="60" t="s">
        <v>4</v>
      </c>
      <c r="D245" s="41" t="s">
        <v>152</v>
      </c>
      <c r="E245" s="125" t="s">
        <v>5</v>
      </c>
      <c r="F245" s="41" t="s">
        <v>382</v>
      </c>
      <c r="G245" s="42" t="s">
        <v>350</v>
      </c>
    </row>
    <row r="246" spans="1:23" s="58" customFormat="1" ht="16.8" customHeight="1" x14ac:dyDescent="0.3">
      <c r="A246" s="70" t="s">
        <v>21</v>
      </c>
      <c r="B246" s="70" t="s">
        <v>40</v>
      </c>
      <c r="C246" s="52"/>
      <c r="D246" s="87"/>
      <c r="E246" s="126"/>
      <c r="F246" s="79">
        <f>BPU!E246</f>
        <v>0</v>
      </c>
      <c r="G246" s="52"/>
    </row>
    <row r="247" spans="1:23" ht="18.600000000000001" customHeight="1" x14ac:dyDescent="0.3">
      <c r="A247" s="52" t="s">
        <v>41</v>
      </c>
      <c r="B247" s="46" t="s">
        <v>161</v>
      </c>
      <c r="C247" s="52"/>
      <c r="D247" s="87"/>
      <c r="E247" s="126"/>
      <c r="F247" s="79">
        <f>BPU!E247</f>
        <v>0</v>
      </c>
      <c r="G247" s="52"/>
    </row>
    <row r="248" spans="1:23" ht="28.8" customHeight="1" x14ac:dyDescent="0.3">
      <c r="A248" s="150" t="s">
        <v>614</v>
      </c>
      <c r="B248" s="153" t="s">
        <v>1308</v>
      </c>
      <c r="C248" s="51" t="s">
        <v>181</v>
      </c>
      <c r="D248" s="87" t="s">
        <v>292</v>
      </c>
      <c r="E248" s="126">
        <v>0</v>
      </c>
      <c r="F248" s="79">
        <f>BPU!E248</f>
        <v>0</v>
      </c>
      <c r="G248" s="95">
        <f>E248*F248</f>
        <v>0</v>
      </c>
    </row>
    <row r="249" spans="1:23" ht="18.600000000000001" customHeight="1" x14ac:dyDescent="0.3">
      <c r="A249" s="150" t="s">
        <v>615</v>
      </c>
      <c r="B249" s="52" t="s">
        <v>196</v>
      </c>
      <c r="C249" s="51" t="s">
        <v>17</v>
      </c>
      <c r="D249" s="87" t="s">
        <v>292</v>
      </c>
      <c r="E249" s="126">
        <v>0</v>
      </c>
      <c r="F249" s="79">
        <f>BPU!E249</f>
        <v>0</v>
      </c>
      <c r="G249" s="95">
        <f t="shared" ref="G249:G309" si="6">E249*F249</f>
        <v>0</v>
      </c>
    </row>
    <row r="250" spans="1:23" ht="18.600000000000001" customHeight="1" x14ac:dyDescent="0.3">
      <c r="A250" s="150" t="s">
        <v>616</v>
      </c>
      <c r="B250" s="52" t="s">
        <v>210</v>
      </c>
      <c r="C250" s="51" t="s">
        <v>197</v>
      </c>
      <c r="D250" s="87" t="s">
        <v>292</v>
      </c>
      <c r="E250" s="126">
        <v>0</v>
      </c>
      <c r="F250" s="79">
        <f>BPU!E250</f>
        <v>0</v>
      </c>
      <c r="G250" s="95">
        <f t="shared" si="6"/>
        <v>0</v>
      </c>
    </row>
    <row r="251" spans="1:23" ht="18.600000000000001" customHeight="1" x14ac:dyDescent="0.3">
      <c r="A251" s="150" t="s">
        <v>617</v>
      </c>
      <c r="B251" s="52" t="s">
        <v>209</v>
      </c>
      <c r="C251" s="51" t="s">
        <v>197</v>
      </c>
      <c r="D251" s="87" t="s">
        <v>292</v>
      </c>
      <c r="E251" s="126">
        <v>0</v>
      </c>
      <c r="F251" s="79">
        <f>BPU!E251</f>
        <v>0</v>
      </c>
      <c r="G251" s="95">
        <f t="shared" si="6"/>
        <v>0</v>
      </c>
    </row>
    <row r="252" spans="1:23" ht="18.600000000000001" customHeight="1" x14ac:dyDescent="0.3">
      <c r="A252" s="150" t="s">
        <v>618</v>
      </c>
      <c r="B252" s="52" t="s">
        <v>199</v>
      </c>
      <c r="C252" s="51" t="s">
        <v>181</v>
      </c>
      <c r="D252" s="87" t="s">
        <v>292</v>
      </c>
      <c r="E252" s="126">
        <v>0</v>
      </c>
      <c r="F252" s="79">
        <f>BPU!E252</f>
        <v>0</v>
      </c>
      <c r="G252" s="95">
        <f t="shared" si="6"/>
        <v>0</v>
      </c>
    </row>
    <row r="253" spans="1:23" ht="18.600000000000001" customHeight="1" x14ac:dyDescent="0.3">
      <c r="A253" s="150" t="s">
        <v>619</v>
      </c>
      <c r="B253" s="52" t="s">
        <v>293</v>
      </c>
      <c r="C253" s="51" t="s">
        <v>181</v>
      </c>
      <c r="D253" s="87" t="s">
        <v>292</v>
      </c>
      <c r="E253" s="126">
        <v>0</v>
      </c>
      <c r="F253" s="79">
        <f>BPU!E253</f>
        <v>0</v>
      </c>
      <c r="G253" s="95">
        <f t="shared" si="6"/>
        <v>0</v>
      </c>
    </row>
    <row r="254" spans="1:23" ht="28.2" customHeight="1" x14ac:dyDescent="0.3">
      <c r="A254" s="150" t="s">
        <v>620</v>
      </c>
      <c r="B254" s="61" t="s">
        <v>198</v>
      </c>
      <c r="C254" s="51" t="s">
        <v>79</v>
      </c>
      <c r="D254" s="87" t="s">
        <v>158</v>
      </c>
      <c r="E254" s="126">
        <v>0</v>
      </c>
      <c r="F254" s="79">
        <f>BPU!E254</f>
        <v>0</v>
      </c>
      <c r="G254" s="95">
        <f t="shared" si="6"/>
        <v>0</v>
      </c>
    </row>
    <row r="255" spans="1:23" ht="18.600000000000001" customHeight="1" x14ac:dyDescent="0.3">
      <c r="A255" s="52" t="s">
        <v>621</v>
      </c>
      <c r="B255" s="46" t="s">
        <v>208</v>
      </c>
      <c r="C255" s="51"/>
      <c r="D255" s="87"/>
      <c r="E255" s="126"/>
      <c r="F255" s="79">
        <f>BPU!E255</f>
        <v>0</v>
      </c>
      <c r="G255" s="95">
        <f t="shared" si="6"/>
        <v>0</v>
      </c>
    </row>
    <row r="256" spans="1:23" ht="18.600000000000001" customHeight="1" x14ac:dyDescent="0.3">
      <c r="A256" s="150" t="s">
        <v>622</v>
      </c>
      <c r="B256" s="52" t="s">
        <v>211</v>
      </c>
      <c r="C256" s="51" t="s">
        <v>230</v>
      </c>
      <c r="D256" s="87" t="s">
        <v>292</v>
      </c>
      <c r="E256" s="126">
        <f>33.5*0.4*0.6</f>
        <v>8.0399999999999991</v>
      </c>
      <c r="F256" s="79">
        <f>BPU!E256</f>
        <v>0</v>
      </c>
      <c r="G256" s="95">
        <f t="shared" si="6"/>
        <v>0</v>
      </c>
    </row>
    <row r="257" spans="1:7" ht="18.600000000000001" customHeight="1" x14ac:dyDescent="0.3">
      <c r="A257" s="150" t="s">
        <v>623</v>
      </c>
      <c r="B257" s="52" t="s">
        <v>212</v>
      </c>
      <c r="C257" s="51" t="s">
        <v>230</v>
      </c>
      <c r="D257" s="87" t="s">
        <v>292</v>
      </c>
      <c r="E257" s="126">
        <f>10*4.5*0.3</f>
        <v>13.5</v>
      </c>
      <c r="F257" s="79">
        <f>BPU!E257</f>
        <v>0</v>
      </c>
      <c r="G257" s="95">
        <f t="shared" si="6"/>
        <v>0</v>
      </c>
    </row>
    <row r="258" spans="1:7" ht="18.600000000000001" customHeight="1" x14ac:dyDescent="0.3">
      <c r="A258" s="52" t="s">
        <v>624</v>
      </c>
      <c r="B258" s="46" t="s">
        <v>168</v>
      </c>
      <c r="C258" s="52"/>
      <c r="D258" s="87"/>
      <c r="E258" s="126"/>
      <c r="F258" s="79">
        <f>BPU!E258</f>
        <v>0</v>
      </c>
      <c r="G258" s="95">
        <f t="shared" si="6"/>
        <v>0</v>
      </c>
    </row>
    <row r="259" spans="1:7" s="65" customFormat="1" ht="18.600000000000001" customHeight="1" x14ac:dyDescent="0.3">
      <c r="A259" s="150" t="s">
        <v>625</v>
      </c>
      <c r="B259" s="50" t="s">
        <v>213</v>
      </c>
      <c r="C259" s="51" t="s">
        <v>230</v>
      </c>
      <c r="D259" s="88" t="s">
        <v>292</v>
      </c>
      <c r="E259" s="130">
        <f>33.5*0.05*0.4</f>
        <v>0.67</v>
      </c>
      <c r="F259" s="79">
        <f>BPU!E259</f>
        <v>0</v>
      </c>
      <c r="G259" s="95">
        <f t="shared" si="6"/>
        <v>0</v>
      </c>
    </row>
    <row r="260" spans="1:7" s="65" customFormat="1" ht="18.600000000000001" customHeight="1" x14ac:dyDescent="0.3">
      <c r="A260" s="150" t="s">
        <v>626</v>
      </c>
      <c r="B260" s="50" t="s">
        <v>187</v>
      </c>
      <c r="C260" s="51" t="s">
        <v>230</v>
      </c>
      <c r="D260" s="88" t="s">
        <v>292</v>
      </c>
      <c r="E260" s="130">
        <f>33.5*0.4*0.4</f>
        <v>5.36</v>
      </c>
      <c r="F260" s="79">
        <f>BPU!E260</f>
        <v>0</v>
      </c>
      <c r="G260" s="95">
        <f t="shared" si="6"/>
        <v>0</v>
      </c>
    </row>
    <row r="261" spans="1:7" s="65" customFormat="1" ht="18.600000000000001" customHeight="1" x14ac:dyDescent="0.3">
      <c r="A261" s="150" t="s">
        <v>627</v>
      </c>
      <c r="B261" s="50" t="s">
        <v>214</v>
      </c>
      <c r="C261" s="51" t="s">
        <v>230</v>
      </c>
      <c r="D261" s="88" t="s">
        <v>292</v>
      </c>
      <c r="E261" s="130">
        <v>0</v>
      </c>
      <c r="F261" s="79">
        <f>BPU!E261</f>
        <v>0</v>
      </c>
      <c r="G261" s="95">
        <f t="shared" si="6"/>
        <v>0</v>
      </c>
    </row>
    <row r="262" spans="1:7" s="65" customFormat="1" ht="33" customHeight="1" x14ac:dyDescent="0.3">
      <c r="A262" s="150" t="s">
        <v>628</v>
      </c>
      <c r="B262" s="50" t="s">
        <v>215</v>
      </c>
      <c r="C262" s="51" t="s">
        <v>230</v>
      </c>
      <c r="D262" s="88" t="s">
        <v>292</v>
      </c>
      <c r="E262" s="130">
        <f>19.28*0.1</f>
        <v>1.9280000000000002</v>
      </c>
      <c r="F262" s="79">
        <f>BPU!E262</f>
        <v>0</v>
      </c>
      <c r="G262" s="95">
        <f t="shared" si="6"/>
        <v>0</v>
      </c>
    </row>
    <row r="263" spans="1:7" ht="18.600000000000001" customHeight="1" x14ac:dyDescent="0.3">
      <c r="A263" s="52" t="s">
        <v>629</v>
      </c>
      <c r="B263" s="46" t="s">
        <v>169</v>
      </c>
      <c r="C263" s="52"/>
      <c r="D263" s="87"/>
      <c r="E263" s="126"/>
      <c r="F263" s="79">
        <f>BPU!E263</f>
        <v>0</v>
      </c>
      <c r="G263" s="95">
        <f t="shared" si="6"/>
        <v>0</v>
      </c>
    </row>
    <row r="264" spans="1:7" ht="18.600000000000001" customHeight="1" x14ac:dyDescent="0.3">
      <c r="A264" s="150" t="s">
        <v>630</v>
      </c>
      <c r="B264" s="50" t="s">
        <v>216</v>
      </c>
      <c r="C264" s="51" t="s">
        <v>230</v>
      </c>
      <c r="D264" s="87" t="s">
        <v>292</v>
      </c>
      <c r="E264" s="126">
        <f>10*4.5*0.1</f>
        <v>4.5</v>
      </c>
      <c r="F264" s="79">
        <f>BPU!E264</f>
        <v>0</v>
      </c>
      <c r="G264" s="95">
        <f t="shared" si="6"/>
        <v>0</v>
      </c>
    </row>
    <row r="265" spans="1:7" ht="18.600000000000001" customHeight="1" x14ac:dyDescent="0.3">
      <c r="A265" s="150" t="s">
        <v>631</v>
      </c>
      <c r="B265" s="50" t="s">
        <v>217</v>
      </c>
      <c r="C265" s="51" t="s">
        <v>230</v>
      </c>
      <c r="D265" s="87" t="s">
        <v>292</v>
      </c>
      <c r="E265" s="126">
        <f>0.8*0.8*0.2*4</f>
        <v>0.51200000000000012</v>
      </c>
      <c r="F265" s="79">
        <f>BPU!E265</f>
        <v>0</v>
      </c>
      <c r="G265" s="95">
        <f t="shared" si="6"/>
        <v>0</v>
      </c>
    </row>
    <row r="266" spans="1:7" ht="18.600000000000001" customHeight="1" x14ac:dyDescent="0.3">
      <c r="A266" s="150" t="s">
        <v>632</v>
      </c>
      <c r="B266" s="50" t="s">
        <v>218</v>
      </c>
      <c r="C266" s="51" t="s">
        <v>230</v>
      </c>
      <c r="D266" s="87" t="s">
        <v>292</v>
      </c>
      <c r="E266" s="126">
        <f>33.5*0.3*0.2</f>
        <v>2.0099999999999998</v>
      </c>
      <c r="F266" s="79">
        <f>BPU!E266</f>
        <v>0</v>
      </c>
      <c r="G266" s="95">
        <f t="shared" si="6"/>
        <v>0</v>
      </c>
    </row>
    <row r="267" spans="1:7" ht="18.600000000000001" customHeight="1" x14ac:dyDescent="0.3">
      <c r="A267" s="150" t="s">
        <v>633</v>
      </c>
      <c r="B267" s="50" t="s">
        <v>219</v>
      </c>
      <c r="C267" s="51" t="s">
        <v>230</v>
      </c>
      <c r="D267" s="87" t="s">
        <v>292</v>
      </c>
      <c r="E267" s="126">
        <f>+E266</f>
        <v>2.0099999999999998</v>
      </c>
      <c r="F267" s="79">
        <f>BPU!E267</f>
        <v>0</v>
      </c>
      <c r="G267" s="95">
        <f t="shared" si="6"/>
        <v>0</v>
      </c>
    </row>
    <row r="268" spans="1:7" ht="18.600000000000001" customHeight="1" x14ac:dyDescent="0.3">
      <c r="A268" s="150" t="s">
        <v>634</v>
      </c>
      <c r="B268" s="50" t="s">
        <v>220</v>
      </c>
      <c r="C268" s="51" t="s">
        <v>230</v>
      </c>
      <c r="D268" s="87" t="s">
        <v>292</v>
      </c>
      <c r="E268" s="126">
        <v>0</v>
      </c>
      <c r="F268" s="79">
        <f>BPU!E268</f>
        <v>0</v>
      </c>
      <c r="G268" s="95">
        <f t="shared" si="6"/>
        <v>0</v>
      </c>
    </row>
    <row r="269" spans="1:7" ht="18.600000000000001" customHeight="1" x14ac:dyDescent="0.3">
      <c r="A269" s="150" t="s">
        <v>635</v>
      </c>
      <c r="B269" s="50" t="s">
        <v>221</v>
      </c>
      <c r="C269" s="51" t="s">
        <v>230</v>
      </c>
      <c r="D269" s="87" t="s">
        <v>292</v>
      </c>
      <c r="E269" s="126">
        <f>4*4.5*0.3*0.3</f>
        <v>1.6199999999999999</v>
      </c>
      <c r="F269" s="79">
        <f>BPU!E269</f>
        <v>0</v>
      </c>
      <c r="G269" s="95">
        <f t="shared" si="6"/>
        <v>0</v>
      </c>
    </row>
    <row r="270" spans="1:7" ht="18.600000000000001" customHeight="1" x14ac:dyDescent="0.3">
      <c r="A270" s="150" t="s">
        <v>636</v>
      </c>
      <c r="B270" s="50" t="s">
        <v>222</v>
      </c>
      <c r="C270" s="51" t="s">
        <v>230</v>
      </c>
      <c r="D270" s="87" t="s">
        <v>292</v>
      </c>
      <c r="E270" s="126">
        <v>0</v>
      </c>
      <c r="F270" s="79">
        <f>BPU!E270</f>
        <v>0</v>
      </c>
      <c r="G270" s="95">
        <f t="shared" si="6"/>
        <v>0</v>
      </c>
    </row>
    <row r="271" spans="1:7" ht="18.600000000000001" customHeight="1" x14ac:dyDescent="0.3">
      <c r="A271" s="52" t="s">
        <v>637</v>
      </c>
      <c r="B271" s="46" t="s">
        <v>170</v>
      </c>
      <c r="C271" s="52"/>
      <c r="D271" s="87"/>
      <c r="E271" s="126"/>
      <c r="F271" s="79">
        <f>BPU!E271</f>
        <v>0</v>
      </c>
      <c r="G271" s="95">
        <f t="shared" si="6"/>
        <v>0</v>
      </c>
    </row>
    <row r="272" spans="1:7" ht="18.600000000000001" customHeight="1" x14ac:dyDescent="0.3">
      <c r="A272" s="150" t="s">
        <v>638</v>
      </c>
      <c r="B272" s="50" t="s">
        <v>223</v>
      </c>
      <c r="C272" s="51" t="s">
        <v>230</v>
      </c>
      <c r="D272" s="87" t="s">
        <v>292</v>
      </c>
      <c r="E272" s="126">
        <f>10*4.5*0.05</f>
        <v>2.25</v>
      </c>
      <c r="F272" s="79">
        <f>BPU!E272</f>
        <v>0</v>
      </c>
      <c r="G272" s="95">
        <f t="shared" si="6"/>
        <v>0</v>
      </c>
    </row>
    <row r="273" spans="1:7" ht="18.600000000000001" customHeight="1" x14ac:dyDescent="0.3">
      <c r="A273" s="150" t="s">
        <v>639</v>
      </c>
      <c r="B273" s="50" t="s">
        <v>224</v>
      </c>
      <c r="C273" s="51" t="s">
        <v>230</v>
      </c>
      <c r="D273" s="87" t="s">
        <v>292</v>
      </c>
      <c r="E273" s="126">
        <f>10*4.5*0.25</f>
        <v>11.25</v>
      </c>
      <c r="F273" s="79">
        <f>BPU!E273</f>
        <v>0</v>
      </c>
      <c r="G273" s="95">
        <f t="shared" si="6"/>
        <v>0</v>
      </c>
    </row>
    <row r="274" spans="1:7" ht="18.600000000000001" customHeight="1" x14ac:dyDescent="0.3">
      <c r="A274" s="150" t="s">
        <v>640</v>
      </c>
      <c r="B274" s="50" t="s">
        <v>178</v>
      </c>
      <c r="C274" s="51" t="s">
        <v>230</v>
      </c>
      <c r="D274" s="87" t="s">
        <v>292</v>
      </c>
      <c r="E274" s="126">
        <v>0</v>
      </c>
      <c r="F274" s="79">
        <f>BPU!E274</f>
        <v>0</v>
      </c>
      <c r="G274" s="95">
        <f t="shared" si="6"/>
        <v>0</v>
      </c>
    </row>
    <row r="275" spans="1:7" ht="18.600000000000001" customHeight="1" x14ac:dyDescent="0.3">
      <c r="A275" s="52" t="s">
        <v>641</v>
      </c>
      <c r="B275" s="46" t="s">
        <v>171</v>
      </c>
      <c r="C275" s="52"/>
      <c r="D275" s="87"/>
      <c r="E275" s="126"/>
      <c r="F275" s="79">
        <f>BPU!E275</f>
        <v>0</v>
      </c>
      <c r="G275" s="95">
        <f t="shared" si="6"/>
        <v>0</v>
      </c>
    </row>
    <row r="276" spans="1:7" ht="24.6" customHeight="1" x14ac:dyDescent="0.3">
      <c r="A276" s="150" t="s">
        <v>642</v>
      </c>
      <c r="B276" s="50" t="s">
        <v>229</v>
      </c>
      <c r="C276" s="51" t="s">
        <v>181</v>
      </c>
      <c r="D276" s="87" t="s">
        <v>292</v>
      </c>
      <c r="E276" s="126">
        <f>33.5*0.4*0.4</f>
        <v>5.36</v>
      </c>
      <c r="F276" s="79">
        <f>BPU!E276</f>
        <v>0</v>
      </c>
      <c r="G276" s="95">
        <f t="shared" si="6"/>
        <v>0</v>
      </c>
    </row>
    <row r="277" spans="1:7" ht="18.600000000000001" customHeight="1" x14ac:dyDescent="0.3">
      <c r="A277" s="150" t="s">
        <v>643</v>
      </c>
      <c r="B277" s="50" t="s">
        <v>225</v>
      </c>
      <c r="C277" s="51" t="s">
        <v>181</v>
      </c>
      <c r="D277" s="87" t="s">
        <v>292</v>
      </c>
      <c r="E277" s="126">
        <f>33.5*4.5</f>
        <v>150.75</v>
      </c>
      <c r="F277" s="79">
        <f>BPU!E277</f>
        <v>0</v>
      </c>
      <c r="G277" s="95">
        <f t="shared" si="6"/>
        <v>0</v>
      </c>
    </row>
    <row r="278" spans="1:7" ht="18.600000000000001" customHeight="1" x14ac:dyDescent="0.3">
      <c r="A278" s="150" t="s">
        <v>644</v>
      </c>
      <c r="B278" s="50" t="s">
        <v>226</v>
      </c>
      <c r="C278" s="51" t="s">
        <v>181</v>
      </c>
      <c r="D278" s="87" t="s">
        <v>292</v>
      </c>
      <c r="E278" s="126">
        <v>0</v>
      </c>
      <c r="F278" s="79">
        <f>BPU!E278</f>
        <v>0</v>
      </c>
      <c r="G278" s="95">
        <f t="shared" si="6"/>
        <v>0</v>
      </c>
    </row>
    <row r="279" spans="1:7" ht="18.600000000000001" customHeight="1" x14ac:dyDescent="0.3">
      <c r="A279" s="150" t="s">
        <v>645</v>
      </c>
      <c r="B279" s="50" t="s">
        <v>227</v>
      </c>
      <c r="C279" s="51" t="s">
        <v>181</v>
      </c>
      <c r="D279" s="87" t="s">
        <v>292</v>
      </c>
      <c r="E279" s="126">
        <f>5*1.2</f>
        <v>6</v>
      </c>
      <c r="F279" s="79">
        <f>BPU!E279</f>
        <v>0</v>
      </c>
      <c r="G279" s="95">
        <f t="shared" si="6"/>
        <v>0</v>
      </c>
    </row>
    <row r="280" spans="1:7" ht="18.600000000000001" customHeight="1" x14ac:dyDescent="0.3">
      <c r="A280" s="150" t="s">
        <v>646</v>
      </c>
      <c r="B280" s="50" t="s">
        <v>228</v>
      </c>
      <c r="C280" s="51" t="s">
        <v>181</v>
      </c>
      <c r="D280" s="87" t="s">
        <v>292</v>
      </c>
      <c r="E280" s="126">
        <v>0</v>
      </c>
      <c r="F280" s="79">
        <f>BPU!E280</f>
        <v>0</v>
      </c>
      <c r="G280" s="95">
        <f t="shared" si="6"/>
        <v>0</v>
      </c>
    </row>
    <row r="281" spans="1:7" ht="18.600000000000001" customHeight="1" x14ac:dyDescent="0.3">
      <c r="A281" s="52" t="s">
        <v>647</v>
      </c>
      <c r="B281" s="46" t="s">
        <v>172</v>
      </c>
      <c r="C281" s="52"/>
      <c r="D281" s="87"/>
      <c r="E281" s="126"/>
      <c r="F281" s="79">
        <f>BPU!E281</f>
        <v>0</v>
      </c>
      <c r="G281" s="95">
        <f t="shared" si="6"/>
        <v>0</v>
      </c>
    </row>
    <row r="282" spans="1:7" ht="18.600000000000001" customHeight="1" x14ac:dyDescent="0.3">
      <c r="A282" s="150" t="s">
        <v>648</v>
      </c>
      <c r="B282" s="50" t="s">
        <v>231</v>
      </c>
      <c r="C282" s="51" t="s">
        <v>181</v>
      </c>
      <c r="D282" s="87" t="s">
        <v>292</v>
      </c>
      <c r="E282" s="126">
        <v>0</v>
      </c>
      <c r="F282" s="79">
        <f>BPU!E282</f>
        <v>0</v>
      </c>
      <c r="G282" s="95">
        <f t="shared" si="6"/>
        <v>0</v>
      </c>
    </row>
    <row r="283" spans="1:7" ht="18.600000000000001" customHeight="1" x14ac:dyDescent="0.3">
      <c r="A283" s="150" t="s">
        <v>649</v>
      </c>
      <c r="B283" s="50" t="s">
        <v>232</v>
      </c>
      <c r="C283" s="51" t="s">
        <v>181</v>
      </c>
      <c r="D283" s="87" t="s">
        <v>292</v>
      </c>
      <c r="E283" s="126">
        <f>10*4.5</f>
        <v>45</v>
      </c>
      <c r="F283" s="79">
        <f>BPU!E283</f>
        <v>0</v>
      </c>
      <c r="G283" s="95">
        <f t="shared" si="6"/>
        <v>0</v>
      </c>
    </row>
    <row r="284" spans="1:7" ht="28.2" customHeight="1" x14ac:dyDescent="0.3">
      <c r="A284" s="150" t="s">
        <v>650</v>
      </c>
      <c r="B284" s="50" t="s">
        <v>233</v>
      </c>
      <c r="C284" s="51" t="s">
        <v>181</v>
      </c>
      <c r="D284" s="87" t="s">
        <v>292</v>
      </c>
      <c r="E284" s="126">
        <v>19.28</v>
      </c>
      <c r="F284" s="79">
        <f>BPU!E284</f>
        <v>0</v>
      </c>
      <c r="G284" s="95">
        <f t="shared" si="6"/>
        <v>0</v>
      </c>
    </row>
    <row r="285" spans="1:7" ht="18.600000000000001" customHeight="1" x14ac:dyDescent="0.3">
      <c r="A285" s="150" t="s">
        <v>651</v>
      </c>
      <c r="B285" s="50" t="s">
        <v>234</v>
      </c>
      <c r="C285" s="51" t="s">
        <v>181</v>
      </c>
      <c r="D285" s="87" t="s">
        <v>292</v>
      </c>
      <c r="E285" s="126">
        <v>0</v>
      </c>
      <c r="F285" s="79">
        <f>BPU!E285</f>
        <v>0</v>
      </c>
      <c r="G285" s="95">
        <f t="shared" si="6"/>
        <v>0</v>
      </c>
    </row>
    <row r="286" spans="1:7" ht="18.600000000000001" customHeight="1" x14ac:dyDescent="0.3">
      <c r="A286" s="52" t="s">
        <v>652</v>
      </c>
      <c r="B286" s="46" t="s">
        <v>173</v>
      </c>
      <c r="C286" s="52"/>
      <c r="D286" s="87"/>
      <c r="E286" s="126"/>
      <c r="F286" s="79">
        <f>BPU!E286</f>
        <v>0</v>
      </c>
      <c r="G286" s="95">
        <f t="shared" si="6"/>
        <v>0</v>
      </c>
    </row>
    <row r="287" spans="1:7" ht="18.600000000000001" customHeight="1" x14ac:dyDescent="0.3">
      <c r="A287" s="150" t="s">
        <v>653</v>
      </c>
      <c r="B287" s="50" t="s">
        <v>259</v>
      </c>
      <c r="C287" s="51" t="s">
        <v>181</v>
      </c>
      <c r="D287" s="87" t="s">
        <v>292</v>
      </c>
      <c r="E287" s="126">
        <v>0</v>
      </c>
      <c r="F287" s="79">
        <f>BPU!E287</f>
        <v>0</v>
      </c>
      <c r="G287" s="95">
        <f t="shared" si="6"/>
        <v>0</v>
      </c>
    </row>
    <row r="288" spans="1:7" ht="18.600000000000001" customHeight="1" x14ac:dyDescent="0.3">
      <c r="A288" s="150" t="s">
        <v>654</v>
      </c>
      <c r="B288" s="50" t="s">
        <v>235</v>
      </c>
      <c r="C288" s="51" t="s">
        <v>181</v>
      </c>
      <c r="D288" s="87" t="s">
        <v>292</v>
      </c>
      <c r="E288" s="126">
        <f>20*4.5</f>
        <v>90</v>
      </c>
      <c r="F288" s="79">
        <f>BPU!E288</f>
        <v>0</v>
      </c>
      <c r="G288" s="95">
        <f t="shared" si="6"/>
        <v>0</v>
      </c>
    </row>
    <row r="289" spans="1:7" ht="18.600000000000001" customHeight="1" x14ac:dyDescent="0.3">
      <c r="A289" s="150" t="s">
        <v>655</v>
      </c>
      <c r="B289" s="50" t="s">
        <v>236</v>
      </c>
      <c r="C289" s="51" t="s">
        <v>181</v>
      </c>
      <c r="D289" s="87" t="s">
        <v>292</v>
      </c>
      <c r="E289" s="126">
        <f>47*3.2</f>
        <v>150.4</v>
      </c>
      <c r="F289" s="79">
        <f>BPU!E289</f>
        <v>0</v>
      </c>
      <c r="G289" s="95">
        <f t="shared" si="6"/>
        <v>0</v>
      </c>
    </row>
    <row r="290" spans="1:7" ht="18.600000000000001" customHeight="1" x14ac:dyDescent="0.3">
      <c r="A290" s="150" t="s">
        <v>656</v>
      </c>
      <c r="B290" s="50" t="s">
        <v>237</v>
      </c>
      <c r="C290" s="51" t="s">
        <v>181</v>
      </c>
      <c r="D290" s="87" t="s">
        <v>292</v>
      </c>
      <c r="E290" s="126">
        <v>0</v>
      </c>
      <c r="F290" s="79">
        <f>BPU!E290</f>
        <v>0</v>
      </c>
      <c r="G290" s="95">
        <f t="shared" si="6"/>
        <v>0</v>
      </c>
    </row>
    <row r="291" spans="1:7" ht="18.600000000000001" customHeight="1" x14ac:dyDescent="0.3">
      <c r="A291" s="150" t="s">
        <v>657</v>
      </c>
      <c r="B291" s="50" t="s">
        <v>238</v>
      </c>
      <c r="C291" s="51" t="s">
        <v>181</v>
      </c>
      <c r="D291" s="87" t="s">
        <v>292</v>
      </c>
      <c r="E291" s="126">
        <v>0</v>
      </c>
      <c r="F291" s="79">
        <f>BPU!E291</f>
        <v>0</v>
      </c>
      <c r="G291" s="95">
        <f t="shared" si="6"/>
        <v>0</v>
      </c>
    </row>
    <row r="292" spans="1:7" ht="18.600000000000001" customHeight="1" x14ac:dyDescent="0.3">
      <c r="A292" s="150" t="s">
        <v>658</v>
      </c>
      <c r="B292" s="50" t="s">
        <v>179</v>
      </c>
      <c r="C292" s="51" t="s">
        <v>181</v>
      </c>
      <c r="D292" s="87" t="s">
        <v>292</v>
      </c>
      <c r="E292" s="126">
        <v>90</v>
      </c>
      <c r="F292" s="79">
        <f>BPU!E292</f>
        <v>0</v>
      </c>
      <c r="G292" s="95">
        <f t="shared" si="6"/>
        <v>0</v>
      </c>
    </row>
    <row r="293" spans="1:7" ht="18.600000000000001" customHeight="1" x14ac:dyDescent="0.3">
      <c r="A293" s="150" t="s">
        <v>659</v>
      </c>
      <c r="B293" s="50" t="s">
        <v>239</v>
      </c>
      <c r="C293" s="51" t="s">
        <v>181</v>
      </c>
      <c r="D293" s="87" t="s">
        <v>292</v>
      </c>
      <c r="E293" s="126">
        <v>0</v>
      </c>
      <c r="F293" s="79">
        <f>BPU!E293</f>
        <v>0</v>
      </c>
      <c r="G293" s="95">
        <f t="shared" si="6"/>
        <v>0</v>
      </c>
    </row>
    <row r="294" spans="1:7" ht="18.600000000000001" customHeight="1" x14ac:dyDescent="0.3">
      <c r="A294" s="52" t="s">
        <v>660</v>
      </c>
      <c r="B294" s="46" t="s">
        <v>174</v>
      </c>
      <c r="C294" s="52"/>
      <c r="D294" s="87"/>
      <c r="E294" s="126"/>
      <c r="F294" s="79">
        <f>BPU!E294</f>
        <v>0</v>
      </c>
      <c r="G294" s="95">
        <f t="shared" si="6"/>
        <v>0</v>
      </c>
    </row>
    <row r="295" spans="1:7" ht="18.600000000000001" customHeight="1" x14ac:dyDescent="0.3">
      <c r="A295" s="150" t="s">
        <v>661</v>
      </c>
      <c r="B295" s="50" t="s">
        <v>240</v>
      </c>
      <c r="C295" s="51" t="s">
        <v>181</v>
      </c>
      <c r="D295" s="87" t="s">
        <v>292</v>
      </c>
      <c r="E295" s="126">
        <f>1.5*1.2</f>
        <v>1.7999999999999998</v>
      </c>
      <c r="F295" s="79">
        <f>BPU!E295</f>
        <v>0</v>
      </c>
      <c r="G295" s="95">
        <f t="shared" si="6"/>
        <v>0</v>
      </c>
    </row>
    <row r="296" spans="1:7" ht="18.600000000000001" customHeight="1" x14ac:dyDescent="0.3">
      <c r="A296" s="150" t="s">
        <v>662</v>
      </c>
      <c r="B296" s="50" t="s">
        <v>241</v>
      </c>
      <c r="C296" s="51" t="s">
        <v>181</v>
      </c>
      <c r="D296" s="87" t="s">
        <v>292</v>
      </c>
      <c r="E296" s="126">
        <v>0</v>
      </c>
      <c r="F296" s="79">
        <f>BPU!E296</f>
        <v>0</v>
      </c>
      <c r="G296" s="95">
        <f t="shared" si="6"/>
        <v>0</v>
      </c>
    </row>
    <row r="297" spans="1:7" ht="18.600000000000001" customHeight="1" x14ac:dyDescent="0.3">
      <c r="A297" s="150" t="s">
        <v>663</v>
      </c>
      <c r="B297" s="50" t="s">
        <v>242</v>
      </c>
      <c r="C297" s="51" t="s">
        <v>181</v>
      </c>
      <c r="D297" s="87" t="s">
        <v>292</v>
      </c>
      <c r="E297" s="126">
        <v>0</v>
      </c>
      <c r="F297" s="79">
        <f>BPU!E297</f>
        <v>0</v>
      </c>
      <c r="G297" s="95">
        <f t="shared" si="6"/>
        <v>0</v>
      </c>
    </row>
    <row r="298" spans="1:7" ht="18.600000000000001" customHeight="1" x14ac:dyDescent="0.3">
      <c r="A298" s="150" t="s">
        <v>664</v>
      </c>
      <c r="B298" s="50" t="s">
        <v>243</v>
      </c>
      <c r="C298" s="51" t="s">
        <v>181</v>
      </c>
      <c r="D298" s="87" t="s">
        <v>292</v>
      </c>
      <c r="E298" s="126">
        <v>0</v>
      </c>
      <c r="F298" s="79">
        <f>BPU!E298</f>
        <v>0</v>
      </c>
      <c r="G298" s="95">
        <f t="shared" si="6"/>
        <v>0</v>
      </c>
    </row>
    <row r="299" spans="1:7" ht="18.600000000000001" customHeight="1" x14ac:dyDescent="0.3">
      <c r="A299" s="150" t="s">
        <v>665</v>
      </c>
      <c r="B299" s="50" t="s">
        <v>244</v>
      </c>
      <c r="C299" s="51" t="s">
        <v>181</v>
      </c>
      <c r="D299" s="87" t="s">
        <v>292</v>
      </c>
      <c r="E299" s="126">
        <v>0</v>
      </c>
      <c r="F299" s="79">
        <f>BPU!E299</f>
        <v>0</v>
      </c>
      <c r="G299" s="95">
        <f t="shared" si="6"/>
        <v>0</v>
      </c>
    </row>
    <row r="300" spans="1:7" ht="18.600000000000001" customHeight="1" x14ac:dyDescent="0.3">
      <c r="A300" s="150" t="s">
        <v>666</v>
      </c>
      <c r="B300" s="50" t="s">
        <v>245</v>
      </c>
      <c r="C300" s="51" t="s">
        <v>181</v>
      </c>
      <c r="D300" s="87" t="s">
        <v>292</v>
      </c>
      <c r="E300" s="126">
        <f>5*0.9*2.1</f>
        <v>9.4500000000000011</v>
      </c>
      <c r="F300" s="79">
        <f>BPU!E300</f>
        <v>0</v>
      </c>
      <c r="G300" s="95">
        <f t="shared" si="6"/>
        <v>0</v>
      </c>
    </row>
    <row r="301" spans="1:7" ht="18.600000000000001" customHeight="1" x14ac:dyDescent="0.3">
      <c r="A301" s="150" t="s">
        <v>667</v>
      </c>
      <c r="B301" s="50" t="s">
        <v>246</v>
      </c>
      <c r="C301" s="51" t="s">
        <v>181</v>
      </c>
      <c r="D301" s="87" t="s">
        <v>292</v>
      </c>
      <c r="E301" s="126">
        <v>0</v>
      </c>
      <c r="F301" s="79">
        <f>BPU!E301</f>
        <v>0</v>
      </c>
      <c r="G301" s="95">
        <f t="shared" si="6"/>
        <v>0</v>
      </c>
    </row>
    <row r="302" spans="1:7" ht="18.600000000000001" customHeight="1" x14ac:dyDescent="0.3">
      <c r="A302" s="150" t="s">
        <v>668</v>
      </c>
      <c r="B302" s="50" t="s">
        <v>247</v>
      </c>
      <c r="C302" s="51" t="s">
        <v>181</v>
      </c>
      <c r="D302" s="87" t="s">
        <v>292</v>
      </c>
      <c r="E302" s="126">
        <v>0</v>
      </c>
      <c r="F302" s="79">
        <f>BPU!E302</f>
        <v>0</v>
      </c>
      <c r="G302" s="95">
        <f t="shared" si="6"/>
        <v>0</v>
      </c>
    </row>
    <row r="303" spans="1:7" ht="18.600000000000001" customHeight="1" x14ac:dyDescent="0.3">
      <c r="A303" s="150" t="s">
        <v>669</v>
      </c>
      <c r="B303" s="50" t="s">
        <v>194</v>
      </c>
      <c r="C303" s="51" t="s">
        <v>181</v>
      </c>
      <c r="D303" s="87" t="s">
        <v>292</v>
      </c>
      <c r="E303" s="126">
        <v>0</v>
      </c>
      <c r="F303" s="79">
        <f>BPU!E303</f>
        <v>0</v>
      </c>
      <c r="G303" s="95">
        <f t="shared" si="6"/>
        <v>0</v>
      </c>
    </row>
    <row r="304" spans="1:7" ht="18.600000000000001" customHeight="1" x14ac:dyDescent="0.3">
      <c r="A304" s="52" t="s">
        <v>670</v>
      </c>
      <c r="B304" s="46" t="s">
        <v>175</v>
      </c>
      <c r="C304" s="52"/>
      <c r="D304" s="87"/>
      <c r="E304" s="126"/>
      <c r="F304" s="79">
        <f>BPU!E304</f>
        <v>0</v>
      </c>
      <c r="G304" s="95">
        <f t="shared" si="6"/>
        <v>0</v>
      </c>
    </row>
    <row r="305" spans="1:7" ht="18.600000000000001" customHeight="1" x14ac:dyDescent="0.3">
      <c r="A305" s="150" t="s">
        <v>671</v>
      </c>
      <c r="B305" s="50" t="s">
        <v>180</v>
      </c>
      <c r="C305" s="51" t="s">
        <v>181</v>
      </c>
      <c r="D305" s="87" t="s">
        <v>292</v>
      </c>
      <c r="E305" s="126">
        <f>14.8+45</f>
        <v>59.8</v>
      </c>
      <c r="F305" s="79">
        <f>BPU!E305</f>
        <v>0</v>
      </c>
      <c r="G305" s="95">
        <f t="shared" si="6"/>
        <v>0</v>
      </c>
    </row>
    <row r="306" spans="1:7" ht="18.600000000000001" customHeight="1" x14ac:dyDescent="0.3">
      <c r="A306" s="52" t="s">
        <v>672</v>
      </c>
      <c r="B306" s="46" t="s">
        <v>176</v>
      </c>
      <c r="C306" s="52"/>
      <c r="D306" s="87"/>
      <c r="E306" s="126"/>
      <c r="F306" s="79">
        <f>BPU!E306</f>
        <v>0</v>
      </c>
      <c r="G306" s="95">
        <f t="shared" si="6"/>
        <v>0</v>
      </c>
    </row>
    <row r="307" spans="1:7" ht="18.600000000000001" customHeight="1" x14ac:dyDescent="0.3">
      <c r="A307" s="150" t="s">
        <v>673</v>
      </c>
      <c r="B307" s="50" t="s">
        <v>257</v>
      </c>
      <c r="C307" s="51" t="s">
        <v>181</v>
      </c>
      <c r="D307" s="87" t="s">
        <v>292</v>
      </c>
      <c r="E307" s="126">
        <v>0</v>
      </c>
      <c r="F307" s="79">
        <f>BPU!E307</f>
        <v>0</v>
      </c>
      <c r="G307" s="95">
        <f t="shared" si="6"/>
        <v>0</v>
      </c>
    </row>
    <row r="308" spans="1:7" ht="18.600000000000001" customHeight="1" x14ac:dyDescent="0.3">
      <c r="A308" s="150" t="s">
        <v>674</v>
      </c>
      <c r="B308" s="50" t="s">
        <v>253</v>
      </c>
      <c r="C308" s="51" t="s">
        <v>17</v>
      </c>
      <c r="D308" s="87" t="s">
        <v>292</v>
      </c>
      <c r="E308" s="126">
        <v>0</v>
      </c>
      <c r="F308" s="79">
        <f>BPU!E308</f>
        <v>0</v>
      </c>
      <c r="G308" s="95">
        <f t="shared" si="6"/>
        <v>0</v>
      </c>
    </row>
    <row r="309" spans="1:7" ht="18.600000000000001" customHeight="1" x14ac:dyDescent="0.3">
      <c r="A309" s="150" t="s">
        <v>675</v>
      </c>
      <c r="B309" s="50" t="s">
        <v>252</v>
      </c>
      <c r="C309" s="51" t="s">
        <v>17</v>
      </c>
      <c r="D309" s="87" t="s">
        <v>292</v>
      </c>
      <c r="E309" s="126">
        <v>26</v>
      </c>
      <c r="F309" s="79">
        <f>BPU!E309</f>
        <v>0</v>
      </c>
      <c r="G309" s="95">
        <f t="shared" si="6"/>
        <v>0</v>
      </c>
    </row>
    <row r="310" spans="1:7" ht="18.600000000000001" customHeight="1" x14ac:dyDescent="0.3">
      <c r="A310" s="150" t="s">
        <v>676</v>
      </c>
      <c r="B310" s="50" t="s">
        <v>254</v>
      </c>
      <c r="C310" s="51" t="s">
        <v>17</v>
      </c>
      <c r="D310" s="87" t="s">
        <v>292</v>
      </c>
      <c r="E310" s="126">
        <f>10*3</f>
        <v>30</v>
      </c>
      <c r="F310" s="79">
        <f>BPU!E310</f>
        <v>0</v>
      </c>
      <c r="G310" s="95">
        <f t="shared" ref="G310:G374" si="7">E310*F310</f>
        <v>0</v>
      </c>
    </row>
    <row r="311" spans="1:7" ht="18.600000000000001" customHeight="1" x14ac:dyDescent="0.3">
      <c r="A311" s="150" t="s">
        <v>677</v>
      </c>
      <c r="B311" s="50" t="s">
        <v>255</v>
      </c>
      <c r="C311" s="51" t="s">
        <v>17</v>
      </c>
      <c r="D311" s="87" t="s">
        <v>292</v>
      </c>
      <c r="E311" s="126">
        <v>37.5</v>
      </c>
      <c r="F311" s="79">
        <f>BPU!E311</f>
        <v>0</v>
      </c>
      <c r="G311" s="95">
        <f t="shared" si="7"/>
        <v>0</v>
      </c>
    </row>
    <row r="312" spans="1:7" ht="28.8" customHeight="1" x14ac:dyDescent="0.3">
      <c r="A312" s="150" t="s">
        <v>678</v>
      </c>
      <c r="B312" s="50" t="s">
        <v>251</v>
      </c>
      <c r="C312" s="51" t="s">
        <v>17</v>
      </c>
      <c r="D312" s="87" t="s">
        <v>292</v>
      </c>
      <c r="E312" s="126">
        <v>8</v>
      </c>
      <c r="F312" s="79">
        <f>BPU!E312</f>
        <v>0</v>
      </c>
      <c r="G312" s="95">
        <f t="shared" si="7"/>
        <v>0</v>
      </c>
    </row>
    <row r="313" spans="1:7" x14ac:dyDescent="0.3">
      <c r="A313" s="150" t="s">
        <v>679</v>
      </c>
      <c r="B313" s="50" t="s">
        <v>256</v>
      </c>
      <c r="C313" s="51" t="s">
        <v>181</v>
      </c>
      <c r="D313" s="87" t="s">
        <v>292</v>
      </c>
      <c r="E313" s="126">
        <f>+(19.28+20)*1.25</f>
        <v>49.1</v>
      </c>
      <c r="F313" s="79">
        <f>BPU!E313</f>
        <v>0</v>
      </c>
      <c r="G313" s="95">
        <f t="shared" si="7"/>
        <v>0</v>
      </c>
    </row>
    <row r="314" spans="1:7" x14ac:dyDescent="0.3">
      <c r="A314" s="150" t="s">
        <v>680</v>
      </c>
      <c r="B314" s="50" t="s">
        <v>258</v>
      </c>
      <c r="C314" s="51" t="s">
        <v>17</v>
      </c>
      <c r="D314" s="87" t="s">
        <v>292</v>
      </c>
      <c r="E314" s="126">
        <v>0</v>
      </c>
      <c r="F314" s="79">
        <f>BPU!E314</f>
        <v>0</v>
      </c>
      <c r="G314" s="95">
        <f t="shared" si="7"/>
        <v>0</v>
      </c>
    </row>
    <row r="315" spans="1:7" ht="18.600000000000001" customHeight="1" x14ac:dyDescent="0.3">
      <c r="A315" s="150" t="s">
        <v>681</v>
      </c>
      <c r="B315" s="50" t="s">
        <v>193</v>
      </c>
      <c r="C315" s="51" t="s">
        <v>181</v>
      </c>
      <c r="D315" s="87" t="s">
        <v>292</v>
      </c>
      <c r="E315" s="126">
        <v>0</v>
      </c>
      <c r="F315" s="79">
        <f>BPU!E315</f>
        <v>0</v>
      </c>
      <c r="G315" s="95">
        <f t="shared" si="7"/>
        <v>0</v>
      </c>
    </row>
    <row r="316" spans="1:7" x14ac:dyDescent="0.3">
      <c r="A316" s="150" t="s">
        <v>682</v>
      </c>
      <c r="B316" s="50" t="s">
        <v>192</v>
      </c>
      <c r="C316" s="51" t="s">
        <v>181</v>
      </c>
      <c r="D316" s="87" t="s">
        <v>292</v>
      </c>
      <c r="E316" s="126">
        <v>0</v>
      </c>
      <c r="F316" s="79">
        <f>BPU!E316</f>
        <v>0</v>
      </c>
      <c r="G316" s="95">
        <f t="shared" si="7"/>
        <v>0</v>
      </c>
    </row>
    <row r="317" spans="1:7" ht="28.8" x14ac:dyDescent="0.3">
      <c r="A317" s="150" t="s">
        <v>683</v>
      </c>
      <c r="B317" s="50" t="s">
        <v>260</v>
      </c>
      <c r="C317" s="51" t="s">
        <v>181</v>
      </c>
      <c r="D317" s="87" t="s">
        <v>292</v>
      </c>
      <c r="E317" s="126">
        <v>0</v>
      </c>
      <c r="F317" s="79">
        <f>BPU!E317</f>
        <v>0</v>
      </c>
      <c r="G317" s="95">
        <f t="shared" si="7"/>
        <v>0</v>
      </c>
    </row>
    <row r="318" spans="1:7" ht="18.600000000000001" customHeight="1" x14ac:dyDescent="0.3">
      <c r="A318" s="52" t="s">
        <v>684</v>
      </c>
      <c r="B318" s="46" t="s">
        <v>177</v>
      </c>
      <c r="C318" s="52"/>
      <c r="D318" s="87"/>
      <c r="E318" s="126"/>
      <c r="F318" s="79">
        <f>BPU!E318</f>
        <v>0</v>
      </c>
      <c r="G318" s="95">
        <f t="shared" si="7"/>
        <v>0</v>
      </c>
    </row>
    <row r="319" spans="1:7" x14ac:dyDescent="0.3">
      <c r="A319" s="150" t="s">
        <v>685</v>
      </c>
      <c r="B319" s="50" t="s">
        <v>182</v>
      </c>
      <c r="C319" s="51" t="s">
        <v>181</v>
      </c>
      <c r="D319" s="87" t="s">
        <v>292</v>
      </c>
      <c r="E319" s="126">
        <v>150.4</v>
      </c>
      <c r="F319" s="79">
        <f>BPU!E319</f>
        <v>0</v>
      </c>
      <c r="G319" s="95">
        <f t="shared" si="7"/>
        <v>0</v>
      </c>
    </row>
    <row r="320" spans="1:7" x14ac:dyDescent="0.3">
      <c r="A320" s="150" t="s">
        <v>686</v>
      </c>
      <c r="B320" s="50" t="s">
        <v>403</v>
      </c>
      <c r="C320" s="51" t="s">
        <v>181</v>
      </c>
      <c r="D320" s="87" t="s">
        <v>292</v>
      </c>
      <c r="E320" s="126">
        <v>150.4</v>
      </c>
      <c r="F320" s="79">
        <f>BPU!E320</f>
        <v>0</v>
      </c>
      <c r="G320" s="95">
        <f t="shared" si="7"/>
        <v>0</v>
      </c>
    </row>
    <row r="321" spans="1:23" x14ac:dyDescent="0.3">
      <c r="A321" s="150" t="s">
        <v>687</v>
      </c>
      <c r="B321" s="50" t="s">
        <v>183</v>
      </c>
      <c r="C321" s="51" t="s">
        <v>181</v>
      </c>
      <c r="D321" s="87" t="s">
        <v>292</v>
      </c>
      <c r="E321" s="126">
        <f>10*4.5</f>
        <v>45</v>
      </c>
      <c r="F321" s="79">
        <f>BPU!E321</f>
        <v>0</v>
      </c>
      <c r="G321" s="95">
        <f t="shared" si="7"/>
        <v>0</v>
      </c>
    </row>
    <row r="322" spans="1:23" x14ac:dyDescent="0.3">
      <c r="A322" s="150" t="s">
        <v>688</v>
      </c>
      <c r="B322" s="50" t="s">
        <v>184</v>
      </c>
      <c r="C322" s="51" t="s">
        <v>181</v>
      </c>
      <c r="D322" s="87" t="s">
        <v>292</v>
      </c>
      <c r="E322" s="126">
        <f>9.45*2</f>
        <v>18.899999999999999</v>
      </c>
      <c r="F322" s="79">
        <f>BPU!E322</f>
        <v>0</v>
      </c>
      <c r="G322" s="95">
        <f t="shared" si="7"/>
        <v>0</v>
      </c>
    </row>
    <row r="323" spans="1:23" ht="15" thickBot="1" x14ac:dyDescent="0.35">
      <c r="A323" s="150" t="s">
        <v>689</v>
      </c>
      <c r="B323" s="50" t="s">
        <v>185</v>
      </c>
      <c r="C323" s="51" t="s">
        <v>181</v>
      </c>
      <c r="D323" s="87" t="s">
        <v>292</v>
      </c>
      <c r="E323" s="126">
        <v>0</v>
      </c>
      <c r="F323" s="79">
        <f>BPU!E323</f>
        <v>0</v>
      </c>
      <c r="G323" s="95">
        <f t="shared" si="7"/>
        <v>0</v>
      </c>
    </row>
    <row r="324" spans="1:23" s="98" customFormat="1" ht="15" thickBot="1" x14ac:dyDescent="0.35">
      <c r="A324" s="52"/>
      <c r="B324" s="96" t="s">
        <v>390</v>
      </c>
      <c r="C324" s="97"/>
      <c r="D324" s="97"/>
      <c r="E324" s="128"/>
      <c r="F324" s="145">
        <f>BPU!E324</f>
        <v>0</v>
      </c>
      <c r="G324" s="146">
        <f>SUM(G248:G323)</f>
        <v>0</v>
      </c>
      <c r="J324" s="99"/>
      <c r="K324" s="75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100"/>
      <c r="W324" s="100"/>
    </row>
    <row r="325" spans="1:23" s="58" customFormat="1" ht="16.8" customHeight="1" x14ac:dyDescent="0.3">
      <c r="A325" s="70" t="s">
        <v>22</v>
      </c>
      <c r="B325" s="70" t="s">
        <v>44</v>
      </c>
      <c r="C325" s="52"/>
      <c r="D325" s="87"/>
      <c r="E325" s="126"/>
      <c r="F325" s="79">
        <f>BPU!E325</f>
        <v>0</v>
      </c>
      <c r="G325" s="95">
        <f t="shared" si="7"/>
        <v>0</v>
      </c>
    </row>
    <row r="326" spans="1:23" ht="18.600000000000001" customHeight="1" x14ac:dyDescent="0.3">
      <c r="A326" s="52" t="s">
        <v>45</v>
      </c>
      <c r="B326" s="46" t="s">
        <v>161</v>
      </c>
      <c r="C326" s="52"/>
      <c r="D326" s="87"/>
      <c r="E326" s="126"/>
      <c r="F326" s="79">
        <f>BPU!E326</f>
        <v>0</v>
      </c>
      <c r="G326" s="95">
        <f t="shared" si="7"/>
        <v>0</v>
      </c>
    </row>
    <row r="327" spans="1:23" ht="28.8" customHeight="1" x14ac:dyDescent="0.3">
      <c r="A327" s="151" t="s">
        <v>690</v>
      </c>
      <c r="B327" s="153" t="s">
        <v>1308</v>
      </c>
      <c r="C327" s="51" t="s">
        <v>181</v>
      </c>
      <c r="D327" s="87" t="s">
        <v>292</v>
      </c>
      <c r="E327" s="126">
        <v>0</v>
      </c>
      <c r="F327" s="79">
        <f>BPU!E327</f>
        <v>0</v>
      </c>
      <c r="G327" s="95">
        <f t="shared" si="7"/>
        <v>0</v>
      </c>
    </row>
    <row r="328" spans="1:23" ht="18.600000000000001" customHeight="1" x14ac:dyDescent="0.3">
      <c r="A328" s="151" t="s">
        <v>691</v>
      </c>
      <c r="B328" s="52" t="s">
        <v>196</v>
      </c>
      <c r="C328" s="51" t="s">
        <v>17</v>
      </c>
      <c r="D328" s="87" t="s">
        <v>292</v>
      </c>
      <c r="E328" s="126">
        <v>0</v>
      </c>
      <c r="F328" s="79">
        <f>BPU!E328</f>
        <v>0</v>
      </c>
      <c r="G328" s="95">
        <f t="shared" si="7"/>
        <v>0</v>
      </c>
    </row>
    <row r="329" spans="1:23" ht="18.600000000000001" customHeight="1" x14ac:dyDescent="0.3">
      <c r="A329" s="151" t="s">
        <v>692</v>
      </c>
      <c r="B329" s="52" t="s">
        <v>210</v>
      </c>
      <c r="C329" s="51" t="s">
        <v>197</v>
      </c>
      <c r="D329" s="87" t="s">
        <v>292</v>
      </c>
      <c r="E329" s="126">
        <v>0</v>
      </c>
      <c r="F329" s="79">
        <f>BPU!E329</f>
        <v>0</v>
      </c>
      <c r="G329" s="95">
        <f t="shared" si="7"/>
        <v>0</v>
      </c>
    </row>
    <row r="330" spans="1:23" ht="18.600000000000001" customHeight="1" x14ac:dyDescent="0.3">
      <c r="A330" s="151" t="s">
        <v>693</v>
      </c>
      <c r="B330" s="52" t="s">
        <v>209</v>
      </c>
      <c r="C330" s="51" t="s">
        <v>197</v>
      </c>
      <c r="D330" s="87" t="s">
        <v>292</v>
      </c>
      <c r="E330" s="126">
        <v>0</v>
      </c>
      <c r="F330" s="79">
        <f>BPU!E330</f>
        <v>0</v>
      </c>
      <c r="G330" s="95">
        <f t="shared" si="7"/>
        <v>0</v>
      </c>
    </row>
    <row r="331" spans="1:23" ht="18.600000000000001" customHeight="1" x14ac:dyDescent="0.3">
      <c r="A331" s="151" t="s">
        <v>694</v>
      </c>
      <c r="B331" s="52" t="s">
        <v>199</v>
      </c>
      <c r="C331" s="51" t="s">
        <v>181</v>
      </c>
      <c r="D331" s="87" t="s">
        <v>292</v>
      </c>
      <c r="E331" s="126">
        <v>0</v>
      </c>
      <c r="F331" s="79">
        <f>BPU!E331</f>
        <v>0</v>
      </c>
      <c r="G331" s="95">
        <f t="shared" si="7"/>
        <v>0</v>
      </c>
    </row>
    <row r="332" spans="1:23" ht="18.600000000000001" customHeight="1" x14ac:dyDescent="0.3">
      <c r="A332" s="151" t="s">
        <v>695</v>
      </c>
      <c r="B332" s="52" t="s">
        <v>293</v>
      </c>
      <c r="C332" s="51" t="s">
        <v>181</v>
      </c>
      <c r="D332" s="87" t="s">
        <v>292</v>
      </c>
      <c r="E332" s="126">
        <v>0</v>
      </c>
      <c r="F332" s="79">
        <f>BPU!E332</f>
        <v>0</v>
      </c>
      <c r="G332" s="95">
        <f t="shared" si="7"/>
        <v>0</v>
      </c>
    </row>
    <row r="333" spans="1:23" ht="28.2" customHeight="1" x14ac:dyDescent="0.3">
      <c r="A333" s="151" t="s">
        <v>696</v>
      </c>
      <c r="B333" s="61" t="s">
        <v>198</v>
      </c>
      <c r="C333" s="51" t="s">
        <v>79</v>
      </c>
      <c r="D333" s="87" t="s">
        <v>158</v>
      </c>
      <c r="E333" s="126">
        <v>0</v>
      </c>
      <c r="F333" s="79">
        <f>BPU!E333</f>
        <v>0</v>
      </c>
      <c r="G333" s="95">
        <f t="shared" si="7"/>
        <v>0</v>
      </c>
    </row>
    <row r="334" spans="1:23" ht="18.600000000000001" customHeight="1" x14ac:dyDescent="0.3">
      <c r="A334" s="52" t="s">
        <v>139</v>
      </c>
      <c r="B334" s="46" t="s">
        <v>208</v>
      </c>
      <c r="C334" s="51"/>
      <c r="D334" s="87"/>
      <c r="E334" s="126"/>
      <c r="F334" s="79">
        <f>BPU!E334</f>
        <v>0</v>
      </c>
      <c r="G334" s="95">
        <f t="shared" si="7"/>
        <v>0</v>
      </c>
    </row>
    <row r="335" spans="1:23" x14ac:dyDescent="0.3">
      <c r="A335" s="150" t="s">
        <v>697</v>
      </c>
      <c r="B335" s="52" t="s">
        <v>211</v>
      </c>
      <c r="C335" s="51" t="s">
        <v>230</v>
      </c>
      <c r="D335" s="87" t="s">
        <v>292</v>
      </c>
      <c r="E335" s="126">
        <f>5*4*0.4*0.6</f>
        <v>4.8</v>
      </c>
      <c r="F335" s="79">
        <f>BPU!E335</f>
        <v>0</v>
      </c>
      <c r="G335" s="95">
        <f t="shared" si="7"/>
        <v>0</v>
      </c>
    </row>
    <row r="336" spans="1:23" x14ac:dyDescent="0.3">
      <c r="A336" s="150" t="s">
        <v>698</v>
      </c>
      <c r="B336" s="52" t="s">
        <v>212</v>
      </c>
      <c r="C336" s="51" t="s">
        <v>230</v>
      </c>
      <c r="D336" s="87" t="s">
        <v>292</v>
      </c>
      <c r="E336" s="126">
        <f>4.7*5*0.3</f>
        <v>7.05</v>
      </c>
      <c r="F336" s="79">
        <f>BPU!E336</f>
        <v>0</v>
      </c>
      <c r="G336" s="95">
        <f t="shared" si="7"/>
        <v>0</v>
      </c>
    </row>
    <row r="337" spans="1:7" ht="18.600000000000001" customHeight="1" x14ac:dyDescent="0.3">
      <c r="A337" s="52" t="s">
        <v>699</v>
      </c>
      <c r="B337" s="46" t="s">
        <v>168</v>
      </c>
      <c r="C337" s="52"/>
      <c r="D337" s="87"/>
      <c r="E337" s="126"/>
      <c r="F337" s="79">
        <f>BPU!E337</f>
        <v>0</v>
      </c>
      <c r="G337" s="95">
        <f t="shared" si="7"/>
        <v>0</v>
      </c>
    </row>
    <row r="338" spans="1:7" s="65" customFormat="1" x14ac:dyDescent="0.3">
      <c r="A338" s="150" t="s">
        <v>700</v>
      </c>
      <c r="B338" s="50" t="s">
        <v>213</v>
      </c>
      <c r="C338" s="51" t="s">
        <v>230</v>
      </c>
      <c r="D338" s="88" t="s">
        <v>292</v>
      </c>
      <c r="E338" s="130">
        <f>20*0.05</f>
        <v>1</v>
      </c>
      <c r="F338" s="79">
        <f>BPU!E338</f>
        <v>0</v>
      </c>
      <c r="G338" s="95">
        <f t="shared" si="7"/>
        <v>0</v>
      </c>
    </row>
    <row r="339" spans="1:7" s="65" customFormat="1" x14ac:dyDescent="0.3">
      <c r="A339" s="150" t="s">
        <v>701</v>
      </c>
      <c r="B339" s="50" t="s">
        <v>187</v>
      </c>
      <c r="C339" s="51" t="s">
        <v>230</v>
      </c>
      <c r="D339" s="88" t="s">
        <v>292</v>
      </c>
      <c r="E339" s="130">
        <f>20*0.4*0.6</f>
        <v>4.8</v>
      </c>
      <c r="F339" s="79">
        <f>BPU!E339</f>
        <v>0</v>
      </c>
      <c r="G339" s="95">
        <f t="shared" si="7"/>
        <v>0</v>
      </c>
    </row>
    <row r="340" spans="1:7" s="65" customFormat="1" x14ac:dyDescent="0.3">
      <c r="A340" s="150" t="s">
        <v>702</v>
      </c>
      <c r="B340" s="50" t="s">
        <v>214</v>
      </c>
      <c r="C340" s="51" t="s">
        <v>230</v>
      </c>
      <c r="D340" s="88" t="s">
        <v>292</v>
      </c>
      <c r="E340" s="130">
        <v>0</v>
      </c>
      <c r="F340" s="79">
        <f>BPU!E340</f>
        <v>0</v>
      </c>
      <c r="G340" s="95">
        <f t="shared" si="7"/>
        <v>0</v>
      </c>
    </row>
    <row r="341" spans="1:7" s="65" customFormat="1" ht="33" customHeight="1" x14ac:dyDescent="0.3">
      <c r="A341" s="150" t="s">
        <v>703</v>
      </c>
      <c r="B341" s="50" t="s">
        <v>215</v>
      </c>
      <c r="C341" s="51" t="s">
        <v>230</v>
      </c>
      <c r="D341" s="88" t="s">
        <v>292</v>
      </c>
      <c r="E341" s="130">
        <f>4.7*5*0.1</f>
        <v>2.35</v>
      </c>
      <c r="F341" s="79">
        <f>BPU!E341</f>
        <v>0</v>
      </c>
      <c r="G341" s="95">
        <f t="shared" si="7"/>
        <v>0</v>
      </c>
    </row>
    <row r="342" spans="1:7" ht="18.600000000000001" customHeight="1" x14ac:dyDescent="0.3">
      <c r="A342" s="52" t="s">
        <v>704</v>
      </c>
      <c r="B342" s="46" t="s">
        <v>169</v>
      </c>
      <c r="C342" s="52"/>
      <c r="D342" s="87"/>
      <c r="E342" s="126"/>
      <c r="F342" s="79">
        <f>BPU!E342</f>
        <v>0</v>
      </c>
      <c r="G342" s="95">
        <f t="shared" si="7"/>
        <v>0</v>
      </c>
    </row>
    <row r="343" spans="1:7" ht="18.600000000000001" customHeight="1" x14ac:dyDescent="0.3">
      <c r="A343" s="150" t="s">
        <v>705</v>
      </c>
      <c r="B343" s="50" t="s">
        <v>216</v>
      </c>
      <c r="C343" s="51" t="s">
        <v>230</v>
      </c>
      <c r="D343" s="87" t="s">
        <v>292</v>
      </c>
      <c r="E343" s="126">
        <v>0</v>
      </c>
      <c r="F343" s="79">
        <f>BPU!E343</f>
        <v>0</v>
      </c>
      <c r="G343" s="95">
        <f t="shared" si="7"/>
        <v>0</v>
      </c>
    </row>
    <row r="344" spans="1:7" ht="18.600000000000001" customHeight="1" x14ac:dyDescent="0.3">
      <c r="A344" s="150" t="s">
        <v>706</v>
      </c>
      <c r="B344" s="50" t="s">
        <v>217</v>
      </c>
      <c r="C344" s="51" t="s">
        <v>230</v>
      </c>
      <c r="D344" s="87" t="s">
        <v>292</v>
      </c>
      <c r="E344" s="126">
        <f>0.8*0.8*0.2*4*1.15</f>
        <v>0.5888000000000001</v>
      </c>
      <c r="F344" s="79">
        <f>BPU!E344</f>
        <v>0</v>
      </c>
      <c r="G344" s="95">
        <f t="shared" si="7"/>
        <v>0</v>
      </c>
    </row>
    <row r="345" spans="1:7" ht="18.600000000000001" customHeight="1" x14ac:dyDescent="0.3">
      <c r="A345" s="150" t="s">
        <v>707</v>
      </c>
      <c r="B345" s="50" t="s">
        <v>218</v>
      </c>
      <c r="C345" s="51" t="s">
        <v>230</v>
      </c>
      <c r="D345" s="87" t="s">
        <v>292</v>
      </c>
      <c r="E345" s="126">
        <f>0.3*0.2*20</f>
        <v>1.2</v>
      </c>
      <c r="F345" s="79">
        <f>BPU!E345</f>
        <v>0</v>
      </c>
      <c r="G345" s="95">
        <f t="shared" si="7"/>
        <v>0</v>
      </c>
    </row>
    <row r="346" spans="1:7" ht="18.600000000000001" customHeight="1" x14ac:dyDescent="0.3">
      <c r="A346" s="150" t="s">
        <v>708</v>
      </c>
      <c r="B346" s="50" t="s">
        <v>219</v>
      </c>
      <c r="C346" s="51" t="s">
        <v>230</v>
      </c>
      <c r="D346" s="87" t="s">
        <v>292</v>
      </c>
      <c r="E346" s="126">
        <v>1.2</v>
      </c>
      <c r="F346" s="79">
        <f>BPU!E346</f>
        <v>0</v>
      </c>
      <c r="G346" s="95">
        <f t="shared" si="7"/>
        <v>0</v>
      </c>
    </row>
    <row r="347" spans="1:7" ht="18.600000000000001" customHeight="1" x14ac:dyDescent="0.3">
      <c r="A347" s="150" t="s">
        <v>709</v>
      </c>
      <c r="B347" s="50" t="s">
        <v>220</v>
      </c>
      <c r="C347" s="51" t="s">
        <v>230</v>
      </c>
      <c r="D347" s="87" t="s">
        <v>292</v>
      </c>
      <c r="E347" s="126">
        <v>0</v>
      </c>
      <c r="F347" s="79">
        <f>BPU!E347</f>
        <v>0</v>
      </c>
      <c r="G347" s="95">
        <f t="shared" si="7"/>
        <v>0</v>
      </c>
    </row>
    <row r="348" spans="1:7" ht="18.600000000000001" customHeight="1" x14ac:dyDescent="0.3">
      <c r="A348" s="150" t="s">
        <v>710</v>
      </c>
      <c r="B348" s="50" t="s">
        <v>221</v>
      </c>
      <c r="C348" s="51" t="s">
        <v>230</v>
      </c>
      <c r="D348" s="87" t="s">
        <v>292</v>
      </c>
      <c r="E348" s="126">
        <f>0.3*0.3*4.5</f>
        <v>0.40499999999999997</v>
      </c>
      <c r="F348" s="79">
        <f>BPU!E348</f>
        <v>0</v>
      </c>
      <c r="G348" s="95">
        <f t="shared" si="7"/>
        <v>0</v>
      </c>
    </row>
    <row r="349" spans="1:7" ht="18.600000000000001" customHeight="1" x14ac:dyDescent="0.3">
      <c r="A349" s="150" t="s">
        <v>711</v>
      </c>
      <c r="B349" s="50" t="s">
        <v>222</v>
      </c>
      <c r="C349" s="51" t="s">
        <v>230</v>
      </c>
      <c r="D349" s="87" t="s">
        <v>292</v>
      </c>
      <c r="E349" s="126">
        <v>0</v>
      </c>
      <c r="F349" s="79">
        <f>BPU!E349</f>
        <v>0</v>
      </c>
      <c r="G349" s="95">
        <f t="shared" si="7"/>
        <v>0</v>
      </c>
    </row>
    <row r="350" spans="1:7" ht="18.600000000000001" customHeight="1" x14ac:dyDescent="0.3">
      <c r="A350" s="52" t="s">
        <v>712</v>
      </c>
      <c r="B350" s="46" t="s">
        <v>170</v>
      </c>
      <c r="C350" s="52"/>
      <c r="D350" s="87"/>
      <c r="E350" s="126"/>
      <c r="F350" s="79">
        <f>BPU!E350</f>
        <v>0</v>
      </c>
      <c r="G350" s="95">
        <f t="shared" si="7"/>
        <v>0</v>
      </c>
    </row>
    <row r="351" spans="1:7" ht="18.600000000000001" customHeight="1" x14ac:dyDescent="0.3">
      <c r="A351" s="150" t="s">
        <v>713</v>
      </c>
      <c r="B351" s="50" t="s">
        <v>223</v>
      </c>
      <c r="C351" s="51" t="s">
        <v>230</v>
      </c>
      <c r="D351" s="87" t="s">
        <v>292</v>
      </c>
      <c r="E351" s="126">
        <f>20*0.05</f>
        <v>1</v>
      </c>
      <c r="F351" s="79">
        <f>BPU!E351</f>
        <v>0</v>
      </c>
      <c r="G351" s="95">
        <f t="shared" si="7"/>
        <v>0</v>
      </c>
    </row>
    <row r="352" spans="1:7" ht="18.600000000000001" customHeight="1" x14ac:dyDescent="0.3">
      <c r="A352" s="150" t="s">
        <v>714</v>
      </c>
      <c r="B352" s="50" t="s">
        <v>224</v>
      </c>
      <c r="C352" s="51" t="s">
        <v>230</v>
      </c>
      <c r="D352" s="87" t="s">
        <v>292</v>
      </c>
      <c r="E352" s="126">
        <f>20*0.25</f>
        <v>5</v>
      </c>
      <c r="F352" s="79">
        <f>BPU!E352</f>
        <v>0</v>
      </c>
      <c r="G352" s="95">
        <f t="shared" si="7"/>
        <v>0</v>
      </c>
    </row>
    <row r="353" spans="1:7" ht="18.600000000000001" customHeight="1" x14ac:dyDescent="0.3">
      <c r="A353" s="150" t="s">
        <v>715</v>
      </c>
      <c r="B353" s="50" t="s">
        <v>178</v>
      </c>
      <c r="C353" s="51" t="s">
        <v>230</v>
      </c>
      <c r="D353" s="87" t="s">
        <v>292</v>
      </c>
      <c r="E353" s="126">
        <v>0</v>
      </c>
      <c r="F353" s="79">
        <f>BPU!E353</f>
        <v>0</v>
      </c>
      <c r="G353" s="95">
        <f t="shared" si="7"/>
        <v>0</v>
      </c>
    </row>
    <row r="354" spans="1:7" ht="18.600000000000001" customHeight="1" x14ac:dyDescent="0.3">
      <c r="A354" s="52" t="s">
        <v>716</v>
      </c>
      <c r="B354" s="46" t="s">
        <v>171</v>
      </c>
      <c r="C354" s="52"/>
      <c r="D354" s="87"/>
      <c r="E354" s="126"/>
      <c r="F354" s="79">
        <f>BPU!E354</f>
        <v>0</v>
      </c>
      <c r="G354" s="95">
        <f t="shared" si="7"/>
        <v>0</v>
      </c>
    </row>
    <row r="355" spans="1:7" ht="24.6" customHeight="1" x14ac:dyDescent="0.3">
      <c r="A355" s="150" t="s">
        <v>717</v>
      </c>
      <c r="B355" s="50" t="s">
        <v>229</v>
      </c>
      <c r="C355" s="51" t="s">
        <v>181</v>
      </c>
      <c r="D355" s="87" t="s">
        <v>292</v>
      </c>
      <c r="E355" s="126">
        <f>15*0.4*0.4</f>
        <v>2.4000000000000004</v>
      </c>
      <c r="F355" s="79">
        <f>BPU!E355</f>
        <v>0</v>
      </c>
      <c r="G355" s="95">
        <f t="shared" si="7"/>
        <v>0</v>
      </c>
    </row>
    <row r="356" spans="1:7" ht="18.600000000000001" customHeight="1" x14ac:dyDescent="0.3">
      <c r="A356" s="150" t="s">
        <v>718</v>
      </c>
      <c r="B356" s="50" t="s">
        <v>366</v>
      </c>
      <c r="C356" s="51" t="s">
        <v>181</v>
      </c>
      <c r="D356" s="87" t="s">
        <v>292</v>
      </c>
      <c r="E356" s="126">
        <f>15*4.5</f>
        <v>67.5</v>
      </c>
      <c r="F356" s="79">
        <f>BPU!E356</f>
        <v>0</v>
      </c>
      <c r="G356" s="95">
        <f t="shared" ref="G356" si="8">E356*F356</f>
        <v>0</v>
      </c>
    </row>
    <row r="357" spans="1:7" ht="18.600000000000001" customHeight="1" x14ac:dyDescent="0.3">
      <c r="A357" s="150" t="s">
        <v>719</v>
      </c>
      <c r="B357" s="50" t="s">
        <v>225</v>
      </c>
      <c r="C357" s="51" t="s">
        <v>181</v>
      </c>
      <c r="D357" s="87" t="s">
        <v>292</v>
      </c>
      <c r="E357" s="126">
        <v>0</v>
      </c>
      <c r="F357" s="79">
        <f>BPU!E357</f>
        <v>0</v>
      </c>
      <c r="G357" s="95">
        <f t="shared" si="7"/>
        <v>0</v>
      </c>
    </row>
    <row r="358" spans="1:7" ht="18.600000000000001" customHeight="1" x14ac:dyDescent="0.3">
      <c r="A358" s="150" t="s">
        <v>720</v>
      </c>
      <c r="B358" s="50" t="s">
        <v>226</v>
      </c>
      <c r="C358" s="51" t="s">
        <v>181</v>
      </c>
      <c r="D358" s="87" t="s">
        <v>292</v>
      </c>
      <c r="E358" s="126">
        <v>0</v>
      </c>
      <c r="F358" s="79">
        <f>BPU!E358</f>
        <v>0</v>
      </c>
      <c r="G358" s="95">
        <f t="shared" si="7"/>
        <v>0</v>
      </c>
    </row>
    <row r="359" spans="1:7" ht="18.600000000000001" customHeight="1" x14ac:dyDescent="0.3">
      <c r="A359" s="150" t="s">
        <v>721</v>
      </c>
      <c r="B359" s="50" t="s">
        <v>227</v>
      </c>
      <c r="C359" s="51" t="s">
        <v>181</v>
      </c>
      <c r="D359" s="87" t="s">
        <v>292</v>
      </c>
      <c r="E359" s="126">
        <v>0</v>
      </c>
      <c r="F359" s="79">
        <f>BPU!E359</f>
        <v>0</v>
      </c>
      <c r="G359" s="95">
        <f t="shared" si="7"/>
        <v>0</v>
      </c>
    </row>
    <row r="360" spans="1:7" ht="18.600000000000001" customHeight="1" x14ac:dyDescent="0.3">
      <c r="A360" s="150" t="s">
        <v>722</v>
      </c>
      <c r="B360" s="50" t="s">
        <v>228</v>
      </c>
      <c r="C360" s="51" t="s">
        <v>181</v>
      </c>
      <c r="D360" s="87" t="s">
        <v>292</v>
      </c>
      <c r="E360" s="126">
        <v>0</v>
      </c>
      <c r="F360" s="79">
        <f>BPU!E360</f>
        <v>0</v>
      </c>
      <c r="G360" s="95">
        <f t="shared" si="7"/>
        <v>0</v>
      </c>
    </row>
    <row r="361" spans="1:7" ht="18.600000000000001" customHeight="1" x14ac:dyDescent="0.3">
      <c r="A361" s="52" t="s">
        <v>723</v>
      </c>
      <c r="B361" s="46" t="s">
        <v>172</v>
      </c>
      <c r="C361" s="52"/>
      <c r="D361" s="87"/>
      <c r="E361" s="126"/>
      <c r="F361" s="79">
        <f>BPU!E361</f>
        <v>0</v>
      </c>
      <c r="G361" s="95">
        <f t="shared" si="7"/>
        <v>0</v>
      </c>
    </row>
    <row r="362" spans="1:7" ht="18.600000000000001" customHeight="1" x14ac:dyDescent="0.3">
      <c r="A362" s="150" t="s">
        <v>724</v>
      </c>
      <c r="B362" s="50" t="s">
        <v>231</v>
      </c>
      <c r="C362" s="51" t="s">
        <v>181</v>
      </c>
      <c r="D362" s="87" t="s">
        <v>292</v>
      </c>
      <c r="E362" s="126">
        <v>0</v>
      </c>
      <c r="F362" s="79">
        <f>BPU!E362</f>
        <v>0</v>
      </c>
      <c r="G362" s="95">
        <f t="shared" si="7"/>
        <v>0</v>
      </c>
    </row>
    <row r="363" spans="1:7" ht="18.600000000000001" customHeight="1" x14ac:dyDescent="0.3">
      <c r="A363" s="150" t="s">
        <v>725</v>
      </c>
      <c r="B363" s="50" t="s">
        <v>232</v>
      </c>
      <c r="C363" s="51" t="s">
        <v>181</v>
      </c>
      <c r="D363" s="87" t="s">
        <v>292</v>
      </c>
      <c r="E363" s="126">
        <v>0</v>
      </c>
      <c r="F363" s="79">
        <f>BPU!E363</f>
        <v>0</v>
      </c>
      <c r="G363" s="95">
        <f t="shared" si="7"/>
        <v>0</v>
      </c>
    </row>
    <row r="364" spans="1:7" ht="28.2" customHeight="1" x14ac:dyDescent="0.3">
      <c r="A364" s="150" t="s">
        <v>726</v>
      </c>
      <c r="B364" s="50" t="s">
        <v>233</v>
      </c>
      <c r="C364" s="51" t="s">
        <v>181</v>
      </c>
      <c r="D364" s="87" t="s">
        <v>292</v>
      </c>
      <c r="E364" s="126">
        <f>5*4.7</f>
        <v>23.5</v>
      </c>
      <c r="F364" s="79">
        <f>BPU!E364</f>
        <v>0</v>
      </c>
      <c r="G364" s="95">
        <f t="shared" si="7"/>
        <v>0</v>
      </c>
    </row>
    <row r="365" spans="1:7" ht="18.600000000000001" customHeight="1" x14ac:dyDescent="0.3">
      <c r="A365" s="150" t="s">
        <v>727</v>
      </c>
      <c r="B365" s="50" t="s">
        <v>234</v>
      </c>
      <c r="C365" s="51" t="s">
        <v>181</v>
      </c>
      <c r="D365" s="87" t="s">
        <v>292</v>
      </c>
      <c r="E365" s="126">
        <v>0</v>
      </c>
      <c r="F365" s="79">
        <f>BPU!E365</f>
        <v>0</v>
      </c>
      <c r="G365" s="95">
        <f t="shared" si="7"/>
        <v>0</v>
      </c>
    </row>
    <row r="366" spans="1:7" ht="18.600000000000001" customHeight="1" x14ac:dyDescent="0.3">
      <c r="A366" s="52" t="s">
        <v>728</v>
      </c>
      <c r="B366" s="46" t="s">
        <v>173</v>
      </c>
      <c r="C366" s="52"/>
      <c r="D366" s="87"/>
      <c r="E366" s="126"/>
      <c r="F366" s="79">
        <f>BPU!E366</f>
        <v>0</v>
      </c>
      <c r="G366" s="95">
        <f t="shared" si="7"/>
        <v>0</v>
      </c>
    </row>
    <row r="367" spans="1:7" ht="18.600000000000001" customHeight="1" x14ac:dyDescent="0.3">
      <c r="A367" s="150" t="s">
        <v>729</v>
      </c>
      <c r="B367" s="50" t="s">
        <v>259</v>
      </c>
      <c r="C367" s="51" t="s">
        <v>181</v>
      </c>
      <c r="D367" s="87" t="s">
        <v>292</v>
      </c>
      <c r="E367" s="126">
        <v>0</v>
      </c>
      <c r="F367" s="79">
        <f>BPU!E367</f>
        <v>0</v>
      </c>
      <c r="G367" s="95">
        <f t="shared" si="7"/>
        <v>0</v>
      </c>
    </row>
    <row r="368" spans="1:7" ht="18.600000000000001" customHeight="1" x14ac:dyDescent="0.3">
      <c r="A368" s="150" t="s">
        <v>730</v>
      </c>
      <c r="B368" s="50" t="s">
        <v>235</v>
      </c>
      <c r="C368" s="51" t="s">
        <v>181</v>
      </c>
      <c r="D368" s="87" t="s">
        <v>292</v>
      </c>
      <c r="E368" s="126">
        <f>15*4*2</f>
        <v>120</v>
      </c>
      <c r="F368" s="79">
        <f>BPU!E368</f>
        <v>0</v>
      </c>
      <c r="G368" s="95">
        <f t="shared" si="7"/>
        <v>0</v>
      </c>
    </row>
    <row r="369" spans="1:7" ht="18.600000000000001" customHeight="1" x14ac:dyDescent="0.3">
      <c r="A369" s="150" t="s">
        <v>731</v>
      </c>
      <c r="B369" s="50" t="s">
        <v>236</v>
      </c>
      <c r="C369" s="51" t="s">
        <v>181</v>
      </c>
      <c r="D369" s="87" t="s">
        <v>292</v>
      </c>
      <c r="E369" s="126">
        <v>0</v>
      </c>
      <c r="F369" s="79">
        <f>BPU!E369</f>
        <v>0</v>
      </c>
      <c r="G369" s="95">
        <f t="shared" si="7"/>
        <v>0</v>
      </c>
    </row>
    <row r="370" spans="1:7" ht="18.600000000000001" customHeight="1" x14ac:dyDescent="0.3">
      <c r="A370" s="150" t="s">
        <v>732</v>
      </c>
      <c r="B370" s="50" t="s">
        <v>237</v>
      </c>
      <c r="C370" s="51" t="s">
        <v>181</v>
      </c>
      <c r="D370" s="87" t="s">
        <v>292</v>
      </c>
      <c r="E370" s="126">
        <v>0</v>
      </c>
      <c r="F370" s="79">
        <f>BPU!E370</f>
        <v>0</v>
      </c>
      <c r="G370" s="95">
        <f t="shared" si="7"/>
        <v>0</v>
      </c>
    </row>
    <row r="371" spans="1:7" ht="18.600000000000001" customHeight="1" x14ac:dyDescent="0.3">
      <c r="A371" s="150" t="s">
        <v>733</v>
      </c>
      <c r="B371" s="50" t="s">
        <v>238</v>
      </c>
      <c r="C371" s="51" t="s">
        <v>181</v>
      </c>
      <c r="D371" s="87" t="s">
        <v>292</v>
      </c>
      <c r="E371" s="126">
        <v>0</v>
      </c>
      <c r="F371" s="79">
        <f>BPU!E371</f>
        <v>0</v>
      </c>
      <c r="G371" s="95">
        <f t="shared" si="7"/>
        <v>0</v>
      </c>
    </row>
    <row r="372" spans="1:7" ht="18.600000000000001" customHeight="1" x14ac:dyDescent="0.3">
      <c r="A372" s="150" t="s">
        <v>734</v>
      </c>
      <c r="B372" s="50" t="s">
        <v>179</v>
      </c>
      <c r="C372" s="51" t="s">
        <v>181</v>
      </c>
      <c r="D372" s="87" t="s">
        <v>292</v>
      </c>
      <c r="E372" s="126">
        <v>0</v>
      </c>
      <c r="F372" s="79">
        <f>BPU!E372</f>
        <v>0</v>
      </c>
      <c r="G372" s="95">
        <f t="shared" si="7"/>
        <v>0</v>
      </c>
    </row>
    <row r="373" spans="1:7" ht="18.600000000000001" customHeight="1" x14ac:dyDescent="0.3">
      <c r="A373" s="150" t="s">
        <v>735</v>
      </c>
      <c r="B373" s="50" t="s">
        <v>239</v>
      </c>
      <c r="C373" s="51" t="s">
        <v>181</v>
      </c>
      <c r="D373" s="87" t="s">
        <v>292</v>
      </c>
      <c r="E373" s="126">
        <v>0</v>
      </c>
      <c r="F373" s="79">
        <f>BPU!E373</f>
        <v>0</v>
      </c>
      <c r="G373" s="95">
        <f t="shared" si="7"/>
        <v>0</v>
      </c>
    </row>
    <row r="374" spans="1:7" ht="18.600000000000001" customHeight="1" x14ac:dyDescent="0.3">
      <c r="A374" s="52" t="s">
        <v>736</v>
      </c>
      <c r="B374" s="46" t="s">
        <v>174</v>
      </c>
      <c r="C374" s="52"/>
      <c r="D374" s="87"/>
      <c r="E374" s="126"/>
      <c r="F374" s="79">
        <f>BPU!E374</f>
        <v>0</v>
      </c>
      <c r="G374" s="95">
        <f t="shared" si="7"/>
        <v>0</v>
      </c>
    </row>
    <row r="375" spans="1:7" ht="18.600000000000001" customHeight="1" x14ac:dyDescent="0.3">
      <c r="A375" s="150" t="s">
        <v>737</v>
      </c>
      <c r="B375" s="50" t="s">
        <v>367</v>
      </c>
      <c r="C375" s="51" t="s">
        <v>181</v>
      </c>
      <c r="D375" s="87" t="s">
        <v>292</v>
      </c>
      <c r="E375" s="87">
        <v>95</v>
      </c>
      <c r="F375" s="79">
        <f>BPU!E375</f>
        <v>0</v>
      </c>
      <c r="G375" s="95"/>
    </row>
    <row r="376" spans="1:7" ht="18.600000000000001" customHeight="1" x14ac:dyDescent="0.3">
      <c r="A376" s="150" t="s">
        <v>738</v>
      </c>
      <c r="B376" s="50" t="s">
        <v>240</v>
      </c>
      <c r="C376" s="51" t="s">
        <v>181</v>
      </c>
      <c r="D376" s="87" t="s">
        <v>292</v>
      </c>
      <c r="E376" s="126">
        <v>0</v>
      </c>
      <c r="F376" s="79">
        <f>BPU!E376</f>
        <v>0</v>
      </c>
      <c r="G376" s="95">
        <f t="shared" ref="G376:G436" si="9">E376*F376</f>
        <v>0</v>
      </c>
    </row>
    <row r="377" spans="1:7" ht="18.600000000000001" customHeight="1" x14ac:dyDescent="0.3">
      <c r="A377" s="150" t="s">
        <v>739</v>
      </c>
      <c r="B377" s="50" t="s">
        <v>241</v>
      </c>
      <c r="C377" s="51" t="s">
        <v>181</v>
      </c>
      <c r="D377" s="87" t="s">
        <v>292</v>
      </c>
      <c r="E377" s="126">
        <v>0</v>
      </c>
      <c r="F377" s="79">
        <f>BPU!E377</f>
        <v>0</v>
      </c>
      <c r="G377" s="95">
        <f t="shared" si="9"/>
        <v>0</v>
      </c>
    </row>
    <row r="378" spans="1:7" ht="18.600000000000001" customHeight="1" x14ac:dyDescent="0.3">
      <c r="A378" s="150" t="s">
        <v>740</v>
      </c>
      <c r="B378" s="50" t="s">
        <v>242</v>
      </c>
      <c r="C378" s="51" t="s">
        <v>181</v>
      </c>
      <c r="D378" s="87" t="s">
        <v>292</v>
      </c>
      <c r="E378" s="126">
        <v>0</v>
      </c>
      <c r="F378" s="79">
        <f>BPU!E378</f>
        <v>0</v>
      </c>
      <c r="G378" s="95">
        <f t="shared" si="9"/>
        <v>0</v>
      </c>
    </row>
    <row r="379" spans="1:7" ht="18.600000000000001" customHeight="1" x14ac:dyDescent="0.3">
      <c r="A379" s="150" t="s">
        <v>741</v>
      </c>
      <c r="B379" s="50" t="s">
        <v>243</v>
      </c>
      <c r="C379" s="51" t="s">
        <v>181</v>
      </c>
      <c r="D379" s="87" t="s">
        <v>292</v>
      </c>
      <c r="E379" s="126">
        <v>0</v>
      </c>
      <c r="F379" s="79">
        <f>BPU!E379</f>
        <v>0</v>
      </c>
      <c r="G379" s="95">
        <f t="shared" si="9"/>
        <v>0</v>
      </c>
    </row>
    <row r="380" spans="1:7" ht="18.600000000000001" customHeight="1" x14ac:dyDescent="0.3">
      <c r="A380" s="150" t="s">
        <v>742</v>
      </c>
      <c r="B380" s="50" t="s">
        <v>244</v>
      </c>
      <c r="C380" s="51" t="s">
        <v>181</v>
      </c>
      <c r="D380" s="87" t="s">
        <v>292</v>
      </c>
      <c r="E380" s="126">
        <v>0</v>
      </c>
      <c r="F380" s="79">
        <f>BPU!E380</f>
        <v>0</v>
      </c>
      <c r="G380" s="95">
        <f t="shared" si="9"/>
        <v>0</v>
      </c>
    </row>
    <row r="381" spans="1:7" ht="18.600000000000001" customHeight="1" x14ac:dyDescent="0.3">
      <c r="A381" s="150" t="s">
        <v>743</v>
      </c>
      <c r="B381" s="50" t="s">
        <v>245</v>
      </c>
      <c r="C381" s="51" t="s">
        <v>181</v>
      </c>
      <c r="D381" s="87" t="s">
        <v>292</v>
      </c>
      <c r="E381" s="126">
        <v>0</v>
      </c>
      <c r="F381" s="79">
        <f>BPU!E381</f>
        <v>0</v>
      </c>
      <c r="G381" s="95">
        <f t="shared" si="9"/>
        <v>0</v>
      </c>
    </row>
    <row r="382" spans="1:7" ht="18.600000000000001" customHeight="1" x14ac:dyDescent="0.3">
      <c r="A382" s="150" t="s">
        <v>744</v>
      </c>
      <c r="B382" s="50" t="s">
        <v>246</v>
      </c>
      <c r="C382" s="51" t="s">
        <v>181</v>
      </c>
      <c r="D382" s="87" t="s">
        <v>292</v>
      </c>
      <c r="E382" s="126">
        <v>0</v>
      </c>
      <c r="F382" s="79">
        <f>BPU!E382</f>
        <v>0</v>
      </c>
      <c r="G382" s="95">
        <f t="shared" si="9"/>
        <v>0</v>
      </c>
    </row>
    <row r="383" spans="1:7" ht="18.600000000000001" customHeight="1" x14ac:dyDescent="0.3">
      <c r="A383" s="150" t="s">
        <v>745</v>
      </c>
      <c r="B383" s="50" t="s">
        <v>404</v>
      </c>
      <c r="C383" s="51" t="s">
        <v>181</v>
      </c>
      <c r="D383" s="87" t="s">
        <v>292</v>
      </c>
      <c r="E383" s="87">
        <v>65</v>
      </c>
      <c r="F383" s="79">
        <f>BPU!E383</f>
        <v>0</v>
      </c>
      <c r="G383" s="95"/>
    </row>
    <row r="384" spans="1:7" ht="18.600000000000001" customHeight="1" x14ac:dyDescent="0.3">
      <c r="A384" s="150" t="s">
        <v>746</v>
      </c>
      <c r="B384" s="50" t="s">
        <v>194</v>
      </c>
      <c r="C384" s="51" t="s">
        <v>181</v>
      </c>
      <c r="D384" s="87" t="s">
        <v>292</v>
      </c>
      <c r="E384" s="126">
        <v>0</v>
      </c>
      <c r="F384" s="79">
        <f>BPU!E384</f>
        <v>0</v>
      </c>
      <c r="G384" s="95">
        <f t="shared" si="9"/>
        <v>0</v>
      </c>
    </row>
    <row r="385" spans="1:7" ht="18.600000000000001" customHeight="1" x14ac:dyDescent="0.3">
      <c r="A385" s="52" t="s">
        <v>747</v>
      </c>
      <c r="B385" s="46" t="s">
        <v>175</v>
      </c>
      <c r="C385" s="52"/>
      <c r="D385" s="87"/>
      <c r="E385" s="126"/>
      <c r="F385" s="79">
        <f>BPU!E385</f>
        <v>0</v>
      </c>
      <c r="G385" s="95">
        <f t="shared" si="9"/>
        <v>0</v>
      </c>
    </row>
    <row r="386" spans="1:7" ht="18.600000000000001" customHeight="1" x14ac:dyDescent="0.3">
      <c r="A386" s="150" t="s">
        <v>748</v>
      </c>
      <c r="B386" s="50" t="s">
        <v>180</v>
      </c>
      <c r="C386" s="51" t="s">
        <v>181</v>
      </c>
      <c r="D386" s="87" t="s">
        <v>292</v>
      </c>
      <c r="E386" s="126">
        <v>0</v>
      </c>
      <c r="F386" s="79">
        <f>BPU!E386</f>
        <v>0</v>
      </c>
      <c r="G386" s="95">
        <f t="shared" si="9"/>
        <v>0</v>
      </c>
    </row>
    <row r="387" spans="1:7" ht="18.600000000000001" customHeight="1" x14ac:dyDescent="0.3">
      <c r="A387" s="52" t="s">
        <v>749</v>
      </c>
      <c r="B387" s="46" t="s">
        <v>176</v>
      </c>
      <c r="C387" s="52"/>
      <c r="D387" s="87"/>
      <c r="E387" s="126"/>
      <c r="F387" s="79">
        <f>BPU!E387</f>
        <v>0</v>
      </c>
      <c r="G387" s="95">
        <f t="shared" si="9"/>
        <v>0</v>
      </c>
    </row>
    <row r="388" spans="1:7" ht="18.600000000000001" customHeight="1" x14ac:dyDescent="0.3">
      <c r="A388" s="150" t="s">
        <v>750</v>
      </c>
      <c r="B388" s="50" t="s">
        <v>257</v>
      </c>
      <c r="C388" s="51" t="s">
        <v>181</v>
      </c>
      <c r="D388" s="87" t="s">
        <v>292</v>
      </c>
      <c r="E388" s="126">
        <v>0</v>
      </c>
      <c r="F388" s="79">
        <f>BPU!E388</f>
        <v>0</v>
      </c>
      <c r="G388" s="95">
        <f t="shared" si="9"/>
        <v>0</v>
      </c>
    </row>
    <row r="389" spans="1:7" ht="18.600000000000001" customHeight="1" x14ac:dyDescent="0.3">
      <c r="A389" s="150" t="s">
        <v>751</v>
      </c>
      <c r="B389" s="50" t="s">
        <v>253</v>
      </c>
      <c r="C389" s="51" t="s">
        <v>17</v>
      </c>
      <c r="D389" s="87" t="s">
        <v>292</v>
      </c>
      <c r="E389" s="126">
        <v>0</v>
      </c>
      <c r="F389" s="79">
        <f>BPU!E389</f>
        <v>0</v>
      </c>
      <c r="G389" s="95">
        <f t="shared" si="9"/>
        <v>0</v>
      </c>
    </row>
    <row r="390" spans="1:7" ht="18.600000000000001" customHeight="1" x14ac:dyDescent="0.3">
      <c r="A390" s="150" t="s">
        <v>752</v>
      </c>
      <c r="B390" s="50" t="s">
        <v>252</v>
      </c>
      <c r="C390" s="51" t="s">
        <v>17</v>
      </c>
      <c r="D390" s="87" t="s">
        <v>292</v>
      </c>
      <c r="E390" s="126">
        <f>5.6*3</f>
        <v>16.799999999999997</v>
      </c>
      <c r="F390" s="79">
        <f>BPU!E390</f>
        <v>0</v>
      </c>
      <c r="G390" s="95">
        <f t="shared" si="9"/>
        <v>0</v>
      </c>
    </row>
    <row r="391" spans="1:7" ht="18.600000000000001" customHeight="1" x14ac:dyDescent="0.3">
      <c r="A391" s="150" t="s">
        <v>753</v>
      </c>
      <c r="B391" s="50" t="s">
        <v>254</v>
      </c>
      <c r="C391" s="51" t="s">
        <v>17</v>
      </c>
      <c r="D391" s="87" t="s">
        <v>292</v>
      </c>
      <c r="E391" s="126">
        <v>0</v>
      </c>
      <c r="F391" s="79">
        <f>BPU!E391</f>
        <v>0</v>
      </c>
      <c r="G391" s="95">
        <f t="shared" si="9"/>
        <v>0</v>
      </c>
    </row>
    <row r="392" spans="1:7" ht="18.600000000000001" customHeight="1" x14ac:dyDescent="0.3">
      <c r="A392" s="150" t="s">
        <v>754</v>
      </c>
      <c r="B392" s="50" t="s">
        <v>255</v>
      </c>
      <c r="C392" s="51" t="s">
        <v>17</v>
      </c>
      <c r="D392" s="87" t="s">
        <v>292</v>
      </c>
      <c r="E392" s="126">
        <f>5*3</f>
        <v>15</v>
      </c>
      <c r="F392" s="79">
        <f>BPU!E392</f>
        <v>0</v>
      </c>
      <c r="G392" s="95">
        <f t="shared" si="9"/>
        <v>0</v>
      </c>
    </row>
    <row r="393" spans="1:7" ht="28.8" customHeight="1" x14ac:dyDescent="0.3">
      <c r="A393" s="150" t="s">
        <v>755</v>
      </c>
      <c r="B393" s="50" t="s">
        <v>251</v>
      </c>
      <c r="C393" s="51" t="s">
        <v>17</v>
      </c>
      <c r="D393" s="87" t="s">
        <v>292</v>
      </c>
      <c r="E393" s="126">
        <v>4</v>
      </c>
      <c r="F393" s="79">
        <f>BPU!E393</f>
        <v>0</v>
      </c>
      <c r="G393" s="95">
        <f t="shared" si="9"/>
        <v>0</v>
      </c>
    </row>
    <row r="394" spans="1:7" x14ac:dyDescent="0.3">
      <c r="A394" s="150" t="s">
        <v>756</v>
      </c>
      <c r="B394" s="50" t="s">
        <v>256</v>
      </c>
      <c r="C394" s="51" t="s">
        <v>181</v>
      </c>
      <c r="D394" s="87" t="s">
        <v>292</v>
      </c>
      <c r="E394" s="126">
        <f>+(5*5.6)+(2*6)</f>
        <v>40</v>
      </c>
      <c r="F394" s="79">
        <f>BPU!E394</f>
        <v>0</v>
      </c>
      <c r="G394" s="95">
        <f t="shared" si="9"/>
        <v>0</v>
      </c>
    </row>
    <row r="395" spans="1:7" x14ac:dyDescent="0.3">
      <c r="A395" s="150" t="s">
        <v>757</v>
      </c>
      <c r="B395" s="50" t="s">
        <v>258</v>
      </c>
      <c r="C395" s="51" t="s">
        <v>17</v>
      </c>
      <c r="D395" s="87" t="s">
        <v>292</v>
      </c>
      <c r="E395" s="126">
        <v>0</v>
      </c>
      <c r="F395" s="79">
        <f>BPU!E395</f>
        <v>0</v>
      </c>
      <c r="G395" s="95">
        <f t="shared" si="9"/>
        <v>0</v>
      </c>
    </row>
    <row r="396" spans="1:7" ht="18.600000000000001" customHeight="1" x14ac:dyDescent="0.3">
      <c r="A396" s="150" t="s">
        <v>758</v>
      </c>
      <c r="B396" s="50" t="s">
        <v>193</v>
      </c>
      <c r="C396" s="51" t="s">
        <v>181</v>
      </c>
      <c r="D396" s="87" t="s">
        <v>292</v>
      </c>
      <c r="E396" s="126">
        <v>0</v>
      </c>
      <c r="F396" s="79">
        <f>BPU!E396</f>
        <v>0</v>
      </c>
      <c r="G396" s="95">
        <f t="shared" si="9"/>
        <v>0</v>
      </c>
    </row>
    <row r="397" spans="1:7" x14ac:dyDescent="0.3">
      <c r="A397" s="150" t="s">
        <v>759</v>
      </c>
      <c r="B397" s="50" t="s">
        <v>192</v>
      </c>
      <c r="C397" s="51" t="s">
        <v>181</v>
      </c>
      <c r="D397" s="87" t="s">
        <v>292</v>
      </c>
      <c r="E397" s="126">
        <v>0</v>
      </c>
      <c r="F397" s="79">
        <f>BPU!E397</f>
        <v>0</v>
      </c>
      <c r="G397" s="95">
        <f t="shared" si="9"/>
        <v>0</v>
      </c>
    </row>
    <row r="398" spans="1:7" ht="28.8" x14ac:dyDescent="0.3">
      <c r="A398" s="150" t="s">
        <v>760</v>
      </c>
      <c r="B398" s="50" t="s">
        <v>260</v>
      </c>
      <c r="C398" s="51" t="s">
        <v>181</v>
      </c>
      <c r="D398" s="87" t="s">
        <v>292</v>
      </c>
      <c r="E398" s="126">
        <v>0</v>
      </c>
      <c r="F398" s="79">
        <f>BPU!E398</f>
        <v>0</v>
      </c>
      <c r="G398" s="95">
        <f t="shared" si="9"/>
        <v>0</v>
      </c>
    </row>
    <row r="399" spans="1:7" ht="18.600000000000001" customHeight="1" x14ac:dyDescent="0.3">
      <c r="A399" s="52" t="s">
        <v>761</v>
      </c>
      <c r="B399" s="46" t="s">
        <v>177</v>
      </c>
      <c r="C399" s="52"/>
      <c r="D399" s="87"/>
      <c r="E399" s="126"/>
      <c r="F399" s="79">
        <f>BPU!E399</f>
        <v>0</v>
      </c>
      <c r="G399" s="95">
        <f t="shared" si="9"/>
        <v>0</v>
      </c>
    </row>
    <row r="400" spans="1:7" ht="18.600000000000001" customHeight="1" x14ac:dyDescent="0.3">
      <c r="A400" s="150" t="s">
        <v>762</v>
      </c>
      <c r="B400" s="50" t="s">
        <v>182</v>
      </c>
      <c r="C400" s="51" t="s">
        <v>181</v>
      </c>
      <c r="D400" s="87" t="s">
        <v>292</v>
      </c>
      <c r="E400" s="126">
        <v>0</v>
      </c>
      <c r="F400" s="79">
        <f>BPU!E400</f>
        <v>0</v>
      </c>
      <c r="G400" s="95">
        <f t="shared" si="9"/>
        <v>0</v>
      </c>
    </row>
    <row r="401" spans="1:23" x14ac:dyDescent="0.3">
      <c r="A401" s="150" t="s">
        <v>763</v>
      </c>
      <c r="B401" s="50" t="s">
        <v>1273</v>
      </c>
      <c r="C401" s="51" t="s">
        <v>181</v>
      </c>
      <c r="D401" s="87" t="s">
        <v>292</v>
      </c>
      <c r="E401" s="126">
        <v>0</v>
      </c>
      <c r="F401" s="79">
        <f>BPU!E401</f>
        <v>0</v>
      </c>
      <c r="G401" s="95">
        <f t="shared" si="9"/>
        <v>0</v>
      </c>
    </row>
    <row r="402" spans="1:23" x14ac:dyDescent="0.3">
      <c r="A402" s="150" t="s">
        <v>764</v>
      </c>
      <c r="B402" s="50" t="s">
        <v>183</v>
      </c>
      <c r="C402" s="51" t="s">
        <v>181</v>
      </c>
      <c r="D402" s="87" t="s">
        <v>292</v>
      </c>
      <c r="E402" s="126">
        <v>0</v>
      </c>
      <c r="F402" s="79">
        <f>BPU!E402</f>
        <v>0</v>
      </c>
      <c r="G402" s="95">
        <f t="shared" si="9"/>
        <v>0</v>
      </c>
    </row>
    <row r="403" spans="1:23" ht="26.4" customHeight="1" x14ac:dyDescent="0.3">
      <c r="A403" s="150" t="s">
        <v>765</v>
      </c>
      <c r="B403" s="50" t="s">
        <v>184</v>
      </c>
      <c r="C403" s="51" t="s">
        <v>181</v>
      </c>
      <c r="D403" s="87" t="s">
        <v>292</v>
      </c>
      <c r="E403" s="126">
        <v>0</v>
      </c>
      <c r="F403" s="79">
        <f>BPU!E403</f>
        <v>0</v>
      </c>
      <c r="G403" s="95">
        <f t="shared" si="9"/>
        <v>0</v>
      </c>
    </row>
    <row r="404" spans="1:23" ht="26.4" customHeight="1" x14ac:dyDescent="0.3">
      <c r="A404" s="150" t="s">
        <v>766</v>
      </c>
      <c r="B404" s="50" t="s">
        <v>185</v>
      </c>
      <c r="C404" s="51" t="s">
        <v>181</v>
      </c>
      <c r="D404" s="87" t="s">
        <v>292</v>
      </c>
      <c r="E404" s="126">
        <v>0</v>
      </c>
      <c r="F404" s="79">
        <f>BPU!E404</f>
        <v>0</v>
      </c>
      <c r="G404" s="95">
        <f t="shared" si="9"/>
        <v>0</v>
      </c>
    </row>
    <row r="405" spans="1:23" ht="18" customHeight="1" x14ac:dyDescent="0.3">
      <c r="A405" s="52" t="s">
        <v>767</v>
      </c>
      <c r="B405" s="46" t="s">
        <v>331</v>
      </c>
      <c r="C405" s="52"/>
      <c r="D405" s="87"/>
      <c r="E405" s="126"/>
      <c r="F405" s="79">
        <f>BPU!E405</f>
        <v>0</v>
      </c>
      <c r="G405" s="95">
        <f t="shared" si="9"/>
        <v>0</v>
      </c>
    </row>
    <row r="406" spans="1:23" ht="18" customHeight="1" x14ac:dyDescent="0.3">
      <c r="A406" s="150" t="s">
        <v>768</v>
      </c>
      <c r="B406" s="50" t="s">
        <v>338</v>
      </c>
      <c r="C406" s="51" t="s">
        <v>181</v>
      </c>
      <c r="D406" s="87" t="s">
        <v>292</v>
      </c>
      <c r="E406" s="126">
        <v>42.03</v>
      </c>
      <c r="F406" s="79">
        <f>BPU!E406</f>
        <v>0</v>
      </c>
      <c r="G406" s="95">
        <f t="shared" si="9"/>
        <v>0</v>
      </c>
    </row>
    <row r="407" spans="1:23" ht="18" customHeight="1" x14ac:dyDescent="0.3">
      <c r="A407" s="150" t="s">
        <v>769</v>
      </c>
      <c r="B407" s="50" t="s">
        <v>327</v>
      </c>
      <c r="C407" s="51" t="s">
        <v>181</v>
      </c>
      <c r="D407" s="87" t="s">
        <v>292</v>
      </c>
      <c r="E407" s="126">
        <f>+(14.75+3)*2.8</f>
        <v>49.699999999999996</v>
      </c>
      <c r="F407" s="79">
        <f>BPU!E407</f>
        <v>0</v>
      </c>
      <c r="G407" s="95">
        <f t="shared" si="9"/>
        <v>0</v>
      </c>
    </row>
    <row r="408" spans="1:23" ht="18" customHeight="1" x14ac:dyDescent="0.3">
      <c r="A408" s="150" t="s">
        <v>770</v>
      </c>
      <c r="B408" s="50" t="s">
        <v>328</v>
      </c>
      <c r="C408" s="51" t="s">
        <v>181</v>
      </c>
      <c r="D408" s="87" t="s">
        <v>292</v>
      </c>
      <c r="E408" s="126">
        <f>1.6*2.1</f>
        <v>3.3600000000000003</v>
      </c>
      <c r="F408" s="79">
        <f>BPU!E408</f>
        <v>0</v>
      </c>
      <c r="G408" s="95">
        <f t="shared" si="9"/>
        <v>0</v>
      </c>
    </row>
    <row r="409" spans="1:23" ht="26.4" customHeight="1" x14ac:dyDescent="0.3">
      <c r="A409" s="150" t="s">
        <v>771</v>
      </c>
      <c r="B409" s="50" t="s">
        <v>329</v>
      </c>
      <c r="C409" s="51" t="s">
        <v>181</v>
      </c>
      <c r="D409" s="87" t="s">
        <v>292</v>
      </c>
      <c r="E409" s="126">
        <f>14.75*3</f>
        <v>44.25</v>
      </c>
      <c r="F409" s="79">
        <f>BPU!E409</f>
        <v>0</v>
      </c>
      <c r="G409" s="95">
        <f t="shared" si="9"/>
        <v>0</v>
      </c>
    </row>
    <row r="410" spans="1:23" ht="18" customHeight="1" x14ac:dyDescent="0.3">
      <c r="A410" s="150" t="s">
        <v>772</v>
      </c>
      <c r="B410" s="50" t="s">
        <v>330</v>
      </c>
      <c r="C410" s="51" t="s">
        <v>181</v>
      </c>
      <c r="D410" s="87" t="s">
        <v>292</v>
      </c>
      <c r="E410" s="126">
        <f>+(14.75+6)*1.2</f>
        <v>24.9</v>
      </c>
      <c r="F410" s="79">
        <f>BPU!E410</f>
        <v>0</v>
      </c>
      <c r="G410" s="95">
        <f t="shared" si="9"/>
        <v>0</v>
      </c>
    </row>
    <row r="411" spans="1:23" s="66" customFormat="1" x14ac:dyDescent="0.3">
      <c r="A411" s="52" t="s">
        <v>773</v>
      </c>
      <c r="B411" s="46" t="s">
        <v>332</v>
      </c>
      <c r="C411" s="71"/>
      <c r="D411" s="89"/>
      <c r="E411" s="133"/>
      <c r="F411" s="79">
        <f>BPU!E411</f>
        <v>0</v>
      </c>
      <c r="G411" s="95">
        <f t="shared" si="9"/>
        <v>0</v>
      </c>
    </row>
    <row r="412" spans="1:23" ht="34.200000000000003" customHeight="1" thickBot="1" x14ac:dyDescent="0.35">
      <c r="A412" s="150" t="s">
        <v>774</v>
      </c>
      <c r="B412" s="50" t="s">
        <v>200</v>
      </c>
      <c r="C412" s="51" t="s">
        <v>197</v>
      </c>
      <c r="D412" s="87" t="s">
        <v>292</v>
      </c>
      <c r="E412" s="126">
        <v>0</v>
      </c>
      <c r="F412" s="79">
        <f>BPU!E412</f>
        <v>0</v>
      </c>
      <c r="G412" s="95">
        <f t="shared" si="9"/>
        <v>0</v>
      </c>
    </row>
    <row r="413" spans="1:23" s="98" customFormat="1" ht="15" thickBot="1" x14ac:dyDescent="0.35">
      <c r="A413" s="52"/>
      <c r="B413" s="96" t="s">
        <v>391</v>
      </c>
      <c r="C413" s="97"/>
      <c r="D413" s="97"/>
      <c r="E413" s="128"/>
      <c r="F413" s="145">
        <f>BPU!E413</f>
        <v>0</v>
      </c>
      <c r="G413" s="146">
        <f>SUM(G327:G412)</f>
        <v>0</v>
      </c>
      <c r="J413" s="99"/>
      <c r="K413" s="75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100"/>
      <c r="W413" s="100"/>
    </row>
    <row r="414" spans="1:23" s="58" customFormat="1" ht="16.8" customHeight="1" x14ac:dyDescent="0.3">
      <c r="A414" s="70" t="s">
        <v>48</v>
      </c>
      <c r="B414" s="70" t="s">
        <v>49</v>
      </c>
      <c r="C414" s="52"/>
      <c r="D414" s="87"/>
      <c r="E414" s="126"/>
      <c r="F414" s="79">
        <f>BPU!E414</f>
        <v>0</v>
      </c>
      <c r="G414" s="95">
        <f t="shared" si="9"/>
        <v>0</v>
      </c>
    </row>
    <row r="415" spans="1:23" ht="18.600000000000001" customHeight="1" x14ac:dyDescent="0.3">
      <c r="A415" s="52" t="s">
        <v>50</v>
      </c>
      <c r="B415" s="46" t="s">
        <v>161</v>
      </c>
      <c r="C415" s="52"/>
      <c r="D415" s="87"/>
      <c r="E415" s="126"/>
      <c r="F415" s="79">
        <f>BPU!E415</f>
        <v>0</v>
      </c>
      <c r="G415" s="95">
        <f t="shared" si="9"/>
        <v>0</v>
      </c>
    </row>
    <row r="416" spans="1:23" ht="28.8" customHeight="1" x14ac:dyDescent="0.3">
      <c r="A416" s="150" t="s">
        <v>775</v>
      </c>
      <c r="B416" s="153" t="s">
        <v>1308</v>
      </c>
      <c r="C416" s="51" t="s">
        <v>181</v>
      </c>
      <c r="D416" s="87" t="s">
        <v>292</v>
      </c>
      <c r="E416" s="126">
        <f>33.14+37.55</f>
        <v>70.69</v>
      </c>
      <c r="F416" s="79">
        <f>BPU!E416</f>
        <v>0</v>
      </c>
      <c r="G416" s="95">
        <f t="shared" si="9"/>
        <v>0</v>
      </c>
    </row>
    <row r="417" spans="1:7" ht="18.600000000000001" customHeight="1" x14ac:dyDescent="0.3">
      <c r="A417" s="150" t="s">
        <v>776</v>
      </c>
      <c r="B417" s="52" t="s">
        <v>196</v>
      </c>
      <c r="C417" s="51" t="s">
        <v>17</v>
      </c>
      <c r="D417" s="87" t="s">
        <v>292</v>
      </c>
      <c r="E417" s="126">
        <v>0</v>
      </c>
      <c r="F417" s="79">
        <f>BPU!E417</f>
        <v>0</v>
      </c>
      <c r="G417" s="95">
        <f t="shared" si="9"/>
        <v>0</v>
      </c>
    </row>
    <row r="418" spans="1:7" ht="18.600000000000001" customHeight="1" x14ac:dyDescent="0.3">
      <c r="A418" s="150" t="s">
        <v>777</v>
      </c>
      <c r="B418" s="52" t="s">
        <v>210</v>
      </c>
      <c r="C418" s="51" t="s">
        <v>197</v>
      </c>
      <c r="D418" s="87" t="s">
        <v>292</v>
      </c>
      <c r="E418" s="126">
        <f>1.6*2.1</f>
        <v>3.3600000000000003</v>
      </c>
      <c r="F418" s="79">
        <f>BPU!E418</f>
        <v>0</v>
      </c>
      <c r="G418" s="95">
        <f t="shared" si="9"/>
        <v>0</v>
      </c>
    </row>
    <row r="419" spans="1:7" ht="18.600000000000001" customHeight="1" x14ac:dyDescent="0.3">
      <c r="A419" s="150" t="s">
        <v>778</v>
      </c>
      <c r="B419" s="52" t="s">
        <v>209</v>
      </c>
      <c r="C419" s="51" t="s">
        <v>197</v>
      </c>
      <c r="D419" s="87" t="s">
        <v>292</v>
      </c>
      <c r="E419" s="126">
        <v>0</v>
      </c>
      <c r="F419" s="79">
        <f>BPU!E419</f>
        <v>0</v>
      </c>
      <c r="G419" s="95">
        <f t="shared" si="9"/>
        <v>0</v>
      </c>
    </row>
    <row r="420" spans="1:7" ht="18.600000000000001" customHeight="1" x14ac:dyDescent="0.3">
      <c r="A420" s="150" t="s">
        <v>779</v>
      </c>
      <c r="B420" s="52" t="s">
        <v>199</v>
      </c>
      <c r="C420" s="51" t="s">
        <v>181</v>
      </c>
      <c r="D420" s="87" t="s">
        <v>292</v>
      </c>
      <c r="E420" s="126">
        <v>0</v>
      </c>
      <c r="F420" s="79">
        <f>BPU!E420</f>
        <v>0</v>
      </c>
      <c r="G420" s="95">
        <f t="shared" si="9"/>
        <v>0</v>
      </c>
    </row>
    <row r="421" spans="1:7" ht="18.600000000000001" customHeight="1" x14ac:dyDescent="0.3">
      <c r="A421" s="150" t="s">
        <v>780</v>
      </c>
      <c r="B421" s="52" t="s">
        <v>293</v>
      </c>
      <c r="C421" s="51" t="s">
        <v>181</v>
      </c>
      <c r="D421" s="87" t="s">
        <v>292</v>
      </c>
      <c r="E421" s="126">
        <v>33.14</v>
      </c>
      <c r="F421" s="79">
        <f>BPU!E421</f>
        <v>0</v>
      </c>
      <c r="G421" s="95">
        <f t="shared" si="9"/>
        <v>0</v>
      </c>
    </row>
    <row r="422" spans="1:7" ht="28.2" customHeight="1" x14ac:dyDescent="0.3">
      <c r="A422" s="150" t="s">
        <v>781</v>
      </c>
      <c r="B422" s="61" t="s">
        <v>198</v>
      </c>
      <c r="C422" s="51" t="s">
        <v>79</v>
      </c>
      <c r="D422" s="87" t="s">
        <v>158</v>
      </c>
      <c r="E422" s="126">
        <v>0</v>
      </c>
      <c r="F422" s="79">
        <f>BPU!E422</f>
        <v>0</v>
      </c>
      <c r="G422" s="95">
        <f t="shared" si="9"/>
        <v>0</v>
      </c>
    </row>
    <row r="423" spans="1:7" ht="18.600000000000001" customHeight="1" x14ac:dyDescent="0.3">
      <c r="A423" s="52" t="s">
        <v>782</v>
      </c>
      <c r="B423" s="46" t="s">
        <v>208</v>
      </c>
      <c r="C423" s="51"/>
      <c r="D423" s="87"/>
      <c r="E423" s="126"/>
      <c r="F423" s="79">
        <f>BPU!E423</f>
        <v>0</v>
      </c>
      <c r="G423" s="95">
        <f t="shared" si="9"/>
        <v>0</v>
      </c>
    </row>
    <row r="424" spans="1:7" ht="18.600000000000001" customHeight="1" x14ac:dyDescent="0.3">
      <c r="A424" s="150" t="s">
        <v>783</v>
      </c>
      <c r="B424" s="52" t="s">
        <v>211</v>
      </c>
      <c r="C424" s="51" t="s">
        <v>230</v>
      </c>
      <c r="D424" s="87" t="s">
        <v>292</v>
      </c>
      <c r="E424" s="126">
        <f>55.6*0.4*0.6</f>
        <v>13.344000000000001</v>
      </c>
      <c r="F424" s="79">
        <f>BPU!E424</f>
        <v>0</v>
      </c>
      <c r="G424" s="95">
        <f t="shared" si="9"/>
        <v>0</v>
      </c>
    </row>
    <row r="425" spans="1:7" ht="18.600000000000001" customHeight="1" x14ac:dyDescent="0.3">
      <c r="A425" s="150" t="s">
        <v>784</v>
      </c>
      <c r="B425" s="52" t="s">
        <v>212</v>
      </c>
      <c r="C425" s="51" t="s">
        <v>230</v>
      </c>
      <c r="D425" s="87" t="s">
        <v>292</v>
      </c>
      <c r="E425" s="126">
        <f>50.13*0.3</f>
        <v>15.039</v>
      </c>
      <c r="F425" s="79">
        <f>BPU!E425</f>
        <v>0</v>
      </c>
      <c r="G425" s="95">
        <f t="shared" si="9"/>
        <v>0</v>
      </c>
    </row>
    <row r="426" spans="1:7" ht="18.600000000000001" customHeight="1" x14ac:dyDescent="0.3">
      <c r="A426" s="52" t="s">
        <v>785</v>
      </c>
      <c r="B426" s="46" t="s">
        <v>168</v>
      </c>
      <c r="C426" s="52"/>
      <c r="D426" s="87"/>
      <c r="E426" s="126"/>
      <c r="F426" s="79">
        <f>BPU!E426</f>
        <v>0</v>
      </c>
      <c r="G426" s="95">
        <f t="shared" si="9"/>
        <v>0</v>
      </c>
    </row>
    <row r="427" spans="1:7" s="65" customFormat="1" ht="18.600000000000001" customHeight="1" x14ac:dyDescent="0.3">
      <c r="A427" s="150" t="s">
        <v>786</v>
      </c>
      <c r="B427" s="50" t="s">
        <v>213</v>
      </c>
      <c r="C427" s="51" t="s">
        <v>230</v>
      </c>
      <c r="D427" s="88" t="s">
        <v>292</v>
      </c>
      <c r="E427" s="130">
        <f>55.6*0.05</f>
        <v>2.7800000000000002</v>
      </c>
      <c r="F427" s="79">
        <f>BPU!E427</f>
        <v>0</v>
      </c>
      <c r="G427" s="95">
        <f t="shared" si="9"/>
        <v>0</v>
      </c>
    </row>
    <row r="428" spans="1:7" s="65" customFormat="1" ht="18.600000000000001" customHeight="1" x14ac:dyDescent="0.3">
      <c r="A428" s="150" t="s">
        <v>787</v>
      </c>
      <c r="B428" s="50" t="s">
        <v>187</v>
      </c>
      <c r="C428" s="51" t="s">
        <v>230</v>
      </c>
      <c r="D428" s="88" t="s">
        <v>292</v>
      </c>
      <c r="E428" s="130">
        <f>55.6*0.4*0.4</f>
        <v>8.8960000000000008</v>
      </c>
      <c r="F428" s="79">
        <f>BPU!E428</f>
        <v>0</v>
      </c>
      <c r="G428" s="95">
        <f t="shared" si="9"/>
        <v>0</v>
      </c>
    </row>
    <row r="429" spans="1:7" s="65" customFormat="1" ht="18.600000000000001" customHeight="1" x14ac:dyDescent="0.3">
      <c r="A429" s="150" t="s">
        <v>788</v>
      </c>
      <c r="B429" s="50" t="s">
        <v>214</v>
      </c>
      <c r="C429" s="51" t="s">
        <v>230</v>
      </c>
      <c r="D429" s="88" t="s">
        <v>292</v>
      </c>
      <c r="E429" s="130">
        <f>10*1*0.3*0.1</f>
        <v>0.30000000000000004</v>
      </c>
      <c r="F429" s="79">
        <f>BPU!E429</f>
        <v>0</v>
      </c>
      <c r="G429" s="95">
        <f t="shared" si="9"/>
        <v>0</v>
      </c>
    </row>
    <row r="430" spans="1:7" s="65" customFormat="1" ht="33" customHeight="1" x14ac:dyDescent="0.3">
      <c r="A430" s="150" t="s">
        <v>789</v>
      </c>
      <c r="B430" s="50" t="s">
        <v>215</v>
      </c>
      <c r="C430" s="51" t="s">
        <v>230</v>
      </c>
      <c r="D430" s="88" t="s">
        <v>292</v>
      </c>
      <c r="E430" s="130">
        <v>6.3</v>
      </c>
      <c r="F430" s="79">
        <f>BPU!E430</f>
        <v>0</v>
      </c>
      <c r="G430" s="95">
        <f t="shared" si="9"/>
        <v>0</v>
      </c>
    </row>
    <row r="431" spans="1:7" ht="18.600000000000001" customHeight="1" x14ac:dyDescent="0.3">
      <c r="A431" s="52" t="s">
        <v>790</v>
      </c>
      <c r="B431" s="46" t="s">
        <v>169</v>
      </c>
      <c r="C431" s="52"/>
      <c r="D431" s="87"/>
      <c r="E431" s="126"/>
      <c r="F431" s="79">
        <f>BPU!E431</f>
        <v>0</v>
      </c>
      <c r="G431" s="95">
        <f t="shared" si="9"/>
        <v>0</v>
      </c>
    </row>
    <row r="432" spans="1:7" ht="18.600000000000001" customHeight="1" x14ac:dyDescent="0.3">
      <c r="A432" s="150" t="s">
        <v>791</v>
      </c>
      <c r="B432" s="50" t="s">
        <v>216</v>
      </c>
      <c r="C432" s="51" t="s">
        <v>230</v>
      </c>
      <c r="D432" s="87" t="s">
        <v>292</v>
      </c>
      <c r="E432" s="126">
        <f>(33.04+29.22+15.47+37.55)*0.1</f>
        <v>11.528</v>
      </c>
      <c r="F432" s="79">
        <f>BPU!E432</f>
        <v>0</v>
      </c>
      <c r="G432" s="95">
        <f t="shared" si="9"/>
        <v>0</v>
      </c>
    </row>
    <row r="433" spans="1:7" ht="18.600000000000001" customHeight="1" x14ac:dyDescent="0.3">
      <c r="A433" s="150" t="s">
        <v>792</v>
      </c>
      <c r="B433" s="50" t="s">
        <v>217</v>
      </c>
      <c r="C433" s="51" t="s">
        <v>230</v>
      </c>
      <c r="D433" s="87" t="s">
        <v>292</v>
      </c>
      <c r="E433" s="126">
        <f>(0.8*0.8*0.2*11)*1.15</f>
        <v>1.6192000000000002</v>
      </c>
      <c r="F433" s="79">
        <f>BPU!E433</f>
        <v>0</v>
      </c>
      <c r="G433" s="95">
        <f t="shared" si="9"/>
        <v>0</v>
      </c>
    </row>
    <row r="434" spans="1:7" ht="18.600000000000001" customHeight="1" x14ac:dyDescent="0.3">
      <c r="A434" s="150" t="s">
        <v>793</v>
      </c>
      <c r="B434" s="50" t="s">
        <v>218</v>
      </c>
      <c r="C434" s="51" t="s">
        <v>230</v>
      </c>
      <c r="D434" s="87" t="s">
        <v>292</v>
      </c>
      <c r="E434" s="126">
        <f>55.6*0.2*0.2</f>
        <v>2.2240000000000002</v>
      </c>
      <c r="F434" s="79">
        <f>BPU!E434</f>
        <v>0</v>
      </c>
      <c r="G434" s="95">
        <f t="shared" si="9"/>
        <v>0</v>
      </c>
    </row>
    <row r="435" spans="1:7" ht="18.600000000000001" customHeight="1" x14ac:dyDescent="0.3">
      <c r="A435" s="150" t="s">
        <v>794</v>
      </c>
      <c r="B435" s="50" t="s">
        <v>219</v>
      </c>
      <c r="C435" s="51" t="s">
        <v>230</v>
      </c>
      <c r="D435" s="87" t="s">
        <v>292</v>
      </c>
      <c r="E435" s="126">
        <f>+E434</f>
        <v>2.2240000000000002</v>
      </c>
      <c r="F435" s="79">
        <f>BPU!E435</f>
        <v>0</v>
      </c>
      <c r="G435" s="95">
        <f t="shared" si="9"/>
        <v>0</v>
      </c>
    </row>
    <row r="436" spans="1:7" ht="18.600000000000001" customHeight="1" x14ac:dyDescent="0.3">
      <c r="A436" s="150" t="s">
        <v>795</v>
      </c>
      <c r="B436" s="50" t="s">
        <v>220</v>
      </c>
      <c r="C436" s="51" t="s">
        <v>230</v>
      </c>
      <c r="D436" s="87" t="s">
        <v>292</v>
      </c>
      <c r="E436" s="126">
        <f>7.5*0.2*0.2</f>
        <v>0.30000000000000004</v>
      </c>
      <c r="F436" s="79">
        <f>BPU!E436</f>
        <v>0</v>
      </c>
      <c r="G436" s="95">
        <f t="shared" si="9"/>
        <v>0</v>
      </c>
    </row>
    <row r="437" spans="1:7" ht="18.600000000000001" customHeight="1" x14ac:dyDescent="0.3">
      <c r="A437" s="150" t="s">
        <v>796</v>
      </c>
      <c r="B437" s="50" t="s">
        <v>221</v>
      </c>
      <c r="C437" s="51" t="s">
        <v>230</v>
      </c>
      <c r="D437" s="87" t="s">
        <v>292</v>
      </c>
      <c r="E437" s="126">
        <f>11*0.2*0.2*4.5</f>
        <v>1.9800000000000002</v>
      </c>
      <c r="F437" s="79">
        <f>BPU!E437</f>
        <v>0</v>
      </c>
      <c r="G437" s="95">
        <f t="shared" ref="G437:G500" si="10">E437*F437</f>
        <v>0</v>
      </c>
    </row>
    <row r="438" spans="1:7" ht="18.600000000000001" customHeight="1" x14ac:dyDescent="0.3">
      <c r="A438" s="150" t="s">
        <v>797</v>
      </c>
      <c r="B438" s="50" t="s">
        <v>222</v>
      </c>
      <c r="C438" s="51" t="s">
        <v>230</v>
      </c>
      <c r="D438" s="87" t="s">
        <v>292</v>
      </c>
      <c r="E438" s="126">
        <f>1.5*0.6*0.08*2</f>
        <v>0.14399999999999999</v>
      </c>
      <c r="F438" s="79">
        <f>BPU!E438</f>
        <v>0</v>
      </c>
      <c r="G438" s="95">
        <f t="shared" si="10"/>
        <v>0</v>
      </c>
    </row>
    <row r="439" spans="1:7" ht="18.600000000000001" customHeight="1" x14ac:dyDescent="0.3">
      <c r="A439" s="52" t="s">
        <v>798</v>
      </c>
      <c r="B439" s="46" t="s">
        <v>170</v>
      </c>
      <c r="C439" s="52"/>
      <c r="D439" s="87"/>
      <c r="E439" s="126"/>
      <c r="F439" s="79">
        <f>BPU!E439</f>
        <v>0</v>
      </c>
      <c r="G439" s="95">
        <f t="shared" si="10"/>
        <v>0</v>
      </c>
    </row>
    <row r="440" spans="1:7" ht="18.600000000000001" customHeight="1" x14ac:dyDescent="0.3">
      <c r="A440" s="150" t="s">
        <v>799</v>
      </c>
      <c r="B440" s="50" t="s">
        <v>223</v>
      </c>
      <c r="C440" s="51" t="s">
        <v>230</v>
      </c>
      <c r="D440" s="87" t="s">
        <v>292</v>
      </c>
      <c r="E440" s="126">
        <f>115.28*0.05</f>
        <v>5.7640000000000002</v>
      </c>
      <c r="F440" s="79">
        <f>BPU!E440</f>
        <v>0</v>
      </c>
      <c r="G440" s="95">
        <f t="shared" si="10"/>
        <v>0</v>
      </c>
    </row>
    <row r="441" spans="1:7" ht="18.600000000000001" customHeight="1" x14ac:dyDescent="0.3">
      <c r="A441" s="150" t="s">
        <v>800</v>
      </c>
      <c r="B441" s="50" t="s">
        <v>224</v>
      </c>
      <c r="C441" s="51" t="s">
        <v>230</v>
      </c>
      <c r="D441" s="87" t="s">
        <v>292</v>
      </c>
      <c r="E441" s="126">
        <f>115.28*0.25</f>
        <v>28.82</v>
      </c>
      <c r="F441" s="79">
        <f>BPU!E441</f>
        <v>0</v>
      </c>
      <c r="G441" s="95">
        <f t="shared" si="10"/>
        <v>0</v>
      </c>
    </row>
    <row r="442" spans="1:7" ht="18.600000000000001" customHeight="1" x14ac:dyDescent="0.3">
      <c r="A442" s="150" t="s">
        <v>801</v>
      </c>
      <c r="B442" s="50" t="s">
        <v>178</v>
      </c>
      <c r="C442" s="51" t="s">
        <v>230</v>
      </c>
      <c r="D442" s="87" t="s">
        <v>292</v>
      </c>
      <c r="E442" s="126">
        <v>0</v>
      </c>
      <c r="F442" s="79">
        <f>BPU!E442</f>
        <v>0</v>
      </c>
      <c r="G442" s="95">
        <f t="shared" si="10"/>
        <v>0</v>
      </c>
    </row>
    <row r="443" spans="1:7" ht="18.600000000000001" customHeight="1" x14ac:dyDescent="0.3">
      <c r="A443" s="52" t="s">
        <v>802</v>
      </c>
      <c r="B443" s="46" t="s">
        <v>171</v>
      </c>
      <c r="C443" s="52"/>
      <c r="D443" s="87"/>
      <c r="E443" s="126"/>
      <c r="F443" s="79">
        <f>BPU!E443</f>
        <v>0</v>
      </c>
      <c r="G443" s="95">
        <f t="shared" si="10"/>
        <v>0</v>
      </c>
    </row>
    <row r="444" spans="1:7" ht="24.6" customHeight="1" x14ac:dyDescent="0.3">
      <c r="A444" s="150" t="s">
        <v>803</v>
      </c>
      <c r="B444" s="50" t="s">
        <v>229</v>
      </c>
      <c r="C444" s="51" t="s">
        <v>181</v>
      </c>
      <c r="D444" s="87" t="s">
        <v>292</v>
      </c>
      <c r="E444" s="126">
        <f>55.6*0.4*0.4</f>
        <v>8.8960000000000008</v>
      </c>
      <c r="F444" s="79">
        <f>BPU!E444</f>
        <v>0</v>
      </c>
      <c r="G444" s="95">
        <f t="shared" si="10"/>
        <v>0</v>
      </c>
    </row>
    <row r="445" spans="1:7" ht="18.600000000000001" customHeight="1" x14ac:dyDescent="0.3">
      <c r="A445" s="150" t="s">
        <v>804</v>
      </c>
      <c r="B445" s="50" t="s">
        <v>366</v>
      </c>
      <c r="C445" s="51" t="s">
        <v>181</v>
      </c>
      <c r="D445" s="87" t="s">
        <v>292</v>
      </c>
      <c r="E445" s="126">
        <v>0</v>
      </c>
      <c r="F445" s="79">
        <f>BPU!E445</f>
        <v>0</v>
      </c>
      <c r="G445" s="95">
        <f t="shared" ref="G445" si="11">E445*F445</f>
        <v>0</v>
      </c>
    </row>
    <row r="446" spans="1:7" ht="18.600000000000001" customHeight="1" x14ac:dyDescent="0.3">
      <c r="A446" s="150" t="s">
        <v>805</v>
      </c>
      <c r="B446" s="50" t="s">
        <v>225</v>
      </c>
      <c r="C446" s="51" t="s">
        <v>181</v>
      </c>
      <c r="D446" s="87" t="s">
        <v>292</v>
      </c>
      <c r="E446" s="126">
        <f>55.6*4.5</f>
        <v>250.20000000000002</v>
      </c>
      <c r="F446" s="79">
        <f>BPU!E446</f>
        <v>0</v>
      </c>
      <c r="G446" s="95">
        <f t="shared" si="10"/>
        <v>0</v>
      </c>
    </row>
    <row r="447" spans="1:7" ht="18.600000000000001" customHeight="1" x14ac:dyDescent="0.3">
      <c r="A447" s="150" t="s">
        <v>806</v>
      </c>
      <c r="B447" s="50" t="s">
        <v>226</v>
      </c>
      <c r="C447" s="51" t="s">
        <v>181</v>
      </c>
      <c r="D447" s="87" t="s">
        <v>292</v>
      </c>
      <c r="E447" s="126">
        <f>2.3*4*3.2</f>
        <v>29.439999999999998</v>
      </c>
      <c r="F447" s="79">
        <f>BPU!E447</f>
        <v>0</v>
      </c>
      <c r="G447" s="95">
        <f t="shared" si="10"/>
        <v>0</v>
      </c>
    </row>
    <row r="448" spans="1:7" ht="18.600000000000001" customHeight="1" x14ac:dyDescent="0.3">
      <c r="A448" s="150" t="s">
        <v>807</v>
      </c>
      <c r="B448" s="50" t="s">
        <v>227</v>
      </c>
      <c r="C448" s="51" t="s">
        <v>181</v>
      </c>
      <c r="D448" s="87" t="s">
        <v>292</v>
      </c>
      <c r="E448" s="126">
        <f>5*2.1</f>
        <v>10.5</v>
      </c>
      <c r="F448" s="79">
        <f>BPU!E448</f>
        <v>0</v>
      </c>
      <c r="G448" s="95">
        <f t="shared" si="10"/>
        <v>0</v>
      </c>
    </row>
    <row r="449" spans="1:7" ht="18.600000000000001" customHeight="1" x14ac:dyDescent="0.3">
      <c r="A449" s="150" t="s">
        <v>808</v>
      </c>
      <c r="B449" s="50" t="s">
        <v>228</v>
      </c>
      <c r="C449" s="51" t="s">
        <v>181</v>
      </c>
      <c r="D449" s="87" t="s">
        <v>292</v>
      </c>
      <c r="E449" s="126">
        <v>0</v>
      </c>
      <c r="F449" s="79">
        <f>BPU!E449</f>
        <v>0</v>
      </c>
      <c r="G449" s="95">
        <f t="shared" si="10"/>
        <v>0</v>
      </c>
    </row>
    <row r="450" spans="1:7" ht="18.600000000000001" customHeight="1" x14ac:dyDescent="0.3">
      <c r="A450" s="52" t="s">
        <v>809</v>
      </c>
      <c r="B450" s="46" t="s">
        <v>172</v>
      </c>
      <c r="C450" s="52"/>
      <c r="D450" s="87"/>
      <c r="E450" s="126"/>
      <c r="F450" s="79">
        <f>BPU!E450</f>
        <v>0</v>
      </c>
      <c r="G450" s="95">
        <f t="shared" si="10"/>
        <v>0</v>
      </c>
    </row>
    <row r="451" spans="1:7" ht="18.600000000000001" customHeight="1" x14ac:dyDescent="0.3">
      <c r="A451" s="150" t="s">
        <v>810</v>
      </c>
      <c r="B451" s="50" t="s">
        <v>231</v>
      </c>
      <c r="C451" s="51" t="s">
        <v>181</v>
      </c>
      <c r="D451" s="87" t="s">
        <v>292</v>
      </c>
      <c r="E451" s="126">
        <v>0</v>
      </c>
      <c r="F451" s="79">
        <f>BPU!E451</f>
        <v>0</v>
      </c>
      <c r="G451" s="95">
        <f t="shared" si="10"/>
        <v>0</v>
      </c>
    </row>
    <row r="452" spans="1:7" ht="18.600000000000001" customHeight="1" x14ac:dyDescent="0.3">
      <c r="A452" s="150" t="s">
        <v>811</v>
      </c>
      <c r="B452" s="50" t="s">
        <v>232</v>
      </c>
      <c r="C452" s="51" t="s">
        <v>181</v>
      </c>
      <c r="D452" s="87" t="s">
        <v>292</v>
      </c>
      <c r="E452" s="126">
        <v>115.28</v>
      </c>
      <c r="F452" s="79">
        <f>BPU!E452</f>
        <v>0</v>
      </c>
      <c r="G452" s="95">
        <f t="shared" si="10"/>
        <v>0</v>
      </c>
    </row>
    <row r="453" spans="1:7" ht="28.2" customHeight="1" x14ac:dyDescent="0.3">
      <c r="A453" s="150" t="s">
        <v>812</v>
      </c>
      <c r="B453" s="50" t="s">
        <v>233</v>
      </c>
      <c r="C453" s="51" t="s">
        <v>181</v>
      </c>
      <c r="D453" s="87" t="s">
        <v>292</v>
      </c>
      <c r="E453" s="126">
        <v>63</v>
      </c>
      <c r="F453" s="79">
        <f>BPU!E453</f>
        <v>0</v>
      </c>
      <c r="G453" s="95">
        <f t="shared" si="10"/>
        <v>0</v>
      </c>
    </row>
    <row r="454" spans="1:7" ht="18.600000000000001" customHeight="1" x14ac:dyDescent="0.3">
      <c r="A454" s="150" t="s">
        <v>813</v>
      </c>
      <c r="B454" s="50" t="s">
        <v>234</v>
      </c>
      <c r="C454" s="51" t="s">
        <v>181</v>
      </c>
      <c r="D454" s="87" t="s">
        <v>292</v>
      </c>
      <c r="E454" s="126">
        <f>8*2.5</f>
        <v>20</v>
      </c>
      <c r="F454" s="79">
        <f>BPU!E454</f>
        <v>0</v>
      </c>
      <c r="G454" s="95">
        <f t="shared" si="10"/>
        <v>0</v>
      </c>
    </row>
    <row r="455" spans="1:7" ht="18.600000000000001" customHeight="1" x14ac:dyDescent="0.3">
      <c r="A455" s="52" t="s">
        <v>814</v>
      </c>
      <c r="B455" s="46" t="s">
        <v>173</v>
      </c>
      <c r="C455" s="52"/>
      <c r="D455" s="87"/>
      <c r="E455" s="126"/>
      <c r="F455" s="79">
        <f>BPU!E455</f>
        <v>0</v>
      </c>
      <c r="G455" s="95">
        <f t="shared" si="10"/>
        <v>0</v>
      </c>
    </row>
    <row r="456" spans="1:7" ht="18.600000000000001" customHeight="1" x14ac:dyDescent="0.3">
      <c r="A456" s="150" t="s">
        <v>815</v>
      </c>
      <c r="B456" s="50" t="s">
        <v>259</v>
      </c>
      <c r="C456" s="51" t="s">
        <v>181</v>
      </c>
      <c r="D456" s="87" t="s">
        <v>292</v>
      </c>
      <c r="E456" s="126">
        <v>0</v>
      </c>
      <c r="F456" s="79">
        <f>BPU!E456</f>
        <v>0</v>
      </c>
      <c r="G456" s="95">
        <f t="shared" si="10"/>
        <v>0</v>
      </c>
    </row>
    <row r="457" spans="1:7" ht="18.600000000000001" customHeight="1" x14ac:dyDescent="0.3">
      <c r="A457" s="150" t="s">
        <v>816</v>
      </c>
      <c r="B457" s="50" t="s">
        <v>235</v>
      </c>
      <c r="C457" s="51" t="s">
        <v>181</v>
      </c>
      <c r="D457" s="87" t="s">
        <v>292</v>
      </c>
      <c r="E457" s="126">
        <f>15.8*4.5*1.5</f>
        <v>106.65</v>
      </c>
      <c r="F457" s="79">
        <f>BPU!E457</f>
        <v>0</v>
      </c>
      <c r="G457" s="95">
        <f t="shared" si="10"/>
        <v>0</v>
      </c>
    </row>
    <row r="458" spans="1:7" ht="18.600000000000001" customHeight="1" x14ac:dyDescent="0.3">
      <c r="A458" s="150" t="s">
        <v>817</v>
      </c>
      <c r="B458" s="50" t="s">
        <v>236</v>
      </c>
      <c r="C458" s="51" t="s">
        <v>181</v>
      </c>
      <c r="D458" s="87" t="s">
        <v>292</v>
      </c>
      <c r="E458" s="126">
        <f>+(3.1*4*3.2)*12</f>
        <v>476.16000000000008</v>
      </c>
      <c r="F458" s="79">
        <f>BPU!E458</f>
        <v>0</v>
      </c>
      <c r="G458" s="95">
        <f t="shared" si="10"/>
        <v>0</v>
      </c>
    </row>
    <row r="459" spans="1:7" ht="18.600000000000001" customHeight="1" x14ac:dyDescent="0.3">
      <c r="A459" s="150" t="s">
        <v>818</v>
      </c>
      <c r="B459" s="50" t="s">
        <v>237</v>
      </c>
      <c r="C459" s="51" t="s">
        <v>181</v>
      </c>
      <c r="D459" s="87" t="s">
        <v>292</v>
      </c>
      <c r="E459" s="126">
        <v>0</v>
      </c>
      <c r="F459" s="79">
        <f>BPU!E459</f>
        <v>0</v>
      </c>
      <c r="G459" s="95">
        <f t="shared" si="10"/>
        <v>0</v>
      </c>
    </row>
    <row r="460" spans="1:7" ht="18.600000000000001" customHeight="1" x14ac:dyDescent="0.3">
      <c r="A460" s="150" t="s">
        <v>819</v>
      </c>
      <c r="B460" s="50" t="s">
        <v>238</v>
      </c>
      <c r="C460" s="51" t="s">
        <v>181</v>
      </c>
      <c r="D460" s="87" t="s">
        <v>292</v>
      </c>
      <c r="E460" s="126">
        <f>2*1.5*1.5*6</f>
        <v>27</v>
      </c>
      <c r="F460" s="79">
        <f>BPU!E460</f>
        <v>0</v>
      </c>
      <c r="G460" s="95">
        <f t="shared" si="10"/>
        <v>0</v>
      </c>
    </row>
    <row r="461" spans="1:7" ht="18.600000000000001" customHeight="1" x14ac:dyDescent="0.3">
      <c r="A461" s="150" t="s">
        <v>820</v>
      </c>
      <c r="B461" s="50" t="s">
        <v>179</v>
      </c>
      <c r="C461" s="51" t="s">
        <v>181</v>
      </c>
      <c r="D461" s="87" t="s">
        <v>292</v>
      </c>
      <c r="E461" s="126">
        <v>85</v>
      </c>
      <c r="F461" s="79">
        <f>BPU!E461</f>
        <v>0</v>
      </c>
      <c r="G461" s="95">
        <f t="shared" si="10"/>
        <v>0</v>
      </c>
    </row>
    <row r="462" spans="1:7" ht="18.600000000000001" customHeight="1" x14ac:dyDescent="0.3">
      <c r="A462" s="150" t="s">
        <v>821</v>
      </c>
      <c r="B462" s="50" t="s">
        <v>239</v>
      </c>
      <c r="C462" s="51" t="s">
        <v>181</v>
      </c>
      <c r="D462" s="87" t="s">
        <v>292</v>
      </c>
      <c r="E462" s="126">
        <v>0</v>
      </c>
      <c r="F462" s="79">
        <f>BPU!E462</f>
        <v>0</v>
      </c>
      <c r="G462" s="95">
        <f t="shared" si="10"/>
        <v>0</v>
      </c>
    </row>
    <row r="463" spans="1:7" ht="18.600000000000001" customHeight="1" x14ac:dyDescent="0.3">
      <c r="A463" s="52" t="s">
        <v>822</v>
      </c>
      <c r="B463" s="46" t="s">
        <v>174</v>
      </c>
      <c r="C463" s="52"/>
      <c r="D463" s="87"/>
      <c r="E463" s="126"/>
      <c r="F463" s="79">
        <f>BPU!E463</f>
        <v>0</v>
      </c>
      <c r="G463" s="95">
        <f t="shared" si="10"/>
        <v>0</v>
      </c>
    </row>
    <row r="464" spans="1:7" ht="18.600000000000001" customHeight="1" x14ac:dyDescent="0.3">
      <c r="A464" s="150" t="s">
        <v>823</v>
      </c>
      <c r="B464" s="50" t="s">
        <v>373</v>
      </c>
      <c r="C464" s="51" t="s">
        <v>181</v>
      </c>
      <c r="D464" s="87" t="s">
        <v>292</v>
      </c>
      <c r="E464" s="126">
        <f>4*2.1</f>
        <v>8.4</v>
      </c>
      <c r="F464" s="79">
        <f>BPU!E464</f>
        <v>0</v>
      </c>
      <c r="G464" s="95">
        <f t="shared" si="10"/>
        <v>0</v>
      </c>
    </row>
    <row r="465" spans="1:7" ht="18.600000000000001" customHeight="1" x14ac:dyDescent="0.3">
      <c r="A465" s="150" t="s">
        <v>824</v>
      </c>
      <c r="B465" s="50" t="s">
        <v>240</v>
      </c>
      <c r="C465" s="51" t="s">
        <v>181</v>
      </c>
      <c r="D465" s="87" t="s">
        <v>292</v>
      </c>
      <c r="E465" s="126">
        <v>13.49</v>
      </c>
      <c r="F465" s="79">
        <f>BPU!E465</f>
        <v>0</v>
      </c>
      <c r="G465" s="95">
        <f t="shared" si="10"/>
        <v>0</v>
      </c>
    </row>
    <row r="466" spans="1:7" ht="18.600000000000001" customHeight="1" x14ac:dyDescent="0.3">
      <c r="A466" s="150" t="s">
        <v>825</v>
      </c>
      <c r="B466" s="50" t="s">
        <v>241</v>
      </c>
      <c r="C466" s="51" t="s">
        <v>181</v>
      </c>
      <c r="D466" s="87" t="s">
        <v>292</v>
      </c>
      <c r="E466" s="126">
        <v>0</v>
      </c>
      <c r="F466" s="79">
        <f>BPU!E466</f>
        <v>0</v>
      </c>
      <c r="G466" s="95">
        <f t="shared" si="10"/>
        <v>0</v>
      </c>
    </row>
    <row r="467" spans="1:7" ht="18.600000000000001" customHeight="1" x14ac:dyDescent="0.3">
      <c r="A467" s="150" t="s">
        <v>826</v>
      </c>
      <c r="B467" s="50" t="s">
        <v>242</v>
      </c>
      <c r="C467" s="51" t="s">
        <v>181</v>
      </c>
      <c r="D467" s="87" t="s">
        <v>292</v>
      </c>
      <c r="E467" s="126">
        <v>0</v>
      </c>
      <c r="F467" s="79">
        <f>BPU!E467</f>
        <v>0</v>
      </c>
      <c r="G467" s="95">
        <f t="shared" si="10"/>
        <v>0</v>
      </c>
    </row>
    <row r="468" spans="1:7" ht="18.600000000000001" customHeight="1" x14ac:dyDescent="0.3">
      <c r="A468" s="150" t="s">
        <v>827</v>
      </c>
      <c r="B468" s="50" t="s">
        <v>243</v>
      </c>
      <c r="C468" s="51" t="s">
        <v>181</v>
      </c>
      <c r="D468" s="87" t="s">
        <v>292</v>
      </c>
      <c r="E468" s="126">
        <v>0</v>
      </c>
      <c r="F468" s="79">
        <f>BPU!E468</f>
        <v>0</v>
      </c>
      <c r="G468" s="95">
        <f t="shared" si="10"/>
        <v>0</v>
      </c>
    </row>
    <row r="469" spans="1:7" ht="18.600000000000001" customHeight="1" x14ac:dyDescent="0.3">
      <c r="A469" s="150" t="s">
        <v>828</v>
      </c>
      <c r="B469" s="50" t="s">
        <v>244</v>
      </c>
      <c r="C469" s="51" t="s">
        <v>181</v>
      </c>
      <c r="D469" s="87" t="s">
        <v>292</v>
      </c>
      <c r="E469" s="126">
        <v>0</v>
      </c>
      <c r="F469" s="79">
        <f>BPU!E469</f>
        <v>0</v>
      </c>
      <c r="G469" s="95">
        <f t="shared" si="10"/>
        <v>0</v>
      </c>
    </row>
    <row r="470" spans="1:7" ht="18.600000000000001" customHeight="1" x14ac:dyDescent="0.3">
      <c r="A470" s="150" t="s">
        <v>829</v>
      </c>
      <c r="B470" s="50" t="s">
        <v>245</v>
      </c>
      <c r="C470" s="51" t="s">
        <v>181</v>
      </c>
      <c r="D470" s="87" t="s">
        <v>292</v>
      </c>
      <c r="E470" s="126">
        <f>15*0.9*2.1</f>
        <v>28.35</v>
      </c>
      <c r="F470" s="79">
        <f>BPU!E470</f>
        <v>0</v>
      </c>
      <c r="G470" s="95">
        <f t="shared" si="10"/>
        <v>0</v>
      </c>
    </row>
    <row r="471" spans="1:7" ht="18.600000000000001" customHeight="1" x14ac:dyDescent="0.3">
      <c r="A471" s="150" t="s">
        <v>830</v>
      </c>
      <c r="B471" s="50" t="s">
        <v>246</v>
      </c>
      <c r="C471" s="51" t="s">
        <v>181</v>
      </c>
      <c r="D471" s="87" t="s">
        <v>292</v>
      </c>
      <c r="E471" s="126">
        <v>0</v>
      </c>
      <c r="F471" s="79">
        <f>BPU!E471</f>
        <v>0</v>
      </c>
      <c r="G471" s="95">
        <f t="shared" si="10"/>
        <v>0</v>
      </c>
    </row>
    <row r="472" spans="1:7" ht="18.600000000000001" customHeight="1" x14ac:dyDescent="0.3">
      <c r="A472" s="150" t="s">
        <v>831</v>
      </c>
      <c r="B472" s="50" t="s">
        <v>372</v>
      </c>
      <c r="C472" s="51" t="s">
        <v>181</v>
      </c>
      <c r="D472" s="87" t="s">
        <v>292</v>
      </c>
      <c r="E472" s="126">
        <f>(1.6*2.1*2)+0.9*2.1</f>
        <v>8.6100000000000012</v>
      </c>
      <c r="F472" s="79">
        <f>BPU!E472</f>
        <v>0</v>
      </c>
      <c r="G472" s="95">
        <f t="shared" ref="G472" si="12">E472*F472</f>
        <v>0</v>
      </c>
    </row>
    <row r="473" spans="1:7" ht="18.600000000000001" customHeight="1" x14ac:dyDescent="0.3">
      <c r="A473" s="150" t="s">
        <v>832</v>
      </c>
      <c r="B473" s="50" t="s">
        <v>247</v>
      </c>
      <c r="C473" s="51" t="s">
        <v>181</v>
      </c>
      <c r="D473" s="87" t="s">
        <v>292</v>
      </c>
      <c r="E473" s="126">
        <f>2.1*0.9*2</f>
        <v>3.7800000000000002</v>
      </c>
      <c r="F473" s="79">
        <f>BPU!E473</f>
        <v>0</v>
      </c>
      <c r="G473" s="95">
        <f t="shared" si="10"/>
        <v>0</v>
      </c>
    </row>
    <row r="474" spans="1:7" ht="18.600000000000001" customHeight="1" x14ac:dyDescent="0.3">
      <c r="A474" s="150" t="s">
        <v>833</v>
      </c>
      <c r="B474" s="50" t="s">
        <v>194</v>
      </c>
      <c r="C474" s="51" t="s">
        <v>181</v>
      </c>
      <c r="D474" s="87" t="s">
        <v>292</v>
      </c>
      <c r="E474" s="126">
        <v>0</v>
      </c>
      <c r="F474" s="79">
        <f>BPU!E474</f>
        <v>0</v>
      </c>
      <c r="G474" s="95">
        <f t="shared" si="10"/>
        <v>0</v>
      </c>
    </row>
    <row r="475" spans="1:7" ht="18.600000000000001" customHeight="1" x14ac:dyDescent="0.3">
      <c r="A475" s="52" t="s">
        <v>834</v>
      </c>
      <c r="B475" s="46" t="s">
        <v>175</v>
      </c>
      <c r="C475" s="52"/>
      <c r="D475" s="87"/>
      <c r="E475" s="126"/>
      <c r="F475" s="79">
        <f>BPU!E475</f>
        <v>0</v>
      </c>
      <c r="G475" s="95">
        <f t="shared" si="10"/>
        <v>0</v>
      </c>
    </row>
    <row r="476" spans="1:7" ht="18.600000000000001" customHeight="1" x14ac:dyDescent="0.3">
      <c r="A476" s="150" t="s">
        <v>835</v>
      </c>
      <c r="B476" s="50" t="s">
        <v>180</v>
      </c>
      <c r="C476" s="51" t="s">
        <v>181</v>
      </c>
      <c r="D476" s="87" t="s">
        <v>292</v>
      </c>
      <c r="E476" s="126">
        <f>33.04+29.22+37.55</f>
        <v>99.81</v>
      </c>
      <c r="F476" s="79">
        <f>BPU!E476</f>
        <v>0</v>
      </c>
      <c r="G476" s="95">
        <f t="shared" si="10"/>
        <v>0</v>
      </c>
    </row>
    <row r="477" spans="1:7" ht="18.600000000000001" customHeight="1" x14ac:dyDescent="0.3">
      <c r="A477" s="52" t="s">
        <v>836</v>
      </c>
      <c r="B477" s="46" t="s">
        <v>176</v>
      </c>
      <c r="C477" s="52"/>
      <c r="D477" s="87"/>
      <c r="E477" s="126"/>
      <c r="F477" s="79">
        <f>BPU!E477</f>
        <v>0</v>
      </c>
      <c r="G477" s="95">
        <f t="shared" si="10"/>
        <v>0</v>
      </c>
    </row>
    <row r="478" spans="1:7" ht="18.600000000000001" customHeight="1" x14ac:dyDescent="0.3">
      <c r="A478" s="150" t="s">
        <v>837</v>
      </c>
      <c r="B478" s="50" t="s">
        <v>257</v>
      </c>
      <c r="C478" s="51" t="s">
        <v>181</v>
      </c>
      <c r="D478" s="87" t="s">
        <v>292</v>
      </c>
      <c r="E478" s="126">
        <v>0</v>
      </c>
      <c r="F478" s="79">
        <f>BPU!E478</f>
        <v>0</v>
      </c>
      <c r="G478" s="95">
        <f t="shared" si="10"/>
        <v>0</v>
      </c>
    </row>
    <row r="479" spans="1:7" ht="18.600000000000001" customHeight="1" x14ac:dyDescent="0.3">
      <c r="A479" s="150" t="s">
        <v>838</v>
      </c>
      <c r="B479" s="50" t="s">
        <v>253</v>
      </c>
      <c r="C479" s="51" t="s">
        <v>17</v>
      </c>
      <c r="D479" s="87" t="s">
        <v>292</v>
      </c>
      <c r="E479" s="126">
        <v>0</v>
      </c>
      <c r="F479" s="79">
        <f>BPU!E479</f>
        <v>0</v>
      </c>
      <c r="G479" s="95">
        <f t="shared" si="10"/>
        <v>0</v>
      </c>
    </row>
    <row r="480" spans="1:7" ht="18.600000000000001" customHeight="1" x14ac:dyDescent="0.3">
      <c r="A480" s="150" t="s">
        <v>839</v>
      </c>
      <c r="B480" s="50" t="s">
        <v>252</v>
      </c>
      <c r="C480" s="51" t="s">
        <v>17</v>
      </c>
      <c r="D480" s="87" t="s">
        <v>292</v>
      </c>
      <c r="E480" s="126">
        <f>(3.7*5)+(3.2*5)+(1.2*25)</f>
        <v>64.5</v>
      </c>
      <c r="F480" s="79">
        <f>BPU!E480</f>
        <v>0</v>
      </c>
      <c r="G480" s="95">
        <f t="shared" si="10"/>
        <v>0</v>
      </c>
    </row>
    <row r="481" spans="1:7" ht="18.600000000000001" customHeight="1" x14ac:dyDescent="0.3">
      <c r="A481" s="150" t="s">
        <v>840</v>
      </c>
      <c r="B481" s="50" t="s">
        <v>254</v>
      </c>
      <c r="C481" s="51" t="s">
        <v>17</v>
      </c>
      <c r="D481" s="87" t="s">
        <v>292</v>
      </c>
      <c r="E481" s="126">
        <f>(12+9)*4</f>
        <v>84</v>
      </c>
      <c r="F481" s="79">
        <f>BPU!E481</f>
        <v>0</v>
      </c>
      <c r="G481" s="95">
        <f t="shared" si="10"/>
        <v>0</v>
      </c>
    </row>
    <row r="482" spans="1:7" ht="18.600000000000001" customHeight="1" x14ac:dyDescent="0.3">
      <c r="A482" s="150" t="s">
        <v>841</v>
      </c>
      <c r="B482" s="50" t="s">
        <v>255</v>
      </c>
      <c r="C482" s="51" t="s">
        <v>17</v>
      </c>
      <c r="D482" s="87" t="s">
        <v>292</v>
      </c>
      <c r="E482" s="126">
        <f>49*2</f>
        <v>98</v>
      </c>
      <c r="F482" s="79">
        <f>BPU!E482</f>
        <v>0</v>
      </c>
      <c r="G482" s="95">
        <f t="shared" si="10"/>
        <v>0</v>
      </c>
    </row>
    <row r="483" spans="1:7" ht="28.8" customHeight="1" x14ac:dyDescent="0.3">
      <c r="A483" s="150" t="s">
        <v>842</v>
      </c>
      <c r="B483" s="50" t="s">
        <v>251</v>
      </c>
      <c r="C483" s="51" t="s">
        <v>17</v>
      </c>
      <c r="D483" s="87" t="s">
        <v>292</v>
      </c>
      <c r="E483" s="126">
        <f>3*25</f>
        <v>75</v>
      </c>
      <c r="F483" s="79">
        <f>BPU!E483</f>
        <v>0</v>
      </c>
      <c r="G483" s="95">
        <f t="shared" si="10"/>
        <v>0</v>
      </c>
    </row>
    <row r="484" spans="1:7" x14ac:dyDescent="0.3">
      <c r="A484" s="150" t="s">
        <v>843</v>
      </c>
      <c r="B484" s="50" t="s">
        <v>256</v>
      </c>
      <c r="C484" s="51" t="s">
        <v>181</v>
      </c>
      <c r="D484" s="87" t="s">
        <v>292</v>
      </c>
      <c r="E484" s="126">
        <f>+(49*1.2)+(39.85+24.04)*1.25</f>
        <v>138.66249999999999</v>
      </c>
      <c r="F484" s="79">
        <f>BPU!E484</f>
        <v>0</v>
      </c>
      <c r="G484" s="95">
        <f t="shared" si="10"/>
        <v>0</v>
      </c>
    </row>
    <row r="485" spans="1:7" x14ac:dyDescent="0.3">
      <c r="A485" s="150" t="s">
        <v>844</v>
      </c>
      <c r="B485" s="50" t="s">
        <v>258</v>
      </c>
      <c r="C485" s="51" t="s">
        <v>17</v>
      </c>
      <c r="D485" s="87" t="s">
        <v>292</v>
      </c>
      <c r="E485" s="126">
        <v>0</v>
      </c>
      <c r="F485" s="79">
        <f>BPU!E485</f>
        <v>0</v>
      </c>
      <c r="G485" s="95">
        <f t="shared" si="10"/>
        <v>0</v>
      </c>
    </row>
    <row r="486" spans="1:7" ht="18.600000000000001" customHeight="1" x14ac:dyDescent="0.3">
      <c r="A486" s="150" t="s">
        <v>845</v>
      </c>
      <c r="B486" s="50" t="s">
        <v>193</v>
      </c>
      <c r="C486" s="51" t="s">
        <v>181</v>
      </c>
      <c r="D486" s="87" t="s">
        <v>292</v>
      </c>
      <c r="E486" s="126">
        <v>0</v>
      </c>
      <c r="F486" s="79">
        <f>BPU!E486</f>
        <v>0</v>
      </c>
      <c r="G486" s="95">
        <f t="shared" si="10"/>
        <v>0</v>
      </c>
    </row>
    <row r="487" spans="1:7" x14ac:dyDescent="0.3">
      <c r="A487" s="150" t="s">
        <v>846</v>
      </c>
      <c r="B487" s="50" t="s">
        <v>192</v>
      </c>
      <c r="C487" s="51" t="s">
        <v>181</v>
      </c>
      <c r="D487" s="87" t="s">
        <v>292</v>
      </c>
      <c r="E487" s="126">
        <f>44.67*1.25</f>
        <v>55.837500000000006</v>
      </c>
      <c r="F487" s="79">
        <f>BPU!E487</f>
        <v>0</v>
      </c>
      <c r="G487" s="95">
        <f t="shared" si="10"/>
        <v>0</v>
      </c>
    </row>
    <row r="488" spans="1:7" ht="28.8" x14ac:dyDescent="0.3">
      <c r="A488" s="150" t="s">
        <v>847</v>
      </c>
      <c r="B488" s="50" t="s">
        <v>260</v>
      </c>
      <c r="C488" s="51" t="s">
        <v>181</v>
      </c>
      <c r="D488" s="87" t="s">
        <v>292</v>
      </c>
      <c r="E488" s="126">
        <v>0</v>
      </c>
      <c r="F488" s="79">
        <f>BPU!E488</f>
        <v>0</v>
      </c>
      <c r="G488" s="95">
        <f t="shared" si="10"/>
        <v>0</v>
      </c>
    </row>
    <row r="489" spans="1:7" ht="18.600000000000001" customHeight="1" x14ac:dyDescent="0.3">
      <c r="A489" s="52" t="s">
        <v>848</v>
      </c>
      <c r="B489" s="46" t="s">
        <v>177</v>
      </c>
      <c r="C489" s="52"/>
      <c r="D489" s="87"/>
      <c r="E489" s="126"/>
      <c r="F489" s="79">
        <f>BPU!E489</f>
        <v>0</v>
      </c>
      <c r="G489" s="95">
        <f t="shared" si="10"/>
        <v>0</v>
      </c>
    </row>
    <row r="490" spans="1:7" ht="18.600000000000001" customHeight="1" x14ac:dyDescent="0.3">
      <c r="A490" s="150" t="s">
        <v>849</v>
      </c>
      <c r="B490" s="50" t="s">
        <v>182</v>
      </c>
      <c r="C490" s="51" t="s">
        <v>181</v>
      </c>
      <c r="D490" s="87" t="s">
        <v>292</v>
      </c>
      <c r="E490" s="126">
        <v>476.16000000000008</v>
      </c>
      <c r="F490" s="79">
        <f>BPU!E490</f>
        <v>0</v>
      </c>
      <c r="G490" s="95">
        <f t="shared" si="10"/>
        <v>0</v>
      </c>
    </row>
    <row r="491" spans="1:7" x14ac:dyDescent="0.3">
      <c r="A491" s="150" t="s">
        <v>850</v>
      </c>
      <c r="B491" s="50" t="s">
        <v>1273</v>
      </c>
      <c r="C491" s="51" t="s">
        <v>181</v>
      </c>
      <c r="D491" s="87" t="s">
        <v>292</v>
      </c>
      <c r="E491" s="126">
        <f>+E490</f>
        <v>476.16000000000008</v>
      </c>
      <c r="F491" s="79">
        <f>BPU!E491</f>
        <v>0</v>
      </c>
      <c r="G491" s="95">
        <f t="shared" si="10"/>
        <v>0</v>
      </c>
    </row>
    <row r="492" spans="1:7" x14ac:dyDescent="0.3">
      <c r="A492" s="150" t="s">
        <v>851</v>
      </c>
      <c r="B492" s="50" t="s">
        <v>183</v>
      </c>
      <c r="C492" s="51" t="s">
        <v>181</v>
      </c>
      <c r="D492" s="87" t="s">
        <v>292</v>
      </c>
      <c r="E492" s="126">
        <v>99.81</v>
      </c>
      <c r="F492" s="79">
        <f>BPU!E492</f>
        <v>0</v>
      </c>
      <c r="G492" s="95">
        <f t="shared" si="10"/>
        <v>0</v>
      </c>
    </row>
    <row r="493" spans="1:7" ht="26.4" customHeight="1" x14ac:dyDescent="0.3">
      <c r="A493" s="150" t="s">
        <v>852</v>
      </c>
      <c r="B493" s="50" t="s">
        <v>184</v>
      </c>
      <c r="C493" s="51" t="s">
        <v>181</v>
      </c>
      <c r="D493" s="87" t="s">
        <v>292</v>
      </c>
      <c r="E493" s="126">
        <f>40.74*2</f>
        <v>81.48</v>
      </c>
      <c r="F493" s="79">
        <f>BPU!E493</f>
        <v>0</v>
      </c>
      <c r="G493" s="95">
        <f t="shared" si="10"/>
        <v>0</v>
      </c>
    </row>
    <row r="494" spans="1:7" ht="26.4" customHeight="1" x14ac:dyDescent="0.3">
      <c r="A494" s="150" t="s">
        <v>853</v>
      </c>
      <c r="B494" s="50" t="s">
        <v>185</v>
      </c>
      <c r="C494" s="51" t="s">
        <v>181</v>
      </c>
      <c r="D494" s="87" t="s">
        <v>292</v>
      </c>
      <c r="E494" s="126">
        <f>21.89*2</f>
        <v>43.78</v>
      </c>
      <c r="F494" s="79">
        <f>BPU!E494</f>
        <v>0</v>
      </c>
      <c r="G494" s="95">
        <f t="shared" si="10"/>
        <v>0</v>
      </c>
    </row>
    <row r="495" spans="1:7" x14ac:dyDescent="0.3">
      <c r="A495" s="52" t="s">
        <v>854</v>
      </c>
      <c r="B495" s="46" t="s">
        <v>304</v>
      </c>
      <c r="C495" s="51"/>
      <c r="D495" s="87"/>
      <c r="E495" s="126"/>
      <c r="F495" s="79">
        <f>BPU!E495</f>
        <v>0</v>
      </c>
      <c r="G495" s="95">
        <f t="shared" si="10"/>
        <v>0</v>
      </c>
    </row>
    <row r="496" spans="1:7" ht="18.600000000000001" customHeight="1" x14ac:dyDescent="0.3">
      <c r="A496" s="150" t="s">
        <v>855</v>
      </c>
      <c r="B496" s="50" t="s">
        <v>305</v>
      </c>
      <c r="C496" s="51" t="s">
        <v>197</v>
      </c>
      <c r="D496" s="87" t="s">
        <v>292</v>
      </c>
      <c r="E496" s="126">
        <v>5</v>
      </c>
      <c r="F496" s="79">
        <f>BPU!E496</f>
        <v>0</v>
      </c>
      <c r="G496" s="95">
        <f t="shared" si="10"/>
        <v>0</v>
      </c>
    </row>
    <row r="497" spans="1:7" ht="18.600000000000001" customHeight="1" x14ac:dyDescent="0.3">
      <c r="A497" s="150" t="s">
        <v>856</v>
      </c>
      <c r="B497" s="50" t="s">
        <v>306</v>
      </c>
      <c r="C497" s="51" t="s">
        <v>197</v>
      </c>
      <c r="D497" s="87" t="s">
        <v>292</v>
      </c>
      <c r="E497" s="126">
        <v>0</v>
      </c>
      <c r="F497" s="79">
        <f>BPU!E497</f>
        <v>0</v>
      </c>
      <c r="G497" s="95">
        <f t="shared" si="10"/>
        <v>0</v>
      </c>
    </row>
    <row r="498" spans="1:7" ht="18.600000000000001" customHeight="1" x14ac:dyDescent="0.3">
      <c r="A498" s="150" t="s">
        <v>857</v>
      </c>
      <c r="B498" s="50" t="s">
        <v>307</v>
      </c>
      <c r="C498" s="51" t="s">
        <v>197</v>
      </c>
      <c r="D498" s="87" t="s">
        <v>292</v>
      </c>
      <c r="E498" s="126">
        <v>0</v>
      </c>
      <c r="F498" s="79">
        <f>BPU!E498</f>
        <v>0</v>
      </c>
      <c r="G498" s="95">
        <f t="shared" si="10"/>
        <v>0</v>
      </c>
    </row>
    <row r="499" spans="1:7" ht="18.600000000000001" customHeight="1" x14ac:dyDescent="0.3">
      <c r="A499" s="150" t="s">
        <v>858</v>
      </c>
      <c r="B499" s="50" t="s">
        <v>308</v>
      </c>
      <c r="C499" s="51" t="s">
        <v>197</v>
      </c>
      <c r="D499" s="87" t="s">
        <v>292</v>
      </c>
      <c r="E499" s="126">
        <v>2</v>
      </c>
      <c r="F499" s="79">
        <f>BPU!E499</f>
        <v>0</v>
      </c>
      <c r="G499" s="95">
        <f t="shared" si="10"/>
        <v>0</v>
      </c>
    </row>
    <row r="500" spans="1:7" ht="18.600000000000001" customHeight="1" x14ac:dyDescent="0.3">
      <c r="A500" s="150" t="s">
        <v>859</v>
      </c>
      <c r="B500" s="50" t="s">
        <v>309</v>
      </c>
      <c r="C500" s="51" t="s">
        <v>197</v>
      </c>
      <c r="D500" s="87" t="s">
        <v>292</v>
      </c>
      <c r="E500" s="126">
        <v>0</v>
      </c>
      <c r="F500" s="79">
        <f>BPU!E500</f>
        <v>0</v>
      </c>
      <c r="G500" s="95">
        <f t="shared" si="10"/>
        <v>0</v>
      </c>
    </row>
    <row r="501" spans="1:7" ht="18.600000000000001" customHeight="1" x14ac:dyDescent="0.3">
      <c r="A501" s="150" t="s">
        <v>860</v>
      </c>
      <c r="B501" s="50" t="s">
        <v>310</v>
      </c>
      <c r="C501" s="51" t="s">
        <v>197</v>
      </c>
      <c r="D501" s="87" t="s">
        <v>292</v>
      </c>
      <c r="E501" s="126">
        <v>5</v>
      </c>
      <c r="F501" s="79">
        <f>BPU!E501</f>
        <v>0</v>
      </c>
      <c r="G501" s="95">
        <f t="shared" ref="G501:G564" si="13">E501*F501</f>
        <v>0</v>
      </c>
    </row>
    <row r="502" spans="1:7" ht="18.600000000000001" customHeight="1" x14ac:dyDescent="0.3">
      <c r="A502" s="150" t="s">
        <v>861</v>
      </c>
      <c r="B502" s="50" t="s">
        <v>311</v>
      </c>
      <c r="C502" s="51" t="s">
        <v>197</v>
      </c>
      <c r="D502" s="87" t="s">
        <v>292</v>
      </c>
      <c r="E502" s="126">
        <v>4</v>
      </c>
      <c r="F502" s="79">
        <f>BPU!E502</f>
        <v>0</v>
      </c>
      <c r="G502" s="95">
        <f t="shared" si="13"/>
        <v>0</v>
      </c>
    </row>
    <row r="503" spans="1:7" ht="24.6" customHeight="1" x14ac:dyDescent="0.3">
      <c r="A503" s="150" t="s">
        <v>862</v>
      </c>
      <c r="B503" s="50" t="s">
        <v>313</v>
      </c>
      <c r="C503" s="51" t="s">
        <v>17</v>
      </c>
      <c r="D503" s="87" t="s">
        <v>292</v>
      </c>
      <c r="E503" s="126">
        <f>6+9.9+4+9</f>
        <v>28.9</v>
      </c>
      <c r="F503" s="79">
        <f>BPU!E503</f>
        <v>0</v>
      </c>
      <c r="G503" s="95">
        <f t="shared" si="13"/>
        <v>0</v>
      </c>
    </row>
    <row r="504" spans="1:7" ht="31.2" customHeight="1" x14ac:dyDescent="0.3">
      <c r="A504" s="150" t="s">
        <v>863</v>
      </c>
      <c r="B504" s="50" t="s">
        <v>312</v>
      </c>
      <c r="C504" s="51" t="s">
        <v>17</v>
      </c>
      <c r="D504" s="87" t="s">
        <v>292</v>
      </c>
      <c r="E504" s="126">
        <f>13+2+20</f>
        <v>35</v>
      </c>
      <c r="F504" s="79">
        <f>BPU!E504</f>
        <v>0</v>
      </c>
      <c r="G504" s="95">
        <f t="shared" si="13"/>
        <v>0</v>
      </c>
    </row>
    <row r="505" spans="1:7" s="66" customFormat="1" ht="18.600000000000001" customHeight="1" x14ac:dyDescent="0.3">
      <c r="A505" s="52" t="s">
        <v>864</v>
      </c>
      <c r="B505" s="46" t="s">
        <v>201</v>
      </c>
      <c r="C505" s="71"/>
      <c r="D505" s="89"/>
      <c r="E505" s="133"/>
      <c r="F505" s="79">
        <f>BPU!E505</f>
        <v>0</v>
      </c>
      <c r="G505" s="95">
        <f t="shared" si="13"/>
        <v>0</v>
      </c>
    </row>
    <row r="506" spans="1:7" ht="18.600000000000001" customHeight="1" x14ac:dyDescent="0.3">
      <c r="A506" s="150" t="s">
        <v>865</v>
      </c>
      <c r="B506" s="50" t="s">
        <v>202</v>
      </c>
      <c r="C506" s="51" t="s">
        <v>164</v>
      </c>
      <c r="D506" s="87" t="s">
        <v>292</v>
      </c>
      <c r="E506" s="126">
        <v>1</v>
      </c>
      <c r="F506" s="79">
        <f>BPU!E506</f>
        <v>0</v>
      </c>
      <c r="G506" s="95">
        <f t="shared" si="13"/>
        <v>0</v>
      </c>
    </row>
    <row r="507" spans="1:7" ht="18.600000000000001" customHeight="1" x14ac:dyDescent="0.3">
      <c r="A507" s="150" t="s">
        <v>866</v>
      </c>
      <c r="B507" s="50" t="s">
        <v>203</v>
      </c>
      <c r="C507" s="51" t="s">
        <v>164</v>
      </c>
      <c r="D507" s="87" t="s">
        <v>292</v>
      </c>
      <c r="E507" s="126">
        <v>1</v>
      </c>
      <c r="F507" s="79">
        <f>BPU!E507</f>
        <v>0</v>
      </c>
      <c r="G507" s="95">
        <f t="shared" si="13"/>
        <v>0</v>
      </c>
    </row>
    <row r="508" spans="1:7" ht="18.600000000000001" customHeight="1" x14ac:dyDescent="0.3">
      <c r="A508" s="150" t="s">
        <v>867</v>
      </c>
      <c r="B508" s="50" t="s">
        <v>204</v>
      </c>
      <c r="C508" s="51" t="s">
        <v>164</v>
      </c>
      <c r="D508" s="87" t="s">
        <v>292</v>
      </c>
      <c r="E508" s="126">
        <v>1</v>
      </c>
      <c r="F508" s="79">
        <f>BPU!E508</f>
        <v>0</v>
      </c>
      <c r="G508" s="95">
        <f t="shared" si="13"/>
        <v>0</v>
      </c>
    </row>
    <row r="509" spans="1:7" ht="18.600000000000001" customHeight="1" x14ac:dyDescent="0.3">
      <c r="A509" s="150" t="s">
        <v>868</v>
      </c>
      <c r="B509" s="50" t="s">
        <v>205</v>
      </c>
      <c r="C509" s="51" t="s">
        <v>164</v>
      </c>
      <c r="D509" s="87" t="s">
        <v>292</v>
      </c>
      <c r="E509" s="126">
        <v>1</v>
      </c>
      <c r="F509" s="79">
        <f>BPU!E509</f>
        <v>0</v>
      </c>
      <c r="G509" s="95">
        <f t="shared" si="13"/>
        <v>0</v>
      </c>
    </row>
    <row r="510" spans="1:7" ht="18.600000000000001" customHeight="1" x14ac:dyDescent="0.3">
      <c r="A510" s="150" t="s">
        <v>869</v>
      </c>
      <c r="B510" s="50" t="s">
        <v>206</v>
      </c>
      <c r="C510" s="51" t="s">
        <v>164</v>
      </c>
      <c r="D510" s="87" t="s">
        <v>292</v>
      </c>
      <c r="E510" s="126">
        <v>1</v>
      </c>
      <c r="F510" s="79">
        <f>BPU!E510</f>
        <v>0</v>
      </c>
      <c r="G510" s="95">
        <f t="shared" si="13"/>
        <v>0</v>
      </c>
    </row>
    <row r="511" spans="1:7" ht="25.2" customHeight="1" x14ac:dyDescent="0.3">
      <c r="A511" s="150" t="s">
        <v>870</v>
      </c>
      <c r="B511" s="50" t="s">
        <v>353</v>
      </c>
      <c r="C511" s="67" t="s">
        <v>333</v>
      </c>
      <c r="D511" s="87" t="s">
        <v>292</v>
      </c>
      <c r="E511" s="126">
        <v>62</v>
      </c>
      <c r="F511" s="79">
        <f>BPU!E511</f>
        <v>0</v>
      </c>
      <c r="G511" s="95">
        <f t="shared" si="13"/>
        <v>0</v>
      </c>
    </row>
    <row r="512" spans="1:7" ht="18.600000000000001" customHeight="1" thickBot="1" x14ac:dyDescent="0.35">
      <c r="A512" s="150" t="s">
        <v>871</v>
      </c>
      <c r="B512" s="50" t="s">
        <v>207</v>
      </c>
      <c r="C512" s="51" t="s">
        <v>17</v>
      </c>
      <c r="D512" s="87" t="s">
        <v>292</v>
      </c>
      <c r="E512" s="126">
        <v>36</v>
      </c>
      <c r="F512" s="79">
        <f>BPU!E512</f>
        <v>0</v>
      </c>
      <c r="G512" s="95">
        <f t="shared" si="13"/>
        <v>0</v>
      </c>
    </row>
    <row r="513" spans="1:23" s="98" customFormat="1" ht="15" thickBot="1" x14ac:dyDescent="0.35">
      <c r="A513" s="52"/>
      <c r="B513" s="96" t="s">
        <v>392</v>
      </c>
      <c r="C513" s="97"/>
      <c r="D513" s="97"/>
      <c r="E513" s="128"/>
      <c r="F513" s="145">
        <f>BPU!E513</f>
        <v>0</v>
      </c>
      <c r="G513" s="146">
        <f>SUM(G416:G512)</f>
        <v>0</v>
      </c>
      <c r="J513" s="99"/>
      <c r="K513" s="75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100"/>
      <c r="W513" s="100"/>
    </row>
    <row r="514" spans="1:23" s="58" customFormat="1" ht="16.8" customHeight="1" x14ac:dyDescent="0.3">
      <c r="A514" s="70" t="s">
        <v>52</v>
      </c>
      <c r="B514" s="70" t="s">
        <v>354</v>
      </c>
      <c r="C514" s="52"/>
      <c r="D514" s="87"/>
      <c r="E514" s="126"/>
      <c r="F514" s="79">
        <f>BPU!E514</f>
        <v>0</v>
      </c>
      <c r="G514" s="95">
        <f t="shared" si="13"/>
        <v>0</v>
      </c>
    </row>
    <row r="515" spans="1:23" ht="18.600000000000001" customHeight="1" x14ac:dyDescent="0.3">
      <c r="A515" s="52" t="s">
        <v>53</v>
      </c>
      <c r="B515" s="46" t="s">
        <v>161</v>
      </c>
      <c r="C515" s="52"/>
      <c r="D515" s="87"/>
      <c r="E515" s="126"/>
      <c r="F515" s="79">
        <f>BPU!E515</f>
        <v>0</v>
      </c>
      <c r="G515" s="95">
        <f t="shared" si="13"/>
        <v>0</v>
      </c>
    </row>
    <row r="516" spans="1:23" ht="28.8" customHeight="1" x14ac:dyDescent="0.3">
      <c r="A516" s="150" t="s">
        <v>872</v>
      </c>
      <c r="B516" s="153" t="s">
        <v>1308</v>
      </c>
      <c r="C516" s="51" t="s">
        <v>181</v>
      </c>
      <c r="D516" s="87" t="s">
        <v>292</v>
      </c>
      <c r="E516" s="126">
        <v>49.1</v>
      </c>
      <c r="F516" s="79">
        <f>BPU!E516</f>
        <v>0</v>
      </c>
      <c r="G516" s="95">
        <f t="shared" si="13"/>
        <v>0</v>
      </c>
    </row>
    <row r="517" spans="1:23" ht="18.600000000000001" customHeight="1" x14ac:dyDescent="0.3">
      <c r="A517" s="150" t="s">
        <v>873</v>
      </c>
      <c r="B517" s="52" t="s">
        <v>196</v>
      </c>
      <c r="C517" s="51" t="s">
        <v>17</v>
      </c>
      <c r="D517" s="87" t="s">
        <v>292</v>
      </c>
      <c r="E517" s="126">
        <v>0</v>
      </c>
      <c r="F517" s="79">
        <f>BPU!E517</f>
        <v>0</v>
      </c>
      <c r="G517" s="95">
        <f t="shared" si="13"/>
        <v>0</v>
      </c>
    </row>
    <row r="518" spans="1:23" ht="18.600000000000001" customHeight="1" x14ac:dyDescent="0.3">
      <c r="A518" s="150" t="s">
        <v>874</v>
      </c>
      <c r="B518" s="52" t="s">
        <v>210</v>
      </c>
      <c r="C518" s="51" t="s">
        <v>197</v>
      </c>
      <c r="D518" s="87" t="s">
        <v>292</v>
      </c>
      <c r="E518" s="126">
        <v>0</v>
      </c>
      <c r="F518" s="79">
        <f>BPU!E518</f>
        <v>0</v>
      </c>
      <c r="G518" s="95">
        <f t="shared" si="13"/>
        <v>0</v>
      </c>
    </row>
    <row r="519" spans="1:23" ht="18.600000000000001" customHeight="1" x14ac:dyDescent="0.3">
      <c r="A519" s="150" t="s">
        <v>875</v>
      </c>
      <c r="B519" s="52" t="s">
        <v>209</v>
      </c>
      <c r="C519" s="51" t="s">
        <v>197</v>
      </c>
      <c r="D519" s="87" t="s">
        <v>292</v>
      </c>
      <c r="E519" s="126">
        <v>0</v>
      </c>
      <c r="F519" s="79">
        <f>BPU!E519</f>
        <v>0</v>
      </c>
      <c r="G519" s="95">
        <f t="shared" si="13"/>
        <v>0</v>
      </c>
    </row>
    <row r="520" spans="1:23" ht="18.600000000000001" customHeight="1" x14ac:dyDescent="0.3">
      <c r="A520" s="150" t="s">
        <v>876</v>
      </c>
      <c r="B520" s="52" t="s">
        <v>199</v>
      </c>
      <c r="C520" s="51" t="s">
        <v>181</v>
      </c>
      <c r="D520" s="87" t="s">
        <v>292</v>
      </c>
      <c r="E520" s="126">
        <f>49.1*1.25</f>
        <v>61.375</v>
      </c>
      <c r="F520" s="79">
        <f>BPU!E520</f>
        <v>0</v>
      </c>
      <c r="G520" s="95">
        <f t="shared" si="13"/>
        <v>0</v>
      </c>
    </row>
    <row r="521" spans="1:23" ht="18.600000000000001" customHeight="1" x14ac:dyDescent="0.3">
      <c r="A521" s="150" t="s">
        <v>877</v>
      </c>
      <c r="B521" s="52" t="s">
        <v>293</v>
      </c>
      <c r="C521" s="51" t="s">
        <v>181</v>
      </c>
      <c r="D521" s="87" t="s">
        <v>292</v>
      </c>
      <c r="E521" s="126">
        <v>0</v>
      </c>
      <c r="F521" s="79">
        <f>BPU!E521</f>
        <v>0</v>
      </c>
      <c r="G521" s="95">
        <f t="shared" si="13"/>
        <v>0</v>
      </c>
    </row>
    <row r="522" spans="1:23" ht="28.2" customHeight="1" x14ac:dyDescent="0.3">
      <c r="A522" s="150" t="s">
        <v>878</v>
      </c>
      <c r="B522" s="61" t="s">
        <v>198</v>
      </c>
      <c r="C522" s="51" t="s">
        <v>79</v>
      </c>
      <c r="D522" s="87" t="s">
        <v>158</v>
      </c>
      <c r="E522" s="126">
        <v>0</v>
      </c>
      <c r="F522" s="79">
        <f>BPU!E522</f>
        <v>0</v>
      </c>
      <c r="G522" s="95">
        <f t="shared" si="13"/>
        <v>0</v>
      </c>
    </row>
    <row r="523" spans="1:23" ht="18.600000000000001" customHeight="1" x14ac:dyDescent="0.3">
      <c r="A523" s="52" t="s">
        <v>59</v>
      </c>
      <c r="B523" s="46" t="s">
        <v>208</v>
      </c>
      <c r="C523" s="51"/>
      <c r="D523" s="87"/>
      <c r="E523" s="126"/>
      <c r="F523" s="79">
        <f>BPU!E523</f>
        <v>0</v>
      </c>
      <c r="G523" s="95">
        <f t="shared" si="13"/>
        <v>0</v>
      </c>
    </row>
    <row r="524" spans="1:23" ht="18.600000000000001" customHeight="1" x14ac:dyDescent="0.3">
      <c r="A524" s="150" t="s">
        <v>879</v>
      </c>
      <c r="B524" s="52" t="s">
        <v>211</v>
      </c>
      <c r="C524" s="51" t="s">
        <v>230</v>
      </c>
      <c r="D524" s="87" t="s">
        <v>292</v>
      </c>
      <c r="E524" s="126">
        <v>0</v>
      </c>
      <c r="F524" s="79">
        <f>BPU!E524</f>
        <v>0</v>
      </c>
      <c r="G524" s="95">
        <f t="shared" si="13"/>
        <v>0</v>
      </c>
    </row>
    <row r="525" spans="1:23" ht="18.600000000000001" customHeight="1" x14ac:dyDescent="0.3">
      <c r="A525" s="150" t="s">
        <v>880</v>
      </c>
      <c r="B525" s="52" t="s">
        <v>212</v>
      </c>
      <c r="C525" s="51" t="s">
        <v>230</v>
      </c>
      <c r="D525" s="87" t="s">
        <v>292</v>
      </c>
      <c r="E525" s="126">
        <v>0</v>
      </c>
      <c r="F525" s="79">
        <f>BPU!E525</f>
        <v>0</v>
      </c>
      <c r="G525" s="95">
        <f t="shared" si="13"/>
        <v>0</v>
      </c>
    </row>
    <row r="526" spans="1:23" ht="18.600000000000001" customHeight="1" x14ac:dyDescent="0.3">
      <c r="A526" s="52" t="s">
        <v>60</v>
      </c>
      <c r="B526" s="46" t="s">
        <v>168</v>
      </c>
      <c r="C526" s="52"/>
      <c r="D526" s="87"/>
      <c r="E526" s="126"/>
      <c r="F526" s="79">
        <f>BPU!E526</f>
        <v>0</v>
      </c>
      <c r="G526" s="95">
        <f t="shared" si="13"/>
        <v>0</v>
      </c>
    </row>
    <row r="527" spans="1:23" s="65" customFormat="1" ht="18.600000000000001" customHeight="1" x14ac:dyDescent="0.3">
      <c r="A527" s="150" t="s">
        <v>881</v>
      </c>
      <c r="B527" s="50" t="s">
        <v>213</v>
      </c>
      <c r="C527" s="51" t="s">
        <v>230</v>
      </c>
      <c r="D527" s="88" t="s">
        <v>292</v>
      </c>
      <c r="E527" s="130">
        <v>0</v>
      </c>
      <c r="F527" s="79">
        <f>BPU!E527</f>
        <v>0</v>
      </c>
      <c r="G527" s="95">
        <f t="shared" si="13"/>
        <v>0</v>
      </c>
    </row>
    <row r="528" spans="1:23" s="65" customFormat="1" ht="18.600000000000001" customHeight="1" x14ac:dyDescent="0.3">
      <c r="A528" s="150" t="s">
        <v>882</v>
      </c>
      <c r="B528" s="50" t="s">
        <v>187</v>
      </c>
      <c r="C528" s="51" t="s">
        <v>230</v>
      </c>
      <c r="D528" s="88" t="s">
        <v>292</v>
      </c>
      <c r="E528" s="130">
        <v>0</v>
      </c>
      <c r="F528" s="79">
        <f>BPU!E528</f>
        <v>0</v>
      </c>
      <c r="G528" s="95">
        <f t="shared" si="13"/>
        <v>0</v>
      </c>
    </row>
    <row r="529" spans="1:7" s="65" customFormat="1" ht="18.600000000000001" customHeight="1" x14ac:dyDescent="0.3">
      <c r="A529" s="150" t="s">
        <v>883</v>
      </c>
      <c r="B529" s="50" t="s">
        <v>214</v>
      </c>
      <c r="C529" s="51" t="s">
        <v>230</v>
      </c>
      <c r="D529" s="88" t="s">
        <v>292</v>
      </c>
      <c r="E529" s="130">
        <v>0</v>
      </c>
      <c r="F529" s="79">
        <f>BPU!E529</f>
        <v>0</v>
      </c>
      <c r="G529" s="95">
        <f t="shared" si="13"/>
        <v>0</v>
      </c>
    </row>
    <row r="530" spans="1:7" s="65" customFormat="1" ht="33" customHeight="1" x14ac:dyDescent="0.3">
      <c r="A530" s="150" t="s">
        <v>884</v>
      </c>
      <c r="B530" s="50" t="s">
        <v>215</v>
      </c>
      <c r="C530" s="51" t="s">
        <v>230</v>
      </c>
      <c r="D530" s="88" t="s">
        <v>292</v>
      </c>
      <c r="E530" s="130">
        <v>0</v>
      </c>
      <c r="F530" s="79">
        <f>BPU!E530</f>
        <v>0</v>
      </c>
      <c r="G530" s="95">
        <f t="shared" si="13"/>
        <v>0</v>
      </c>
    </row>
    <row r="531" spans="1:7" ht="18.600000000000001" customHeight="1" x14ac:dyDescent="0.3">
      <c r="A531" s="52" t="s">
        <v>61</v>
      </c>
      <c r="B531" s="46" t="s">
        <v>169</v>
      </c>
      <c r="C531" s="52"/>
      <c r="D531" s="87"/>
      <c r="E531" s="126"/>
      <c r="F531" s="79">
        <f>BPU!E531</f>
        <v>0</v>
      </c>
      <c r="G531" s="95">
        <f t="shared" si="13"/>
        <v>0</v>
      </c>
    </row>
    <row r="532" spans="1:7" ht="18.600000000000001" customHeight="1" x14ac:dyDescent="0.3">
      <c r="A532" s="150" t="s">
        <v>885</v>
      </c>
      <c r="B532" s="50" t="s">
        <v>216</v>
      </c>
      <c r="C532" s="51" t="s">
        <v>230</v>
      </c>
      <c r="D532" s="87" t="s">
        <v>292</v>
      </c>
      <c r="E532" s="126">
        <f>49.1*0.1</f>
        <v>4.91</v>
      </c>
      <c r="F532" s="79">
        <f>BPU!E532</f>
        <v>0</v>
      </c>
      <c r="G532" s="95">
        <f t="shared" si="13"/>
        <v>0</v>
      </c>
    </row>
    <row r="533" spans="1:7" ht="18.600000000000001" customHeight="1" x14ac:dyDescent="0.3">
      <c r="A533" s="150" t="s">
        <v>886</v>
      </c>
      <c r="B533" s="50" t="s">
        <v>217</v>
      </c>
      <c r="C533" s="51" t="s">
        <v>230</v>
      </c>
      <c r="D533" s="87" t="s">
        <v>292</v>
      </c>
      <c r="E533" s="126">
        <v>0</v>
      </c>
      <c r="F533" s="79">
        <f>BPU!E533</f>
        <v>0</v>
      </c>
      <c r="G533" s="95">
        <f t="shared" si="13"/>
        <v>0</v>
      </c>
    </row>
    <row r="534" spans="1:7" ht="18.600000000000001" customHeight="1" x14ac:dyDescent="0.3">
      <c r="A534" s="150" t="s">
        <v>887</v>
      </c>
      <c r="B534" s="50" t="s">
        <v>218</v>
      </c>
      <c r="C534" s="51" t="s">
        <v>230</v>
      </c>
      <c r="D534" s="87" t="s">
        <v>292</v>
      </c>
      <c r="E534" s="126">
        <v>0</v>
      </c>
      <c r="F534" s="79">
        <f>BPU!E534</f>
        <v>0</v>
      </c>
      <c r="G534" s="95">
        <f t="shared" si="13"/>
        <v>0</v>
      </c>
    </row>
    <row r="535" spans="1:7" ht="18.600000000000001" customHeight="1" x14ac:dyDescent="0.3">
      <c r="A535" s="150" t="s">
        <v>888</v>
      </c>
      <c r="B535" s="50" t="s">
        <v>219</v>
      </c>
      <c r="C535" s="51" t="s">
        <v>230</v>
      </c>
      <c r="D535" s="87" t="s">
        <v>292</v>
      </c>
      <c r="E535" s="126">
        <v>0</v>
      </c>
      <c r="F535" s="79">
        <f>BPU!E535</f>
        <v>0</v>
      </c>
      <c r="G535" s="95">
        <f t="shared" si="13"/>
        <v>0</v>
      </c>
    </row>
    <row r="536" spans="1:7" ht="18.600000000000001" customHeight="1" x14ac:dyDescent="0.3">
      <c r="A536" s="150" t="s">
        <v>889</v>
      </c>
      <c r="B536" s="50" t="s">
        <v>220</v>
      </c>
      <c r="C536" s="51" t="s">
        <v>230</v>
      </c>
      <c r="D536" s="87" t="s">
        <v>292</v>
      </c>
      <c r="E536" s="126">
        <v>0</v>
      </c>
      <c r="F536" s="79">
        <f>BPU!E536</f>
        <v>0</v>
      </c>
      <c r="G536" s="95">
        <f t="shared" si="13"/>
        <v>0</v>
      </c>
    </row>
    <row r="537" spans="1:7" ht="18.600000000000001" customHeight="1" x14ac:dyDescent="0.3">
      <c r="A537" s="150" t="s">
        <v>890</v>
      </c>
      <c r="B537" s="50" t="s">
        <v>221</v>
      </c>
      <c r="C537" s="51" t="s">
        <v>230</v>
      </c>
      <c r="D537" s="87" t="s">
        <v>292</v>
      </c>
      <c r="E537" s="126">
        <v>0</v>
      </c>
      <c r="F537" s="79">
        <f>BPU!E537</f>
        <v>0</v>
      </c>
      <c r="G537" s="95">
        <f t="shared" si="13"/>
        <v>0</v>
      </c>
    </row>
    <row r="538" spans="1:7" ht="18.600000000000001" customHeight="1" x14ac:dyDescent="0.3">
      <c r="A538" s="150" t="s">
        <v>891</v>
      </c>
      <c r="B538" s="50" t="s">
        <v>222</v>
      </c>
      <c r="C538" s="51" t="s">
        <v>230</v>
      </c>
      <c r="D538" s="87" t="s">
        <v>292</v>
      </c>
      <c r="E538" s="126">
        <v>0</v>
      </c>
      <c r="F538" s="79">
        <f>BPU!E538</f>
        <v>0</v>
      </c>
      <c r="G538" s="95">
        <f t="shared" si="13"/>
        <v>0</v>
      </c>
    </row>
    <row r="539" spans="1:7" ht="18.600000000000001" customHeight="1" x14ac:dyDescent="0.3">
      <c r="A539" s="52" t="s">
        <v>62</v>
      </c>
      <c r="B539" s="46" t="s">
        <v>170</v>
      </c>
      <c r="C539" s="52"/>
      <c r="D539" s="87"/>
      <c r="E539" s="126"/>
      <c r="F539" s="79">
        <f>BPU!E539</f>
        <v>0</v>
      </c>
      <c r="G539" s="95">
        <f t="shared" si="13"/>
        <v>0</v>
      </c>
    </row>
    <row r="540" spans="1:7" ht="18.600000000000001" customHeight="1" x14ac:dyDescent="0.3">
      <c r="A540" s="150" t="s">
        <v>892</v>
      </c>
      <c r="B540" s="50" t="s">
        <v>223</v>
      </c>
      <c r="C540" s="51" t="s">
        <v>230</v>
      </c>
      <c r="D540" s="87" t="s">
        <v>292</v>
      </c>
      <c r="E540" s="126">
        <v>0</v>
      </c>
      <c r="F540" s="79">
        <f>BPU!E540</f>
        <v>0</v>
      </c>
      <c r="G540" s="95">
        <f t="shared" si="13"/>
        <v>0</v>
      </c>
    </row>
    <row r="541" spans="1:7" ht="18.600000000000001" customHeight="1" x14ac:dyDescent="0.3">
      <c r="A541" s="150" t="s">
        <v>893</v>
      </c>
      <c r="B541" s="50" t="s">
        <v>224</v>
      </c>
      <c r="C541" s="51" t="s">
        <v>230</v>
      </c>
      <c r="D541" s="87" t="s">
        <v>292</v>
      </c>
      <c r="E541" s="126">
        <v>0</v>
      </c>
      <c r="F541" s="79">
        <f>BPU!E541</f>
        <v>0</v>
      </c>
      <c r="G541" s="95">
        <f t="shared" si="13"/>
        <v>0</v>
      </c>
    </row>
    <row r="542" spans="1:7" ht="18.600000000000001" customHeight="1" x14ac:dyDescent="0.3">
      <c r="A542" s="150" t="s">
        <v>894</v>
      </c>
      <c r="B542" s="50" t="s">
        <v>178</v>
      </c>
      <c r="C542" s="51" t="s">
        <v>230</v>
      </c>
      <c r="D542" s="87" t="s">
        <v>292</v>
      </c>
      <c r="E542" s="126">
        <f>49.1*0.25</f>
        <v>12.275</v>
      </c>
      <c r="F542" s="79">
        <f>BPU!E542</f>
        <v>0</v>
      </c>
      <c r="G542" s="95">
        <f t="shared" si="13"/>
        <v>0</v>
      </c>
    </row>
    <row r="543" spans="1:7" ht="18.600000000000001" customHeight="1" x14ac:dyDescent="0.3">
      <c r="A543" s="52" t="s">
        <v>895</v>
      </c>
      <c r="B543" s="46" t="s">
        <v>171</v>
      </c>
      <c r="C543" s="52"/>
      <c r="D543" s="87"/>
      <c r="E543" s="126"/>
      <c r="F543" s="79">
        <f>BPU!E543</f>
        <v>0</v>
      </c>
      <c r="G543" s="95">
        <f t="shared" si="13"/>
        <v>0</v>
      </c>
    </row>
    <row r="544" spans="1:7" ht="26.4" customHeight="1" x14ac:dyDescent="0.3">
      <c r="A544" s="150" t="s">
        <v>896</v>
      </c>
      <c r="B544" s="50" t="s">
        <v>229</v>
      </c>
      <c r="C544" s="51" t="s">
        <v>181</v>
      </c>
      <c r="D544" s="87" t="s">
        <v>292</v>
      </c>
      <c r="E544" s="126">
        <v>0</v>
      </c>
      <c r="F544" s="79">
        <f>BPU!E544</f>
        <v>0</v>
      </c>
      <c r="G544" s="95">
        <f t="shared" si="13"/>
        <v>0</v>
      </c>
    </row>
    <row r="545" spans="1:7" ht="18.600000000000001" customHeight="1" x14ac:dyDescent="0.3">
      <c r="A545" s="150" t="s">
        <v>897</v>
      </c>
      <c r="B545" s="50" t="s">
        <v>225</v>
      </c>
      <c r="C545" s="51" t="s">
        <v>181</v>
      </c>
      <c r="D545" s="87" t="s">
        <v>292</v>
      </c>
      <c r="E545" s="126">
        <v>0</v>
      </c>
      <c r="F545" s="79">
        <f>BPU!E545</f>
        <v>0</v>
      </c>
      <c r="G545" s="95">
        <f t="shared" si="13"/>
        <v>0</v>
      </c>
    </row>
    <row r="546" spans="1:7" ht="18.600000000000001" customHeight="1" x14ac:dyDescent="0.3">
      <c r="A546" s="150" t="s">
        <v>898</v>
      </c>
      <c r="B546" s="50" t="s">
        <v>226</v>
      </c>
      <c r="C546" s="51" t="s">
        <v>181</v>
      </c>
      <c r="D546" s="87" t="s">
        <v>292</v>
      </c>
      <c r="E546" s="126">
        <v>0</v>
      </c>
      <c r="F546" s="79">
        <f>BPU!E546</f>
        <v>0</v>
      </c>
      <c r="G546" s="95">
        <f t="shared" si="13"/>
        <v>0</v>
      </c>
    </row>
    <row r="547" spans="1:7" ht="18.600000000000001" customHeight="1" x14ac:dyDescent="0.3">
      <c r="A547" s="150" t="s">
        <v>899</v>
      </c>
      <c r="B547" s="50" t="s">
        <v>227</v>
      </c>
      <c r="C547" s="51" t="s">
        <v>181</v>
      </c>
      <c r="D547" s="87" t="s">
        <v>292</v>
      </c>
      <c r="E547" s="126">
        <v>0</v>
      </c>
      <c r="F547" s="79">
        <f>BPU!E547</f>
        <v>0</v>
      </c>
      <c r="G547" s="95">
        <f t="shared" si="13"/>
        <v>0</v>
      </c>
    </row>
    <row r="548" spans="1:7" ht="18.600000000000001" customHeight="1" x14ac:dyDescent="0.3">
      <c r="A548" s="150" t="s">
        <v>900</v>
      </c>
      <c r="B548" s="50" t="s">
        <v>228</v>
      </c>
      <c r="C548" s="51" t="s">
        <v>181</v>
      </c>
      <c r="D548" s="87" t="s">
        <v>292</v>
      </c>
      <c r="E548" s="126">
        <v>0</v>
      </c>
      <c r="F548" s="79">
        <f>BPU!E548</f>
        <v>0</v>
      </c>
      <c r="G548" s="95">
        <f t="shared" si="13"/>
        <v>0</v>
      </c>
    </row>
    <row r="549" spans="1:7" ht="18.600000000000001" customHeight="1" x14ac:dyDescent="0.3">
      <c r="A549" s="52" t="s">
        <v>901</v>
      </c>
      <c r="B549" s="46" t="s">
        <v>172</v>
      </c>
      <c r="C549" s="52"/>
      <c r="D549" s="87"/>
      <c r="E549" s="126"/>
      <c r="F549" s="79">
        <f>BPU!E549</f>
        <v>0</v>
      </c>
      <c r="G549" s="95">
        <f t="shared" si="13"/>
        <v>0</v>
      </c>
    </row>
    <row r="550" spans="1:7" ht="18.600000000000001" customHeight="1" x14ac:dyDescent="0.3">
      <c r="A550" s="150" t="s">
        <v>902</v>
      </c>
      <c r="B550" s="50" t="s">
        <v>231</v>
      </c>
      <c r="C550" s="51" t="s">
        <v>181</v>
      </c>
      <c r="D550" s="87" t="s">
        <v>292</v>
      </c>
      <c r="E550" s="126">
        <v>0</v>
      </c>
      <c r="F550" s="79">
        <f>BPU!E550</f>
        <v>0</v>
      </c>
      <c r="G550" s="95">
        <f t="shared" si="13"/>
        <v>0</v>
      </c>
    </row>
    <row r="551" spans="1:7" ht="18.600000000000001" customHeight="1" x14ac:dyDescent="0.3">
      <c r="A551" s="150" t="s">
        <v>903</v>
      </c>
      <c r="B551" s="50" t="s">
        <v>232</v>
      </c>
      <c r="C551" s="51" t="s">
        <v>181</v>
      </c>
      <c r="D551" s="87" t="s">
        <v>292</v>
      </c>
      <c r="E551" s="126">
        <v>0</v>
      </c>
      <c r="F551" s="79">
        <f>BPU!E551</f>
        <v>0</v>
      </c>
      <c r="G551" s="95">
        <f t="shared" si="13"/>
        <v>0</v>
      </c>
    </row>
    <row r="552" spans="1:7" ht="28.2" customHeight="1" x14ac:dyDescent="0.3">
      <c r="A552" s="150" t="s">
        <v>904</v>
      </c>
      <c r="B552" s="50" t="s">
        <v>233</v>
      </c>
      <c r="C552" s="51" t="s">
        <v>181</v>
      </c>
      <c r="D552" s="87" t="s">
        <v>292</v>
      </c>
      <c r="E552" s="126">
        <v>49.1</v>
      </c>
      <c r="F552" s="79">
        <f>BPU!E552</f>
        <v>0</v>
      </c>
      <c r="G552" s="95">
        <f t="shared" si="13"/>
        <v>0</v>
      </c>
    </row>
    <row r="553" spans="1:7" ht="18.600000000000001" customHeight="1" x14ac:dyDescent="0.3">
      <c r="A553" s="150" t="s">
        <v>905</v>
      </c>
      <c r="B553" s="50" t="s">
        <v>234</v>
      </c>
      <c r="C553" s="51" t="s">
        <v>181</v>
      </c>
      <c r="D553" s="87" t="s">
        <v>292</v>
      </c>
      <c r="E553" s="126">
        <v>0</v>
      </c>
      <c r="F553" s="79">
        <f>BPU!E553</f>
        <v>0</v>
      </c>
      <c r="G553" s="95">
        <f t="shared" si="13"/>
        <v>0</v>
      </c>
    </row>
    <row r="554" spans="1:7" ht="18.600000000000001" customHeight="1" x14ac:dyDescent="0.3">
      <c r="A554" s="52" t="s">
        <v>906</v>
      </c>
      <c r="B554" s="46" t="s">
        <v>173</v>
      </c>
      <c r="C554" s="52"/>
      <c r="D554" s="87"/>
      <c r="E554" s="126"/>
      <c r="F554" s="79">
        <f>BPU!E554</f>
        <v>0</v>
      </c>
      <c r="G554" s="95">
        <f t="shared" si="13"/>
        <v>0</v>
      </c>
    </row>
    <row r="555" spans="1:7" ht="18.600000000000001" customHeight="1" x14ac:dyDescent="0.3">
      <c r="A555" s="150" t="s">
        <v>907</v>
      </c>
      <c r="B555" s="50" t="s">
        <v>259</v>
      </c>
      <c r="C555" s="51" t="s">
        <v>181</v>
      </c>
      <c r="D555" s="87" t="s">
        <v>292</v>
      </c>
      <c r="E555" s="126">
        <v>0</v>
      </c>
      <c r="F555" s="79">
        <f>BPU!E555</f>
        <v>0</v>
      </c>
      <c r="G555" s="95">
        <f t="shared" si="13"/>
        <v>0</v>
      </c>
    </row>
    <row r="556" spans="1:7" ht="18.600000000000001" customHeight="1" x14ac:dyDescent="0.3">
      <c r="A556" s="150" t="s">
        <v>908</v>
      </c>
      <c r="B556" s="50" t="s">
        <v>235</v>
      </c>
      <c r="C556" s="51" t="s">
        <v>181</v>
      </c>
      <c r="D556" s="87" t="s">
        <v>292</v>
      </c>
      <c r="E556" s="126">
        <v>0</v>
      </c>
      <c r="F556" s="79">
        <f>BPU!E556</f>
        <v>0</v>
      </c>
      <c r="G556" s="95">
        <f t="shared" si="13"/>
        <v>0</v>
      </c>
    </row>
    <row r="557" spans="1:7" ht="18.600000000000001" customHeight="1" x14ac:dyDescent="0.3">
      <c r="A557" s="150" t="s">
        <v>909</v>
      </c>
      <c r="B557" s="50" t="s">
        <v>236</v>
      </c>
      <c r="C557" s="51" t="s">
        <v>181</v>
      </c>
      <c r="D557" s="87" t="s">
        <v>292</v>
      </c>
      <c r="E557" s="126">
        <v>0</v>
      </c>
      <c r="F557" s="79">
        <f>BPU!E557</f>
        <v>0</v>
      </c>
      <c r="G557" s="95">
        <f t="shared" si="13"/>
        <v>0</v>
      </c>
    </row>
    <row r="558" spans="1:7" ht="18.600000000000001" customHeight="1" x14ac:dyDescent="0.3">
      <c r="A558" s="150" t="s">
        <v>910</v>
      </c>
      <c r="B558" s="50" t="s">
        <v>237</v>
      </c>
      <c r="C558" s="51" t="s">
        <v>181</v>
      </c>
      <c r="D558" s="87" t="s">
        <v>292</v>
      </c>
      <c r="E558" s="126">
        <v>0</v>
      </c>
      <c r="F558" s="79">
        <f>BPU!E558</f>
        <v>0</v>
      </c>
      <c r="G558" s="95">
        <f t="shared" si="13"/>
        <v>0</v>
      </c>
    </row>
    <row r="559" spans="1:7" ht="18.600000000000001" customHeight="1" x14ac:dyDescent="0.3">
      <c r="A559" s="150" t="s">
        <v>911</v>
      </c>
      <c r="B559" s="50" t="s">
        <v>238</v>
      </c>
      <c r="C559" s="51" t="s">
        <v>181</v>
      </c>
      <c r="D559" s="87" t="s">
        <v>292</v>
      </c>
      <c r="E559" s="126">
        <v>0</v>
      </c>
      <c r="F559" s="79">
        <f>BPU!E559</f>
        <v>0</v>
      </c>
      <c r="G559" s="95">
        <f t="shared" si="13"/>
        <v>0</v>
      </c>
    </row>
    <row r="560" spans="1:7" ht="18.600000000000001" customHeight="1" x14ac:dyDescent="0.3">
      <c r="A560" s="150" t="s">
        <v>912</v>
      </c>
      <c r="B560" s="50" t="s">
        <v>179</v>
      </c>
      <c r="C560" s="51" t="s">
        <v>181</v>
      </c>
      <c r="D560" s="87" t="s">
        <v>292</v>
      </c>
      <c r="E560" s="126">
        <v>0</v>
      </c>
      <c r="F560" s="79">
        <f>BPU!E560</f>
        <v>0</v>
      </c>
      <c r="G560" s="95">
        <f t="shared" si="13"/>
        <v>0</v>
      </c>
    </row>
    <row r="561" spans="1:7" ht="18.600000000000001" customHeight="1" x14ac:dyDescent="0.3">
      <c r="A561" s="150" t="s">
        <v>913</v>
      </c>
      <c r="B561" s="50" t="s">
        <v>239</v>
      </c>
      <c r="C561" s="51" t="s">
        <v>181</v>
      </c>
      <c r="D561" s="87" t="s">
        <v>292</v>
      </c>
      <c r="E561" s="126">
        <v>0</v>
      </c>
      <c r="F561" s="79">
        <f>BPU!E561</f>
        <v>0</v>
      </c>
      <c r="G561" s="95">
        <f t="shared" si="13"/>
        <v>0</v>
      </c>
    </row>
    <row r="562" spans="1:7" ht="18.600000000000001" customHeight="1" x14ac:dyDescent="0.3">
      <c r="A562" s="52" t="s">
        <v>914</v>
      </c>
      <c r="B562" s="46" t="s">
        <v>174</v>
      </c>
      <c r="C562" s="52"/>
      <c r="D562" s="87"/>
      <c r="E562" s="126"/>
      <c r="F562" s="79">
        <f>BPU!E562</f>
        <v>0</v>
      </c>
      <c r="G562" s="95">
        <f t="shared" si="13"/>
        <v>0</v>
      </c>
    </row>
    <row r="563" spans="1:7" ht="18.600000000000001" customHeight="1" x14ac:dyDescent="0.3">
      <c r="A563" s="150" t="s">
        <v>915</v>
      </c>
      <c r="B563" s="50" t="s">
        <v>240</v>
      </c>
      <c r="C563" s="51" t="s">
        <v>181</v>
      </c>
      <c r="D563" s="87" t="s">
        <v>292</v>
      </c>
      <c r="E563" s="126">
        <v>0</v>
      </c>
      <c r="F563" s="79">
        <f>BPU!E563</f>
        <v>0</v>
      </c>
      <c r="G563" s="95">
        <f t="shared" si="13"/>
        <v>0</v>
      </c>
    </row>
    <row r="564" spans="1:7" ht="18.600000000000001" customHeight="1" x14ac:dyDescent="0.3">
      <c r="A564" s="150" t="s">
        <v>916</v>
      </c>
      <c r="B564" s="50" t="s">
        <v>241</v>
      </c>
      <c r="C564" s="51" t="s">
        <v>181</v>
      </c>
      <c r="D564" s="87" t="s">
        <v>292</v>
      </c>
      <c r="E564" s="126">
        <v>0</v>
      </c>
      <c r="F564" s="79">
        <f>BPU!E564</f>
        <v>0</v>
      </c>
      <c r="G564" s="95">
        <f t="shared" si="13"/>
        <v>0</v>
      </c>
    </row>
    <row r="565" spans="1:7" ht="18.600000000000001" customHeight="1" x14ac:dyDescent="0.3">
      <c r="A565" s="150" t="s">
        <v>917</v>
      </c>
      <c r="B565" s="50" t="s">
        <v>242</v>
      </c>
      <c r="C565" s="51" t="s">
        <v>181</v>
      </c>
      <c r="D565" s="87" t="s">
        <v>292</v>
      </c>
      <c r="E565" s="126">
        <v>0</v>
      </c>
      <c r="F565" s="79">
        <f>BPU!E565</f>
        <v>0</v>
      </c>
      <c r="G565" s="95">
        <f t="shared" ref="G565:G626" si="14">E565*F565</f>
        <v>0</v>
      </c>
    </row>
    <row r="566" spans="1:7" ht="18.600000000000001" customHeight="1" x14ac:dyDescent="0.3">
      <c r="A566" s="150" t="s">
        <v>918</v>
      </c>
      <c r="B566" s="50" t="s">
        <v>243</v>
      </c>
      <c r="C566" s="51" t="s">
        <v>181</v>
      </c>
      <c r="D566" s="87" t="s">
        <v>292</v>
      </c>
      <c r="E566" s="126">
        <v>0</v>
      </c>
      <c r="F566" s="79">
        <f>BPU!E566</f>
        <v>0</v>
      </c>
      <c r="G566" s="95">
        <f t="shared" si="14"/>
        <v>0</v>
      </c>
    </row>
    <row r="567" spans="1:7" ht="18.600000000000001" customHeight="1" x14ac:dyDescent="0.3">
      <c r="A567" s="150" t="s">
        <v>919</v>
      </c>
      <c r="B567" s="50" t="s">
        <v>244</v>
      </c>
      <c r="C567" s="51" t="s">
        <v>181</v>
      </c>
      <c r="D567" s="87" t="s">
        <v>292</v>
      </c>
      <c r="E567" s="126">
        <v>0</v>
      </c>
      <c r="F567" s="79">
        <f>BPU!E567</f>
        <v>0</v>
      </c>
      <c r="G567" s="95">
        <f t="shared" si="14"/>
        <v>0</v>
      </c>
    </row>
    <row r="568" spans="1:7" ht="18.600000000000001" customHeight="1" x14ac:dyDescent="0.3">
      <c r="A568" s="150" t="s">
        <v>920</v>
      </c>
      <c r="B568" s="50" t="s">
        <v>245</v>
      </c>
      <c r="C568" s="51" t="s">
        <v>181</v>
      </c>
      <c r="D568" s="87" t="s">
        <v>292</v>
      </c>
      <c r="E568" s="126">
        <v>0</v>
      </c>
      <c r="F568" s="79">
        <f>BPU!E568</f>
        <v>0</v>
      </c>
      <c r="G568" s="95">
        <f t="shared" si="14"/>
        <v>0</v>
      </c>
    </row>
    <row r="569" spans="1:7" ht="18.600000000000001" customHeight="1" x14ac:dyDescent="0.3">
      <c r="A569" s="150" t="s">
        <v>921</v>
      </c>
      <c r="B569" s="50" t="s">
        <v>246</v>
      </c>
      <c r="C569" s="51" t="s">
        <v>181</v>
      </c>
      <c r="D569" s="87" t="s">
        <v>292</v>
      </c>
      <c r="E569" s="126">
        <v>0</v>
      </c>
      <c r="F569" s="79">
        <f>BPU!E569</f>
        <v>0</v>
      </c>
      <c r="G569" s="95">
        <f t="shared" si="14"/>
        <v>0</v>
      </c>
    </row>
    <row r="570" spans="1:7" ht="18.600000000000001" customHeight="1" x14ac:dyDescent="0.3">
      <c r="A570" s="150" t="s">
        <v>922</v>
      </c>
      <c r="B570" s="50" t="s">
        <v>194</v>
      </c>
      <c r="C570" s="51" t="s">
        <v>181</v>
      </c>
      <c r="D570" s="87" t="s">
        <v>292</v>
      </c>
      <c r="E570" s="126">
        <v>0</v>
      </c>
      <c r="F570" s="79">
        <f>BPU!E570</f>
        <v>0</v>
      </c>
      <c r="G570" s="95">
        <f t="shared" si="14"/>
        <v>0</v>
      </c>
    </row>
    <row r="571" spans="1:7" ht="18.600000000000001" customHeight="1" x14ac:dyDescent="0.3">
      <c r="A571" s="52" t="s">
        <v>923</v>
      </c>
      <c r="B571" s="46" t="s">
        <v>175</v>
      </c>
      <c r="C571" s="52"/>
      <c r="D571" s="87"/>
      <c r="E571" s="126"/>
      <c r="F571" s="79">
        <f>BPU!E571</f>
        <v>0</v>
      </c>
      <c r="G571" s="95">
        <f t="shared" si="14"/>
        <v>0</v>
      </c>
    </row>
    <row r="572" spans="1:7" ht="18.600000000000001" customHeight="1" x14ac:dyDescent="0.3">
      <c r="A572" s="150" t="s">
        <v>924</v>
      </c>
      <c r="B572" s="50" t="s">
        <v>180</v>
      </c>
      <c r="C572" s="51" t="s">
        <v>181</v>
      </c>
      <c r="D572" s="87" t="s">
        <v>292</v>
      </c>
      <c r="E572" s="126">
        <v>0</v>
      </c>
      <c r="F572" s="79">
        <f>BPU!E572</f>
        <v>0</v>
      </c>
      <c r="G572" s="95">
        <f t="shared" si="14"/>
        <v>0</v>
      </c>
    </row>
    <row r="573" spans="1:7" ht="18.600000000000001" customHeight="1" x14ac:dyDescent="0.3">
      <c r="A573" s="52" t="s">
        <v>925</v>
      </c>
      <c r="B573" s="46" t="s">
        <v>176</v>
      </c>
      <c r="C573" s="52"/>
      <c r="D573" s="87"/>
      <c r="E573" s="126"/>
      <c r="F573" s="79">
        <f>BPU!E573</f>
        <v>0</v>
      </c>
      <c r="G573" s="95">
        <f t="shared" si="14"/>
        <v>0</v>
      </c>
    </row>
    <row r="574" spans="1:7" ht="18.600000000000001" customHeight="1" x14ac:dyDescent="0.3">
      <c r="A574" s="150" t="s">
        <v>926</v>
      </c>
      <c r="B574" s="50" t="s">
        <v>257</v>
      </c>
      <c r="C574" s="51" t="s">
        <v>181</v>
      </c>
      <c r="D574" s="87" t="s">
        <v>292</v>
      </c>
      <c r="E574" s="126">
        <v>0</v>
      </c>
      <c r="F574" s="79">
        <f>BPU!E574</f>
        <v>0</v>
      </c>
      <c r="G574" s="95">
        <f t="shared" si="14"/>
        <v>0</v>
      </c>
    </row>
    <row r="575" spans="1:7" ht="18.600000000000001" customHeight="1" x14ac:dyDescent="0.3">
      <c r="A575" s="150" t="s">
        <v>927</v>
      </c>
      <c r="B575" s="50" t="s">
        <v>253</v>
      </c>
      <c r="C575" s="51" t="s">
        <v>17</v>
      </c>
      <c r="D575" s="87" t="s">
        <v>292</v>
      </c>
      <c r="E575" s="126">
        <f>8.2*3</f>
        <v>24.599999999999998</v>
      </c>
      <c r="F575" s="79">
        <f>BPU!E575</f>
        <v>0</v>
      </c>
      <c r="G575" s="95">
        <f t="shared" si="14"/>
        <v>0</v>
      </c>
    </row>
    <row r="576" spans="1:7" ht="18.600000000000001" customHeight="1" x14ac:dyDescent="0.3">
      <c r="A576" s="150" t="s">
        <v>928</v>
      </c>
      <c r="B576" s="50" t="s">
        <v>252</v>
      </c>
      <c r="C576" s="51" t="s">
        <v>17</v>
      </c>
      <c r="D576" s="87" t="s">
        <v>292</v>
      </c>
      <c r="E576" s="126">
        <v>0</v>
      </c>
      <c r="F576" s="79">
        <f>BPU!E576</f>
        <v>0</v>
      </c>
      <c r="G576" s="95">
        <f t="shared" si="14"/>
        <v>0</v>
      </c>
    </row>
    <row r="577" spans="1:23" ht="18.600000000000001" customHeight="1" x14ac:dyDescent="0.3">
      <c r="A577" s="150" t="s">
        <v>929</v>
      </c>
      <c r="B577" s="50" t="s">
        <v>254</v>
      </c>
      <c r="C577" s="51" t="s">
        <v>17</v>
      </c>
      <c r="D577" s="87" t="s">
        <v>292</v>
      </c>
      <c r="E577" s="126">
        <f>(6.5*6)*1.25</f>
        <v>48.75</v>
      </c>
      <c r="F577" s="79">
        <f>BPU!E577</f>
        <v>0</v>
      </c>
      <c r="G577" s="95">
        <f t="shared" si="14"/>
        <v>0</v>
      </c>
    </row>
    <row r="578" spans="1:23" ht="18.600000000000001" customHeight="1" x14ac:dyDescent="0.3">
      <c r="A578" s="150" t="s">
        <v>930</v>
      </c>
      <c r="B578" s="50" t="s">
        <v>255</v>
      </c>
      <c r="C578" s="51" t="s">
        <v>17</v>
      </c>
      <c r="D578" s="87" t="s">
        <v>292</v>
      </c>
      <c r="E578" s="126">
        <v>0</v>
      </c>
      <c r="F578" s="79">
        <f>BPU!E578</f>
        <v>0</v>
      </c>
      <c r="G578" s="95">
        <f t="shared" si="14"/>
        <v>0</v>
      </c>
    </row>
    <row r="579" spans="1:23" ht="28.8" customHeight="1" x14ac:dyDescent="0.3">
      <c r="A579" s="150" t="s">
        <v>931</v>
      </c>
      <c r="B579" s="50" t="s">
        <v>251</v>
      </c>
      <c r="C579" s="51" t="s">
        <v>17</v>
      </c>
      <c r="D579" s="87" t="s">
        <v>292</v>
      </c>
      <c r="E579" s="126">
        <v>9</v>
      </c>
      <c r="F579" s="79">
        <f>BPU!E579</f>
        <v>0</v>
      </c>
      <c r="G579" s="95">
        <f t="shared" si="14"/>
        <v>0</v>
      </c>
    </row>
    <row r="580" spans="1:23" x14ac:dyDescent="0.3">
      <c r="A580" s="150" t="s">
        <v>932</v>
      </c>
      <c r="B580" s="50" t="s">
        <v>256</v>
      </c>
      <c r="C580" s="51" t="s">
        <v>181</v>
      </c>
      <c r="D580" s="87" t="s">
        <v>292</v>
      </c>
      <c r="E580" s="126">
        <f>8.2*6.5*1.25</f>
        <v>66.625</v>
      </c>
      <c r="F580" s="79">
        <f>BPU!E580</f>
        <v>0</v>
      </c>
      <c r="G580" s="95">
        <f t="shared" si="14"/>
        <v>0</v>
      </c>
    </row>
    <row r="581" spans="1:23" x14ac:dyDescent="0.3">
      <c r="A581" s="150" t="s">
        <v>933</v>
      </c>
      <c r="B581" s="50" t="s">
        <v>258</v>
      </c>
      <c r="C581" s="51" t="s">
        <v>17</v>
      </c>
      <c r="D581" s="87" t="s">
        <v>292</v>
      </c>
      <c r="E581" s="126">
        <v>0</v>
      </c>
      <c r="F581" s="79">
        <f>BPU!E581</f>
        <v>0</v>
      </c>
      <c r="G581" s="95">
        <f t="shared" si="14"/>
        <v>0</v>
      </c>
    </row>
    <row r="582" spans="1:23" ht="18.600000000000001" customHeight="1" x14ac:dyDescent="0.3">
      <c r="A582" s="150" t="s">
        <v>934</v>
      </c>
      <c r="B582" s="50" t="s">
        <v>193</v>
      </c>
      <c r="C582" s="51" t="s">
        <v>181</v>
      </c>
      <c r="D582" s="87" t="s">
        <v>292</v>
      </c>
      <c r="E582" s="126">
        <v>0</v>
      </c>
      <c r="F582" s="79">
        <f>BPU!E582</f>
        <v>0</v>
      </c>
      <c r="G582" s="95">
        <f t="shared" si="14"/>
        <v>0</v>
      </c>
    </row>
    <row r="583" spans="1:23" x14ac:dyDescent="0.3">
      <c r="A583" s="150" t="s">
        <v>935</v>
      </c>
      <c r="B583" s="50" t="s">
        <v>192</v>
      </c>
      <c r="C583" s="51" t="s">
        <v>181</v>
      </c>
      <c r="D583" s="87" t="s">
        <v>292</v>
      </c>
      <c r="E583" s="126">
        <v>0</v>
      </c>
      <c r="F583" s="79">
        <f>BPU!E583</f>
        <v>0</v>
      </c>
      <c r="G583" s="95">
        <f t="shared" si="14"/>
        <v>0</v>
      </c>
    </row>
    <row r="584" spans="1:23" ht="28.8" x14ac:dyDescent="0.3">
      <c r="A584" s="150" t="s">
        <v>936</v>
      </c>
      <c r="B584" s="50" t="s">
        <v>260</v>
      </c>
      <c r="C584" s="51" t="s">
        <v>181</v>
      </c>
      <c r="D584" s="87" t="s">
        <v>292</v>
      </c>
      <c r="E584" s="126">
        <v>0</v>
      </c>
      <c r="F584" s="79">
        <f>BPU!E584</f>
        <v>0</v>
      </c>
      <c r="G584" s="95">
        <f t="shared" si="14"/>
        <v>0</v>
      </c>
    </row>
    <row r="585" spans="1:23" ht="18.600000000000001" customHeight="1" x14ac:dyDescent="0.3">
      <c r="A585" s="52" t="s">
        <v>937</v>
      </c>
      <c r="B585" s="46" t="s">
        <v>177</v>
      </c>
      <c r="C585" s="52"/>
      <c r="D585" s="87"/>
      <c r="E585" s="126"/>
      <c r="F585" s="79">
        <f>BPU!E585</f>
        <v>0</v>
      </c>
      <c r="G585" s="95">
        <f t="shared" si="14"/>
        <v>0</v>
      </c>
    </row>
    <row r="586" spans="1:23" x14ac:dyDescent="0.3">
      <c r="A586" s="150" t="s">
        <v>938</v>
      </c>
      <c r="B586" s="50" t="s">
        <v>182</v>
      </c>
      <c r="C586" s="51" t="s">
        <v>181</v>
      </c>
      <c r="D586" s="87" t="s">
        <v>292</v>
      </c>
      <c r="E586" s="126">
        <v>0</v>
      </c>
      <c r="F586" s="79">
        <f>BPU!E586</f>
        <v>0</v>
      </c>
      <c r="G586" s="95">
        <f t="shared" si="14"/>
        <v>0</v>
      </c>
    </row>
    <row r="587" spans="1:23" x14ac:dyDescent="0.3">
      <c r="A587" s="150" t="s">
        <v>939</v>
      </c>
      <c r="B587" s="50" t="s">
        <v>1273</v>
      </c>
      <c r="C587" s="51" t="s">
        <v>181</v>
      </c>
      <c r="D587" s="87" t="s">
        <v>292</v>
      </c>
      <c r="E587" s="126">
        <v>0</v>
      </c>
      <c r="F587" s="79">
        <f>BPU!E587</f>
        <v>0</v>
      </c>
      <c r="G587" s="95">
        <f t="shared" si="14"/>
        <v>0</v>
      </c>
    </row>
    <row r="588" spans="1:23" x14ac:dyDescent="0.3">
      <c r="A588" s="150" t="s">
        <v>940</v>
      </c>
      <c r="B588" s="50" t="s">
        <v>183</v>
      </c>
      <c r="C588" s="51" t="s">
        <v>181</v>
      </c>
      <c r="D588" s="87" t="s">
        <v>292</v>
      </c>
      <c r="E588" s="126">
        <v>0</v>
      </c>
      <c r="F588" s="79">
        <f>BPU!E588</f>
        <v>0</v>
      </c>
      <c r="G588" s="95">
        <f t="shared" si="14"/>
        <v>0</v>
      </c>
    </row>
    <row r="589" spans="1:23" x14ac:dyDescent="0.3">
      <c r="A589" s="150" t="s">
        <v>941</v>
      </c>
      <c r="B589" s="50" t="s">
        <v>184</v>
      </c>
      <c r="C589" s="51" t="s">
        <v>181</v>
      </c>
      <c r="D589" s="87" t="s">
        <v>292</v>
      </c>
      <c r="E589" s="126">
        <v>0</v>
      </c>
      <c r="F589" s="79">
        <f>BPU!E589</f>
        <v>0</v>
      </c>
      <c r="G589" s="95">
        <f t="shared" si="14"/>
        <v>0</v>
      </c>
    </row>
    <row r="590" spans="1:23" ht="15" thickBot="1" x14ac:dyDescent="0.35">
      <c r="A590" s="150" t="s">
        <v>942</v>
      </c>
      <c r="B590" s="50" t="s">
        <v>185</v>
      </c>
      <c r="C590" s="51" t="s">
        <v>181</v>
      </c>
      <c r="D590" s="87" t="s">
        <v>292</v>
      </c>
      <c r="E590" s="126">
        <v>0</v>
      </c>
      <c r="F590" s="79">
        <f>BPU!E590</f>
        <v>0</v>
      </c>
      <c r="G590" s="95">
        <f t="shared" si="14"/>
        <v>0</v>
      </c>
    </row>
    <row r="591" spans="1:23" s="98" customFormat="1" ht="15" thickBot="1" x14ac:dyDescent="0.35">
      <c r="A591" s="52"/>
      <c r="B591" s="96" t="s">
        <v>393</v>
      </c>
      <c r="C591" s="97"/>
      <c r="D591" s="97"/>
      <c r="E591" s="128"/>
      <c r="F591" s="145">
        <f>BPU!E591</f>
        <v>0</v>
      </c>
      <c r="G591" s="146">
        <f>SUM(G516:G590)</f>
        <v>0</v>
      </c>
      <c r="J591" s="99"/>
      <c r="K591" s="75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100"/>
      <c r="W591" s="100"/>
    </row>
    <row r="592" spans="1:23" s="58" customFormat="1" ht="16.8" customHeight="1" x14ac:dyDescent="0.3">
      <c r="A592" s="70" t="s">
        <v>63</v>
      </c>
      <c r="B592" s="70" t="s">
        <v>64</v>
      </c>
      <c r="C592" s="52"/>
      <c r="D592" s="87"/>
      <c r="E592" s="126"/>
      <c r="F592" s="79">
        <f>BPU!E592</f>
        <v>0</v>
      </c>
      <c r="G592" s="95">
        <f t="shared" si="14"/>
        <v>0</v>
      </c>
    </row>
    <row r="593" spans="1:7" ht="18.600000000000001" customHeight="1" x14ac:dyDescent="0.3">
      <c r="A593" s="52" t="s">
        <v>66</v>
      </c>
      <c r="B593" s="46" t="s">
        <v>161</v>
      </c>
      <c r="C593" s="52"/>
      <c r="D593" s="87"/>
      <c r="E593" s="126"/>
      <c r="F593" s="79">
        <f>BPU!E593</f>
        <v>0</v>
      </c>
      <c r="G593" s="95">
        <f t="shared" si="14"/>
        <v>0</v>
      </c>
    </row>
    <row r="594" spans="1:7" ht="28.8" customHeight="1" x14ac:dyDescent="0.3">
      <c r="A594" s="150" t="s">
        <v>943</v>
      </c>
      <c r="B594" s="153" t="s">
        <v>1308</v>
      </c>
      <c r="C594" s="51" t="s">
        <v>181</v>
      </c>
      <c r="D594" s="87" t="s">
        <v>292</v>
      </c>
      <c r="E594" s="126">
        <v>0</v>
      </c>
      <c r="F594" s="79">
        <f>BPU!E594</f>
        <v>0</v>
      </c>
      <c r="G594" s="95">
        <f t="shared" si="14"/>
        <v>0</v>
      </c>
    </row>
    <row r="595" spans="1:7" ht="18.600000000000001" customHeight="1" x14ac:dyDescent="0.3">
      <c r="A595" s="150" t="s">
        <v>944</v>
      </c>
      <c r="B595" s="52" t="s">
        <v>196</v>
      </c>
      <c r="C595" s="51" t="s">
        <v>17</v>
      </c>
      <c r="D595" s="87" t="s">
        <v>292</v>
      </c>
      <c r="E595" s="126">
        <v>0</v>
      </c>
      <c r="F595" s="79">
        <f>BPU!E595</f>
        <v>0</v>
      </c>
      <c r="G595" s="95">
        <f t="shared" si="14"/>
        <v>0</v>
      </c>
    </row>
    <row r="596" spans="1:7" ht="18.600000000000001" customHeight="1" x14ac:dyDescent="0.3">
      <c r="A596" s="150" t="s">
        <v>945</v>
      </c>
      <c r="B596" s="52" t="s">
        <v>210</v>
      </c>
      <c r="C596" s="51" t="s">
        <v>197</v>
      </c>
      <c r="D596" s="87" t="s">
        <v>292</v>
      </c>
      <c r="E596" s="126">
        <v>0</v>
      </c>
      <c r="F596" s="79">
        <f>BPU!E596</f>
        <v>0</v>
      </c>
      <c r="G596" s="95">
        <f t="shared" si="14"/>
        <v>0</v>
      </c>
    </row>
    <row r="597" spans="1:7" ht="18.600000000000001" customHeight="1" x14ac:dyDescent="0.3">
      <c r="A597" s="150" t="s">
        <v>946</v>
      </c>
      <c r="B597" s="52" t="s">
        <v>209</v>
      </c>
      <c r="C597" s="51" t="s">
        <v>197</v>
      </c>
      <c r="D597" s="87" t="s">
        <v>292</v>
      </c>
      <c r="E597" s="126">
        <v>0</v>
      </c>
      <c r="F597" s="79">
        <f>BPU!E597</f>
        <v>0</v>
      </c>
      <c r="G597" s="95">
        <f t="shared" si="14"/>
        <v>0</v>
      </c>
    </row>
    <row r="598" spans="1:7" ht="18.600000000000001" customHeight="1" x14ac:dyDescent="0.3">
      <c r="A598" s="150" t="s">
        <v>947</v>
      </c>
      <c r="B598" s="52" t="s">
        <v>199</v>
      </c>
      <c r="C598" s="51" t="s">
        <v>181</v>
      </c>
      <c r="D598" s="87" t="s">
        <v>292</v>
      </c>
      <c r="E598" s="126">
        <v>0</v>
      </c>
      <c r="F598" s="79">
        <f>BPU!E598</f>
        <v>0</v>
      </c>
      <c r="G598" s="95">
        <f t="shared" si="14"/>
        <v>0</v>
      </c>
    </row>
    <row r="599" spans="1:7" ht="18.600000000000001" customHeight="1" x14ac:dyDescent="0.3">
      <c r="A599" s="150" t="s">
        <v>948</v>
      </c>
      <c r="B599" s="52" t="s">
        <v>293</v>
      </c>
      <c r="C599" s="51" t="s">
        <v>181</v>
      </c>
      <c r="D599" s="87" t="s">
        <v>292</v>
      </c>
      <c r="E599" s="126">
        <v>0</v>
      </c>
      <c r="F599" s="79">
        <f>BPU!E599</f>
        <v>0</v>
      </c>
      <c r="G599" s="95">
        <f t="shared" si="14"/>
        <v>0</v>
      </c>
    </row>
    <row r="600" spans="1:7" ht="28.2" customHeight="1" x14ac:dyDescent="0.3">
      <c r="A600" s="150" t="s">
        <v>949</v>
      </c>
      <c r="B600" s="61" t="s">
        <v>198</v>
      </c>
      <c r="C600" s="51" t="s">
        <v>79</v>
      </c>
      <c r="D600" s="87" t="s">
        <v>158</v>
      </c>
      <c r="E600" s="126">
        <v>0</v>
      </c>
      <c r="F600" s="79">
        <f>BPU!E600</f>
        <v>0</v>
      </c>
      <c r="G600" s="95">
        <f t="shared" si="14"/>
        <v>0</v>
      </c>
    </row>
    <row r="601" spans="1:7" ht="18.600000000000001" customHeight="1" x14ac:dyDescent="0.3">
      <c r="A601" s="52" t="s">
        <v>950</v>
      </c>
      <c r="B601" s="46" t="s">
        <v>208</v>
      </c>
      <c r="C601" s="51"/>
      <c r="D601" s="87"/>
      <c r="E601" s="126"/>
      <c r="F601" s="79">
        <f>BPU!E601</f>
        <v>0</v>
      </c>
      <c r="G601" s="95">
        <f t="shared" si="14"/>
        <v>0</v>
      </c>
    </row>
    <row r="602" spans="1:7" ht="18.600000000000001" customHeight="1" x14ac:dyDescent="0.3">
      <c r="A602" s="150" t="s">
        <v>951</v>
      </c>
      <c r="B602" s="52" t="s">
        <v>211</v>
      </c>
      <c r="C602" s="51" t="s">
        <v>230</v>
      </c>
      <c r="D602" s="87" t="s">
        <v>292</v>
      </c>
      <c r="E602" s="126">
        <f>+(10.9+5.1)*2*0.4*0.6</f>
        <v>7.68</v>
      </c>
      <c r="F602" s="79">
        <f>BPU!E602</f>
        <v>0</v>
      </c>
      <c r="G602" s="95">
        <f t="shared" si="14"/>
        <v>0</v>
      </c>
    </row>
    <row r="603" spans="1:7" ht="18.600000000000001" customHeight="1" x14ac:dyDescent="0.3">
      <c r="A603" s="150" t="s">
        <v>952</v>
      </c>
      <c r="B603" s="52" t="s">
        <v>212</v>
      </c>
      <c r="C603" s="51" t="s">
        <v>230</v>
      </c>
      <c r="D603" s="87" t="s">
        <v>292</v>
      </c>
      <c r="E603" s="126">
        <f>10.9+5.1*0.3</f>
        <v>12.43</v>
      </c>
      <c r="F603" s="79">
        <f>BPU!E603</f>
        <v>0</v>
      </c>
      <c r="G603" s="95">
        <f t="shared" si="14"/>
        <v>0</v>
      </c>
    </row>
    <row r="604" spans="1:7" ht="18.600000000000001" customHeight="1" x14ac:dyDescent="0.3">
      <c r="A604" s="150" t="s">
        <v>953</v>
      </c>
      <c r="B604" s="46" t="s">
        <v>168</v>
      </c>
      <c r="C604" s="52"/>
      <c r="D604" s="87"/>
      <c r="E604" s="126"/>
      <c r="F604" s="79">
        <f>BPU!E604</f>
        <v>0</v>
      </c>
      <c r="G604" s="95">
        <f t="shared" si="14"/>
        <v>0</v>
      </c>
    </row>
    <row r="605" spans="1:7" s="65" customFormat="1" ht="18.600000000000001" customHeight="1" x14ac:dyDescent="0.3">
      <c r="A605" s="150" t="s">
        <v>954</v>
      </c>
      <c r="B605" s="50" t="s">
        <v>213</v>
      </c>
      <c r="C605" s="51" t="s">
        <v>230</v>
      </c>
      <c r="D605" s="88" t="s">
        <v>292</v>
      </c>
      <c r="E605" s="130">
        <f>32*0.4*0.05</f>
        <v>0.64000000000000012</v>
      </c>
      <c r="F605" s="79">
        <f>BPU!E605</f>
        <v>0</v>
      </c>
      <c r="G605" s="95">
        <f t="shared" si="14"/>
        <v>0</v>
      </c>
    </row>
    <row r="606" spans="1:7" s="65" customFormat="1" ht="18.600000000000001" customHeight="1" x14ac:dyDescent="0.3">
      <c r="A606" s="150" t="s">
        <v>955</v>
      </c>
      <c r="B606" s="50" t="s">
        <v>187</v>
      </c>
      <c r="C606" s="51" t="s">
        <v>230</v>
      </c>
      <c r="D606" s="88" t="s">
        <v>292</v>
      </c>
      <c r="E606" s="130">
        <f>32*0.4*0.4</f>
        <v>5.120000000000001</v>
      </c>
      <c r="F606" s="79">
        <f>BPU!E606</f>
        <v>0</v>
      </c>
      <c r="G606" s="95">
        <f t="shared" si="14"/>
        <v>0</v>
      </c>
    </row>
    <row r="607" spans="1:7" s="65" customFormat="1" ht="18.600000000000001" customHeight="1" x14ac:dyDescent="0.3">
      <c r="A607" s="150" t="s">
        <v>956</v>
      </c>
      <c r="B607" s="50" t="s">
        <v>214</v>
      </c>
      <c r="C607" s="51" t="s">
        <v>230</v>
      </c>
      <c r="D607" s="88" t="s">
        <v>292</v>
      </c>
      <c r="E607" s="130">
        <f>+(2+4)*0.35*0.1</f>
        <v>0.20999999999999996</v>
      </c>
      <c r="F607" s="79">
        <f>BPU!E607</f>
        <v>0</v>
      </c>
      <c r="G607" s="95">
        <f t="shared" si="14"/>
        <v>0</v>
      </c>
    </row>
    <row r="608" spans="1:7" s="65" customFormat="1" ht="33" customHeight="1" x14ac:dyDescent="0.3">
      <c r="A608" s="150" t="s">
        <v>957</v>
      </c>
      <c r="B608" s="50" t="s">
        <v>215</v>
      </c>
      <c r="C608" s="51" t="s">
        <v>230</v>
      </c>
      <c r="D608" s="88" t="s">
        <v>292</v>
      </c>
      <c r="E608" s="130">
        <v>0</v>
      </c>
      <c r="F608" s="79">
        <f>BPU!E608</f>
        <v>0</v>
      </c>
      <c r="G608" s="95">
        <f t="shared" si="14"/>
        <v>0</v>
      </c>
    </row>
    <row r="609" spans="1:7" ht="18.600000000000001" customHeight="1" x14ac:dyDescent="0.3">
      <c r="A609" s="52" t="s">
        <v>958</v>
      </c>
      <c r="B609" s="46" t="s">
        <v>169</v>
      </c>
      <c r="C609" s="52"/>
      <c r="D609" s="87"/>
      <c r="E609" s="126"/>
      <c r="F609" s="79">
        <f>BPU!E609</f>
        <v>0</v>
      </c>
      <c r="G609" s="95">
        <f t="shared" si="14"/>
        <v>0</v>
      </c>
    </row>
    <row r="610" spans="1:7" ht="18.600000000000001" customHeight="1" x14ac:dyDescent="0.3">
      <c r="A610" s="150" t="s">
        <v>959</v>
      </c>
      <c r="B610" s="50" t="s">
        <v>216</v>
      </c>
      <c r="C610" s="51" t="s">
        <v>230</v>
      </c>
      <c r="D610" s="87" t="s">
        <v>292</v>
      </c>
      <c r="E610" s="126">
        <f>10.9*5.1*0.1</f>
        <v>5.5590000000000002</v>
      </c>
      <c r="F610" s="79">
        <f>BPU!E610</f>
        <v>0</v>
      </c>
      <c r="G610" s="95">
        <f t="shared" si="14"/>
        <v>0</v>
      </c>
    </row>
    <row r="611" spans="1:7" ht="18.600000000000001" customHeight="1" x14ac:dyDescent="0.3">
      <c r="A611" s="150" t="s">
        <v>960</v>
      </c>
      <c r="B611" s="50" t="s">
        <v>217</v>
      </c>
      <c r="C611" s="51" t="s">
        <v>230</v>
      </c>
      <c r="D611" s="87" t="s">
        <v>292</v>
      </c>
      <c r="E611" s="126">
        <f>0.8*0.8*0.2*6</f>
        <v>0.76800000000000024</v>
      </c>
      <c r="F611" s="79">
        <f>BPU!E611</f>
        <v>0</v>
      </c>
      <c r="G611" s="95">
        <f t="shared" si="14"/>
        <v>0</v>
      </c>
    </row>
    <row r="612" spans="1:7" ht="18.600000000000001" customHeight="1" x14ac:dyDescent="0.3">
      <c r="A612" s="150" t="s">
        <v>961</v>
      </c>
      <c r="B612" s="50" t="s">
        <v>218</v>
      </c>
      <c r="C612" s="51" t="s">
        <v>230</v>
      </c>
      <c r="D612" s="87" t="s">
        <v>292</v>
      </c>
      <c r="E612" s="126">
        <f>32*0.3*0.2</f>
        <v>1.92</v>
      </c>
      <c r="F612" s="79">
        <f>BPU!E612</f>
        <v>0</v>
      </c>
      <c r="G612" s="95">
        <f t="shared" si="14"/>
        <v>0</v>
      </c>
    </row>
    <row r="613" spans="1:7" ht="18.600000000000001" customHeight="1" x14ac:dyDescent="0.3">
      <c r="A613" s="150" t="s">
        <v>962</v>
      </c>
      <c r="B613" s="50" t="s">
        <v>219</v>
      </c>
      <c r="C613" s="51" t="s">
        <v>230</v>
      </c>
      <c r="D613" s="87" t="s">
        <v>292</v>
      </c>
      <c r="E613" s="126">
        <f>+E612</f>
        <v>1.92</v>
      </c>
      <c r="F613" s="79">
        <f>BPU!E613</f>
        <v>0</v>
      </c>
      <c r="G613" s="95">
        <f t="shared" si="14"/>
        <v>0</v>
      </c>
    </row>
    <row r="614" spans="1:7" ht="18.600000000000001" customHeight="1" x14ac:dyDescent="0.3">
      <c r="A614" s="150" t="s">
        <v>963</v>
      </c>
      <c r="B614" s="50" t="s">
        <v>220</v>
      </c>
      <c r="C614" s="51" t="s">
        <v>230</v>
      </c>
      <c r="D614" s="87" t="s">
        <v>292</v>
      </c>
      <c r="E614" s="126">
        <v>0</v>
      </c>
      <c r="F614" s="79">
        <f>BPU!E614</f>
        <v>0</v>
      </c>
      <c r="G614" s="95">
        <f t="shared" si="14"/>
        <v>0</v>
      </c>
    </row>
    <row r="615" spans="1:7" ht="18.600000000000001" customHeight="1" x14ac:dyDescent="0.3">
      <c r="A615" s="150" t="s">
        <v>964</v>
      </c>
      <c r="B615" s="50" t="s">
        <v>221</v>
      </c>
      <c r="C615" s="51" t="s">
        <v>230</v>
      </c>
      <c r="D615" s="87" t="s">
        <v>292</v>
      </c>
      <c r="E615" s="126">
        <f>6*0.3*0.3*5.5</f>
        <v>2.9699999999999998</v>
      </c>
      <c r="F615" s="79">
        <f>BPU!E615</f>
        <v>0</v>
      </c>
      <c r="G615" s="95">
        <f t="shared" si="14"/>
        <v>0</v>
      </c>
    </row>
    <row r="616" spans="1:7" ht="18.600000000000001" customHeight="1" x14ac:dyDescent="0.3">
      <c r="A616" s="150" t="s">
        <v>965</v>
      </c>
      <c r="B616" s="50" t="s">
        <v>222</v>
      </c>
      <c r="C616" s="51" t="s">
        <v>230</v>
      </c>
      <c r="D616" s="87" t="s">
        <v>292</v>
      </c>
      <c r="E616" s="126">
        <v>0</v>
      </c>
      <c r="F616" s="79">
        <f>BPU!E616</f>
        <v>0</v>
      </c>
      <c r="G616" s="95">
        <f t="shared" si="14"/>
        <v>0</v>
      </c>
    </row>
    <row r="617" spans="1:7" ht="18.600000000000001" customHeight="1" x14ac:dyDescent="0.3">
      <c r="A617" s="52" t="s">
        <v>966</v>
      </c>
      <c r="B617" s="46" t="s">
        <v>170</v>
      </c>
      <c r="C617" s="52"/>
      <c r="D617" s="87"/>
      <c r="E617" s="126"/>
      <c r="F617" s="79">
        <f>BPU!E617</f>
        <v>0</v>
      </c>
      <c r="G617" s="95">
        <f t="shared" si="14"/>
        <v>0</v>
      </c>
    </row>
    <row r="618" spans="1:7" ht="18.600000000000001" customHeight="1" x14ac:dyDescent="0.3">
      <c r="A618" s="150" t="s">
        <v>967</v>
      </c>
      <c r="B618" s="50" t="s">
        <v>223</v>
      </c>
      <c r="C618" s="51" t="s">
        <v>230</v>
      </c>
      <c r="D618" s="87" t="s">
        <v>292</v>
      </c>
      <c r="E618" s="126">
        <f>10.9*5.1*0.05</f>
        <v>2.7795000000000001</v>
      </c>
      <c r="F618" s="79">
        <f>BPU!E618</f>
        <v>0</v>
      </c>
      <c r="G618" s="95">
        <f t="shared" si="14"/>
        <v>0</v>
      </c>
    </row>
    <row r="619" spans="1:7" ht="18.600000000000001" customHeight="1" x14ac:dyDescent="0.3">
      <c r="A619" s="150" t="s">
        <v>968</v>
      </c>
      <c r="B619" s="50" t="s">
        <v>224</v>
      </c>
      <c r="C619" s="51" t="s">
        <v>230</v>
      </c>
      <c r="D619" s="87" t="s">
        <v>292</v>
      </c>
      <c r="E619" s="126">
        <f>10.9*5.1*0.25</f>
        <v>13.897499999999999</v>
      </c>
      <c r="F619" s="79">
        <f>BPU!E619</f>
        <v>0</v>
      </c>
      <c r="G619" s="95">
        <f t="shared" si="14"/>
        <v>0</v>
      </c>
    </row>
    <row r="620" spans="1:7" ht="18.600000000000001" customHeight="1" x14ac:dyDescent="0.3">
      <c r="A620" s="150" t="s">
        <v>969</v>
      </c>
      <c r="B620" s="50" t="s">
        <v>178</v>
      </c>
      <c r="C620" s="51" t="s">
        <v>230</v>
      </c>
      <c r="D620" s="87" t="s">
        <v>292</v>
      </c>
      <c r="E620" s="126">
        <v>0</v>
      </c>
      <c r="F620" s="79">
        <f>BPU!E620</f>
        <v>0</v>
      </c>
      <c r="G620" s="95">
        <f t="shared" si="14"/>
        <v>0</v>
      </c>
    </row>
    <row r="621" spans="1:7" ht="18.600000000000001" customHeight="1" x14ac:dyDescent="0.3">
      <c r="A621" s="52" t="s">
        <v>970</v>
      </c>
      <c r="B621" s="46" t="s">
        <v>171</v>
      </c>
      <c r="C621" s="52"/>
      <c r="D621" s="87"/>
      <c r="E621" s="126"/>
      <c r="F621" s="79">
        <f>BPU!E621</f>
        <v>0</v>
      </c>
      <c r="G621" s="95">
        <f t="shared" si="14"/>
        <v>0</v>
      </c>
    </row>
    <row r="622" spans="1:7" ht="24.6" customHeight="1" x14ac:dyDescent="0.3">
      <c r="A622" s="150" t="s">
        <v>971</v>
      </c>
      <c r="B622" s="50" t="s">
        <v>229</v>
      </c>
      <c r="C622" s="51" t="s">
        <v>181</v>
      </c>
      <c r="D622" s="87" t="s">
        <v>292</v>
      </c>
      <c r="E622" s="126">
        <f>32*0.4*0.4</f>
        <v>5.120000000000001</v>
      </c>
      <c r="F622" s="79">
        <f>BPU!E622</f>
        <v>0</v>
      </c>
      <c r="G622" s="95">
        <f t="shared" si="14"/>
        <v>0</v>
      </c>
    </row>
    <row r="623" spans="1:7" ht="24.6" customHeight="1" x14ac:dyDescent="0.3">
      <c r="A623" s="150" t="s">
        <v>972</v>
      </c>
      <c r="B623" s="50" t="s">
        <v>366</v>
      </c>
      <c r="C623" s="51" t="s">
        <v>181</v>
      </c>
      <c r="D623" s="87" t="s">
        <v>292</v>
      </c>
      <c r="E623" s="126">
        <f>32*5.5</f>
        <v>176</v>
      </c>
      <c r="F623" s="79">
        <f>BPU!E623</f>
        <v>0</v>
      </c>
      <c r="G623" s="95">
        <f t="shared" si="14"/>
        <v>0</v>
      </c>
    </row>
    <row r="624" spans="1:7" ht="18.600000000000001" customHeight="1" x14ac:dyDescent="0.3">
      <c r="A624" s="150" t="s">
        <v>973</v>
      </c>
      <c r="B624" s="50" t="s">
        <v>225</v>
      </c>
      <c r="C624" s="51" t="s">
        <v>181</v>
      </c>
      <c r="D624" s="87" t="s">
        <v>292</v>
      </c>
      <c r="E624" s="126">
        <v>0</v>
      </c>
      <c r="F624" s="79">
        <f>BPU!E624</f>
        <v>0</v>
      </c>
      <c r="G624" s="95">
        <f t="shared" si="14"/>
        <v>0</v>
      </c>
    </row>
    <row r="625" spans="1:7" ht="18.600000000000001" customHeight="1" x14ac:dyDescent="0.3">
      <c r="A625" s="150" t="s">
        <v>974</v>
      </c>
      <c r="B625" s="50" t="s">
        <v>226</v>
      </c>
      <c r="C625" s="51" t="s">
        <v>181</v>
      </c>
      <c r="D625" s="87" t="s">
        <v>292</v>
      </c>
      <c r="E625" s="126">
        <v>0</v>
      </c>
      <c r="F625" s="79">
        <f>BPU!E625</f>
        <v>0</v>
      </c>
      <c r="G625" s="95">
        <f t="shared" si="14"/>
        <v>0</v>
      </c>
    </row>
    <row r="626" spans="1:7" ht="18.600000000000001" customHeight="1" x14ac:dyDescent="0.3">
      <c r="A626" s="150" t="s">
        <v>975</v>
      </c>
      <c r="B626" s="50" t="s">
        <v>227</v>
      </c>
      <c r="C626" s="51" t="s">
        <v>181</v>
      </c>
      <c r="D626" s="87" t="s">
        <v>292</v>
      </c>
      <c r="E626" s="126">
        <f>10.9*0.8</f>
        <v>8.7200000000000006</v>
      </c>
      <c r="F626" s="79">
        <f>BPU!E626</f>
        <v>0</v>
      </c>
      <c r="G626" s="95">
        <f t="shared" si="14"/>
        <v>0</v>
      </c>
    </row>
    <row r="627" spans="1:7" ht="18.600000000000001" customHeight="1" x14ac:dyDescent="0.3">
      <c r="A627" s="150" t="s">
        <v>976</v>
      </c>
      <c r="B627" s="50" t="s">
        <v>228</v>
      </c>
      <c r="C627" s="51" t="s">
        <v>181</v>
      </c>
      <c r="D627" s="87" t="s">
        <v>292</v>
      </c>
      <c r="E627" s="126">
        <v>0</v>
      </c>
      <c r="F627" s="79">
        <f>BPU!E627</f>
        <v>0</v>
      </c>
      <c r="G627" s="95">
        <f t="shared" ref="G627:G679" si="15">E627*F627</f>
        <v>0</v>
      </c>
    </row>
    <row r="628" spans="1:7" ht="18.600000000000001" customHeight="1" x14ac:dyDescent="0.3">
      <c r="A628" s="52" t="s">
        <v>977</v>
      </c>
      <c r="B628" s="46" t="s">
        <v>172</v>
      </c>
      <c r="C628" s="52"/>
      <c r="D628" s="87"/>
      <c r="E628" s="126"/>
      <c r="F628" s="79">
        <f>BPU!E628</f>
        <v>0</v>
      </c>
      <c r="G628" s="95">
        <f t="shared" si="15"/>
        <v>0</v>
      </c>
    </row>
    <row r="629" spans="1:7" ht="18.600000000000001" customHeight="1" x14ac:dyDescent="0.3">
      <c r="A629" s="150" t="s">
        <v>978</v>
      </c>
      <c r="B629" s="50" t="s">
        <v>231</v>
      </c>
      <c r="C629" s="51" t="s">
        <v>181</v>
      </c>
      <c r="D629" s="87" t="s">
        <v>292</v>
      </c>
      <c r="E629" s="126">
        <v>0</v>
      </c>
      <c r="F629" s="79">
        <f>BPU!E629</f>
        <v>0</v>
      </c>
      <c r="G629" s="95">
        <f t="shared" si="15"/>
        <v>0</v>
      </c>
    </row>
    <row r="630" spans="1:7" ht="18.600000000000001" customHeight="1" x14ac:dyDescent="0.3">
      <c r="A630" s="150" t="s">
        <v>979</v>
      </c>
      <c r="B630" s="50" t="s">
        <v>232</v>
      </c>
      <c r="C630" s="51" t="s">
        <v>181</v>
      </c>
      <c r="D630" s="87" t="s">
        <v>292</v>
      </c>
      <c r="E630" s="126">
        <f>10.9*5.1</f>
        <v>55.589999999999996</v>
      </c>
      <c r="F630" s="79">
        <f>BPU!E630</f>
        <v>0</v>
      </c>
      <c r="G630" s="95">
        <f t="shared" si="15"/>
        <v>0</v>
      </c>
    </row>
    <row r="631" spans="1:7" ht="28.2" customHeight="1" x14ac:dyDescent="0.3">
      <c r="A631" s="150" t="s">
        <v>980</v>
      </c>
      <c r="B631" s="50" t="s">
        <v>233</v>
      </c>
      <c r="C631" s="51" t="s">
        <v>181</v>
      </c>
      <c r="D631" s="87" t="s">
        <v>292</v>
      </c>
      <c r="E631" s="126">
        <v>0</v>
      </c>
      <c r="F631" s="79">
        <f>BPU!E631</f>
        <v>0</v>
      </c>
      <c r="G631" s="95">
        <f t="shared" si="15"/>
        <v>0</v>
      </c>
    </row>
    <row r="632" spans="1:7" ht="18.600000000000001" customHeight="1" x14ac:dyDescent="0.3">
      <c r="A632" s="150" t="s">
        <v>981</v>
      </c>
      <c r="B632" s="50" t="s">
        <v>234</v>
      </c>
      <c r="C632" s="51" t="s">
        <v>181</v>
      </c>
      <c r="D632" s="87" t="s">
        <v>292</v>
      </c>
      <c r="E632" s="126">
        <v>0</v>
      </c>
      <c r="F632" s="79">
        <f>BPU!E632</f>
        <v>0</v>
      </c>
      <c r="G632" s="95">
        <f t="shared" si="15"/>
        <v>0</v>
      </c>
    </row>
    <row r="633" spans="1:7" ht="18.600000000000001" customHeight="1" x14ac:dyDescent="0.3">
      <c r="A633" s="52" t="s">
        <v>982</v>
      </c>
      <c r="B633" s="46" t="s">
        <v>173</v>
      </c>
      <c r="C633" s="52"/>
      <c r="D633" s="87"/>
      <c r="E633" s="126"/>
      <c r="F633" s="79">
        <f>BPU!E633</f>
        <v>0</v>
      </c>
      <c r="G633" s="95">
        <f t="shared" si="15"/>
        <v>0</v>
      </c>
    </row>
    <row r="634" spans="1:7" ht="18.600000000000001" customHeight="1" x14ac:dyDescent="0.3">
      <c r="A634" s="150" t="s">
        <v>983</v>
      </c>
      <c r="B634" s="50" t="s">
        <v>259</v>
      </c>
      <c r="C634" s="51" t="s">
        <v>181</v>
      </c>
      <c r="D634" s="87" t="s">
        <v>292</v>
      </c>
      <c r="E634" s="126">
        <v>0</v>
      </c>
      <c r="F634" s="79">
        <f>BPU!E634</f>
        <v>0</v>
      </c>
      <c r="G634" s="95">
        <f t="shared" si="15"/>
        <v>0</v>
      </c>
    </row>
    <row r="635" spans="1:7" ht="18.600000000000001" customHeight="1" x14ac:dyDescent="0.3">
      <c r="A635" s="150" t="s">
        <v>984</v>
      </c>
      <c r="B635" s="50" t="s">
        <v>235</v>
      </c>
      <c r="C635" s="51" t="s">
        <v>181</v>
      </c>
      <c r="D635" s="87" t="s">
        <v>292</v>
      </c>
      <c r="E635" s="126">
        <f>32*5.5</f>
        <v>176</v>
      </c>
      <c r="F635" s="79">
        <f>BPU!E635</f>
        <v>0</v>
      </c>
      <c r="G635" s="95">
        <f t="shared" si="15"/>
        <v>0</v>
      </c>
    </row>
    <row r="636" spans="1:7" ht="18.600000000000001" customHeight="1" x14ac:dyDescent="0.3">
      <c r="A636" s="150" t="s">
        <v>985</v>
      </c>
      <c r="B636" s="50" t="s">
        <v>236</v>
      </c>
      <c r="C636" s="51" t="s">
        <v>181</v>
      </c>
      <c r="D636" s="87" t="s">
        <v>292</v>
      </c>
      <c r="E636" s="126">
        <f>32*3.2</f>
        <v>102.4</v>
      </c>
      <c r="F636" s="79">
        <f>BPU!E636</f>
        <v>0</v>
      </c>
      <c r="G636" s="95">
        <f t="shared" si="15"/>
        <v>0</v>
      </c>
    </row>
    <row r="637" spans="1:7" ht="18.600000000000001" customHeight="1" x14ac:dyDescent="0.3">
      <c r="A637" s="150" t="s">
        <v>986</v>
      </c>
      <c r="B637" s="50" t="s">
        <v>237</v>
      </c>
      <c r="C637" s="51" t="s">
        <v>181</v>
      </c>
      <c r="D637" s="87" t="s">
        <v>292</v>
      </c>
      <c r="E637" s="126">
        <v>0</v>
      </c>
      <c r="F637" s="79">
        <f>BPU!E637</f>
        <v>0</v>
      </c>
      <c r="G637" s="95">
        <f t="shared" si="15"/>
        <v>0</v>
      </c>
    </row>
    <row r="638" spans="1:7" ht="18.600000000000001" customHeight="1" x14ac:dyDescent="0.3">
      <c r="A638" s="150" t="s">
        <v>987</v>
      </c>
      <c r="B638" s="50" t="s">
        <v>238</v>
      </c>
      <c r="C638" s="51" t="s">
        <v>181</v>
      </c>
      <c r="D638" s="87" t="s">
        <v>292</v>
      </c>
      <c r="E638" s="126">
        <v>0</v>
      </c>
      <c r="F638" s="79">
        <f>BPU!E638</f>
        <v>0</v>
      </c>
      <c r="G638" s="95">
        <f t="shared" si="15"/>
        <v>0</v>
      </c>
    </row>
    <row r="639" spans="1:7" ht="18.600000000000001" customHeight="1" x14ac:dyDescent="0.3">
      <c r="A639" s="150" t="s">
        <v>988</v>
      </c>
      <c r="B639" s="50" t="s">
        <v>179</v>
      </c>
      <c r="C639" s="51" t="s">
        <v>181</v>
      </c>
      <c r="D639" s="87" t="s">
        <v>292</v>
      </c>
      <c r="E639" s="126">
        <f>32*0.15</f>
        <v>4.8</v>
      </c>
      <c r="F639" s="79">
        <f>BPU!E639</f>
        <v>0</v>
      </c>
      <c r="G639" s="95">
        <f t="shared" si="15"/>
        <v>0</v>
      </c>
    </row>
    <row r="640" spans="1:7" ht="18.600000000000001" customHeight="1" x14ac:dyDescent="0.3">
      <c r="A640" s="150" t="s">
        <v>989</v>
      </c>
      <c r="B640" s="50" t="s">
        <v>239</v>
      </c>
      <c r="C640" s="51" t="s">
        <v>181</v>
      </c>
      <c r="D640" s="87" t="s">
        <v>292</v>
      </c>
      <c r="E640" s="126">
        <v>0</v>
      </c>
      <c r="F640" s="79">
        <f>BPU!E640</f>
        <v>0</v>
      </c>
      <c r="G640" s="95">
        <f t="shared" si="15"/>
        <v>0</v>
      </c>
    </row>
    <row r="641" spans="1:7" ht="18.600000000000001" customHeight="1" x14ac:dyDescent="0.3">
      <c r="A641" s="52" t="s">
        <v>990</v>
      </c>
      <c r="B641" s="46" t="s">
        <v>174</v>
      </c>
      <c r="C641" s="52"/>
      <c r="D641" s="87"/>
      <c r="E641" s="126"/>
      <c r="F641" s="79">
        <f>BPU!E641</f>
        <v>0</v>
      </c>
      <c r="G641" s="95">
        <f t="shared" si="15"/>
        <v>0</v>
      </c>
    </row>
    <row r="642" spans="1:7" ht="18.600000000000001" customHeight="1" x14ac:dyDescent="0.3">
      <c r="A642" s="150" t="s">
        <v>991</v>
      </c>
      <c r="B642" s="50" t="s">
        <v>240</v>
      </c>
      <c r="C642" s="51" t="s">
        <v>181</v>
      </c>
      <c r="D642" s="87" t="s">
        <v>292</v>
      </c>
      <c r="E642" s="126">
        <f>2*1.2</f>
        <v>2.4</v>
      </c>
      <c r="F642" s="79">
        <f>BPU!E642</f>
        <v>0</v>
      </c>
      <c r="G642" s="95">
        <f t="shared" si="15"/>
        <v>0</v>
      </c>
    </row>
    <row r="643" spans="1:7" ht="18.600000000000001" customHeight="1" x14ac:dyDescent="0.3">
      <c r="A643" s="150" t="s">
        <v>992</v>
      </c>
      <c r="B643" s="50" t="s">
        <v>241</v>
      </c>
      <c r="C643" s="51" t="s">
        <v>181</v>
      </c>
      <c r="D643" s="87" t="s">
        <v>292</v>
      </c>
      <c r="E643" s="126">
        <f>8*1</f>
        <v>8</v>
      </c>
      <c r="F643" s="79">
        <f>BPU!E643</f>
        <v>0</v>
      </c>
      <c r="G643" s="95">
        <f t="shared" si="15"/>
        <v>0</v>
      </c>
    </row>
    <row r="644" spans="1:7" ht="18.600000000000001" customHeight="1" x14ac:dyDescent="0.3">
      <c r="A644" s="150" t="s">
        <v>993</v>
      </c>
      <c r="B644" s="50" t="s">
        <v>242</v>
      </c>
      <c r="C644" s="51" t="s">
        <v>181</v>
      </c>
      <c r="D644" s="87" t="s">
        <v>292</v>
      </c>
      <c r="E644" s="126">
        <v>0</v>
      </c>
      <c r="F644" s="79">
        <f>BPU!E644</f>
        <v>0</v>
      </c>
      <c r="G644" s="95">
        <f t="shared" si="15"/>
        <v>0</v>
      </c>
    </row>
    <row r="645" spans="1:7" ht="18.600000000000001" customHeight="1" x14ac:dyDescent="0.3">
      <c r="A645" s="150" t="s">
        <v>994</v>
      </c>
      <c r="B645" s="50" t="s">
        <v>243</v>
      </c>
      <c r="C645" s="51" t="s">
        <v>181</v>
      </c>
      <c r="D645" s="87" t="s">
        <v>292</v>
      </c>
      <c r="E645" s="126">
        <v>0</v>
      </c>
      <c r="F645" s="79">
        <f>BPU!E645</f>
        <v>0</v>
      </c>
      <c r="G645" s="95">
        <f t="shared" si="15"/>
        <v>0</v>
      </c>
    </row>
    <row r="646" spans="1:7" ht="18.600000000000001" customHeight="1" x14ac:dyDescent="0.3">
      <c r="A646" s="150" t="s">
        <v>995</v>
      </c>
      <c r="B646" s="50" t="s">
        <v>244</v>
      </c>
      <c r="C646" s="51" t="s">
        <v>181</v>
      </c>
      <c r="D646" s="87" t="s">
        <v>292</v>
      </c>
      <c r="E646" s="126">
        <f>1.6*2.1</f>
        <v>3.3600000000000003</v>
      </c>
      <c r="F646" s="79">
        <f>BPU!E646</f>
        <v>0</v>
      </c>
      <c r="G646" s="95">
        <f t="shared" si="15"/>
        <v>0</v>
      </c>
    </row>
    <row r="647" spans="1:7" ht="18.600000000000001" customHeight="1" x14ac:dyDescent="0.3">
      <c r="A647" s="150" t="s">
        <v>996</v>
      </c>
      <c r="B647" s="50" t="s">
        <v>245</v>
      </c>
      <c r="C647" s="51" t="s">
        <v>181</v>
      </c>
      <c r="D647" s="87" t="s">
        <v>292</v>
      </c>
      <c r="E647" s="126">
        <v>0</v>
      </c>
      <c r="F647" s="79">
        <f>BPU!E647</f>
        <v>0</v>
      </c>
      <c r="G647" s="95">
        <f t="shared" si="15"/>
        <v>0</v>
      </c>
    </row>
    <row r="648" spans="1:7" ht="18.600000000000001" customHeight="1" x14ac:dyDescent="0.3">
      <c r="A648" s="150" t="s">
        <v>997</v>
      </c>
      <c r="B648" s="50" t="s">
        <v>246</v>
      </c>
      <c r="C648" s="51" t="s">
        <v>181</v>
      </c>
      <c r="D648" s="87" t="s">
        <v>292</v>
      </c>
      <c r="E648" s="126">
        <v>0</v>
      </c>
      <c r="F648" s="79">
        <f>BPU!E648</f>
        <v>0</v>
      </c>
      <c r="G648" s="95">
        <f t="shared" si="15"/>
        <v>0</v>
      </c>
    </row>
    <row r="649" spans="1:7" ht="18.600000000000001" customHeight="1" x14ac:dyDescent="0.3">
      <c r="A649" s="150" t="s">
        <v>998</v>
      </c>
      <c r="B649" s="50" t="s">
        <v>194</v>
      </c>
      <c r="C649" s="51" t="s">
        <v>181</v>
      </c>
      <c r="D649" s="87" t="s">
        <v>292</v>
      </c>
      <c r="E649" s="126">
        <v>0</v>
      </c>
      <c r="F649" s="79">
        <f>BPU!E649</f>
        <v>0</v>
      </c>
      <c r="G649" s="95">
        <f t="shared" si="15"/>
        <v>0</v>
      </c>
    </row>
    <row r="650" spans="1:7" ht="18.600000000000001" customHeight="1" x14ac:dyDescent="0.3">
      <c r="A650" s="52" t="s">
        <v>999</v>
      </c>
      <c r="B650" s="46" t="s">
        <v>175</v>
      </c>
      <c r="C650" s="52"/>
      <c r="D650" s="87"/>
      <c r="E650" s="126"/>
      <c r="F650" s="79">
        <f>BPU!E650</f>
        <v>0</v>
      </c>
      <c r="G650" s="95">
        <f t="shared" si="15"/>
        <v>0</v>
      </c>
    </row>
    <row r="651" spans="1:7" ht="18.600000000000001" customHeight="1" x14ac:dyDescent="0.3">
      <c r="A651" s="150" t="s">
        <v>1000</v>
      </c>
      <c r="B651" s="50" t="s">
        <v>180</v>
      </c>
      <c r="C651" s="51" t="s">
        <v>181</v>
      </c>
      <c r="D651" s="87" t="s">
        <v>292</v>
      </c>
      <c r="E651" s="126">
        <f>10.9*5.1</f>
        <v>55.589999999999996</v>
      </c>
      <c r="F651" s="79">
        <f>BPU!E651</f>
        <v>0</v>
      </c>
      <c r="G651" s="95">
        <f t="shared" si="15"/>
        <v>0</v>
      </c>
    </row>
    <row r="652" spans="1:7" ht="18.600000000000001" customHeight="1" x14ac:dyDescent="0.3">
      <c r="A652" s="52" t="s">
        <v>1001</v>
      </c>
      <c r="B652" s="46" t="s">
        <v>176</v>
      </c>
      <c r="C652" s="52"/>
      <c r="D652" s="87"/>
      <c r="E652" s="126"/>
      <c r="F652" s="79">
        <f>BPU!E652</f>
        <v>0</v>
      </c>
      <c r="G652" s="95">
        <f t="shared" si="15"/>
        <v>0</v>
      </c>
    </row>
    <row r="653" spans="1:7" ht="18.600000000000001" customHeight="1" x14ac:dyDescent="0.3">
      <c r="A653" s="150" t="s">
        <v>1002</v>
      </c>
      <c r="B653" s="50" t="s">
        <v>257</v>
      </c>
      <c r="C653" s="51" t="s">
        <v>181</v>
      </c>
      <c r="D653" s="87" t="s">
        <v>292</v>
      </c>
      <c r="E653" s="126">
        <v>0</v>
      </c>
      <c r="F653" s="79">
        <f>BPU!E653</f>
        <v>0</v>
      </c>
      <c r="G653" s="95">
        <f t="shared" si="15"/>
        <v>0</v>
      </c>
    </row>
    <row r="654" spans="1:7" ht="18.600000000000001" customHeight="1" x14ac:dyDescent="0.3">
      <c r="A654" s="150" t="s">
        <v>1003</v>
      </c>
      <c r="B654" s="50" t="s">
        <v>253</v>
      </c>
      <c r="C654" s="51" t="s">
        <v>17</v>
      </c>
      <c r="D654" s="87" t="s">
        <v>292</v>
      </c>
      <c r="E654" s="126">
        <f>6.6*2</f>
        <v>13.2</v>
      </c>
      <c r="F654" s="79">
        <f>BPU!E654</f>
        <v>0</v>
      </c>
      <c r="G654" s="95">
        <f t="shared" si="15"/>
        <v>0</v>
      </c>
    </row>
    <row r="655" spans="1:7" ht="18.600000000000001" customHeight="1" x14ac:dyDescent="0.3">
      <c r="A655" s="150" t="s">
        <v>1004</v>
      </c>
      <c r="B655" s="50" t="s">
        <v>252</v>
      </c>
      <c r="C655" s="51" t="s">
        <v>17</v>
      </c>
      <c r="D655" s="87" t="s">
        <v>292</v>
      </c>
      <c r="E655" s="126">
        <f>6.6*2</f>
        <v>13.2</v>
      </c>
      <c r="F655" s="79">
        <f>BPU!E655</f>
        <v>0</v>
      </c>
      <c r="G655" s="95">
        <f t="shared" si="15"/>
        <v>0</v>
      </c>
    </row>
    <row r="656" spans="1:7" ht="18.600000000000001" customHeight="1" x14ac:dyDescent="0.3">
      <c r="A656" s="150" t="s">
        <v>1005</v>
      </c>
      <c r="B656" s="50" t="s">
        <v>254</v>
      </c>
      <c r="C656" s="51" t="s">
        <v>17</v>
      </c>
      <c r="D656" s="87" t="s">
        <v>292</v>
      </c>
      <c r="E656" s="126">
        <f>11.9*6</f>
        <v>71.400000000000006</v>
      </c>
      <c r="F656" s="79">
        <f>BPU!E656</f>
        <v>0</v>
      </c>
      <c r="G656" s="95">
        <f t="shared" si="15"/>
        <v>0</v>
      </c>
    </row>
    <row r="657" spans="1:7" ht="18.600000000000001" customHeight="1" x14ac:dyDescent="0.3">
      <c r="A657" s="150" t="s">
        <v>1006</v>
      </c>
      <c r="B657" s="50" t="s">
        <v>255</v>
      </c>
      <c r="C657" s="51" t="s">
        <v>17</v>
      </c>
      <c r="D657" s="87" t="s">
        <v>292</v>
      </c>
      <c r="E657" s="126">
        <v>0</v>
      </c>
      <c r="F657" s="79">
        <f>BPU!E657</f>
        <v>0</v>
      </c>
      <c r="G657" s="95">
        <f t="shared" si="15"/>
        <v>0</v>
      </c>
    </row>
    <row r="658" spans="1:7" ht="28.8" customHeight="1" x14ac:dyDescent="0.3">
      <c r="A658" s="150" t="s">
        <v>1007</v>
      </c>
      <c r="B658" s="50" t="s">
        <v>251</v>
      </c>
      <c r="C658" s="51" t="s">
        <v>17</v>
      </c>
      <c r="D658" s="87" t="s">
        <v>292</v>
      </c>
      <c r="E658" s="126">
        <v>0</v>
      </c>
      <c r="F658" s="79">
        <f>BPU!E658</f>
        <v>0</v>
      </c>
      <c r="G658" s="95">
        <f t="shared" si="15"/>
        <v>0</v>
      </c>
    </row>
    <row r="659" spans="1:7" x14ac:dyDescent="0.3">
      <c r="A659" s="150" t="s">
        <v>1008</v>
      </c>
      <c r="B659" s="50" t="s">
        <v>256</v>
      </c>
      <c r="C659" s="51" t="s">
        <v>181</v>
      </c>
      <c r="D659" s="87" t="s">
        <v>292</v>
      </c>
      <c r="E659" s="126">
        <f>11.9*6.6*1.25</f>
        <v>98.174999999999983</v>
      </c>
      <c r="F659" s="79">
        <f>BPU!E659</f>
        <v>0</v>
      </c>
      <c r="G659" s="95">
        <f t="shared" si="15"/>
        <v>0</v>
      </c>
    </row>
    <row r="660" spans="1:7" x14ac:dyDescent="0.3">
      <c r="A660" s="150" t="s">
        <v>1009</v>
      </c>
      <c r="B660" s="50" t="s">
        <v>258</v>
      </c>
      <c r="C660" s="51" t="s">
        <v>17</v>
      </c>
      <c r="D660" s="87" t="s">
        <v>292</v>
      </c>
      <c r="E660" s="126">
        <v>0</v>
      </c>
      <c r="F660" s="79">
        <f>BPU!E660</f>
        <v>0</v>
      </c>
      <c r="G660" s="95">
        <f t="shared" si="15"/>
        <v>0</v>
      </c>
    </row>
    <row r="661" spans="1:7" ht="18.600000000000001" customHeight="1" x14ac:dyDescent="0.3">
      <c r="A661" s="150" t="s">
        <v>1010</v>
      </c>
      <c r="B661" s="50" t="s">
        <v>193</v>
      </c>
      <c r="C661" s="51" t="s">
        <v>181</v>
      </c>
      <c r="D661" s="87" t="s">
        <v>292</v>
      </c>
      <c r="E661" s="126">
        <f>2.8*0.75*4</f>
        <v>8.3999999999999986</v>
      </c>
      <c r="F661" s="79">
        <f>BPU!E661</f>
        <v>0</v>
      </c>
      <c r="G661" s="95">
        <f t="shared" si="15"/>
        <v>0</v>
      </c>
    </row>
    <row r="662" spans="1:7" x14ac:dyDescent="0.3">
      <c r="A662" s="150" t="s">
        <v>1011</v>
      </c>
      <c r="B662" s="50" t="s">
        <v>192</v>
      </c>
      <c r="C662" s="51" t="s">
        <v>181</v>
      </c>
      <c r="D662" s="87" t="s">
        <v>292</v>
      </c>
      <c r="E662" s="126">
        <v>0</v>
      </c>
      <c r="F662" s="79">
        <f>BPU!E662</f>
        <v>0</v>
      </c>
      <c r="G662" s="95">
        <f t="shared" si="15"/>
        <v>0</v>
      </c>
    </row>
    <row r="663" spans="1:7" ht="28.8" x14ac:dyDescent="0.3">
      <c r="A663" s="150" t="s">
        <v>1012</v>
      </c>
      <c r="B663" s="50" t="s">
        <v>260</v>
      </c>
      <c r="C663" s="51" t="s">
        <v>181</v>
      </c>
      <c r="D663" s="87" t="s">
        <v>292</v>
      </c>
      <c r="E663" s="126">
        <v>0</v>
      </c>
      <c r="F663" s="79">
        <f>BPU!E663</f>
        <v>0</v>
      </c>
      <c r="G663" s="95">
        <f t="shared" si="15"/>
        <v>0</v>
      </c>
    </row>
    <row r="664" spans="1:7" ht="18.600000000000001" customHeight="1" x14ac:dyDescent="0.3">
      <c r="A664" s="52" t="s">
        <v>1013</v>
      </c>
      <c r="B664" s="46" t="s">
        <v>177</v>
      </c>
      <c r="C664" s="52"/>
      <c r="D664" s="87"/>
      <c r="E664" s="126"/>
      <c r="F664" s="79">
        <f>BPU!E664</f>
        <v>0</v>
      </c>
      <c r="G664" s="95">
        <f t="shared" si="15"/>
        <v>0</v>
      </c>
    </row>
    <row r="665" spans="1:7" ht="18.600000000000001" customHeight="1" x14ac:dyDescent="0.3">
      <c r="A665" s="150" t="s">
        <v>1014</v>
      </c>
      <c r="B665" s="50" t="s">
        <v>182</v>
      </c>
      <c r="C665" s="51" t="s">
        <v>181</v>
      </c>
      <c r="D665" s="87" t="s">
        <v>292</v>
      </c>
      <c r="E665" s="126">
        <v>102.4</v>
      </c>
      <c r="F665" s="79">
        <f>BPU!E665</f>
        <v>0</v>
      </c>
      <c r="G665" s="95">
        <f t="shared" si="15"/>
        <v>0</v>
      </c>
    </row>
    <row r="666" spans="1:7" x14ac:dyDescent="0.3">
      <c r="A666" s="150" t="s">
        <v>1015</v>
      </c>
      <c r="B666" s="50" t="s">
        <v>1273</v>
      </c>
      <c r="C666" s="51" t="s">
        <v>181</v>
      </c>
      <c r="D666" s="87" t="s">
        <v>292</v>
      </c>
      <c r="E666" s="126">
        <v>102.4</v>
      </c>
      <c r="F666" s="79">
        <f>BPU!E666</f>
        <v>0</v>
      </c>
      <c r="G666" s="95">
        <f t="shared" si="15"/>
        <v>0</v>
      </c>
    </row>
    <row r="667" spans="1:7" x14ac:dyDescent="0.3">
      <c r="A667" s="150" t="s">
        <v>1016</v>
      </c>
      <c r="B667" s="50" t="s">
        <v>183</v>
      </c>
      <c r="C667" s="51" t="s">
        <v>181</v>
      </c>
      <c r="D667" s="87" t="s">
        <v>292</v>
      </c>
      <c r="E667" s="126">
        <v>55.589999999999996</v>
      </c>
      <c r="F667" s="79">
        <f>BPU!E667</f>
        <v>0</v>
      </c>
      <c r="G667" s="95">
        <f t="shared" si="15"/>
        <v>0</v>
      </c>
    </row>
    <row r="668" spans="1:7" x14ac:dyDescent="0.3">
      <c r="A668" s="150" t="s">
        <v>1017</v>
      </c>
      <c r="B668" s="50" t="s">
        <v>184</v>
      </c>
      <c r="C668" s="51" t="s">
        <v>181</v>
      </c>
      <c r="D668" s="87" t="s">
        <v>292</v>
      </c>
      <c r="E668" s="126">
        <f>1.6*2.1*2</f>
        <v>6.7200000000000006</v>
      </c>
      <c r="F668" s="79">
        <f>BPU!E668</f>
        <v>0</v>
      </c>
      <c r="G668" s="95">
        <f t="shared" si="15"/>
        <v>0</v>
      </c>
    </row>
    <row r="669" spans="1:7" x14ac:dyDescent="0.3">
      <c r="A669" s="150" t="s">
        <v>1018</v>
      </c>
      <c r="B669" s="50" t="s">
        <v>185</v>
      </c>
      <c r="C669" s="51" t="s">
        <v>181</v>
      </c>
      <c r="D669" s="87" t="s">
        <v>292</v>
      </c>
      <c r="E669" s="126">
        <f>26.4*2</f>
        <v>52.8</v>
      </c>
      <c r="F669" s="79">
        <f>BPU!E669</f>
        <v>0</v>
      </c>
      <c r="G669" s="95">
        <f t="shared" si="15"/>
        <v>0</v>
      </c>
    </row>
    <row r="670" spans="1:7" ht="19.2" customHeight="1" x14ac:dyDescent="0.3">
      <c r="A670" s="52"/>
      <c r="B670" s="50" t="s">
        <v>394</v>
      </c>
      <c r="C670" s="51"/>
      <c r="D670" s="87"/>
      <c r="E670" s="126"/>
      <c r="F670" s="79">
        <f>BPU!E670</f>
        <v>0</v>
      </c>
      <c r="G670" s="143">
        <f>SUM(G594:G669)</f>
        <v>0</v>
      </c>
    </row>
    <row r="671" spans="1:7" s="58" customFormat="1" ht="16.8" customHeight="1" x14ac:dyDescent="0.3">
      <c r="A671" s="70" t="s">
        <v>384</v>
      </c>
      <c r="B671" s="70" t="s">
        <v>150</v>
      </c>
      <c r="C671" s="64"/>
      <c r="D671" s="88"/>
      <c r="E671" s="130"/>
      <c r="F671" s="79">
        <f>BPU!E671</f>
        <v>0</v>
      </c>
      <c r="G671" s="95">
        <f t="shared" si="15"/>
        <v>0</v>
      </c>
    </row>
    <row r="672" spans="1:7" s="65" customFormat="1" ht="24" customHeight="1" x14ac:dyDescent="0.3">
      <c r="A672" s="64" t="s">
        <v>1019</v>
      </c>
      <c r="B672" s="53" t="s">
        <v>1318</v>
      </c>
      <c r="C672" s="64" t="s">
        <v>79</v>
      </c>
      <c r="D672" s="88" t="s">
        <v>292</v>
      </c>
      <c r="E672" s="130">
        <v>0</v>
      </c>
      <c r="F672" s="79">
        <f>BPU!E672</f>
        <v>0</v>
      </c>
      <c r="G672" s="95">
        <f t="shared" si="15"/>
        <v>0</v>
      </c>
    </row>
    <row r="673" spans="1:23" s="65" customFormat="1" ht="16.2" x14ac:dyDescent="0.3">
      <c r="A673" s="64" t="s">
        <v>1020</v>
      </c>
      <c r="B673" s="53" t="s">
        <v>261</v>
      </c>
      <c r="C673" s="64" t="s">
        <v>334</v>
      </c>
      <c r="D673" s="88" t="s">
        <v>292</v>
      </c>
      <c r="E673" s="130">
        <f>333.91*0.2</f>
        <v>66.782000000000011</v>
      </c>
      <c r="F673" s="79">
        <f>BPU!E673</f>
        <v>0</v>
      </c>
      <c r="G673" s="95">
        <f t="shared" si="15"/>
        <v>0</v>
      </c>
    </row>
    <row r="674" spans="1:23" s="65" customFormat="1" ht="16.2" x14ac:dyDescent="0.3">
      <c r="A674" s="64" t="s">
        <v>1021</v>
      </c>
      <c r="B674" s="53" t="s">
        <v>1319</v>
      </c>
      <c r="C674" s="64" t="s">
        <v>334</v>
      </c>
      <c r="D674" s="88" t="s">
        <v>292</v>
      </c>
      <c r="E674" s="130">
        <v>0</v>
      </c>
      <c r="F674" s="79">
        <f>BPU!E674</f>
        <v>0</v>
      </c>
      <c r="G674" s="95">
        <f t="shared" si="15"/>
        <v>0</v>
      </c>
    </row>
    <row r="675" spans="1:23" s="65" customFormat="1" ht="16.2" x14ac:dyDescent="0.3">
      <c r="A675" s="64" t="s">
        <v>1022</v>
      </c>
      <c r="B675" s="53" t="s">
        <v>262</v>
      </c>
      <c r="C675" s="64" t="s">
        <v>334</v>
      </c>
      <c r="D675" s="88" t="s">
        <v>292</v>
      </c>
      <c r="E675" s="130">
        <f>333.91*0.1</f>
        <v>33.391000000000005</v>
      </c>
      <c r="F675" s="79">
        <f>BPU!E675</f>
        <v>0</v>
      </c>
      <c r="G675" s="95">
        <f t="shared" si="15"/>
        <v>0</v>
      </c>
    </row>
    <row r="676" spans="1:23" s="65" customFormat="1" ht="18.600000000000001" customHeight="1" x14ac:dyDescent="0.3">
      <c r="A676" s="64" t="s">
        <v>1023</v>
      </c>
      <c r="B676" s="53" t="s">
        <v>263</v>
      </c>
      <c r="C676" s="64" t="s">
        <v>333</v>
      </c>
      <c r="D676" s="88" t="s">
        <v>292</v>
      </c>
      <c r="E676" s="130">
        <v>0</v>
      </c>
      <c r="F676" s="79">
        <f>BPU!E676</f>
        <v>0</v>
      </c>
      <c r="G676" s="95">
        <f t="shared" si="15"/>
        <v>0</v>
      </c>
    </row>
    <row r="677" spans="1:23" s="65" customFormat="1" ht="25.8" customHeight="1" x14ac:dyDescent="0.3">
      <c r="A677" s="64" t="s">
        <v>1024</v>
      </c>
      <c r="B677" s="53" t="s">
        <v>383</v>
      </c>
      <c r="C677" s="64" t="s">
        <v>17</v>
      </c>
      <c r="D677" s="88" t="s">
        <v>292</v>
      </c>
      <c r="E677" s="130">
        <v>0</v>
      </c>
      <c r="F677" s="79">
        <f>BPU!E677</f>
        <v>0</v>
      </c>
      <c r="G677" s="95">
        <f t="shared" si="15"/>
        <v>0</v>
      </c>
    </row>
    <row r="678" spans="1:23" s="65" customFormat="1" ht="18.600000000000001" customHeight="1" x14ac:dyDescent="0.3">
      <c r="A678" s="64" t="s">
        <v>1025</v>
      </c>
      <c r="B678" s="53" t="s">
        <v>264</v>
      </c>
      <c r="C678" s="64" t="s">
        <v>333</v>
      </c>
      <c r="D678" s="88" t="s">
        <v>292</v>
      </c>
      <c r="E678" s="130">
        <f>2*4</f>
        <v>8</v>
      </c>
      <c r="F678" s="79">
        <f>BPU!E678</f>
        <v>0</v>
      </c>
      <c r="G678" s="95">
        <f t="shared" si="15"/>
        <v>0</v>
      </c>
      <c r="H678" s="141"/>
    </row>
    <row r="679" spans="1:23" s="65" customFormat="1" ht="29.4" customHeight="1" thickBot="1" x14ac:dyDescent="0.35">
      <c r="A679" s="64" t="s">
        <v>1026</v>
      </c>
      <c r="B679" s="53" t="s">
        <v>265</v>
      </c>
      <c r="C679" s="64" t="s">
        <v>197</v>
      </c>
      <c r="D679" s="88" t="s">
        <v>292</v>
      </c>
      <c r="E679" s="130">
        <v>5</v>
      </c>
      <c r="F679" s="79">
        <f>BPU!E679</f>
        <v>0</v>
      </c>
      <c r="G679" s="95">
        <f t="shared" si="15"/>
        <v>0</v>
      </c>
    </row>
    <row r="680" spans="1:23" s="98" customFormat="1" ht="15" thickBot="1" x14ac:dyDescent="0.35">
      <c r="A680" s="65"/>
      <c r="B680" s="96" t="s">
        <v>395</v>
      </c>
      <c r="C680" s="97"/>
      <c r="D680" s="97"/>
      <c r="E680" s="128"/>
      <c r="F680" s="145">
        <f>BPU!E680</f>
        <v>0</v>
      </c>
      <c r="G680" s="146">
        <f>SUM(G672:G679)</f>
        <v>0</v>
      </c>
      <c r="J680" s="99"/>
      <c r="K680" s="75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100"/>
      <c r="W680" s="100"/>
    </row>
    <row r="681" spans="1:23" s="58" customFormat="1" ht="18" customHeight="1" thickBot="1" x14ac:dyDescent="0.35">
      <c r="A681" s="47"/>
      <c r="B681" s="103" t="s">
        <v>358</v>
      </c>
      <c r="C681" s="72"/>
      <c r="D681" s="91"/>
      <c r="E681" s="131"/>
      <c r="F681" s="79">
        <f>BPU!E681</f>
        <v>0</v>
      </c>
      <c r="G681" s="105">
        <f>G680+G670+G591+G513+G413+G324</f>
        <v>0</v>
      </c>
    </row>
    <row r="682" spans="1:23" s="58" customFormat="1" ht="18" customHeight="1" x14ac:dyDescent="0.3">
      <c r="A682" s="47"/>
      <c r="B682" s="114"/>
      <c r="D682" s="115"/>
      <c r="E682" s="132"/>
      <c r="F682" s="79">
        <f>BPU!E682</f>
        <v>0</v>
      </c>
    </row>
    <row r="683" spans="1:23" s="58" customFormat="1" ht="16.8" customHeight="1" x14ac:dyDescent="0.3">
      <c r="A683" s="59" t="s">
        <v>69</v>
      </c>
      <c r="B683" s="59" t="s">
        <v>70</v>
      </c>
      <c r="C683" s="59"/>
      <c r="D683" s="86"/>
      <c r="E683" s="124"/>
      <c r="F683" s="86"/>
      <c r="G683" s="59"/>
    </row>
    <row r="684" spans="1:23" ht="43.2" x14ac:dyDescent="0.3">
      <c r="A684" s="60" t="s">
        <v>2</v>
      </c>
      <c r="B684" s="60" t="s">
        <v>3</v>
      </c>
      <c r="C684" s="60" t="s">
        <v>4</v>
      </c>
      <c r="D684" s="41" t="s">
        <v>152</v>
      </c>
      <c r="E684" s="125" t="s">
        <v>5</v>
      </c>
      <c r="F684" s="41" t="s">
        <v>382</v>
      </c>
      <c r="G684" s="42" t="s">
        <v>350</v>
      </c>
    </row>
    <row r="685" spans="1:23" s="58" customFormat="1" ht="16.8" customHeight="1" x14ac:dyDescent="0.3">
      <c r="A685" s="70" t="s">
        <v>72</v>
      </c>
      <c r="B685" s="70" t="s">
        <v>73</v>
      </c>
      <c r="C685" s="52"/>
      <c r="D685" s="87"/>
      <c r="E685" s="126"/>
      <c r="F685" s="79">
        <f>BPU!E685</f>
        <v>0</v>
      </c>
      <c r="G685" s="52"/>
    </row>
    <row r="686" spans="1:23" ht="18.600000000000001" customHeight="1" x14ac:dyDescent="0.3">
      <c r="A686" s="52" t="s">
        <v>74</v>
      </c>
      <c r="B686" s="54" t="s">
        <v>1314</v>
      </c>
      <c r="C686" s="52"/>
      <c r="D686" s="87"/>
      <c r="E686" s="126"/>
      <c r="F686" s="79">
        <f>BPU!E686</f>
        <v>0</v>
      </c>
      <c r="G686" s="52"/>
    </row>
    <row r="687" spans="1:23" ht="27" customHeight="1" x14ac:dyDescent="0.3">
      <c r="A687" s="150" t="s">
        <v>1027</v>
      </c>
      <c r="B687" s="50" t="s">
        <v>267</v>
      </c>
      <c r="C687" s="51" t="s">
        <v>76</v>
      </c>
      <c r="D687" s="87" t="s">
        <v>292</v>
      </c>
      <c r="E687" s="126">
        <f>3*0</f>
        <v>0</v>
      </c>
      <c r="F687" s="79">
        <f>BPU!E687</f>
        <v>0</v>
      </c>
      <c r="G687" s="95">
        <f>E687*F687</f>
        <v>0</v>
      </c>
    </row>
    <row r="688" spans="1:23" ht="18.600000000000001" customHeight="1" x14ac:dyDescent="0.3">
      <c r="A688" s="52" t="s">
        <v>84</v>
      </c>
      <c r="B688" s="43" t="s">
        <v>268</v>
      </c>
      <c r="C688" s="52"/>
      <c r="D688" s="87"/>
      <c r="E688" s="126"/>
      <c r="F688" s="79">
        <f>BPU!E688</f>
        <v>0</v>
      </c>
      <c r="G688" s="95">
        <f t="shared" ref="G688:G748" si="16">E688*F688</f>
        <v>0</v>
      </c>
    </row>
    <row r="689" spans="1:9" ht="18.600000000000001" customHeight="1" x14ac:dyDescent="0.3">
      <c r="A689" s="150" t="s">
        <v>1028</v>
      </c>
      <c r="B689" s="50" t="s">
        <v>186</v>
      </c>
      <c r="C689" s="51" t="s">
        <v>230</v>
      </c>
      <c r="D689" s="87" t="s">
        <v>292</v>
      </c>
      <c r="E689" s="126">
        <f>93.5*0.6*0.6</f>
        <v>33.659999999999997</v>
      </c>
      <c r="F689" s="79">
        <f>BPU!E689</f>
        <v>0</v>
      </c>
      <c r="G689" s="95">
        <f t="shared" si="16"/>
        <v>0</v>
      </c>
    </row>
    <row r="690" spans="1:9" ht="18.600000000000001" customHeight="1" x14ac:dyDescent="0.3">
      <c r="A690" s="150" t="s">
        <v>1029</v>
      </c>
      <c r="B690" s="50" t="s">
        <v>188</v>
      </c>
      <c r="C690" s="51" t="s">
        <v>230</v>
      </c>
      <c r="D690" s="87" t="s">
        <v>292</v>
      </c>
      <c r="E690" s="126">
        <f>93.5*0.6*0.6</f>
        <v>33.659999999999997</v>
      </c>
      <c r="F690" s="79">
        <f>BPU!E690</f>
        <v>0</v>
      </c>
      <c r="G690" s="95">
        <f t="shared" si="16"/>
        <v>0</v>
      </c>
    </row>
    <row r="691" spans="1:9" ht="18.600000000000001" customHeight="1" x14ac:dyDescent="0.3">
      <c r="A691" s="150" t="s">
        <v>1030</v>
      </c>
      <c r="B691" s="50" t="s">
        <v>189</v>
      </c>
      <c r="C691" s="51" t="s">
        <v>230</v>
      </c>
      <c r="D691" s="87" t="s">
        <v>292</v>
      </c>
      <c r="E691" s="126">
        <f>93.5*0.6*0.4</f>
        <v>22.44</v>
      </c>
      <c r="F691" s="79">
        <f>BPU!E691</f>
        <v>0</v>
      </c>
      <c r="G691" s="95">
        <f t="shared" si="16"/>
        <v>0</v>
      </c>
    </row>
    <row r="692" spans="1:9" ht="18.600000000000001" customHeight="1" x14ac:dyDescent="0.3">
      <c r="A692" s="150" t="s">
        <v>1031</v>
      </c>
      <c r="B692" s="50" t="s">
        <v>190</v>
      </c>
      <c r="C692" s="51" t="s">
        <v>230</v>
      </c>
      <c r="D692" s="87" t="s">
        <v>292</v>
      </c>
      <c r="E692" s="126">
        <f>93.5*0.4*4.5</f>
        <v>168.29999999999998</v>
      </c>
      <c r="F692" s="79">
        <f>BPU!E692</f>
        <v>0</v>
      </c>
      <c r="G692" s="95">
        <f t="shared" si="16"/>
        <v>0</v>
      </c>
    </row>
    <row r="693" spans="1:9" ht="19.8" customHeight="1" x14ac:dyDescent="0.3">
      <c r="A693" s="150" t="s">
        <v>1032</v>
      </c>
      <c r="B693" s="50" t="s">
        <v>191</v>
      </c>
      <c r="C693" s="51" t="s">
        <v>167</v>
      </c>
      <c r="D693" s="87" t="s">
        <v>292</v>
      </c>
      <c r="E693" s="126">
        <f>2*4*3</f>
        <v>24</v>
      </c>
      <c r="F693" s="79">
        <f>BPU!E693</f>
        <v>0</v>
      </c>
      <c r="G693" s="95">
        <f t="shared" si="16"/>
        <v>0</v>
      </c>
      <c r="I693" s="74"/>
    </row>
    <row r="694" spans="1:9" x14ac:dyDescent="0.3">
      <c r="A694" s="52" t="s">
        <v>85</v>
      </c>
      <c r="B694" s="43" t="s">
        <v>297</v>
      </c>
      <c r="C694" s="52"/>
      <c r="D694" s="87"/>
      <c r="E694" s="126"/>
      <c r="F694" s="79">
        <f>BPU!E694</f>
        <v>0</v>
      </c>
      <c r="G694" s="95">
        <f t="shared" si="16"/>
        <v>0</v>
      </c>
    </row>
    <row r="695" spans="1:9" ht="18.600000000000001" customHeight="1" x14ac:dyDescent="0.3">
      <c r="A695" s="52" t="s">
        <v>1033</v>
      </c>
      <c r="B695" s="46" t="s">
        <v>208</v>
      </c>
      <c r="C695" s="51"/>
      <c r="D695" s="87"/>
      <c r="E695" s="126"/>
      <c r="F695" s="79">
        <f>BPU!E695</f>
        <v>0</v>
      </c>
      <c r="G695" s="95">
        <f t="shared" si="16"/>
        <v>0</v>
      </c>
    </row>
    <row r="696" spans="1:9" ht="18.600000000000001" customHeight="1" x14ac:dyDescent="0.3">
      <c r="A696" s="150" t="s">
        <v>1034</v>
      </c>
      <c r="B696" s="52" t="s">
        <v>211</v>
      </c>
      <c r="C696" s="51" t="s">
        <v>230</v>
      </c>
      <c r="D696" s="87" t="s">
        <v>292</v>
      </c>
      <c r="E696" s="126">
        <f>14.976*0</f>
        <v>0</v>
      </c>
      <c r="F696" s="79">
        <f>BPU!E696</f>
        <v>0</v>
      </c>
      <c r="G696" s="95">
        <f t="shared" si="16"/>
        <v>0</v>
      </c>
    </row>
    <row r="697" spans="1:9" ht="18.600000000000001" customHeight="1" x14ac:dyDescent="0.3">
      <c r="A697" s="150" t="s">
        <v>1035</v>
      </c>
      <c r="B697" s="52" t="s">
        <v>326</v>
      </c>
      <c r="C697" s="51" t="s">
        <v>230</v>
      </c>
      <c r="D697" s="87" t="s">
        <v>292</v>
      </c>
      <c r="E697" s="126">
        <f>14.352*0</f>
        <v>0</v>
      </c>
      <c r="F697" s="79">
        <f>BPU!E697</f>
        <v>0</v>
      </c>
      <c r="G697" s="95">
        <f t="shared" si="16"/>
        <v>0</v>
      </c>
    </row>
    <row r="698" spans="1:9" ht="18.600000000000001" customHeight="1" x14ac:dyDescent="0.3">
      <c r="A698" s="52" t="s">
        <v>1036</v>
      </c>
      <c r="B698" s="46" t="s">
        <v>168</v>
      </c>
      <c r="C698" s="52"/>
      <c r="D698" s="87"/>
      <c r="E698" s="126">
        <v>0</v>
      </c>
      <c r="F698" s="79">
        <f>BPU!E698</f>
        <v>0</v>
      </c>
      <c r="G698" s="95">
        <f t="shared" si="16"/>
        <v>0</v>
      </c>
    </row>
    <row r="699" spans="1:9" s="65" customFormat="1" ht="18.600000000000001" customHeight="1" x14ac:dyDescent="0.3">
      <c r="A699" s="150" t="s">
        <v>1037</v>
      </c>
      <c r="B699" s="50" t="s">
        <v>213</v>
      </c>
      <c r="C699" s="51" t="s">
        <v>230</v>
      </c>
      <c r="D699" s="88" t="s">
        <v>292</v>
      </c>
      <c r="E699" s="126">
        <f>1.872*0</f>
        <v>0</v>
      </c>
      <c r="F699" s="79">
        <f>BPU!E699</f>
        <v>0</v>
      </c>
      <c r="G699" s="95">
        <f t="shared" si="16"/>
        <v>0</v>
      </c>
      <c r="H699" s="47"/>
    </row>
    <row r="700" spans="1:9" s="65" customFormat="1" ht="18.600000000000001" customHeight="1" x14ac:dyDescent="0.3">
      <c r="A700" s="150" t="s">
        <v>1038</v>
      </c>
      <c r="B700" s="50" t="s">
        <v>187</v>
      </c>
      <c r="C700" s="51" t="s">
        <v>230</v>
      </c>
      <c r="D700" s="88" t="s">
        <v>292</v>
      </c>
      <c r="E700" s="126">
        <f>14.976*0</f>
        <v>0</v>
      </c>
      <c r="F700" s="79">
        <f>BPU!E700</f>
        <v>0</v>
      </c>
      <c r="G700" s="95">
        <f t="shared" si="16"/>
        <v>0</v>
      </c>
      <c r="H700" s="47"/>
    </row>
    <row r="701" spans="1:9" s="65" customFormat="1" ht="18.600000000000001" customHeight="1" x14ac:dyDescent="0.3">
      <c r="A701" s="150" t="s">
        <v>1039</v>
      </c>
      <c r="B701" s="50" t="s">
        <v>214</v>
      </c>
      <c r="C701" s="51" t="s">
        <v>230</v>
      </c>
      <c r="D701" s="88" t="s">
        <v>292</v>
      </c>
      <c r="E701" s="126">
        <f>0.144*0</f>
        <v>0</v>
      </c>
      <c r="F701" s="79">
        <f>BPU!E701</f>
        <v>0</v>
      </c>
      <c r="G701" s="95">
        <f t="shared" si="16"/>
        <v>0</v>
      </c>
      <c r="H701" s="47"/>
    </row>
    <row r="702" spans="1:9" s="65" customFormat="1" ht="33" customHeight="1" x14ac:dyDescent="0.3">
      <c r="A702" s="150" t="s">
        <v>1040</v>
      </c>
      <c r="B702" s="50" t="s">
        <v>215</v>
      </c>
      <c r="C702" s="51" t="s">
        <v>230</v>
      </c>
      <c r="D702" s="88" t="s">
        <v>292</v>
      </c>
      <c r="E702" s="126">
        <f>15.72*0</f>
        <v>0</v>
      </c>
      <c r="F702" s="79">
        <f>BPU!E702</f>
        <v>0</v>
      </c>
      <c r="G702" s="95">
        <f t="shared" si="16"/>
        <v>0</v>
      </c>
      <c r="H702" s="47"/>
    </row>
    <row r="703" spans="1:9" ht="18.600000000000001" customHeight="1" x14ac:dyDescent="0.3">
      <c r="A703" s="52" t="s">
        <v>1041</v>
      </c>
      <c r="B703" s="46" t="s">
        <v>169</v>
      </c>
      <c r="C703" s="52"/>
      <c r="D703" s="87"/>
      <c r="E703" s="126"/>
      <c r="F703" s="79"/>
      <c r="G703" s="95"/>
    </row>
    <row r="704" spans="1:9" ht="18.600000000000001" customHeight="1" x14ac:dyDescent="0.3">
      <c r="A704" s="150" t="s">
        <v>1042</v>
      </c>
      <c r="B704" s="50" t="s">
        <v>216</v>
      </c>
      <c r="C704" s="51" t="s">
        <v>230</v>
      </c>
      <c r="D704" s="87" t="s">
        <v>292</v>
      </c>
      <c r="E704" s="126">
        <f>4.784*0</f>
        <v>0</v>
      </c>
      <c r="F704" s="79">
        <f>BPU!E704</f>
        <v>0</v>
      </c>
      <c r="G704" s="95">
        <f t="shared" si="16"/>
        <v>0</v>
      </c>
    </row>
    <row r="705" spans="1:7" ht="18.600000000000001" customHeight="1" x14ac:dyDescent="0.3">
      <c r="A705" s="150" t="s">
        <v>1043</v>
      </c>
      <c r="B705" s="50" t="s">
        <v>217</v>
      </c>
      <c r="C705" s="51" t="s">
        <v>230</v>
      </c>
      <c r="D705" s="87" t="s">
        <v>292</v>
      </c>
      <c r="E705" s="126">
        <f>0.864*0</f>
        <v>0</v>
      </c>
      <c r="F705" s="79">
        <f>BPU!E705</f>
        <v>0</v>
      </c>
      <c r="G705" s="95">
        <f t="shared" si="16"/>
        <v>0</v>
      </c>
    </row>
    <row r="706" spans="1:7" ht="18.600000000000001" customHeight="1" x14ac:dyDescent="0.3">
      <c r="A706" s="150" t="s">
        <v>1044</v>
      </c>
      <c r="B706" s="50" t="s">
        <v>218</v>
      </c>
      <c r="C706" s="51" t="s">
        <v>230</v>
      </c>
      <c r="D706" s="87" t="s">
        <v>292</v>
      </c>
      <c r="E706" s="126">
        <f>2.496*0</f>
        <v>0</v>
      </c>
      <c r="F706" s="79">
        <f>BPU!E706</f>
        <v>0</v>
      </c>
      <c r="G706" s="95">
        <f t="shared" si="16"/>
        <v>0</v>
      </c>
    </row>
    <row r="707" spans="1:7" ht="18.600000000000001" customHeight="1" x14ac:dyDescent="0.3">
      <c r="A707" s="150" t="s">
        <v>1045</v>
      </c>
      <c r="B707" s="50" t="s">
        <v>219</v>
      </c>
      <c r="C707" s="51" t="s">
        <v>230</v>
      </c>
      <c r="D707" s="87" t="s">
        <v>292</v>
      </c>
      <c r="E707" s="126">
        <f>2.496*0</f>
        <v>0</v>
      </c>
      <c r="F707" s="79">
        <f>BPU!E707</f>
        <v>0</v>
      </c>
      <c r="G707" s="95">
        <f t="shared" si="16"/>
        <v>0</v>
      </c>
    </row>
    <row r="708" spans="1:7" ht="18.600000000000001" customHeight="1" x14ac:dyDescent="0.3">
      <c r="A708" s="150" t="s">
        <v>1046</v>
      </c>
      <c r="B708" s="50" t="s">
        <v>220</v>
      </c>
      <c r="C708" s="51" t="s">
        <v>230</v>
      </c>
      <c r="D708" s="87" t="s">
        <v>292</v>
      </c>
      <c r="E708" s="126">
        <f>0.192*0</f>
        <v>0</v>
      </c>
      <c r="F708" s="79">
        <f>BPU!E708</f>
        <v>0</v>
      </c>
      <c r="G708" s="95">
        <f t="shared" si="16"/>
        <v>0</v>
      </c>
    </row>
    <row r="709" spans="1:7" ht="18.600000000000001" customHeight="1" x14ac:dyDescent="0.3">
      <c r="A709" s="150" t="s">
        <v>1047</v>
      </c>
      <c r="B709" s="50" t="s">
        <v>221</v>
      </c>
      <c r="C709" s="51" t="s">
        <v>230</v>
      </c>
      <c r="D709" s="87" t="s">
        <v>292</v>
      </c>
      <c r="E709" s="126">
        <f>2.88*0</f>
        <v>0</v>
      </c>
      <c r="F709" s="79">
        <f>BPU!E709</f>
        <v>0</v>
      </c>
      <c r="G709" s="95">
        <f t="shared" si="16"/>
        <v>0</v>
      </c>
    </row>
    <row r="710" spans="1:7" ht="18.600000000000001" customHeight="1" x14ac:dyDescent="0.3">
      <c r="A710" s="150" t="s">
        <v>1048</v>
      </c>
      <c r="B710" s="50" t="s">
        <v>222</v>
      </c>
      <c r="C710" s="51" t="s">
        <v>230</v>
      </c>
      <c r="D710" s="87" t="s">
        <v>292</v>
      </c>
      <c r="E710" s="126">
        <v>0</v>
      </c>
      <c r="F710" s="79">
        <f>BPU!E710</f>
        <v>0</v>
      </c>
      <c r="G710" s="95">
        <f t="shared" si="16"/>
        <v>0</v>
      </c>
    </row>
    <row r="711" spans="1:7" ht="18.600000000000001" customHeight="1" x14ac:dyDescent="0.3">
      <c r="A711" s="52" t="s">
        <v>1049</v>
      </c>
      <c r="B711" s="46" t="s">
        <v>170</v>
      </c>
      <c r="C711" s="52"/>
      <c r="D711" s="87"/>
      <c r="E711" s="126"/>
      <c r="F711" s="79"/>
      <c r="G711" s="95"/>
    </row>
    <row r="712" spans="1:7" ht="18.600000000000001" customHeight="1" x14ac:dyDescent="0.3">
      <c r="A712" s="150" t="s">
        <v>1050</v>
      </c>
      <c r="B712" s="50" t="s">
        <v>223</v>
      </c>
      <c r="C712" s="51" t="s">
        <v>230</v>
      </c>
      <c r="D712" s="87" t="s">
        <v>292</v>
      </c>
      <c r="E712" s="126">
        <f>2.99*0</f>
        <v>0</v>
      </c>
      <c r="F712" s="79">
        <f>BPU!E712</f>
        <v>0</v>
      </c>
      <c r="G712" s="95">
        <f t="shared" si="16"/>
        <v>0</v>
      </c>
    </row>
    <row r="713" spans="1:7" ht="18.600000000000001" customHeight="1" x14ac:dyDescent="0.3">
      <c r="A713" s="150" t="s">
        <v>1051</v>
      </c>
      <c r="B713" s="50" t="s">
        <v>224</v>
      </c>
      <c r="C713" s="51" t="s">
        <v>230</v>
      </c>
      <c r="D713" s="87" t="s">
        <v>292</v>
      </c>
      <c r="E713" s="126">
        <f>14.95*0</f>
        <v>0</v>
      </c>
      <c r="F713" s="79">
        <f>BPU!E713</f>
        <v>0</v>
      </c>
      <c r="G713" s="95">
        <f t="shared" si="16"/>
        <v>0</v>
      </c>
    </row>
    <row r="714" spans="1:7" ht="18.600000000000001" customHeight="1" x14ac:dyDescent="0.3">
      <c r="A714" s="150" t="s">
        <v>1052</v>
      </c>
      <c r="B714" s="50" t="s">
        <v>178</v>
      </c>
      <c r="C714" s="51" t="s">
        <v>230</v>
      </c>
      <c r="D714" s="87" t="s">
        <v>292</v>
      </c>
      <c r="E714" s="126">
        <v>0</v>
      </c>
      <c r="F714" s="79">
        <f>BPU!E714</f>
        <v>0</v>
      </c>
      <c r="G714" s="95">
        <f t="shared" si="16"/>
        <v>0</v>
      </c>
    </row>
    <row r="715" spans="1:7" ht="18.600000000000001" customHeight="1" x14ac:dyDescent="0.3">
      <c r="A715" s="52" t="s">
        <v>1053</v>
      </c>
      <c r="B715" s="46" t="s">
        <v>171</v>
      </c>
      <c r="C715" s="52"/>
      <c r="D715" s="87"/>
      <c r="E715" s="126"/>
      <c r="F715" s="79"/>
      <c r="G715" s="95"/>
    </row>
    <row r="716" spans="1:7" ht="24.6" customHeight="1" x14ac:dyDescent="0.3">
      <c r="A716" s="150" t="s">
        <v>1054</v>
      </c>
      <c r="B716" s="50" t="s">
        <v>229</v>
      </c>
      <c r="C716" s="51" t="s">
        <v>181</v>
      </c>
      <c r="D716" s="87" t="s">
        <v>292</v>
      </c>
      <c r="E716" s="126">
        <f>24.96*0</f>
        <v>0</v>
      </c>
      <c r="F716" s="79">
        <f>BPU!E716</f>
        <v>0</v>
      </c>
      <c r="G716" s="95">
        <f t="shared" si="16"/>
        <v>0</v>
      </c>
    </row>
    <row r="717" spans="1:7" ht="18.600000000000001" customHeight="1" x14ac:dyDescent="0.3">
      <c r="A717" s="150" t="s">
        <v>1055</v>
      </c>
      <c r="B717" s="50" t="s">
        <v>225</v>
      </c>
      <c r="C717" s="51" t="s">
        <v>181</v>
      </c>
      <c r="D717" s="87" t="s">
        <v>292</v>
      </c>
      <c r="E717" s="126">
        <f>280.8*0</f>
        <v>0</v>
      </c>
      <c r="F717" s="79">
        <f>BPU!E717</f>
        <v>0</v>
      </c>
      <c r="G717" s="95">
        <f t="shared" si="16"/>
        <v>0</v>
      </c>
    </row>
    <row r="718" spans="1:7" ht="18.600000000000001" customHeight="1" x14ac:dyDescent="0.3">
      <c r="A718" s="150" t="s">
        <v>1056</v>
      </c>
      <c r="B718" s="50" t="s">
        <v>226</v>
      </c>
      <c r="C718" s="51" t="s">
        <v>181</v>
      </c>
      <c r="D718" s="87" t="s">
        <v>292</v>
      </c>
      <c r="E718" s="126">
        <f>24*0</f>
        <v>0</v>
      </c>
      <c r="F718" s="79">
        <f>BPU!E718</f>
        <v>0</v>
      </c>
      <c r="G718" s="95">
        <f t="shared" si="16"/>
        <v>0</v>
      </c>
    </row>
    <row r="719" spans="1:7" ht="18.600000000000001" customHeight="1" x14ac:dyDescent="0.3">
      <c r="A719" s="150" t="s">
        <v>1057</v>
      </c>
      <c r="B719" s="50" t="s">
        <v>227</v>
      </c>
      <c r="C719" s="51" t="s">
        <v>181</v>
      </c>
      <c r="D719" s="87" t="s">
        <v>292</v>
      </c>
      <c r="E719" s="126">
        <f>2.88*0</f>
        <v>0</v>
      </c>
      <c r="F719" s="79">
        <f>BPU!E719</f>
        <v>0</v>
      </c>
      <c r="G719" s="95">
        <f t="shared" si="16"/>
        <v>0</v>
      </c>
    </row>
    <row r="720" spans="1:7" ht="18.600000000000001" customHeight="1" x14ac:dyDescent="0.3">
      <c r="A720" s="150" t="s">
        <v>1058</v>
      </c>
      <c r="B720" s="50" t="s">
        <v>228</v>
      </c>
      <c r="C720" s="51" t="s">
        <v>181</v>
      </c>
      <c r="D720" s="87" t="s">
        <v>292</v>
      </c>
      <c r="E720" s="126">
        <v>0</v>
      </c>
      <c r="F720" s="79">
        <f>BPU!E720</f>
        <v>0</v>
      </c>
      <c r="G720" s="95">
        <f t="shared" si="16"/>
        <v>0</v>
      </c>
    </row>
    <row r="721" spans="1:7" ht="18.600000000000001" customHeight="1" x14ac:dyDescent="0.3">
      <c r="A721" s="52" t="s">
        <v>1059</v>
      </c>
      <c r="B721" s="46" t="s">
        <v>172</v>
      </c>
      <c r="C721" s="52"/>
      <c r="D721" s="87"/>
      <c r="E721" s="126"/>
      <c r="F721" s="79"/>
      <c r="G721" s="95"/>
    </row>
    <row r="722" spans="1:7" ht="18.600000000000001" customHeight="1" x14ac:dyDescent="0.3">
      <c r="A722" s="150" t="s">
        <v>1060</v>
      </c>
      <c r="B722" s="50" t="s">
        <v>231</v>
      </c>
      <c r="C722" s="51" t="s">
        <v>181</v>
      </c>
      <c r="D722" s="87" t="s">
        <v>292</v>
      </c>
      <c r="E722" s="126">
        <v>0</v>
      </c>
      <c r="F722" s="79">
        <f>BPU!E722</f>
        <v>0</v>
      </c>
      <c r="G722" s="95">
        <f t="shared" si="16"/>
        <v>0</v>
      </c>
    </row>
    <row r="723" spans="1:7" ht="18.600000000000001" customHeight="1" x14ac:dyDescent="0.3">
      <c r="A723" s="150" t="s">
        <v>1061</v>
      </c>
      <c r="B723" s="50" t="s">
        <v>232</v>
      </c>
      <c r="C723" s="51" t="s">
        <v>181</v>
      </c>
      <c r="D723" s="87" t="s">
        <v>292</v>
      </c>
      <c r="E723" s="126">
        <f>47.84*0</f>
        <v>0</v>
      </c>
      <c r="F723" s="79">
        <f>BPU!E723</f>
        <v>0</v>
      </c>
      <c r="G723" s="95">
        <f t="shared" si="16"/>
        <v>0</v>
      </c>
    </row>
    <row r="724" spans="1:7" ht="28.2" customHeight="1" x14ac:dyDescent="0.3">
      <c r="A724" s="150" t="s">
        <v>1062</v>
      </c>
      <c r="B724" s="50" t="s">
        <v>233</v>
      </c>
      <c r="C724" s="51" t="s">
        <v>181</v>
      </c>
      <c r="D724" s="87" t="s">
        <v>292</v>
      </c>
      <c r="E724" s="126">
        <f>157.2*0</f>
        <v>0</v>
      </c>
      <c r="F724" s="79">
        <f>BPU!E724</f>
        <v>0</v>
      </c>
      <c r="G724" s="95">
        <f t="shared" si="16"/>
        <v>0</v>
      </c>
    </row>
    <row r="725" spans="1:7" ht="18.600000000000001" customHeight="1" x14ac:dyDescent="0.3">
      <c r="A725" s="150" t="s">
        <v>1063</v>
      </c>
      <c r="B725" s="50" t="s">
        <v>234</v>
      </c>
      <c r="C725" s="51" t="s">
        <v>181</v>
      </c>
      <c r="D725" s="87" t="s">
        <v>292</v>
      </c>
      <c r="E725" s="126">
        <f>6.48*0</f>
        <v>0</v>
      </c>
      <c r="F725" s="79">
        <f>BPU!E725</f>
        <v>0</v>
      </c>
      <c r="G725" s="95">
        <f t="shared" si="16"/>
        <v>0</v>
      </c>
    </row>
    <row r="726" spans="1:7" ht="18.600000000000001" customHeight="1" x14ac:dyDescent="0.3">
      <c r="A726" s="52" t="s">
        <v>1064</v>
      </c>
      <c r="B726" s="46" t="s">
        <v>173</v>
      </c>
      <c r="C726" s="52"/>
      <c r="D726" s="87"/>
      <c r="E726" s="126"/>
      <c r="F726" s="79"/>
      <c r="G726" s="95"/>
    </row>
    <row r="727" spans="1:7" ht="18.600000000000001" customHeight="1" x14ac:dyDescent="0.3">
      <c r="A727" s="150" t="s">
        <v>1065</v>
      </c>
      <c r="B727" s="50" t="s">
        <v>259</v>
      </c>
      <c r="C727" s="51" t="s">
        <v>181</v>
      </c>
      <c r="D727" s="87" t="s">
        <v>292</v>
      </c>
      <c r="E727" s="126">
        <v>0</v>
      </c>
      <c r="F727" s="79">
        <f>BPU!E727</f>
        <v>0</v>
      </c>
      <c r="G727" s="95">
        <f t="shared" si="16"/>
        <v>0</v>
      </c>
    </row>
    <row r="728" spans="1:7" ht="18.600000000000001" customHeight="1" x14ac:dyDescent="0.3">
      <c r="A728" s="150" t="s">
        <v>1066</v>
      </c>
      <c r="B728" s="50" t="s">
        <v>235</v>
      </c>
      <c r="C728" s="51" t="s">
        <v>181</v>
      </c>
      <c r="D728" s="87" t="s">
        <v>292</v>
      </c>
      <c r="E728" s="126">
        <f>471.6*0</f>
        <v>0</v>
      </c>
      <c r="F728" s="79">
        <f>BPU!E728</f>
        <v>0</v>
      </c>
      <c r="G728" s="95">
        <f t="shared" si="16"/>
        <v>0</v>
      </c>
    </row>
    <row r="729" spans="1:7" ht="18.600000000000001" customHeight="1" x14ac:dyDescent="0.3">
      <c r="A729" s="150" t="s">
        <v>1067</v>
      </c>
      <c r="B729" s="50" t="s">
        <v>236</v>
      </c>
      <c r="C729" s="51" t="s">
        <v>181</v>
      </c>
      <c r="D729" s="87" t="s">
        <v>292</v>
      </c>
      <c r="E729" s="126">
        <f>503.04*0</f>
        <v>0</v>
      </c>
      <c r="F729" s="79">
        <f>BPU!E729</f>
        <v>0</v>
      </c>
      <c r="G729" s="95">
        <f t="shared" si="16"/>
        <v>0</v>
      </c>
    </row>
    <row r="730" spans="1:7" ht="18.600000000000001" customHeight="1" x14ac:dyDescent="0.3">
      <c r="A730" s="150" t="s">
        <v>1068</v>
      </c>
      <c r="B730" s="50" t="s">
        <v>237</v>
      </c>
      <c r="C730" s="51" t="s">
        <v>181</v>
      </c>
      <c r="D730" s="87" t="s">
        <v>292</v>
      </c>
      <c r="E730" s="126">
        <v>0</v>
      </c>
      <c r="F730" s="79">
        <f>BPU!E730</f>
        <v>0</v>
      </c>
      <c r="G730" s="95">
        <f t="shared" si="16"/>
        <v>0</v>
      </c>
    </row>
    <row r="731" spans="1:7" ht="18.600000000000001" customHeight="1" x14ac:dyDescent="0.3">
      <c r="A731" s="150" t="s">
        <v>1069</v>
      </c>
      <c r="B731" s="50" t="s">
        <v>238</v>
      </c>
      <c r="C731" s="51" t="s">
        <v>181</v>
      </c>
      <c r="D731" s="87" t="s">
        <v>292</v>
      </c>
      <c r="E731" s="126">
        <f>18.36*0</f>
        <v>0</v>
      </c>
      <c r="F731" s="79">
        <f>BPU!E731</f>
        <v>0</v>
      </c>
      <c r="G731" s="95">
        <f t="shared" si="16"/>
        <v>0</v>
      </c>
    </row>
    <row r="732" spans="1:7" ht="18.600000000000001" customHeight="1" x14ac:dyDescent="0.3">
      <c r="A732" s="150" t="s">
        <v>1070</v>
      </c>
      <c r="B732" s="50" t="s">
        <v>179</v>
      </c>
      <c r="C732" s="51" t="s">
        <v>181</v>
      </c>
      <c r="D732" s="87" t="s">
        <v>292</v>
      </c>
      <c r="E732" s="126">
        <f>5.22*0</f>
        <v>0</v>
      </c>
      <c r="F732" s="79">
        <f>BPU!E732</f>
        <v>0</v>
      </c>
      <c r="G732" s="95">
        <f t="shared" si="16"/>
        <v>0</v>
      </c>
    </row>
    <row r="733" spans="1:7" ht="18.600000000000001" customHeight="1" x14ac:dyDescent="0.3">
      <c r="A733" s="150" t="s">
        <v>1071</v>
      </c>
      <c r="B733" s="50" t="s">
        <v>239</v>
      </c>
      <c r="C733" s="51" t="s">
        <v>181</v>
      </c>
      <c r="D733" s="87" t="s">
        <v>292</v>
      </c>
      <c r="E733" s="126">
        <v>0</v>
      </c>
      <c r="F733" s="79">
        <f>BPU!E733</f>
        <v>0</v>
      </c>
      <c r="G733" s="95">
        <f t="shared" si="16"/>
        <v>0</v>
      </c>
    </row>
    <row r="734" spans="1:7" ht="18.600000000000001" customHeight="1" x14ac:dyDescent="0.3">
      <c r="A734" s="52" t="s">
        <v>1072</v>
      </c>
      <c r="B734" s="46" t="s">
        <v>174</v>
      </c>
      <c r="C734" s="52"/>
      <c r="D734" s="87"/>
      <c r="E734" s="126"/>
      <c r="F734" s="79"/>
      <c r="G734" s="95"/>
    </row>
    <row r="735" spans="1:7" ht="18.600000000000001" customHeight="1" x14ac:dyDescent="0.3">
      <c r="A735" s="150" t="s">
        <v>1073</v>
      </c>
      <c r="B735" s="50" t="s">
        <v>240</v>
      </c>
      <c r="C735" s="51" t="s">
        <v>181</v>
      </c>
      <c r="D735" s="87" t="s">
        <v>292</v>
      </c>
      <c r="E735" s="126">
        <f>7.2*0</f>
        <v>0</v>
      </c>
      <c r="F735" s="79">
        <f>BPU!E735</f>
        <v>0</v>
      </c>
      <c r="G735" s="95">
        <f t="shared" si="16"/>
        <v>0</v>
      </c>
    </row>
    <row r="736" spans="1:7" ht="18.600000000000001" customHeight="1" x14ac:dyDescent="0.3">
      <c r="A736" s="150" t="s">
        <v>1074</v>
      </c>
      <c r="B736" s="50" t="s">
        <v>241</v>
      </c>
      <c r="C736" s="51" t="s">
        <v>181</v>
      </c>
      <c r="D736" s="87" t="s">
        <v>292</v>
      </c>
      <c r="E736" s="126">
        <v>0</v>
      </c>
      <c r="F736" s="79">
        <f>BPU!E736</f>
        <v>0</v>
      </c>
      <c r="G736" s="95">
        <f t="shared" si="16"/>
        <v>0</v>
      </c>
    </row>
    <row r="737" spans="1:7" ht="18.600000000000001" customHeight="1" x14ac:dyDescent="0.3">
      <c r="A737" s="150" t="s">
        <v>1075</v>
      </c>
      <c r="B737" s="50" t="s">
        <v>242</v>
      </c>
      <c r="C737" s="51" t="s">
        <v>181</v>
      </c>
      <c r="D737" s="87" t="s">
        <v>292</v>
      </c>
      <c r="E737" s="126">
        <v>0</v>
      </c>
      <c r="F737" s="79">
        <f>BPU!E737</f>
        <v>0</v>
      </c>
      <c r="G737" s="95">
        <f t="shared" si="16"/>
        <v>0</v>
      </c>
    </row>
    <row r="738" spans="1:7" ht="18.600000000000001" customHeight="1" x14ac:dyDescent="0.3">
      <c r="A738" s="150" t="s">
        <v>1076</v>
      </c>
      <c r="B738" s="50" t="s">
        <v>243</v>
      </c>
      <c r="C738" s="51" t="s">
        <v>181</v>
      </c>
      <c r="D738" s="87" t="s">
        <v>292</v>
      </c>
      <c r="E738" s="126">
        <v>0</v>
      </c>
      <c r="F738" s="79">
        <f>BPU!E738</f>
        <v>0</v>
      </c>
      <c r="G738" s="95">
        <f t="shared" si="16"/>
        <v>0</v>
      </c>
    </row>
    <row r="739" spans="1:7" ht="18.600000000000001" customHeight="1" x14ac:dyDescent="0.3">
      <c r="A739" s="150" t="s">
        <v>1077</v>
      </c>
      <c r="B739" s="50" t="s">
        <v>244</v>
      </c>
      <c r="C739" s="51" t="s">
        <v>181</v>
      </c>
      <c r="D739" s="87" t="s">
        <v>292</v>
      </c>
      <c r="E739" s="126">
        <v>0</v>
      </c>
      <c r="F739" s="79">
        <f>BPU!E739</f>
        <v>0</v>
      </c>
      <c r="G739" s="95">
        <f t="shared" si="16"/>
        <v>0</v>
      </c>
    </row>
    <row r="740" spans="1:7" ht="18.600000000000001" customHeight="1" x14ac:dyDescent="0.3">
      <c r="A740" s="150" t="s">
        <v>1078</v>
      </c>
      <c r="B740" s="50" t="s">
        <v>245</v>
      </c>
      <c r="C740" s="51" t="s">
        <v>181</v>
      </c>
      <c r="D740" s="87" t="s">
        <v>292</v>
      </c>
      <c r="E740" s="126">
        <f>11.34*0</f>
        <v>0</v>
      </c>
      <c r="F740" s="79">
        <f>BPU!E740</f>
        <v>0</v>
      </c>
      <c r="G740" s="95">
        <f t="shared" si="16"/>
        <v>0</v>
      </c>
    </row>
    <row r="741" spans="1:7" ht="18.600000000000001" customHeight="1" x14ac:dyDescent="0.3">
      <c r="A741" s="150" t="s">
        <v>1079</v>
      </c>
      <c r="B741" s="50" t="s">
        <v>246</v>
      </c>
      <c r="C741" s="51" t="s">
        <v>181</v>
      </c>
      <c r="D741" s="87" t="s">
        <v>292</v>
      </c>
      <c r="E741" s="126">
        <v>0</v>
      </c>
      <c r="F741" s="79">
        <f>BPU!E741</f>
        <v>0</v>
      </c>
      <c r="G741" s="95">
        <f t="shared" si="16"/>
        <v>0</v>
      </c>
    </row>
    <row r="742" spans="1:7" ht="18.600000000000001" customHeight="1" x14ac:dyDescent="0.3">
      <c r="A742" s="150" t="s">
        <v>1080</v>
      </c>
      <c r="B742" s="50" t="s">
        <v>247</v>
      </c>
      <c r="C742" s="51" t="s">
        <v>181</v>
      </c>
      <c r="D742" s="87" t="s">
        <v>292</v>
      </c>
      <c r="E742" s="126">
        <v>0</v>
      </c>
      <c r="F742" s="79">
        <f>BPU!E742</f>
        <v>0</v>
      </c>
      <c r="G742" s="95">
        <f t="shared" si="16"/>
        <v>0</v>
      </c>
    </row>
    <row r="743" spans="1:7" ht="18.600000000000001" customHeight="1" x14ac:dyDescent="0.3">
      <c r="A743" s="150" t="s">
        <v>1081</v>
      </c>
      <c r="B743" s="50" t="s">
        <v>194</v>
      </c>
      <c r="C743" s="51" t="s">
        <v>181</v>
      </c>
      <c r="D743" s="87" t="s">
        <v>292</v>
      </c>
      <c r="E743" s="126">
        <f>7.2*0</f>
        <v>0</v>
      </c>
      <c r="F743" s="79">
        <f>BPU!E743</f>
        <v>0</v>
      </c>
      <c r="G743" s="95">
        <f t="shared" si="16"/>
        <v>0</v>
      </c>
    </row>
    <row r="744" spans="1:7" ht="18.600000000000001" customHeight="1" x14ac:dyDescent="0.3">
      <c r="A744" s="52" t="s">
        <v>1082</v>
      </c>
      <c r="B744" s="46" t="s">
        <v>175</v>
      </c>
      <c r="C744" s="52"/>
      <c r="D744" s="87"/>
      <c r="E744" s="126"/>
      <c r="F744" s="79"/>
      <c r="G744" s="95"/>
    </row>
    <row r="745" spans="1:7" ht="18.600000000000001" customHeight="1" x14ac:dyDescent="0.3">
      <c r="A745" s="150" t="s">
        <v>1083</v>
      </c>
      <c r="B745" s="50" t="s">
        <v>180</v>
      </c>
      <c r="C745" s="51" t="s">
        <v>181</v>
      </c>
      <c r="D745" s="87" t="s">
        <v>292</v>
      </c>
      <c r="E745" s="126">
        <f>47.84*0</f>
        <v>0</v>
      </c>
      <c r="F745" s="79">
        <f>BPU!E745</f>
        <v>0</v>
      </c>
      <c r="G745" s="95">
        <f t="shared" si="16"/>
        <v>0</v>
      </c>
    </row>
    <row r="746" spans="1:7" ht="18.600000000000001" customHeight="1" x14ac:dyDescent="0.3">
      <c r="A746" s="52" t="s">
        <v>1084</v>
      </c>
      <c r="B746" s="46" t="s">
        <v>176</v>
      </c>
      <c r="C746" s="52"/>
      <c r="D746" s="87"/>
      <c r="E746" s="126"/>
      <c r="F746" s="79"/>
      <c r="G746" s="95"/>
    </row>
    <row r="747" spans="1:7" ht="18.600000000000001" customHeight="1" x14ac:dyDescent="0.3">
      <c r="A747" s="150" t="s">
        <v>1085</v>
      </c>
      <c r="B747" s="50" t="s">
        <v>257</v>
      </c>
      <c r="C747" s="51" t="s">
        <v>181</v>
      </c>
      <c r="D747" s="87" t="s">
        <v>292</v>
      </c>
      <c r="E747" s="126">
        <v>0</v>
      </c>
      <c r="F747" s="79">
        <f>BPU!E747</f>
        <v>0</v>
      </c>
      <c r="G747" s="95">
        <f t="shared" si="16"/>
        <v>0</v>
      </c>
    </row>
    <row r="748" spans="1:7" ht="18.600000000000001" customHeight="1" x14ac:dyDescent="0.3">
      <c r="A748" s="150" t="s">
        <v>1086</v>
      </c>
      <c r="B748" s="50" t="s">
        <v>253</v>
      </c>
      <c r="C748" s="51" t="s">
        <v>17</v>
      </c>
      <c r="D748" s="87" t="s">
        <v>292</v>
      </c>
      <c r="E748" s="126">
        <f>10*0</f>
        <v>0</v>
      </c>
      <c r="F748" s="79">
        <f>BPU!E748</f>
        <v>0</v>
      </c>
      <c r="G748" s="95">
        <f t="shared" si="16"/>
        <v>0</v>
      </c>
    </row>
    <row r="749" spans="1:7" ht="18.600000000000001" customHeight="1" x14ac:dyDescent="0.3">
      <c r="A749" s="150" t="s">
        <v>1087</v>
      </c>
      <c r="B749" s="50" t="s">
        <v>252</v>
      </c>
      <c r="C749" s="51" t="s">
        <v>17</v>
      </c>
      <c r="D749" s="87" t="s">
        <v>292</v>
      </c>
      <c r="E749" s="126">
        <f>35.4*0</f>
        <v>0</v>
      </c>
      <c r="F749" s="79">
        <f>BPU!E749</f>
        <v>0</v>
      </c>
      <c r="G749" s="95">
        <f t="shared" ref="G749:G810" si="17">E749*F749</f>
        <v>0</v>
      </c>
    </row>
    <row r="750" spans="1:7" ht="18.600000000000001" customHeight="1" x14ac:dyDescent="0.3">
      <c r="A750" s="150" t="s">
        <v>1088</v>
      </c>
      <c r="B750" s="50" t="s">
        <v>254</v>
      </c>
      <c r="C750" s="51" t="s">
        <v>17</v>
      </c>
      <c r="D750" s="87" t="s">
        <v>292</v>
      </c>
      <c r="E750" s="126">
        <f>74.9*0</f>
        <v>0</v>
      </c>
      <c r="F750" s="79">
        <f>BPU!E750</f>
        <v>0</v>
      </c>
      <c r="G750" s="95">
        <f t="shared" si="17"/>
        <v>0</v>
      </c>
    </row>
    <row r="751" spans="1:7" ht="18.600000000000001" customHeight="1" x14ac:dyDescent="0.3">
      <c r="A751" s="150" t="s">
        <v>1089</v>
      </c>
      <c r="B751" s="50" t="s">
        <v>255</v>
      </c>
      <c r="C751" s="51" t="s">
        <v>17</v>
      </c>
      <c r="D751" s="87" t="s">
        <v>292</v>
      </c>
      <c r="E751" s="126">
        <v>0</v>
      </c>
      <c r="F751" s="79">
        <f>BPU!E751</f>
        <v>0</v>
      </c>
      <c r="G751" s="95">
        <f t="shared" si="17"/>
        <v>0</v>
      </c>
    </row>
    <row r="752" spans="1:7" ht="28.8" customHeight="1" x14ac:dyDescent="0.3">
      <c r="A752" s="150" t="s">
        <v>1090</v>
      </c>
      <c r="B752" s="50" t="s">
        <v>251</v>
      </c>
      <c r="C752" s="51" t="s">
        <v>17</v>
      </c>
      <c r="D752" s="87" t="s">
        <v>292</v>
      </c>
      <c r="E752" s="126">
        <v>0</v>
      </c>
      <c r="F752" s="79">
        <f>BPU!E752</f>
        <v>0</v>
      </c>
      <c r="G752" s="95">
        <f t="shared" si="17"/>
        <v>0</v>
      </c>
    </row>
    <row r="753" spans="1:7" x14ac:dyDescent="0.3">
      <c r="A753" s="150" t="s">
        <v>1091</v>
      </c>
      <c r="B753" s="50" t="s">
        <v>256</v>
      </c>
      <c r="C753" s="51" t="s">
        <v>181</v>
      </c>
      <c r="D753" s="87" t="s">
        <v>292</v>
      </c>
      <c r="E753" s="126">
        <f>70.92*0</f>
        <v>0</v>
      </c>
      <c r="F753" s="79">
        <f>BPU!E753</f>
        <v>0</v>
      </c>
      <c r="G753" s="95">
        <f t="shared" si="17"/>
        <v>0</v>
      </c>
    </row>
    <row r="754" spans="1:7" x14ac:dyDescent="0.3">
      <c r="A754" s="150" t="s">
        <v>1092</v>
      </c>
      <c r="B754" s="50" t="s">
        <v>258</v>
      </c>
      <c r="C754" s="51" t="s">
        <v>17</v>
      </c>
      <c r="D754" s="87" t="s">
        <v>292</v>
      </c>
      <c r="E754" s="126">
        <v>0</v>
      </c>
      <c r="F754" s="79">
        <f>BPU!E754</f>
        <v>0</v>
      </c>
      <c r="G754" s="95">
        <f t="shared" si="17"/>
        <v>0</v>
      </c>
    </row>
    <row r="755" spans="1:7" ht="18.600000000000001" customHeight="1" x14ac:dyDescent="0.3">
      <c r="A755" s="150" t="s">
        <v>1093</v>
      </c>
      <c r="B755" s="50" t="s">
        <v>193</v>
      </c>
      <c r="C755" s="51" t="s">
        <v>181</v>
      </c>
      <c r="D755" s="87" t="s">
        <v>292</v>
      </c>
      <c r="E755" s="126">
        <v>0</v>
      </c>
      <c r="F755" s="79">
        <f>BPU!E755</f>
        <v>0</v>
      </c>
      <c r="G755" s="95">
        <f t="shared" si="17"/>
        <v>0</v>
      </c>
    </row>
    <row r="756" spans="1:7" x14ac:dyDescent="0.3">
      <c r="A756" s="150" t="s">
        <v>1094</v>
      </c>
      <c r="B756" s="50" t="s">
        <v>192</v>
      </c>
      <c r="C756" s="51" t="s">
        <v>181</v>
      </c>
      <c r="D756" s="87" t="s">
        <v>292</v>
      </c>
      <c r="E756" s="126">
        <v>0</v>
      </c>
      <c r="F756" s="79">
        <f>BPU!E756</f>
        <v>0</v>
      </c>
      <c r="G756" s="95">
        <f t="shared" si="17"/>
        <v>0</v>
      </c>
    </row>
    <row r="757" spans="1:7" ht="28.8" x14ac:dyDescent="0.3">
      <c r="A757" s="150" t="s">
        <v>1095</v>
      </c>
      <c r="B757" s="50" t="s">
        <v>260</v>
      </c>
      <c r="C757" s="51" t="s">
        <v>181</v>
      </c>
      <c r="D757" s="87" t="s">
        <v>292</v>
      </c>
      <c r="E757" s="126">
        <v>0</v>
      </c>
      <c r="F757" s="79">
        <f>BPU!E757</f>
        <v>0</v>
      </c>
      <c r="G757" s="95">
        <f t="shared" si="17"/>
        <v>0</v>
      </c>
    </row>
    <row r="758" spans="1:7" ht="18.600000000000001" customHeight="1" x14ac:dyDescent="0.3">
      <c r="A758" s="52" t="s">
        <v>1096</v>
      </c>
      <c r="B758" s="46" t="s">
        <v>177</v>
      </c>
      <c r="C758" s="52"/>
      <c r="D758" s="87"/>
      <c r="E758" s="126">
        <v>0</v>
      </c>
      <c r="F758" s="79">
        <f>BPU!E758</f>
        <v>0</v>
      </c>
      <c r="G758" s="95">
        <f t="shared" si="17"/>
        <v>0</v>
      </c>
    </row>
    <row r="759" spans="1:7" ht="18.600000000000001" customHeight="1" x14ac:dyDescent="0.3">
      <c r="A759" s="150" t="s">
        <v>1097</v>
      </c>
      <c r="B759" s="50" t="s">
        <v>182</v>
      </c>
      <c r="C759" s="51" t="s">
        <v>181</v>
      </c>
      <c r="D759" s="87" t="s">
        <v>292</v>
      </c>
      <c r="E759" s="126">
        <f>503.04*0</f>
        <v>0</v>
      </c>
      <c r="F759" s="79">
        <f>BPU!E759</f>
        <v>0</v>
      </c>
      <c r="G759" s="95">
        <f t="shared" si="17"/>
        <v>0</v>
      </c>
    </row>
    <row r="760" spans="1:7" x14ac:dyDescent="0.3">
      <c r="A760" s="150" t="s">
        <v>1098</v>
      </c>
      <c r="B760" s="50" t="s">
        <v>1273</v>
      </c>
      <c r="C760" s="51" t="s">
        <v>181</v>
      </c>
      <c r="D760" s="87" t="s">
        <v>292</v>
      </c>
      <c r="E760" s="126">
        <f>503.04*0</f>
        <v>0</v>
      </c>
      <c r="F760" s="79">
        <f>BPU!E760</f>
        <v>0</v>
      </c>
      <c r="G760" s="95">
        <f t="shared" si="17"/>
        <v>0</v>
      </c>
    </row>
    <row r="761" spans="1:7" x14ac:dyDescent="0.3">
      <c r="A761" s="150" t="s">
        <v>1099</v>
      </c>
      <c r="B761" s="50" t="s">
        <v>183</v>
      </c>
      <c r="C761" s="51" t="s">
        <v>181</v>
      </c>
      <c r="D761" s="87" t="s">
        <v>292</v>
      </c>
      <c r="E761" s="126">
        <f>47.84*0</f>
        <v>0</v>
      </c>
      <c r="F761" s="79">
        <f>BPU!E761</f>
        <v>0</v>
      </c>
      <c r="G761" s="95">
        <f t="shared" si="17"/>
        <v>0</v>
      </c>
    </row>
    <row r="762" spans="1:7" x14ac:dyDescent="0.3">
      <c r="A762" s="150" t="s">
        <v>1100</v>
      </c>
      <c r="B762" s="50" t="s">
        <v>184</v>
      </c>
      <c r="C762" s="51" t="s">
        <v>181</v>
      </c>
      <c r="D762" s="87" t="s">
        <v>292</v>
      </c>
      <c r="E762" s="126">
        <f>11.34*0</f>
        <v>0</v>
      </c>
      <c r="F762" s="79">
        <f>BPU!E762</f>
        <v>0</v>
      </c>
      <c r="G762" s="95">
        <f t="shared" si="17"/>
        <v>0</v>
      </c>
    </row>
    <row r="763" spans="1:7" x14ac:dyDescent="0.3">
      <c r="A763" s="150" t="s">
        <v>1101</v>
      </c>
      <c r="B763" s="50" t="s">
        <v>185</v>
      </c>
      <c r="C763" s="51" t="s">
        <v>181</v>
      </c>
      <c r="D763" s="87" t="s">
        <v>292</v>
      </c>
      <c r="E763" s="126">
        <f>7.2*0</f>
        <v>0</v>
      </c>
      <c r="F763" s="79">
        <f>BPU!E763</f>
        <v>0</v>
      </c>
      <c r="G763" s="95">
        <f t="shared" si="17"/>
        <v>0</v>
      </c>
    </row>
    <row r="764" spans="1:7" x14ac:dyDescent="0.3">
      <c r="A764" s="52" t="s">
        <v>1102</v>
      </c>
      <c r="B764" s="46" t="s">
        <v>304</v>
      </c>
      <c r="C764" s="51"/>
      <c r="D764" s="87"/>
      <c r="E764" s="126">
        <v>0</v>
      </c>
      <c r="F764" s="79">
        <f>BPU!E764</f>
        <v>0</v>
      </c>
      <c r="G764" s="95">
        <f t="shared" si="17"/>
        <v>0</v>
      </c>
    </row>
    <row r="765" spans="1:7" x14ac:dyDescent="0.3">
      <c r="A765" s="150" t="s">
        <v>1103</v>
      </c>
      <c r="B765" s="50" t="s">
        <v>305</v>
      </c>
      <c r="C765" s="51" t="s">
        <v>197</v>
      </c>
      <c r="D765" s="87" t="s">
        <v>292</v>
      </c>
      <c r="E765" s="126">
        <f>2*0</f>
        <v>0</v>
      </c>
      <c r="F765" s="79">
        <f>BPU!E765</f>
        <v>0</v>
      </c>
      <c r="G765" s="95">
        <f t="shared" si="17"/>
        <v>0</v>
      </c>
    </row>
    <row r="766" spans="1:7" x14ac:dyDescent="0.3">
      <c r="A766" s="150" t="s">
        <v>1104</v>
      </c>
      <c r="B766" s="50" t="s">
        <v>306</v>
      </c>
      <c r="C766" s="51" t="s">
        <v>197</v>
      </c>
      <c r="D766" s="87" t="s">
        <v>292</v>
      </c>
      <c r="E766" s="126">
        <v>0</v>
      </c>
      <c r="F766" s="79">
        <f>BPU!E766</f>
        <v>0</v>
      </c>
      <c r="G766" s="95">
        <f t="shared" si="17"/>
        <v>0</v>
      </c>
    </row>
    <row r="767" spans="1:7" x14ac:dyDescent="0.3">
      <c r="A767" s="150" t="s">
        <v>1105</v>
      </c>
      <c r="B767" s="50" t="s">
        <v>307</v>
      </c>
      <c r="C767" s="51" t="s">
        <v>197</v>
      </c>
      <c r="D767" s="87" t="s">
        <v>292</v>
      </c>
      <c r="E767" s="126">
        <f>2*0</f>
        <v>0</v>
      </c>
      <c r="F767" s="79">
        <f>BPU!E767</f>
        <v>0</v>
      </c>
      <c r="G767" s="95">
        <f t="shared" si="17"/>
        <v>0</v>
      </c>
    </row>
    <row r="768" spans="1:7" x14ac:dyDescent="0.3">
      <c r="A768" s="150" t="s">
        <v>1106</v>
      </c>
      <c r="B768" s="50" t="s">
        <v>308</v>
      </c>
      <c r="C768" s="51" t="s">
        <v>197</v>
      </c>
      <c r="D768" s="87" t="s">
        <v>292</v>
      </c>
      <c r="E768" s="126">
        <v>0</v>
      </c>
      <c r="F768" s="79">
        <f>BPU!E768</f>
        <v>0</v>
      </c>
      <c r="G768" s="95">
        <f t="shared" si="17"/>
        <v>0</v>
      </c>
    </row>
    <row r="769" spans="1:23" x14ac:dyDescent="0.3">
      <c r="A769" s="150" t="s">
        <v>1107</v>
      </c>
      <c r="B769" s="50" t="s">
        <v>315</v>
      </c>
      <c r="C769" s="51" t="s">
        <v>197</v>
      </c>
      <c r="D769" s="87" t="s">
        <v>292</v>
      </c>
      <c r="E769" s="126">
        <v>0</v>
      </c>
      <c r="F769" s="79">
        <f>BPU!E769</f>
        <v>0</v>
      </c>
      <c r="G769" s="95">
        <f t="shared" si="17"/>
        <v>0</v>
      </c>
    </row>
    <row r="770" spans="1:23" x14ac:dyDescent="0.3">
      <c r="A770" s="150" t="s">
        <v>1108</v>
      </c>
      <c r="B770" s="50" t="s">
        <v>309</v>
      </c>
      <c r="C770" s="51" t="s">
        <v>197</v>
      </c>
      <c r="D770" s="87" t="s">
        <v>292</v>
      </c>
      <c r="E770" s="126">
        <v>0</v>
      </c>
      <c r="F770" s="79">
        <f>BPU!E770</f>
        <v>0</v>
      </c>
      <c r="G770" s="95">
        <f t="shared" si="17"/>
        <v>0</v>
      </c>
    </row>
    <row r="771" spans="1:23" x14ac:dyDescent="0.3">
      <c r="A771" s="150" t="s">
        <v>1109</v>
      </c>
      <c r="B771" s="50" t="s">
        <v>310</v>
      </c>
      <c r="C771" s="51" t="s">
        <v>197</v>
      </c>
      <c r="D771" s="87" t="s">
        <v>292</v>
      </c>
      <c r="E771" s="126">
        <f>2*0</f>
        <v>0</v>
      </c>
      <c r="F771" s="79">
        <f>BPU!E771</f>
        <v>0</v>
      </c>
      <c r="G771" s="95">
        <f t="shared" si="17"/>
        <v>0</v>
      </c>
    </row>
    <row r="772" spans="1:23" x14ac:dyDescent="0.3">
      <c r="A772" s="150" t="s">
        <v>1110</v>
      </c>
      <c r="B772" s="50" t="s">
        <v>311</v>
      </c>
      <c r="C772" s="51" t="s">
        <v>197</v>
      </c>
      <c r="D772" s="87" t="s">
        <v>292</v>
      </c>
      <c r="E772" s="126">
        <v>0</v>
      </c>
      <c r="F772" s="79">
        <f>BPU!E772</f>
        <v>0</v>
      </c>
      <c r="G772" s="95">
        <f t="shared" si="17"/>
        <v>0</v>
      </c>
    </row>
    <row r="773" spans="1:23" ht="28.2" customHeight="1" x14ac:dyDescent="0.3">
      <c r="A773" s="150" t="s">
        <v>1111</v>
      </c>
      <c r="B773" s="50" t="s">
        <v>313</v>
      </c>
      <c r="C773" s="51" t="s">
        <v>17</v>
      </c>
      <c r="D773" s="87" t="s">
        <v>292</v>
      </c>
      <c r="E773" s="126">
        <f>24*0</f>
        <v>0</v>
      </c>
      <c r="F773" s="79">
        <f>BPU!E773</f>
        <v>0</v>
      </c>
      <c r="G773" s="95">
        <f t="shared" si="17"/>
        <v>0</v>
      </c>
    </row>
    <row r="774" spans="1:23" ht="27" customHeight="1" thickBot="1" x14ac:dyDescent="0.35">
      <c r="A774" s="150" t="s">
        <v>1112</v>
      </c>
      <c r="B774" s="50" t="s">
        <v>312</v>
      </c>
      <c r="C774" s="51" t="s">
        <v>17</v>
      </c>
      <c r="D774" s="87" t="s">
        <v>292</v>
      </c>
      <c r="E774" s="126">
        <f>30*0</f>
        <v>0</v>
      </c>
      <c r="F774" s="79">
        <f>BPU!E774</f>
        <v>0</v>
      </c>
      <c r="G774" s="95">
        <f t="shared" si="17"/>
        <v>0</v>
      </c>
    </row>
    <row r="775" spans="1:23" s="98" customFormat="1" ht="15" thickBot="1" x14ac:dyDescent="0.35">
      <c r="A775" s="52"/>
      <c r="B775" s="96" t="s">
        <v>396</v>
      </c>
      <c r="C775" s="97"/>
      <c r="D775" s="97"/>
      <c r="E775" s="128"/>
      <c r="F775" s="145">
        <f>BPU!E775</f>
        <v>0</v>
      </c>
      <c r="G775" s="146">
        <f>SUM(G687:G774)</f>
        <v>0</v>
      </c>
      <c r="J775" s="99"/>
      <c r="K775" s="75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100"/>
      <c r="W775" s="100"/>
    </row>
    <row r="776" spans="1:23" s="58" customFormat="1" ht="16.8" customHeight="1" x14ac:dyDescent="0.3">
      <c r="A776" s="70" t="s">
        <v>81</v>
      </c>
      <c r="B776" s="70" t="s">
        <v>82</v>
      </c>
      <c r="C776" s="52"/>
      <c r="D776" s="87"/>
      <c r="E776" s="126"/>
      <c r="F776" s="79">
        <f>BPU!E776</f>
        <v>0</v>
      </c>
      <c r="G776" s="95">
        <f t="shared" si="17"/>
        <v>0</v>
      </c>
    </row>
    <row r="777" spans="1:23" ht="18.600000000000001" customHeight="1" x14ac:dyDescent="0.3">
      <c r="A777" s="52" t="s">
        <v>1113</v>
      </c>
      <c r="B777" s="50" t="s">
        <v>405</v>
      </c>
      <c r="C777" s="51" t="s">
        <v>181</v>
      </c>
      <c r="D777" s="87" t="s">
        <v>292</v>
      </c>
      <c r="E777" s="126">
        <v>22.39</v>
      </c>
      <c r="F777" s="79">
        <f>BPU!E777</f>
        <v>0</v>
      </c>
      <c r="G777" s="95">
        <f>E777*F777</f>
        <v>0</v>
      </c>
    </row>
    <row r="778" spans="1:23" ht="18.600000000000001" customHeight="1" x14ac:dyDescent="0.3">
      <c r="A778" s="52" t="s">
        <v>83</v>
      </c>
      <c r="B778" s="46" t="s">
        <v>174</v>
      </c>
      <c r="C778" s="52"/>
      <c r="D778" s="87"/>
      <c r="E778" s="126"/>
      <c r="F778" s="79">
        <f>BPU!E778</f>
        <v>0</v>
      </c>
      <c r="G778" s="95">
        <f t="shared" si="17"/>
        <v>0</v>
      </c>
    </row>
    <row r="779" spans="1:23" ht="50.4" customHeight="1" x14ac:dyDescent="0.3">
      <c r="A779" s="150" t="s">
        <v>1114</v>
      </c>
      <c r="B779" s="50" t="s">
        <v>145</v>
      </c>
      <c r="C779" s="51" t="s">
        <v>181</v>
      </c>
      <c r="D779" s="87" t="s">
        <v>292</v>
      </c>
      <c r="E779" s="126">
        <v>0</v>
      </c>
      <c r="F779" s="79">
        <f>BPU!E779</f>
        <v>0</v>
      </c>
      <c r="G779" s="95">
        <f t="shared" si="17"/>
        <v>0</v>
      </c>
    </row>
    <row r="780" spans="1:23" ht="18.600000000000001" customHeight="1" x14ac:dyDescent="0.3">
      <c r="A780" s="150" t="s">
        <v>1115</v>
      </c>
      <c r="B780" s="50" t="s">
        <v>240</v>
      </c>
      <c r="C780" s="51" t="s">
        <v>181</v>
      </c>
      <c r="D780" s="87" t="s">
        <v>292</v>
      </c>
      <c r="E780" s="126">
        <f>0.6*0.6*2</f>
        <v>0.72</v>
      </c>
      <c r="F780" s="79">
        <f>BPU!E780</f>
        <v>0</v>
      </c>
      <c r="G780" s="95">
        <f t="shared" si="17"/>
        <v>0</v>
      </c>
    </row>
    <row r="781" spans="1:23" ht="18.600000000000001" customHeight="1" x14ac:dyDescent="0.3">
      <c r="A781" s="150" t="s">
        <v>1116</v>
      </c>
      <c r="B781" s="50" t="s">
        <v>241</v>
      </c>
      <c r="C781" s="51" t="s">
        <v>181</v>
      </c>
      <c r="D781" s="87" t="s">
        <v>292</v>
      </c>
      <c r="E781" s="126">
        <v>0</v>
      </c>
      <c r="F781" s="79">
        <f>BPU!E781</f>
        <v>0</v>
      </c>
      <c r="G781" s="95">
        <f t="shared" si="17"/>
        <v>0</v>
      </c>
    </row>
    <row r="782" spans="1:23" ht="18.600000000000001" customHeight="1" x14ac:dyDescent="0.3">
      <c r="A782" s="150" t="s">
        <v>1117</v>
      </c>
      <c r="B782" s="50" t="s">
        <v>242</v>
      </c>
      <c r="C782" s="51" t="s">
        <v>181</v>
      </c>
      <c r="D782" s="87" t="s">
        <v>292</v>
      </c>
      <c r="E782" s="126">
        <v>0</v>
      </c>
      <c r="F782" s="79">
        <f>BPU!E782</f>
        <v>0</v>
      </c>
      <c r="G782" s="95">
        <f t="shared" si="17"/>
        <v>0</v>
      </c>
    </row>
    <row r="783" spans="1:23" ht="18.600000000000001" customHeight="1" x14ac:dyDescent="0.3">
      <c r="A783" s="150" t="s">
        <v>1118</v>
      </c>
      <c r="B783" s="50" t="s">
        <v>243</v>
      </c>
      <c r="C783" s="51" t="s">
        <v>181</v>
      </c>
      <c r="D783" s="87" t="s">
        <v>292</v>
      </c>
      <c r="E783" s="126">
        <v>0</v>
      </c>
      <c r="F783" s="79">
        <f>BPU!E783</f>
        <v>0</v>
      </c>
      <c r="G783" s="95">
        <f t="shared" si="17"/>
        <v>0</v>
      </c>
    </row>
    <row r="784" spans="1:23" ht="18.600000000000001" customHeight="1" x14ac:dyDescent="0.3">
      <c r="A784" s="150" t="s">
        <v>1119</v>
      </c>
      <c r="B784" s="50" t="s">
        <v>244</v>
      </c>
      <c r="C784" s="51" t="s">
        <v>181</v>
      </c>
      <c r="D784" s="87" t="s">
        <v>292</v>
      </c>
      <c r="E784" s="126">
        <v>0</v>
      </c>
      <c r="F784" s="79">
        <f>BPU!E784</f>
        <v>0</v>
      </c>
      <c r="G784" s="95">
        <f t="shared" si="17"/>
        <v>0</v>
      </c>
    </row>
    <row r="785" spans="1:7" ht="18.600000000000001" customHeight="1" x14ac:dyDescent="0.3">
      <c r="A785" s="150" t="s">
        <v>1120</v>
      </c>
      <c r="B785" s="50" t="s">
        <v>245</v>
      </c>
      <c r="C785" s="51" t="s">
        <v>181</v>
      </c>
      <c r="D785" s="87" t="s">
        <v>292</v>
      </c>
      <c r="E785" s="126">
        <f>0.9*2.1*2</f>
        <v>3.7800000000000002</v>
      </c>
      <c r="F785" s="79">
        <f>BPU!E785</f>
        <v>0</v>
      </c>
      <c r="G785" s="95">
        <f t="shared" si="17"/>
        <v>0</v>
      </c>
    </row>
    <row r="786" spans="1:7" ht="18.600000000000001" customHeight="1" x14ac:dyDescent="0.3">
      <c r="A786" s="150" t="s">
        <v>1121</v>
      </c>
      <c r="B786" s="50" t="s">
        <v>246</v>
      </c>
      <c r="C786" s="51" t="s">
        <v>181</v>
      </c>
      <c r="D786" s="87" t="s">
        <v>292</v>
      </c>
      <c r="E786" s="126">
        <v>0</v>
      </c>
      <c r="F786" s="79">
        <f>BPU!E786</f>
        <v>0</v>
      </c>
      <c r="G786" s="95">
        <f t="shared" si="17"/>
        <v>0</v>
      </c>
    </row>
    <row r="787" spans="1:7" ht="18.600000000000001" customHeight="1" x14ac:dyDescent="0.3">
      <c r="A787" s="150" t="s">
        <v>1122</v>
      </c>
      <c r="B787" s="50" t="s">
        <v>247</v>
      </c>
      <c r="C787" s="51" t="s">
        <v>181</v>
      </c>
      <c r="D787" s="87" t="s">
        <v>292</v>
      </c>
      <c r="E787" s="126">
        <v>0</v>
      </c>
      <c r="F787" s="79">
        <f>BPU!E787</f>
        <v>0</v>
      </c>
      <c r="G787" s="95">
        <f t="shared" si="17"/>
        <v>0</v>
      </c>
    </row>
    <row r="788" spans="1:7" ht="18.600000000000001" customHeight="1" x14ac:dyDescent="0.3">
      <c r="A788" s="150" t="s">
        <v>1123</v>
      </c>
      <c r="B788" s="50" t="s">
        <v>194</v>
      </c>
      <c r="C788" s="51" t="s">
        <v>181</v>
      </c>
      <c r="D788" s="87" t="s">
        <v>292</v>
      </c>
      <c r="E788" s="126">
        <v>0</v>
      </c>
      <c r="F788" s="79">
        <f>BPU!E788</f>
        <v>0</v>
      </c>
      <c r="G788" s="95">
        <f t="shared" si="17"/>
        <v>0</v>
      </c>
    </row>
    <row r="789" spans="1:7" ht="18.600000000000001" customHeight="1" x14ac:dyDescent="0.3">
      <c r="A789" s="52" t="s">
        <v>89</v>
      </c>
      <c r="B789" s="46" t="s">
        <v>175</v>
      </c>
      <c r="C789" s="52"/>
      <c r="D789" s="87"/>
      <c r="E789" s="126"/>
      <c r="F789" s="79">
        <f>BPU!E789</f>
        <v>0</v>
      </c>
      <c r="G789" s="95">
        <f t="shared" si="17"/>
        <v>0</v>
      </c>
    </row>
    <row r="790" spans="1:7" ht="18.600000000000001" customHeight="1" x14ac:dyDescent="0.3">
      <c r="A790" s="150" t="s">
        <v>1124</v>
      </c>
      <c r="B790" s="50" t="s">
        <v>180</v>
      </c>
      <c r="C790" s="51" t="s">
        <v>181</v>
      </c>
      <c r="D790" s="87" t="s">
        <v>292</v>
      </c>
      <c r="E790" s="126">
        <f>5*8</f>
        <v>40</v>
      </c>
      <c r="F790" s="79">
        <f>BPU!E790</f>
        <v>0</v>
      </c>
      <c r="G790" s="95">
        <f t="shared" si="17"/>
        <v>0</v>
      </c>
    </row>
    <row r="791" spans="1:7" ht="18.600000000000001" customHeight="1" x14ac:dyDescent="0.3">
      <c r="A791" s="52" t="s">
        <v>1125</v>
      </c>
      <c r="B791" s="46" t="s">
        <v>176</v>
      </c>
      <c r="C791" s="52"/>
      <c r="D791" s="87"/>
      <c r="E791" s="126"/>
      <c r="F791" s="79">
        <f>BPU!E791</f>
        <v>0</v>
      </c>
      <c r="G791" s="95">
        <f t="shared" si="17"/>
        <v>0</v>
      </c>
    </row>
    <row r="792" spans="1:7" ht="18.600000000000001" customHeight="1" x14ac:dyDescent="0.3">
      <c r="A792" s="150" t="s">
        <v>1126</v>
      </c>
      <c r="B792" s="50" t="s">
        <v>257</v>
      </c>
      <c r="C792" s="51" t="s">
        <v>181</v>
      </c>
      <c r="D792" s="87" t="s">
        <v>292</v>
      </c>
      <c r="E792" s="126">
        <v>0</v>
      </c>
      <c r="F792" s="79">
        <f>BPU!E792</f>
        <v>0</v>
      </c>
      <c r="G792" s="95">
        <f t="shared" si="17"/>
        <v>0</v>
      </c>
    </row>
    <row r="793" spans="1:7" ht="18.600000000000001" customHeight="1" x14ac:dyDescent="0.3">
      <c r="A793" s="150" t="s">
        <v>1127</v>
      </c>
      <c r="B793" s="50" t="s">
        <v>253</v>
      </c>
      <c r="C793" s="51" t="s">
        <v>17</v>
      </c>
      <c r="D793" s="87" t="s">
        <v>292</v>
      </c>
      <c r="E793" s="126">
        <v>0</v>
      </c>
      <c r="F793" s="79">
        <f>BPU!E793</f>
        <v>0</v>
      </c>
      <c r="G793" s="95">
        <f t="shared" si="17"/>
        <v>0</v>
      </c>
    </row>
    <row r="794" spans="1:7" ht="18.600000000000001" customHeight="1" x14ac:dyDescent="0.3">
      <c r="A794" s="150" t="s">
        <v>1128</v>
      </c>
      <c r="B794" s="50" t="s">
        <v>252</v>
      </c>
      <c r="C794" s="51" t="s">
        <v>17</v>
      </c>
      <c r="D794" s="87" t="s">
        <v>292</v>
      </c>
      <c r="E794" s="126">
        <v>0</v>
      </c>
      <c r="F794" s="79">
        <f>BPU!E794</f>
        <v>0</v>
      </c>
      <c r="G794" s="95">
        <f t="shared" si="17"/>
        <v>0</v>
      </c>
    </row>
    <row r="795" spans="1:7" ht="18.600000000000001" customHeight="1" x14ac:dyDescent="0.3">
      <c r="A795" s="150" t="s">
        <v>1129</v>
      </c>
      <c r="B795" s="50" t="s">
        <v>254</v>
      </c>
      <c r="C795" s="51" t="s">
        <v>17</v>
      </c>
      <c r="D795" s="87" t="s">
        <v>292</v>
      </c>
      <c r="E795" s="126">
        <v>0</v>
      </c>
      <c r="F795" s="79">
        <f>BPU!E795</f>
        <v>0</v>
      </c>
      <c r="G795" s="95">
        <f t="shared" si="17"/>
        <v>0</v>
      </c>
    </row>
    <row r="796" spans="1:7" ht="18.600000000000001" customHeight="1" x14ac:dyDescent="0.3">
      <c r="A796" s="150" t="s">
        <v>1130</v>
      </c>
      <c r="B796" s="50" t="s">
        <v>255</v>
      </c>
      <c r="C796" s="51" t="s">
        <v>17</v>
      </c>
      <c r="D796" s="87" t="s">
        <v>292</v>
      </c>
      <c r="E796" s="126">
        <v>0</v>
      </c>
      <c r="F796" s="79">
        <f>BPU!E796</f>
        <v>0</v>
      </c>
      <c r="G796" s="95">
        <f t="shared" si="17"/>
        <v>0</v>
      </c>
    </row>
    <row r="797" spans="1:7" ht="28.8" customHeight="1" x14ac:dyDescent="0.3">
      <c r="A797" s="150" t="s">
        <v>1131</v>
      </c>
      <c r="B797" s="50" t="s">
        <v>251</v>
      </c>
      <c r="C797" s="51" t="s">
        <v>17</v>
      </c>
      <c r="D797" s="87" t="s">
        <v>292</v>
      </c>
      <c r="E797" s="126">
        <v>0</v>
      </c>
      <c r="F797" s="79">
        <f>BPU!E797</f>
        <v>0</v>
      </c>
      <c r="G797" s="95">
        <f t="shared" si="17"/>
        <v>0</v>
      </c>
    </row>
    <row r="798" spans="1:7" x14ac:dyDescent="0.3">
      <c r="A798" s="150" t="s">
        <v>1132</v>
      </c>
      <c r="B798" s="50" t="s">
        <v>256</v>
      </c>
      <c r="C798" s="51" t="s">
        <v>181</v>
      </c>
      <c r="D798" s="87" t="s">
        <v>292</v>
      </c>
      <c r="E798" s="126">
        <v>0</v>
      </c>
      <c r="F798" s="79">
        <f>BPU!E798</f>
        <v>0</v>
      </c>
      <c r="G798" s="95">
        <f t="shared" si="17"/>
        <v>0</v>
      </c>
    </row>
    <row r="799" spans="1:7" x14ac:dyDescent="0.3">
      <c r="A799" s="150" t="s">
        <v>1133</v>
      </c>
      <c r="B799" s="50" t="s">
        <v>258</v>
      </c>
      <c r="C799" s="51" t="s">
        <v>17</v>
      </c>
      <c r="D799" s="87" t="s">
        <v>292</v>
      </c>
      <c r="E799" s="126">
        <v>0</v>
      </c>
      <c r="F799" s="79">
        <f>BPU!E799</f>
        <v>0</v>
      </c>
      <c r="G799" s="95">
        <f t="shared" si="17"/>
        <v>0</v>
      </c>
    </row>
    <row r="800" spans="1:7" ht="18.600000000000001" customHeight="1" x14ac:dyDescent="0.3">
      <c r="A800" s="150" t="s">
        <v>1134</v>
      </c>
      <c r="B800" s="50" t="s">
        <v>193</v>
      </c>
      <c r="C800" s="51" t="s">
        <v>181</v>
      </c>
      <c r="D800" s="87" t="s">
        <v>292</v>
      </c>
      <c r="E800" s="126">
        <v>0</v>
      </c>
      <c r="F800" s="79">
        <f>BPU!E800</f>
        <v>0</v>
      </c>
      <c r="G800" s="95">
        <f t="shared" si="17"/>
        <v>0</v>
      </c>
    </row>
    <row r="801" spans="1:7" x14ac:dyDescent="0.3">
      <c r="A801" s="150" t="s">
        <v>1135</v>
      </c>
      <c r="B801" s="50" t="s">
        <v>192</v>
      </c>
      <c r="C801" s="51" t="s">
        <v>181</v>
      </c>
      <c r="D801" s="87" t="s">
        <v>292</v>
      </c>
      <c r="E801" s="126">
        <v>0</v>
      </c>
      <c r="F801" s="79">
        <f>BPU!E801</f>
        <v>0</v>
      </c>
      <c r="G801" s="95">
        <f t="shared" si="17"/>
        <v>0</v>
      </c>
    </row>
    <row r="802" spans="1:7" ht="28.8" x14ac:dyDescent="0.3">
      <c r="A802" s="150" t="s">
        <v>1136</v>
      </c>
      <c r="B802" s="50" t="s">
        <v>260</v>
      </c>
      <c r="C802" s="51" t="s">
        <v>181</v>
      </c>
      <c r="D802" s="87" t="s">
        <v>292</v>
      </c>
      <c r="E802" s="126">
        <v>0</v>
      </c>
      <c r="F802" s="79">
        <f>BPU!E802</f>
        <v>0</v>
      </c>
      <c r="G802" s="95">
        <f t="shared" si="17"/>
        <v>0</v>
      </c>
    </row>
    <row r="803" spans="1:7" ht="18.600000000000001" customHeight="1" x14ac:dyDescent="0.3">
      <c r="A803" s="52" t="s">
        <v>1137</v>
      </c>
      <c r="B803" s="46" t="s">
        <v>177</v>
      </c>
      <c r="C803" s="52"/>
      <c r="D803" s="87"/>
      <c r="E803" s="126"/>
      <c r="F803" s="79">
        <f>BPU!E803</f>
        <v>0</v>
      </c>
      <c r="G803" s="95">
        <f t="shared" si="17"/>
        <v>0</v>
      </c>
    </row>
    <row r="804" spans="1:7" ht="18.600000000000001" customHeight="1" x14ac:dyDescent="0.3">
      <c r="A804" s="150" t="s">
        <v>1138</v>
      </c>
      <c r="B804" s="50" t="s">
        <v>182</v>
      </c>
      <c r="C804" s="51" t="s">
        <v>181</v>
      </c>
      <c r="D804" s="87" t="s">
        <v>292</v>
      </c>
      <c r="E804" s="126">
        <v>0</v>
      </c>
      <c r="F804" s="79">
        <f>BPU!E804</f>
        <v>0</v>
      </c>
      <c r="G804" s="95">
        <f t="shared" si="17"/>
        <v>0</v>
      </c>
    </row>
    <row r="805" spans="1:7" x14ac:dyDescent="0.3">
      <c r="A805" s="150" t="s">
        <v>1139</v>
      </c>
      <c r="B805" s="50" t="s">
        <v>1273</v>
      </c>
      <c r="C805" s="51" t="s">
        <v>181</v>
      </c>
      <c r="D805" s="87" t="s">
        <v>292</v>
      </c>
      <c r="E805" s="126">
        <v>450</v>
      </c>
      <c r="F805" s="79">
        <f>BPU!E805</f>
        <v>0</v>
      </c>
      <c r="G805" s="95">
        <f t="shared" si="17"/>
        <v>0</v>
      </c>
    </row>
    <row r="806" spans="1:7" x14ac:dyDescent="0.3">
      <c r="A806" s="150" t="s">
        <v>1140</v>
      </c>
      <c r="B806" s="50" t="s">
        <v>183</v>
      </c>
      <c r="C806" s="51" t="s">
        <v>181</v>
      </c>
      <c r="D806" s="87" t="s">
        <v>292</v>
      </c>
      <c r="E806" s="126">
        <v>325</v>
      </c>
      <c r="F806" s="79">
        <f>BPU!E806</f>
        <v>0</v>
      </c>
      <c r="G806" s="95">
        <f t="shared" si="17"/>
        <v>0</v>
      </c>
    </row>
    <row r="807" spans="1:7" x14ac:dyDescent="0.3">
      <c r="A807" s="150" t="s">
        <v>1141</v>
      </c>
      <c r="B807" s="50" t="s">
        <v>184</v>
      </c>
      <c r="C807" s="51" t="s">
        <v>181</v>
      </c>
      <c r="D807" s="87" t="s">
        <v>292</v>
      </c>
      <c r="E807" s="126">
        <v>125</v>
      </c>
      <c r="F807" s="79">
        <f>BPU!E807</f>
        <v>0</v>
      </c>
      <c r="G807" s="95">
        <f t="shared" si="17"/>
        <v>0</v>
      </c>
    </row>
    <row r="808" spans="1:7" x14ac:dyDescent="0.3">
      <c r="A808" s="150" t="s">
        <v>1142</v>
      </c>
      <c r="B808" s="50" t="s">
        <v>185</v>
      </c>
      <c r="C808" s="51" t="s">
        <v>181</v>
      </c>
      <c r="D808" s="87" t="s">
        <v>292</v>
      </c>
      <c r="E808" s="126">
        <v>75</v>
      </c>
      <c r="F808" s="79">
        <f>BPU!E808</f>
        <v>0</v>
      </c>
      <c r="G808" s="95">
        <f t="shared" si="17"/>
        <v>0</v>
      </c>
    </row>
    <row r="809" spans="1:7" x14ac:dyDescent="0.3">
      <c r="A809" s="52" t="s">
        <v>1143</v>
      </c>
      <c r="B809" s="46" t="s">
        <v>304</v>
      </c>
      <c r="C809" s="51"/>
      <c r="D809" s="87"/>
      <c r="E809" s="126"/>
      <c r="F809" s="79">
        <f>BPU!E809</f>
        <v>0</v>
      </c>
      <c r="G809" s="95">
        <f t="shared" si="17"/>
        <v>0</v>
      </c>
    </row>
    <row r="810" spans="1:7" x14ac:dyDescent="0.3">
      <c r="A810" s="150" t="s">
        <v>1144</v>
      </c>
      <c r="B810" s="50" t="s">
        <v>305</v>
      </c>
      <c r="C810" s="51" t="s">
        <v>197</v>
      </c>
      <c r="D810" s="87" t="s">
        <v>292</v>
      </c>
      <c r="E810" s="126">
        <v>2</v>
      </c>
      <c r="F810" s="79">
        <f>BPU!E810</f>
        <v>0</v>
      </c>
      <c r="G810" s="95">
        <f t="shared" si="17"/>
        <v>0</v>
      </c>
    </row>
    <row r="811" spans="1:7" x14ac:dyDescent="0.3">
      <c r="A811" s="150" t="s">
        <v>1145</v>
      </c>
      <c r="B811" s="50" t="s">
        <v>306</v>
      </c>
      <c r="C811" s="51" t="s">
        <v>197</v>
      </c>
      <c r="D811" s="87" t="s">
        <v>292</v>
      </c>
      <c r="E811" s="126">
        <v>0</v>
      </c>
      <c r="F811" s="79">
        <f>BPU!E811</f>
        <v>0</v>
      </c>
      <c r="G811" s="95">
        <f t="shared" ref="G811:G875" si="18">E811*F811</f>
        <v>0</v>
      </c>
    </row>
    <row r="812" spans="1:7" x14ac:dyDescent="0.3">
      <c r="A812" s="150" t="s">
        <v>1146</v>
      </c>
      <c r="B812" s="50" t="s">
        <v>307</v>
      </c>
      <c r="C812" s="51" t="s">
        <v>197</v>
      </c>
      <c r="D812" s="87" t="s">
        <v>292</v>
      </c>
      <c r="E812" s="126">
        <v>0</v>
      </c>
      <c r="F812" s="79">
        <f>BPU!E812</f>
        <v>0</v>
      </c>
      <c r="G812" s="95">
        <f t="shared" si="18"/>
        <v>0</v>
      </c>
    </row>
    <row r="813" spans="1:7" x14ac:dyDescent="0.3">
      <c r="A813" s="150" t="s">
        <v>1147</v>
      </c>
      <c r="B813" s="50" t="s">
        <v>308</v>
      </c>
      <c r="C813" s="51" t="s">
        <v>197</v>
      </c>
      <c r="D813" s="87" t="s">
        <v>292</v>
      </c>
      <c r="E813" s="126">
        <v>0</v>
      </c>
      <c r="F813" s="79">
        <f>BPU!E813</f>
        <v>0</v>
      </c>
      <c r="G813" s="95">
        <f t="shared" si="18"/>
        <v>0</v>
      </c>
    </row>
    <row r="814" spans="1:7" x14ac:dyDescent="0.3">
      <c r="A814" s="150" t="s">
        <v>1148</v>
      </c>
      <c r="B814" s="50" t="s">
        <v>309</v>
      </c>
      <c r="C814" s="51" t="s">
        <v>197</v>
      </c>
      <c r="D814" s="87" t="s">
        <v>292</v>
      </c>
      <c r="E814" s="126">
        <v>0</v>
      </c>
      <c r="F814" s="79">
        <f>BPU!E814</f>
        <v>0</v>
      </c>
      <c r="G814" s="95">
        <f t="shared" si="18"/>
        <v>0</v>
      </c>
    </row>
    <row r="815" spans="1:7" x14ac:dyDescent="0.3">
      <c r="A815" s="150" t="s">
        <v>1149</v>
      </c>
      <c r="B815" s="50" t="s">
        <v>310</v>
      </c>
      <c r="C815" s="51" t="s">
        <v>197</v>
      </c>
      <c r="D815" s="87" t="s">
        <v>292</v>
      </c>
      <c r="E815" s="126">
        <v>2</v>
      </c>
      <c r="F815" s="79">
        <f>BPU!E815</f>
        <v>0</v>
      </c>
      <c r="G815" s="95">
        <f t="shared" si="18"/>
        <v>0</v>
      </c>
    </row>
    <row r="816" spans="1:7" x14ac:dyDescent="0.3">
      <c r="A816" s="150" t="s">
        <v>1150</v>
      </c>
      <c r="B816" s="50" t="s">
        <v>311</v>
      </c>
      <c r="C816" s="51" t="s">
        <v>197</v>
      </c>
      <c r="D816" s="87" t="s">
        <v>292</v>
      </c>
      <c r="E816" s="126">
        <v>0</v>
      </c>
      <c r="F816" s="79">
        <f>BPU!E816</f>
        <v>0</v>
      </c>
      <c r="G816" s="95">
        <f t="shared" si="18"/>
        <v>0</v>
      </c>
    </row>
    <row r="817" spans="1:23" ht="28.2" customHeight="1" x14ac:dyDescent="0.3">
      <c r="A817" s="150" t="s">
        <v>1151</v>
      </c>
      <c r="B817" s="50" t="s">
        <v>313</v>
      </c>
      <c r="C817" s="51" t="s">
        <v>17</v>
      </c>
      <c r="D817" s="87" t="s">
        <v>292</v>
      </c>
      <c r="E817" s="126">
        <v>15</v>
      </c>
      <c r="F817" s="79">
        <f>BPU!E817</f>
        <v>0</v>
      </c>
      <c r="G817" s="95">
        <f t="shared" si="18"/>
        <v>0</v>
      </c>
    </row>
    <row r="818" spans="1:23" ht="25.2" customHeight="1" thickBot="1" x14ac:dyDescent="0.35">
      <c r="A818" s="150" t="s">
        <v>1152</v>
      </c>
      <c r="B818" s="50" t="s">
        <v>312</v>
      </c>
      <c r="C818" s="51" t="s">
        <v>17</v>
      </c>
      <c r="D818" s="87" t="s">
        <v>292</v>
      </c>
      <c r="E818" s="126">
        <v>12</v>
      </c>
      <c r="F818" s="79">
        <f>BPU!E818</f>
        <v>0</v>
      </c>
      <c r="G818" s="95">
        <f t="shared" si="18"/>
        <v>0</v>
      </c>
    </row>
    <row r="819" spans="1:23" s="98" customFormat="1" ht="15" thickBot="1" x14ac:dyDescent="0.35">
      <c r="A819" s="52"/>
      <c r="B819" s="96" t="s">
        <v>397</v>
      </c>
      <c r="C819" s="97"/>
      <c r="D819" s="97"/>
      <c r="E819" s="128"/>
      <c r="F819" s="145">
        <f>BPU!E819</f>
        <v>0</v>
      </c>
      <c r="G819" s="146">
        <f>SUM(G777:G818)</f>
        <v>0</v>
      </c>
      <c r="J819" s="99"/>
      <c r="K819" s="75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100"/>
      <c r="W819" s="100"/>
    </row>
    <row r="820" spans="1:23" s="58" customFormat="1" ht="16.8" customHeight="1" x14ac:dyDescent="0.3">
      <c r="A820" s="70" t="s">
        <v>91</v>
      </c>
      <c r="B820" s="70" t="s">
        <v>303</v>
      </c>
      <c r="C820" s="52"/>
      <c r="D820" s="87"/>
      <c r="E820" s="126"/>
      <c r="F820" s="79">
        <f>BPU!E820</f>
        <v>0</v>
      </c>
      <c r="G820" s="95">
        <f t="shared" si="18"/>
        <v>0</v>
      </c>
    </row>
    <row r="821" spans="1:23" ht="28.8" x14ac:dyDescent="0.3">
      <c r="A821" s="150" t="s">
        <v>93</v>
      </c>
      <c r="B821" s="61" t="s">
        <v>316</v>
      </c>
      <c r="C821" s="52" t="s">
        <v>79</v>
      </c>
      <c r="D821" s="87" t="s">
        <v>158</v>
      </c>
      <c r="E821" s="126">
        <v>1</v>
      </c>
      <c r="F821" s="79">
        <f>BPU!E821</f>
        <v>0</v>
      </c>
      <c r="G821" s="95">
        <f t="shared" si="18"/>
        <v>0</v>
      </c>
      <c r="H821" s="74"/>
    </row>
    <row r="822" spans="1:23" x14ac:dyDescent="0.3">
      <c r="A822" s="150" t="s">
        <v>94</v>
      </c>
      <c r="B822" s="52" t="s">
        <v>346</v>
      </c>
      <c r="C822" s="52" t="s">
        <v>17</v>
      </c>
      <c r="D822" s="87" t="s">
        <v>292</v>
      </c>
      <c r="E822" s="126">
        <f>10+7+12+6+8+6+49+10+7.5+17+19+23+17</f>
        <v>191.5</v>
      </c>
      <c r="F822" s="79">
        <f>BPU!E822</f>
        <v>0</v>
      </c>
      <c r="G822" s="95">
        <f t="shared" si="18"/>
        <v>0</v>
      </c>
    </row>
    <row r="823" spans="1:23" x14ac:dyDescent="0.3">
      <c r="A823" s="150" t="s">
        <v>101</v>
      </c>
      <c r="B823" s="52" t="s">
        <v>345</v>
      </c>
      <c r="C823" s="52" t="s">
        <v>17</v>
      </c>
      <c r="D823" s="87" t="s">
        <v>292</v>
      </c>
      <c r="E823" s="126">
        <f>8+14+6.5+52+17+26+19+24+13</f>
        <v>179.5</v>
      </c>
      <c r="F823" s="79">
        <f>BPU!E823</f>
        <v>0</v>
      </c>
      <c r="G823" s="95">
        <f t="shared" si="18"/>
        <v>0</v>
      </c>
      <c r="H823" s="74"/>
    </row>
    <row r="824" spans="1:23" x14ac:dyDescent="0.3">
      <c r="A824" s="150" t="s">
        <v>102</v>
      </c>
      <c r="B824" s="61" t="s">
        <v>325</v>
      </c>
      <c r="C824" s="52" t="s">
        <v>197</v>
      </c>
      <c r="D824" s="87" t="s">
        <v>292</v>
      </c>
      <c r="E824" s="126">
        <v>45</v>
      </c>
      <c r="F824" s="79">
        <f>BPU!E824</f>
        <v>0</v>
      </c>
      <c r="G824" s="95">
        <f t="shared" si="18"/>
        <v>0</v>
      </c>
    </row>
    <row r="825" spans="1:23" x14ac:dyDescent="0.3">
      <c r="A825" s="150" t="s">
        <v>103</v>
      </c>
      <c r="B825" s="61" t="s">
        <v>340</v>
      </c>
      <c r="C825" s="52" t="s">
        <v>197</v>
      </c>
      <c r="D825" s="87" t="s">
        <v>292</v>
      </c>
      <c r="E825" s="126">
        <v>0</v>
      </c>
      <c r="F825" s="79">
        <f>BPU!E825</f>
        <v>0</v>
      </c>
      <c r="G825" s="95">
        <f t="shared" si="18"/>
        <v>0</v>
      </c>
    </row>
    <row r="826" spans="1:23" ht="28.8" x14ac:dyDescent="0.3">
      <c r="A826" s="150" t="s">
        <v>104</v>
      </c>
      <c r="B826" s="61" t="s">
        <v>341</v>
      </c>
      <c r="C826" s="52" t="s">
        <v>197</v>
      </c>
      <c r="D826" s="87" t="s">
        <v>292</v>
      </c>
      <c r="E826" s="126">
        <v>1</v>
      </c>
      <c r="F826" s="79">
        <f>BPU!E826</f>
        <v>0</v>
      </c>
      <c r="G826" s="95">
        <f t="shared" si="18"/>
        <v>0</v>
      </c>
    </row>
    <row r="827" spans="1:23" ht="28.8" x14ac:dyDescent="0.3">
      <c r="A827" s="150" t="s">
        <v>1153</v>
      </c>
      <c r="B827" s="68" t="s">
        <v>342</v>
      </c>
      <c r="C827" s="52" t="s">
        <v>197</v>
      </c>
      <c r="D827" s="87" t="s">
        <v>292</v>
      </c>
      <c r="E827" s="126">
        <v>0</v>
      </c>
      <c r="F827" s="79">
        <f>BPU!E827</f>
        <v>0</v>
      </c>
      <c r="G827" s="95">
        <f t="shared" si="18"/>
        <v>0</v>
      </c>
    </row>
    <row r="828" spans="1:23" ht="28.8" x14ac:dyDescent="0.3">
      <c r="A828" s="150" t="s">
        <v>1154</v>
      </c>
      <c r="B828" s="68" t="s">
        <v>343</v>
      </c>
      <c r="C828" s="52" t="s">
        <v>197</v>
      </c>
      <c r="D828" s="87" t="s">
        <v>292</v>
      </c>
      <c r="E828" s="126">
        <v>0</v>
      </c>
      <c r="F828" s="79">
        <f>BPU!E828</f>
        <v>0</v>
      </c>
      <c r="G828" s="95">
        <f t="shared" si="18"/>
        <v>0</v>
      </c>
    </row>
    <row r="829" spans="1:23" x14ac:dyDescent="0.3">
      <c r="A829" s="150" t="s">
        <v>1155</v>
      </c>
      <c r="B829" s="61" t="s">
        <v>318</v>
      </c>
      <c r="C829" s="52" t="s">
        <v>317</v>
      </c>
      <c r="D829" s="87" t="s">
        <v>292</v>
      </c>
      <c r="E829" s="126">
        <v>0</v>
      </c>
      <c r="F829" s="79">
        <f>BPU!E829</f>
        <v>0</v>
      </c>
      <c r="G829" s="95">
        <f t="shared" si="18"/>
        <v>0</v>
      </c>
    </row>
    <row r="830" spans="1:23" ht="29.4" thickBot="1" x14ac:dyDescent="0.35">
      <c r="A830" s="150" t="s">
        <v>1156</v>
      </c>
      <c r="B830" s="61" t="s">
        <v>344</v>
      </c>
      <c r="C830" s="52" t="s">
        <v>197</v>
      </c>
      <c r="D830" s="87" t="s">
        <v>292</v>
      </c>
      <c r="E830" s="126">
        <v>2</v>
      </c>
      <c r="F830" s="79">
        <f>BPU!E830</f>
        <v>0</v>
      </c>
      <c r="G830" s="95">
        <f t="shared" si="18"/>
        <v>0</v>
      </c>
    </row>
    <row r="831" spans="1:23" s="98" customFormat="1" ht="15" thickBot="1" x14ac:dyDescent="0.35">
      <c r="A831" s="52"/>
      <c r="B831" s="96" t="s">
        <v>398</v>
      </c>
      <c r="C831" s="97"/>
      <c r="D831" s="97"/>
      <c r="E831" s="128"/>
      <c r="F831" s="145">
        <f>BPU!E831</f>
        <v>0</v>
      </c>
      <c r="G831" s="146">
        <f>SUM(G821:G830)</f>
        <v>0</v>
      </c>
      <c r="J831" s="99"/>
      <c r="K831" s="75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100"/>
      <c r="W831" s="100"/>
    </row>
    <row r="832" spans="1:23" s="58" customFormat="1" ht="16.8" customHeight="1" x14ac:dyDescent="0.3">
      <c r="A832" s="70" t="s">
        <v>105</v>
      </c>
      <c r="B832" s="70" t="s">
        <v>301</v>
      </c>
      <c r="C832" s="52"/>
      <c r="D832" s="87"/>
      <c r="E832" s="126"/>
      <c r="F832" s="79">
        <f>BPU!E832</f>
        <v>0</v>
      </c>
      <c r="G832" s="95">
        <f t="shared" si="18"/>
        <v>0</v>
      </c>
    </row>
    <row r="833" spans="1:23" x14ac:dyDescent="0.3">
      <c r="A833" s="150" t="s">
        <v>107</v>
      </c>
      <c r="B833" s="61" t="s">
        <v>298</v>
      </c>
      <c r="C833" s="52" t="s">
        <v>79</v>
      </c>
      <c r="D833" s="87" t="s">
        <v>158</v>
      </c>
      <c r="E833" s="126">
        <v>0</v>
      </c>
      <c r="F833" s="79">
        <f>BPU!E833</f>
        <v>0</v>
      </c>
      <c r="G833" s="95">
        <f t="shared" si="18"/>
        <v>0</v>
      </c>
    </row>
    <row r="834" spans="1:23" x14ac:dyDescent="0.3">
      <c r="A834" s="150" t="s">
        <v>128</v>
      </c>
      <c r="B834" s="61" t="s">
        <v>299</v>
      </c>
      <c r="C834" s="52" t="s">
        <v>17</v>
      </c>
      <c r="D834" s="87" t="s">
        <v>292</v>
      </c>
      <c r="E834" s="126">
        <v>353.7</v>
      </c>
      <c r="F834" s="79">
        <f>BPU!E834</f>
        <v>0</v>
      </c>
      <c r="G834" s="95">
        <f t="shared" si="18"/>
        <v>0</v>
      </c>
    </row>
    <row r="835" spans="1:23" ht="16.2" x14ac:dyDescent="0.3">
      <c r="A835" s="150" t="s">
        <v>129</v>
      </c>
      <c r="B835" s="61" t="s">
        <v>335</v>
      </c>
      <c r="C835" s="52" t="s">
        <v>110</v>
      </c>
      <c r="D835" s="87" t="s">
        <v>292</v>
      </c>
      <c r="E835" s="126">
        <v>0</v>
      </c>
      <c r="F835" s="79">
        <f>BPU!E835</f>
        <v>0</v>
      </c>
      <c r="G835" s="95">
        <f t="shared" si="18"/>
        <v>0</v>
      </c>
    </row>
    <row r="836" spans="1:23" ht="16.2" x14ac:dyDescent="0.3">
      <c r="A836" s="150" t="s">
        <v>130</v>
      </c>
      <c r="B836" s="61" t="s">
        <v>336</v>
      </c>
      <c r="C836" s="52" t="s">
        <v>110</v>
      </c>
      <c r="D836" s="87" t="s">
        <v>292</v>
      </c>
      <c r="E836" s="126">
        <v>1</v>
      </c>
      <c r="F836" s="79">
        <f>BPU!E836</f>
        <v>0</v>
      </c>
      <c r="G836" s="95">
        <f t="shared" si="18"/>
        <v>0</v>
      </c>
    </row>
    <row r="837" spans="1:23" ht="15" thickBot="1" x14ac:dyDescent="0.35">
      <c r="A837" s="150" t="s">
        <v>1157</v>
      </c>
      <c r="B837" s="61" t="s">
        <v>300</v>
      </c>
      <c r="C837" s="52" t="s">
        <v>110</v>
      </c>
      <c r="D837" s="87" t="s">
        <v>292</v>
      </c>
      <c r="E837" s="126">
        <v>4</v>
      </c>
      <c r="F837" s="79">
        <f>BPU!E837</f>
        <v>0</v>
      </c>
      <c r="G837" s="95">
        <f t="shared" si="18"/>
        <v>0</v>
      </c>
      <c r="H837" s="74"/>
    </row>
    <row r="838" spans="1:23" s="98" customFormat="1" ht="15" thickBot="1" x14ac:dyDescent="0.35">
      <c r="A838" s="52"/>
      <c r="B838" s="96" t="s">
        <v>399</v>
      </c>
      <c r="C838" s="97"/>
      <c r="D838" s="97"/>
      <c r="E838" s="128"/>
      <c r="F838" s="145">
        <f>BPU!E838</f>
        <v>0</v>
      </c>
      <c r="G838" s="146">
        <f>SUM(G833:G837)</f>
        <v>0</v>
      </c>
      <c r="J838" s="99"/>
      <c r="K838" s="75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100"/>
      <c r="W838" s="100"/>
    </row>
    <row r="839" spans="1:23" s="58" customFormat="1" ht="16.8" customHeight="1" x14ac:dyDescent="0.3">
      <c r="A839" s="70" t="s">
        <v>112</v>
      </c>
      <c r="B839" s="70" t="s">
        <v>302</v>
      </c>
      <c r="C839" s="52"/>
      <c r="D839" s="87"/>
      <c r="E839" s="126"/>
      <c r="F839" s="79">
        <f>BPU!E839</f>
        <v>0</v>
      </c>
      <c r="G839" s="95">
        <f t="shared" si="18"/>
        <v>0</v>
      </c>
    </row>
    <row r="840" spans="1:23" x14ac:dyDescent="0.3">
      <c r="A840" s="150" t="s">
        <v>131</v>
      </c>
      <c r="B840" s="52" t="s">
        <v>319</v>
      </c>
      <c r="C840" s="52" t="s">
        <v>17</v>
      </c>
      <c r="D840" s="87" t="s">
        <v>292</v>
      </c>
      <c r="E840" s="126">
        <v>145</v>
      </c>
      <c r="F840" s="79">
        <f>BPU!E840</f>
        <v>0</v>
      </c>
      <c r="G840" s="95">
        <f t="shared" si="18"/>
        <v>0</v>
      </c>
    </row>
    <row r="841" spans="1:23" x14ac:dyDescent="0.3">
      <c r="A841" s="150" t="s">
        <v>1158</v>
      </c>
      <c r="B841" s="52" t="s">
        <v>324</v>
      </c>
      <c r="C841" s="52" t="s">
        <v>17</v>
      </c>
      <c r="D841" s="87" t="s">
        <v>292</v>
      </c>
      <c r="E841" s="126">
        <v>165</v>
      </c>
      <c r="F841" s="79">
        <f>BPU!E841</f>
        <v>0</v>
      </c>
      <c r="G841" s="95">
        <f t="shared" si="18"/>
        <v>0</v>
      </c>
    </row>
    <row r="842" spans="1:23" x14ac:dyDescent="0.3">
      <c r="A842" s="150" t="s">
        <v>1159</v>
      </c>
      <c r="B842" s="52" t="s">
        <v>323</v>
      </c>
      <c r="C842" s="52" t="s">
        <v>317</v>
      </c>
      <c r="D842" s="87" t="s">
        <v>292</v>
      </c>
      <c r="E842" s="126">
        <v>12</v>
      </c>
      <c r="F842" s="79">
        <f>BPU!E842</f>
        <v>0</v>
      </c>
      <c r="G842" s="95">
        <f t="shared" si="18"/>
        <v>0</v>
      </c>
    </row>
    <row r="843" spans="1:23" x14ac:dyDescent="0.3">
      <c r="A843" s="150" t="s">
        <v>1160</v>
      </c>
      <c r="B843" s="52" t="s">
        <v>355</v>
      </c>
      <c r="C843" s="52" t="s">
        <v>317</v>
      </c>
      <c r="D843" s="87" t="s">
        <v>292</v>
      </c>
      <c r="E843" s="126">
        <v>1</v>
      </c>
      <c r="F843" s="79">
        <f>BPU!E843</f>
        <v>0</v>
      </c>
      <c r="G843" s="95">
        <f t="shared" si="18"/>
        <v>0</v>
      </c>
    </row>
    <row r="844" spans="1:23" x14ac:dyDescent="0.3">
      <c r="A844" s="150" t="s">
        <v>1161</v>
      </c>
      <c r="B844" s="52" t="s">
        <v>321</v>
      </c>
      <c r="C844" s="52" t="s">
        <v>317</v>
      </c>
      <c r="D844" s="87" t="s">
        <v>292</v>
      </c>
      <c r="E844" s="126">
        <v>0</v>
      </c>
      <c r="F844" s="79">
        <f>BPU!E844</f>
        <v>0</v>
      </c>
      <c r="G844" s="95">
        <f t="shared" si="18"/>
        <v>0</v>
      </c>
    </row>
    <row r="845" spans="1:23" x14ac:dyDescent="0.3">
      <c r="A845" s="150" t="s">
        <v>1162</v>
      </c>
      <c r="B845" s="52" t="s">
        <v>322</v>
      </c>
      <c r="C845" s="52" t="s">
        <v>317</v>
      </c>
      <c r="D845" s="87" t="s">
        <v>292</v>
      </c>
      <c r="E845" s="126">
        <v>1</v>
      </c>
      <c r="F845" s="79">
        <f>BPU!E845</f>
        <v>0</v>
      </c>
      <c r="G845" s="95">
        <f t="shared" si="18"/>
        <v>0</v>
      </c>
      <c r="H845" s="66"/>
    </row>
    <row r="846" spans="1:23" ht="31.2" thickBot="1" x14ac:dyDescent="0.35">
      <c r="A846" s="150" t="s">
        <v>1163</v>
      </c>
      <c r="B846" s="61" t="s">
        <v>337</v>
      </c>
      <c r="C846" s="52" t="s">
        <v>197</v>
      </c>
      <c r="D846" s="87" t="s">
        <v>292</v>
      </c>
      <c r="E846" s="126">
        <v>3</v>
      </c>
      <c r="F846" s="79">
        <f>BPU!E846</f>
        <v>0</v>
      </c>
      <c r="G846" s="95">
        <f t="shared" si="18"/>
        <v>0</v>
      </c>
      <c r="H846" s="66"/>
      <c r="J846" s="74"/>
    </row>
    <row r="847" spans="1:23" s="98" customFormat="1" ht="15" thickBot="1" x14ac:dyDescent="0.35">
      <c r="A847" s="52"/>
      <c r="B847" s="96" t="s">
        <v>400</v>
      </c>
      <c r="C847" s="97"/>
      <c r="D847" s="97"/>
      <c r="E847" s="128"/>
      <c r="F847" s="145">
        <f>BPU!E847</f>
        <v>0</v>
      </c>
      <c r="G847" s="146">
        <f>SUM(G840:G846)</f>
        <v>0</v>
      </c>
      <c r="J847" s="99"/>
      <c r="K847" s="75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100"/>
      <c r="W847" s="100"/>
    </row>
    <row r="848" spans="1:23" s="58" customFormat="1" ht="16.8" customHeight="1" x14ac:dyDescent="0.3">
      <c r="A848" s="70" t="s">
        <v>115</v>
      </c>
      <c r="B848" s="70" t="s">
        <v>116</v>
      </c>
      <c r="C848" s="52"/>
      <c r="D848" s="87"/>
      <c r="E848" s="126"/>
      <c r="F848" s="79">
        <f>BPU!E848</f>
        <v>0</v>
      </c>
      <c r="G848" s="95">
        <f t="shared" si="18"/>
        <v>0</v>
      </c>
    </row>
    <row r="849" spans="1:7" ht="18.600000000000001" customHeight="1" x14ac:dyDescent="0.3">
      <c r="A849" s="52" t="s">
        <v>119</v>
      </c>
      <c r="B849" s="46" t="s">
        <v>208</v>
      </c>
      <c r="C849" s="51"/>
      <c r="D849" s="87"/>
      <c r="E849" s="126"/>
      <c r="F849" s="79">
        <f>BPU!E849</f>
        <v>0</v>
      </c>
      <c r="G849" s="95">
        <f t="shared" si="18"/>
        <v>0</v>
      </c>
    </row>
    <row r="850" spans="1:7" ht="18.600000000000001" customHeight="1" x14ac:dyDescent="0.3">
      <c r="A850" s="150" t="s">
        <v>1164</v>
      </c>
      <c r="B850" s="52" t="s">
        <v>211</v>
      </c>
      <c r="C850" s="51" t="s">
        <v>230</v>
      </c>
      <c r="D850" s="87" t="s">
        <v>292</v>
      </c>
      <c r="E850" s="126">
        <f>+(8.48+4.2)*0.4*0.6</f>
        <v>3.0432000000000001</v>
      </c>
      <c r="F850" s="79">
        <f>BPU!E850</f>
        <v>0</v>
      </c>
      <c r="G850" s="95">
        <f t="shared" si="18"/>
        <v>0</v>
      </c>
    </row>
    <row r="851" spans="1:7" ht="18.600000000000001" customHeight="1" x14ac:dyDescent="0.3">
      <c r="A851" s="150" t="s">
        <v>1165</v>
      </c>
      <c r="B851" s="52" t="s">
        <v>326</v>
      </c>
      <c r="C851" s="51" t="s">
        <v>230</v>
      </c>
      <c r="D851" s="87" t="s">
        <v>292</v>
      </c>
      <c r="E851" s="126">
        <f>4.2*8.48*0.3</f>
        <v>10.684800000000001</v>
      </c>
      <c r="F851" s="79">
        <f>BPU!E851</f>
        <v>0</v>
      </c>
      <c r="G851" s="95">
        <f t="shared" si="18"/>
        <v>0</v>
      </c>
    </row>
    <row r="852" spans="1:7" ht="18.600000000000001" customHeight="1" x14ac:dyDescent="0.3">
      <c r="A852" s="52" t="s">
        <v>1166</v>
      </c>
      <c r="B852" s="46" t="s">
        <v>168</v>
      </c>
      <c r="C852" s="52"/>
      <c r="D852" s="87"/>
      <c r="E852" s="126"/>
      <c r="F852" s="79">
        <f>BPU!E852</f>
        <v>0</v>
      </c>
      <c r="G852" s="95">
        <f t="shared" si="18"/>
        <v>0</v>
      </c>
    </row>
    <row r="853" spans="1:7" s="65" customFormat="1" ht="18.600000000000001" customHeight="1" x14ac:dyDescent="0.3">
      <c r="A853" s="150" t="s">
        <v>1167</v>
      </c>
      <c r="B853" s="50" t="s">
        <v>213</v>
      </c>
      <c r="C853" s="51" t="s">
        <v>230</v>
      </c>
      <c r="D853" s="88" t="s">
        <v>292</v>
      </c>
      <c r="E853" s="130">
        <f>12.68*0.4*0.05</f>
        <v>0.25359999999999999</v>
      </c>
      <c r="F853" s="79">
        <f>BPU!E853</f>
        <v>0</v>
      </c>
      <c r="G853" s="95">
        <f t="shared" si="18"/>
        <v>0</v>
      </c>
    </row>
    <row r="854" spans="1:7" s="65" customFormat="1" ht="18.600000000000001" customHeight="1" x14ac:dyDescent="0.3">
      <c r="A854" s="150" t="s">
        <v>1168</v>
      </c>
      <c r="B854" s="50" t="s">
        <v>187</v>
      </c>
      <c r="C854" s="51" t="s">
        <v>230</v>
      </c>
      <c r="D854" s="88" t="s">
        <v>292</v>
      </c>
      <c r="E854" s="130">
        <f>12.68*0.4*0.4</f>
        <v>2.0287999999999999</v>
      </c>
      <c r="F854" s="79">
        <f>BPU!E854</f>
        <v>0</v>
      </c>
      <c r="G854" s="95">
        <f t="shared" si="18"/>
        <v>0</v>
      </c>
    </row>
    <row r="855" spans="1:7" s="65" customFormat="1" ht="18.600000000000001" customHeight="1" x14ac:dyDescent="0.3">
      <c r="A855" s="150" t="s">
        <v>1169</v>
      </c>
      <c r="B855" s="50" t="s">
        <v>214</v>
      </c>
      <c r="C855" s="51" t="s">
        <v>230</v>
      </c>
      <c r="D855" s="88" t="s">
        <v>292</v>
      </c>
      <c r="E855" s="130">
        <v>0</v>
      </c>
      <c r="F855" s="79">
        <f>BPU!E855</f>
        <v>0</v>
      </c>
      <c r="G855" s="95">
        <f t="shared" si="18"/>
        <v>0</v>
      </c>
    </row>
    <row r="856" spans="1:7" s="65" customFormat="1" ht="33" customHeight="1" x14ac:dyDescent="0.3">
      <c r="A856" s="150" t="s">
        <v>1170</v>
      </c>
      <c r="B856" s="50" t="s">
        <v>215</v>
      </c>
      <c r="C856" s="51" t="s">
        <v>230</v>
      </c>
      <c r="D856" s="88" t="s">
        <v>292</v>
      </c>
      <c r="E856" s="130">
        <v>0</v>
      </c>
      <c r="F856" s="79">
        <f>BPU!E856</f>
        <v>0</v>
      </c>
      <c r="G856" s="95">
        <f t="shared" si="18"/>
        <v>0</v>
      </c>
    </row>
    <row r="857" spans="1:7" ht="18.600000000000001" customHeight="1" x14ac:dyDescent="0.3">
      <c r="A857" s="52" t="s">
        <v>1171</v>
      </c>
      <c r="B857" s="46" t="s">
        <v>169</v>
      </c>
      <c r="C857" s="52"/>
      <c r="D857" s="87"/>
      <c r="E857" s="126"/>
      <c r="F857" s="79">
        <f>BPU!E857</f>
        <v>0</v>
      </c>
      <c r="G857" s="95">
        <f t="shared" si="18"/>
        <v>0</v>
      </c>
    </row>
    <row r="858" spans="1:7" ht="18.600000000000001" customHeight="1" x14ac:dyDescent="0.3">
      <c r="A858" s="150" t="s">
        <v>1172</v>
      </c>
      <c r="B858" s="50" t="s">
        <v>216</v>
      </c>
      <c r="C858" s="51" t="s">
        <v>230</v>
      </c>
      <c r="D858" s="87" t="s">
        <v>292</v>
      </c>
      <c r="E858" s="126">
        <f>8.48*4.2*0.1</f>
        <v>3.5616000000000008</v>
      </c>
      <c r="F858" s="79">
        <f>BPU!E858</f>
        <v>0</v>
      </c>
      <c r="G858" s="95">
        <f t="shared" si="18"/>
        <v>0</v>
      </c>
    </row>
    <row r="859" spans="1:7" ht="18.600000000000001" customHeight="1" x14ac:dyDescent="0.3">
      <c r="A859" s="150" t="s">
        <v>1173</v>
      </c>
      <c r="B859" s="50" t="s">
        <v>217</v>
      </c>
      <c r="C859" s="51" t="s">
        <v>230</v>
      </c>
      <c r="D859" s="87" t="s">
        <v>292</v>
      </c>
      <c r="E859" s="126">
        <f>4*0.8*0.8*0.2</f>
        <v>0.51200000000000012</v>
      </c>
      <c r="F859" s="79">
        <f>BPU!E859</f>
        <v>0</v>
      </c>
      <c r="G859" s="95">
        <f t="shared" si="18"/>
        <v>0</v>
      </c>
    </row>
    <row r="860" spans="1:7" ht="18.600000000000001" customHeight="1" x14ac:dyDescent="0.3">
      <c r="A860" s="150" t="s">
        <v>1174</v>
      </c>
      <c r="B860" s="50" t="s">
        <v>218</v>
      </c>
      <c r="C860" s="51" t="s">
        <v>230</v>
      </c>
      <c r="D860" s="87" t="s">
        <v>292</v>
      </c>
      <c r="E860" s="126">
        <f>12.68*0.3*0.2</f>
        <v>0.76080000000000003</v>
      </c>
      <c r="F860" s="79">
        <f>BPU!E860</f>
        <v>0</v>
      </c>
      <c r="G860" s="95">
        <f t="shared" si="18"/>
        <v>0</v>
      </c>
    </row>
    <row r="861" spans="1:7" ht="18.600000000000001" customHeight="1" x14ac:dyDescent="0.3">
      <c r="A861" s="150" t="s">
        <v>1175</v>
      </c>
      <c r="B861" s="50" t="s">
        <v>219</v>
      </c>
      <c r="C861" s="51" t="s">
        <v>230</v>
      </c>
      <c r="D861" s="87" t="s">
        <v>292</v>
      </c>
      <c r="E861" s="126">
        <f>12.68*0.3*0.2</f>
        <v>0.76080000000000003</v>
      </c>
      <c r="F861" s="79">
        <f>BPU!E861</f>
        <v>0</v>
      </c>
      <c r="G861" s="95">
        <f t="shared" si="18"/>
        <v>0</v>
      </c>
    </row>
    <row r="862" spans="1:7" ht="18.600000000000001" customHeight="1" x14ac:dyDescent="0.3">
      <c r="A862" s="150" t="s">
        <v>1176</v>
      </c>
      <c r="B862" s="50" t="s">
        <v>220</v>
      </c>
      <c r="C862" s="51" t="s">
        <v>230</v>
      </c>
      <c r="D862" s="87" t="s">
        <v>292</v>
      </c>
      <c r="E862" s="126">
        <v>0</v>
      </c>
      <c r="F862" s="79">
        <f>BPU!E862</f>
        <v>0</v>
      </c>
      <c r="G862" s="95">
        <f t="shared" si="18"/>
        <v>0</v>
      </c>
    </row>
    <row r="863" spans="1:7" ht="18.600000000000001" customHeight="1" x14ac:dyDescent="0.3">
      <c r="A863" s="150" t="s">
        <v>1177</v>
      </c>
      <c r="B863" s="50" t="s">
        <v>221</v>
      </c>
      <c r="C863" s="51" t="s">
        <v>230</v>
      </c>
      <c r="D863" s="87" t="s">
        <v>292</v>
      </c>
      <c r="E863" s="126">
        <f>4*0.3*0.3*4.5</f>
        <v>1.6199999999999999</v>
      </c>
      <c r="F863" s="79">
        <f>BPU!E863</f>
        <v>0</v>
      </c>
      <c r="G863" s="95">
        <f t="shared" si="18"/>
        <v>0</v>
      </c>
    </row>
    <row r="864" spans="1:7" ht="18.600000000000001" customHeight="1" x14ac:dyDescent="0.3">
      <c r="A864" s="150" t="s">
        <v>1178</v>
      </c>
      <c r="B864" s="50" t="s">
        <v>222</v>
      </c>
      <c r="C864" s="51" t="s">
        <v>230</v>
      </c>
      <c r="D864" s="87" t="s">
        <v>292</v>
      </c>
      <c r="E864" s="126">
        <v>0</v>
      </c>
      <c r="F864" s="79">
        <f>BPU!E864</f>
        <v>0</v>
      </c>
      <c r="G864" s="95">
        <f t="shared" si="18"/>
        <v>0</v>
      </c>
    </row>
    <row r="865" spans="1:7" ht="18.600000000000001" customHeight="1" x14ac:dyDescent="0.3">
      <c r="A865" s="52" t="s">
        <v>1179</v>
      </c>
      <c r="B865" s="46" t="s">
        <v>170</v>
      </c>
      <c r="C865" s="52"/>
      <c r="D865" s="87"/>
      <c r="E865" s="126"/>
      <c r="F865" s="79">
        <f>BPU!E865</f>
        <v>0</v>
      </c>
      <c r="G865" s="95">
        <f t="shared" si="18"/>
        <v>0</v>
      </c>
    </row>
    <row r="866" spans="1:7" ht="18.600000000000001" customHeight="1" x14ac:dyDescent="0.3">
      <c r="A866" s="150" t="s">
        <v>1180</v>
      </c>
      <c r="B866" s="50" t="s">
        <v>223</v>
      </c>
      <c r="C866" s="51" t="s">
        <v>230</v>
      </c>
      <c r="D866" s="87" t="s">
        <v>292</v>
      </c>
      <c r="E866" s="126">
        <f>8.48*4.2*0.05</f>
        <v>1.7808000000000004</v>
      </c>
      <c r="F866" s="79">
        <f>BPU!E866</f>
        <v>0</v>
      </c>
      <c r="G866" s="95">
        <f t="shared" si="18"/>
        <v>0</v>
      </c>
    </row>
    <row r="867" spans="1:7" ht="18.600000000000001" customHeight="1" x14ac:dyDescent="0.3">
      <c r="A867" s="150" t="s">
        <v>1181</v>
      </c>
      <c r="B867" s="50" t="s">
        <v>224</v>
      </c>
      <c r="C867" s="51" t="s">
        <v>230</v>
      </c>
      <c r="D867" s="87" t="s">
        <v>292</v>
      </c>
      <c r="E867" s="126">
        <f>8.48*4.2*0.25</f>
        <v>8.9040000000000017</v>
      </c>
      <c r="F867" s="79">
        <f>BPU!E867</f>
        <v>0</v>
      </c>
      <c r="G867" s="95">
        <f t="shared" si="18"/>
        <v>0</v>
      </c>
    </row>
    <row r="868" spans="1:7" ht="18.600000000000001" customHeight="1" x14ac:dyDescent="0.3">
      <c r="A868" s="150" t="s">
        <v>1182</v>
      </c>
      <c r="B868" s="50" t="s">
        <v>178</v>
      </c>
      <c r="C868" s="51" t="s">
        <v>230</v>
      </c>
      <c r="D868" s="87" t="s">
        <v>292</v>
      </c>
      <c r="E868" s="126">
        <v>0</v>
      </c>
      <c r="F868" s="79">
        <f>BPU!E868</f>
        <v>0</v>
      </c>
      <c r="G868" s="95">
        <f t="shared" si="18"/>
        <v>0</v>
      </c>
    </row>
    <row r="869" spans="1:7" ht="18.600000000000001" customHeight="1" x14ac:dyDescent="0.3">
      <c r="A869" s="52" t="s">
        <v>1183</v>
      </c>
      <c r="B869" s="46" t="s">
        <v>171</v>
      </c>
      <c r="C869" s="52"/>
      <c r="D869" s="87"/>
      <c r="E869" s="126"/>
      <c r="F869" s="79">
        <f>BPU!E869</f>
        <v>0</v>
      </c>
      <c r="G869" s="95">
        <f t="shared" si="18"/>
        <v>0</v>
      </c>
    </row>
    <row r="870" spans="1:7" ht="24.6" customHeight="1" x14ac:dyDescent="0.3">
      <c r="A870" s="150" t="s">
        <v>1184</v>
      </c>
      <c r="B870" s="50" t="s">
        <v>229</v>
      </c>
      <c r="C870" s="51" t="s">
        <v>181</v>
      </c>
      <c r="D870" s="87" t="s">
        <v>292</v>
      </c>
      <c r="E870" s="126">
        <f>12.63*0.4*0.4</f>
        <v>2.0208000000000004</v>
      </c>
      <c r="F870" s="79">
        <f>BPU!E870</f>
        <v>0</v>
      </c>
      <c r="G870" s="95">
        <f t="shared" si="18"/>
        <v>0</v>
      </c>
    </row>
    <row r="871" spans="1:7" ht="24.6" customHeight="1" x14ac:dyDescent="0.3">
      <c r="A871" s="150" t="s">
        <v>1185</v>
      </c>
      <c r="B871" s="50" t="s">
        <v>366</v>
      </c>
      <c r="C871" s="51" t="s">
        <v>181</v>
      </c>
      <c r="D871" s="87" t="s">
        <v>292</v>
      </c>
      <c r="E871" s="126">
        <f>12.68*5.5</f>
        <v>69.739999999999995</v>
      </c>
      <c r="F871" s="79">
        <f>BPU!E871</f>
        <v>0</v>
      </c>
      <c r="G871" s="95">
        <f t="shared" si="18"/>
        <v>0</v>
      </c>
    </row>
    <row r="872" spans="1:7" ht="18.600000000000001" customHeight="1" x14ac:dyDescent="0.3">
      <c r="A872" s="150" t="s">
        <v>1186</v>
      </c>
      <c r="B872" s="50" t="s">
        <v>225</v>
      </c>
      <c r="C872" s="51" t="s">
        <v>181</v>
      </c>
      <c r="D872" s="87" t="s">
        <v>292</v>
      </c>
      <c r="E872" s="126">
        <v>0</v>
      </c>
      <c r="F872" s="79">
        <f>BPU!E872</f>
        <v>0</v>
      </c>
      <c r="G872" s="95">
        <f t="shared" si="18"/>
        <v>0</v>
      </c>
    </row>
    <row r="873" spans="1:7" ht="18.600000000000001" customHeight="1" x14ac:dyDescent="0.3">
      <c r="A873" s="150" t="s">
        <v>1187</v>
      </c>
      <c r="B873" s="50" t="s">
        <v>226</v>
      </c>
      <c r="C873" s="51" t="s">
        <v>181</v>
      </c>
      <c r="D873" s="87" t="s">
        <v>292</v>
      </c>
      <c r="E873" s="126">
        <v>0</v>
      </c>
      <c r="F873" s="79">
        <f>BPU!E873</f>
        <v>0</v>
      </c>
      <c r="G873" s="95">
        <f t="shared" si="18"/>
        <v>0</v>
      </c>
    </row>
    <row r="874" spans="1:7" ht="18.600000000000001" customHeight="1" x14ac:dyDescent="0.3">
      <c r="A874" s="150" t="s">
        <v>1188</v>
      </c>
      <c r="B874" s="50" t="s">
        <v>227</v>
      </c>
      <c r="C874" s="51" t="s">
        <v>181</v>
      </c>
      <c r="D874" s="87" t="s">
        <v>292</v>
      </c>
      <c r="E874" s="126">
        <f>4.2*1</f>
        <v>4.2</v>
      </c>
      <c r="F874" s="79">
        <f>BPU!E874</f>
        <v>0</v>
      </c>
      <c r="G874" s="95">
        <f t="shared" si="18"/>
        <v>0</v>
      </c>
    </row>
    <row r="875" spans="1:7" ht="18.600000000000001" customHeight="1" x14ac:dyDescent="0.3">
      <c r="A875" s="150" t="s">
        <v>1189</v>
      </c>
      <c r="B875" s="50" t="s">
        <v>228</v>
      </c>
      <c r="C875" s="51" t="s">
        <v>181</v>
      </c>
      <c r="D875" s="87" t="s">
        <v>292</v>
      </c>
      <c r="E875" s="126">
        <v>0</v>
      </c>
      <c r="F875" s="79">
        <f>BPU!E875</f>
        <v>0</v>
      </c>
      <c r="G875" s="95">
        <f t="shared" si="18"/>
        <v>0</v>
      </c>
    </row>
    <row r="876" spans="1:7" ht="18.600000000000001" customHeight="1" x14ac:dyDescent="0.3">
      <c r="A876" s="52" t="s">
        <v>1190</v>
      </c>
      <c r="B876" s="46" t="s">
        <v>172</v>
      </c>
      <c r="C876" s="52"/>
      <c r="D876" s="87"/>
      <c r="E876" s="126"/>
      <c r="F876" s="79">
        <f>BPU!E876</f>
        <v>0</v>
      </c>
      <c r="G876" s="95">
        <f t="shared" ref="G876:G939" si="19">E876*F876</f>
        <v>0</v>
      </c>
    </row>
    <row r="877" spans="1:7" ht="18.600000000000001" customHeight="1" x14ac:dyDescent="0.3">
      <c r="A877" s="150" t="s">
        <v>1191</v>
      </c>
      <c r="B877" s="50" t="s">
        <v>231</v>
      </c>
      <c r="C877" s="51" t="s">
        <v>181</v>
      </c>
      <c r="D877" s="87" t="s">
        <v>292</v>
      </c>
      <c r="E877" s="126">
        <v>0</v>
      </c>
      <c r="F877" s="79">
        <f>BPU!E877</f>
        <v>0</v>
      </c>
      <c r="G877" s="95">
        <f t="shared" si="19"/>
        <v>0</v>
      </c>
    </row>
    <row r="878" spans="1:7" ht="18.600000000000001" customHeight="1" x14ac:dyDescent="0.3">
      <c r="A878" s="150" t="s">
        <v>1192</v>
      </c>
      <c r="B878" s="50" t="s">
        <v>232</v>
      </c>
      <c r="C878" s="51" t="s">
        <v>181</v>
      </c>
      <c r="D878" s="87" t="s">
        <v>292</v>
      </c>
      <c r="E878" s="126">
        <f>8.48*4.2</f>
        <v>35.616000000000007</v>
      </c>
      <c r="F878" s="79">
        <f>BPU!E878</f>
        <v>0</v>
      </c>
      <c r="G878" s="95">
        <f t="shared" si="19"/>
        <v>0</v>
      </c>
    </row>
    <row r="879" spans="1:7" ht="28.2" customHeight="1" x14ac:dyDescent="0.3">
      <c r="A879" s="150" t="s">
        <v>1193</v>
      </c>
      <c r="B879" s="50" t="s">
        <v>233</v>
      </c>
      <c r="C879" s="51" t="s">
        <v>181</v>
      </c>
      <c r="D879" s="87" t="s">
        <v>292</v>
      </c>
      <c r="E879" s="126">
        <f>12.68*1.2</f>
        <v>15.215999999999999</v>
      </c>
      <c r="F879" s="79">
        <f>BPU!E879</f>
        <v>0</v>
      </c>
      <c r="G879" s="95">
        <f t="shared" si="19"/>
        <v>0</v>
      </c>
    </row>
    <row r="880" spans="1:7" ht="18.600000000000001" customHeight="1" x14ac:dyDescent="0.3">
      <c r="A880" s="150" t="s">
        <v>1194</v>
      </c>
      <c r="B880" s="50" t="s">
        <v>234</v>
      </c>
      <c r="C880" s="51" t="s">
        <v>181</v>
      </c>
      <c r="D880" s="87" t="s">
        <v>292</v>
      </c>
      <c r="E880" s="126">
        <v>0</v>
      </c>
      <c r="F880" s="79">
        <f>BPU!E880</f>
        <v>0</v>
      </c>
      <c r="G880" s="95">
        <f t="shared" si="19"/>
        <v>0</v>
      </c>
    </row>
    <row r="881" spans="1:7" ht="18.600000000000001" customHeight="1" x14ac:dyDescent="0.3">
      <c r="A881" s="52" t="s">
        <v>1195</v>
      </c>
      <c r="B881" s="46" t="s">
        <v>173</v>
      </c>
      <c r="C881" s="52"/>
      <c r="D881" s="87"/>
      <c r="E881" s="126"/>
      <c r="F881" s="79">
        <f>BPU!E881</f>
        <v>0</v>
      </c>
      <c r="G881" s="95">
        <f t="shared" si="19"/>
        <v>0</v>
      </c>
    </row>
    <row r="882" spans="1:7" ht="18.600000000000001" customHeight="1" x14ac:dyDescent="0.3">
      <c r="A882" s="150" t="s">
        <v>1196</v>
      </c>
      <c r="B882" s="50" t="s">
        <v>259</v>
      </c>
      <c r="C882" s="51" t="s">
        <v>181</v>
      </c>
      <c r="D882" s="87" t="s">
        <v>292</v>
      </c>
      <c r="E882" s="126">
        <v>0</v>
      </c>
      <c r="F882" s="79">
        <f>BPU!E882</f>
        <v>0</v>
      </c>
      <c r="G882" s="95">
        <f t="shared" si="19"/>
        <v>0</v>
      </c>
    </row>
    <row r="883" spans="1:7" ht="18.600000000000001" customHeight="1" x14ac:dyDescent="0.3">
      <c r="A883" s="150" t="s">
        <v>1197</v>
      </c>
      <c r="B883" s="50" t="s">
        <v>235</v>
      </c>
      <c r="C883" s="51" t="s">
        <v>181</v>
      </c>
      <c r="D883" s="87" t="s">
        <v>292</v>
      </c>
      <c r="E883" s="126">
        <f>12.68*5.5</f>
        <v>69.739999999999995</v>
      </c>
      <c r="F883" s="79">
        <f>BPU!E883</f>
        <v>0</v>
      </c>
      <c r="G883" s="95">
        <f t="shared" si="19"/>
        <v>0</v>
      </c>
    </row>
    <row r="884" spans="1:7" ht="18.600000000000001" customHeight="1" x14ac:dyDescent="0.3">
      <c r="A884" s="150" t="s">
        <v>1198</v>
      </c>
      <c r="B884" s="50" t="s">
        <v>236</v>
      </c>
      <c r="C884" s="51" t="s">
        <v>181</v>
      </c>
      <c r="D884" s="87" t="s">
        <v>292</v>
      </c>
      <c r="E884" s="126">
        <f>+E883</f>
        <v>69.739999999999995</v>
      </c>
      <c r="F884" s="79">
        <f>BPU!E884</f>
        <v>0</v>
      </c>
      <c r="G884" s="95">
        <f t="shared" si="19"/>
        <v>0</v>
      </c>
    </row>
    <row r="885" spans="1:7" ht="18.600000000000001" customHeight="1" x14ac:dyDescent="0.3">
      <c r="A885" s="150" t="s">
        <v>1199</v>
      </c>
      <c r="B885" s="50" t="s">
        <v>237</v>
      </c>
      <c r="C885" s="51" t="s">
        <v>181</v>
      </c>
      <c r="D885" s="87" t="s">
        <v>292</v>
      </c>
      <c r="E885" s="126">
        <v>0</v>
      </c>
      <c r="F885" s="79">
        <f>BPU!E885</f>
        <v>0</v>
      </c>
      <c r="G885" s="95">
        <f t="shared" si="19"/>
        <v>0</v>
      </c>
    </row>
    <row r="886" spans="1:7" ht="18.600000000000001" customHeight="1" x14ac:dyDescent="0.3">
      <c r="A886" s="150" t="s">
        <v>1200</v>
      </c>
      <c r="B886" s="50" t="s">
        <v>238</v>
      </c>
      <c r="C886" s="51" t="s">
        <v>181</v>
      </c>
      <c r="D886" s="87" t="s">
        <v>292</v>
      </c>
      <c r="E886" s="126">
        <v>0</v>
      </c>
      <c r="F886" s="79">
        <f>BPU!E886</f>
        <v>0</v>
      </c>
      <c r="G886" s="95">
        <f t="shared" si="19"/>
        <v>0</v>
      </c>
    </row>
    <row r="887" spans="1:7" ht="18.600000000000001" customHeight="1" x14ac:dyDescent="0.3">
      <c r="A887" s="150" t="s">
        <v>1201</v>
      </c>
      <c r="B887" s="50" t="s">
        <v>179</v>
      </c>
      <c r="C887" s="51" t="s">
        <v>181</v>
      </c>
      <c r="D887" s="87" t="s">
        <v>292</v>
      </c>
      <c r="E887" s="126">
        <f>12.68*0.15</f>
        <v>1.9019999999999999</v>
      </c>
      <c r="F887" s="79">
        <f>BPU!E887</f>
        <v>0</v>
      </c>
      <c r="G887" s="95">
        <f t="shared" si="19"/>
        <v>0</v>
      </c>
    </row>
    <row r="888" spans="1:7" ht="18.600000000000001" customHeight="1" x14ac:dyDescent="0.3">
      <c r="A888" s="150" t="s">
        <v>1202</v>
      </c>
      <c r="B888" s="50" t="s">
        <v>239</v>
      </c>
      <c r="C888" s="51" t="s">
        <v>181</v>
      </c>
      <c r="D888" s="87" t="s">
        <v>292</v>
      </c>
      <c r="E888" s="126">
        <v>0</v>
      </c>
      <c r="F888" s="79">
        <f>BPU!E888</f>
        <v>0</v>
      </c>
      <c r="G888" s="95">
        <f t="shared" si="19"/>
        <v>0</v>
      </c>
    </row>
    <row r="889" spans="1:7" ht="18.600000000000001" customHeight="1" x14ac:dyDescent="0.3">
      <c r="A889" s="52" t="s">
        <v>1203</v>
      </c>
      <c r="B889" s="46" t="s">
        <v>174</v>
      </c>
      <c r="C889" s="52"/>
      <c r="D889" s="87"/>
      <c r="E889" s="126"/>
      <c r="F889" s="79">
        <f>BPU!E889</f>
        <v>0</v>
      </c>
      <c r="G889" s="95">
        <f t="shared" si="19"/>
        <v>0</v>
      </c>
    </row>
    <row r="890" spans="1:7" ht="18.600000000000001" customHeight="1" x14ac:dyDescent="0.3">
      <c r="A890" s="150" t="s">
        <v>1204</v>
      </c>
      <c r="B890" s="50" t="s">
        <v>240</v>
      </c>
      <c r="C890" s="51" t="s">
        <v>181</v>
      </c>
      <c r="D890" s="87" t="s">
        <v>292</v>
      </c>
      <c r="E890" s="126">
        <v>0</v>
      </c>
      <c r="F890" s="79">
        <f>BPU!E890</f>
        <v>0</v>
      </c>
      <c r="G890" s="95">
        <f t="shared" si="19"/>
        <v>0</v>
      </c>
    </row>
    <row r="891" spans="1:7" ht="18.600000000000001" customHeight="1" x14ac:dyDescent="0.3">
      <c r="A891" s="150" t="s">
        <v>1205</v>
      </c>
      <c r="B891" s="50" t="s">
        <v>241</v>
      </c>
      <c r="C891" s="51" t="s">
        <v>181</v>
      </c>
      <c r="D891" s="87" t="s">
        <v>292</v>
      </c>
      <c r="E891" s="126">
        <v>0</v>
      </c>
      <c r="F891" s="79">
        <f>BPU!E891</f>
        <v>0</v>
      </c>
      <c r="G891" s="95">
        <f t="shared" si="19"/>
        <v>0</v>
      </c>
    </row>
    <row r="892" spans="1:7" ht="18.600000000000001" customHeight="1" x14ac:dyDescent="0.3">
      <c r="A892" s="150" t="s">
        <v>1206</v>
      </c>
      <c r="B892" s="50" t="s">
        <v>242</v>
      </c>
      <c r="C892" s="51" t="s">
        <v>181</v>
      </c>
      <c r="D892" s="87" t="s">
        <v>292</v>
      </c>
      <c r="E892" s="126">
        <v>0</v>
      </c>
      <c r="F892" s="79">
        <f>BPU!E892</f>
        <v>0</v>
      </c>
      <c r="G892" s="95">
        <f t="shared" si="19"/>
        <v>0</v>
      </c>
    </row>
    <row r="893" spans="1:7" ht="18.600000000000001" customHeight="1" x14ac:dyDescent="0.3">
      <c r="A893" s="150" t="s">
        <v>1207</v>
      </c>
      <c r="B893" s="50" t="s">
        <v>243</v>
      </c>
      <c r="C893" s="51" t="s">
        <v>181</v>
      </c>
      <c r="D893" s="87" t="s">
        <v>292</v>
      </c>
      <c r="E893" s="126">
        <v>0</v>
      </c>
      <c r="F893" s="79">
        <f>BPU!E893</f>
        <v>0</v>
      </c>
      <c r="G893" s="95">
        <f t="shared" si="19"/>
        <v>0</v>
      </c>
    </row>
    <row r="894" spans="1:7" ht="18.600000000000001" customHeight="1" x14ac:dyDescent="0.3">
      <c r="A894" s="150" t="s">
        <v>1208</v>
      </c>
      <c r="B894" s="50" t="s">
        <v>244</v>
      </c>
      <c r="C894" s="51" t="s">
        <v>181</v>
      </c>
      <c r="D894" s="87" t="s">
        <v>292</v>
      </c>
      <c r="E894" s="126">
        <f>1.6*2.1</f>
        <v>3.3600000000000003</v>
      </c>
      <c r="F894" s="79">
        <f>BPU!E894</f>
        <v>0</v>
      </c>
      <c r="G894" s="95">
        <f t="shared" si="19"/>
        <v>0</v>
      </c>
    </row>
    <row r="895" spans="1:7" ht="18.600000000000001" customHeight="1" x14ac:dyDescent="0.3">
      <c r="A895" s="150" t="s">
        <v>1209</v>
      </c>
      <c r="B895" s="50" t="s">
        <v>245</v>
      </c>
      <c r="C895" s="51" t="s">
        <v>181</v>
      </c>
      <c r="D895" s="87" t="s">
        <v>292</v>
      </c>
      <c r="E895" s="126">
        <v>0</v>
      </c>
      <c r="F895" s="79">
        <f>BPU!E895</f>
        <v>0</v>
      </c>
      <c r="G895" s="95">
        <f t="shared" si="19"/>
        <v>0</v>
      </c>
    </row>
    <row r="896" spans="1:7" ht="18.600000000000001" customHeight="1" x14ac:dyDescent="0.3">
      <c r="A896" s="150" t="s">
        <v>1210</v>
      </c>
      <c r="B896" s="50" t="s">
        <v>246</v>
      </c>
      <c r="C896" s="51" t="s">
        <v>181</v>
      </c>
      <c r="D896" s="87" t="s">
        <v>292</v>
      </c>
      <c r="E896" s="126">
        <v>0</v>
      </c>
      <c r="F896" s="79">
        <f>BPU!E896</f>
        <v>0</v>
      </c>
      <c r="G896" s="95">
        <f t="shared" si="19"/>
        <v>0</v>
      </c>
    </row>
    <row r="897" spans="1:7" ht="18.600000000000001" customHeight="1" x14ac:dyDescent="0.3">
      <c r="A897" s="150" t="s">
        <v>1211</v>
      </c>
      <c r="B897" s="50" t="s">
        <v>247</v>
      </c>
      <c r="C897" s="51" t="s">
        <v>181</v>
      </c>
      <c r="D897" s="87" t="s">
        <v>292</v>
      </c>
      <c r="E897" s="126">
        <v>0</v>
      </c>
      <c r="F897" s="79">
        <f>BPU!E897</f>
        <v>0</v>
      </c>
      <c r="G897" s="95">
        <f t="shared" si="19"/>
        <v>0</v>
      </c>
    </row>
    <row r="898" spans="1:7" ht="18.600000000000001" customHeight="1" x14ac:dyDescent="0.3">
      <c r="A898" s="150" t="s">
        <v>1212</v>
      </c>
      <c r="B898" s="50" t="s">
        <v>248</v>
      </c>
      <c r="C898" s="51" t="s">
        <v>181</v>
      </c>
      <c r="D898" s="87" t="s">
        <v>292</v>
      </c>
      <c r="E898" s="126">
        <v>0</v>
      </c>
      <c r="F898" s="79">
        <f>BPU!E898</f>
        <v>0</v>
      </c>
      <c r="G898" s="95">
        <f t="shared" si="19"/>
        <v>0</v>
      </c>
    </row>
    <row r="899" spans="1:7" ht="28.8" customHeight="1" x14ac:dyDescent="0.3">
      <c r="A899" s="150" t="s">
        <v>1213</v>
      </c>
      <c r="B899" s="50" t="s">
        <v>249</v>
      </c>
      <c r="C899" s="51" t="s">
        <v>181</v>
      </c>
      <c r="D899" s="87" t="s">
        <v>292</v>
      </c>
      <c r="E899" s="126">
        <v>0</v>
      </c>
      <c r="F899" s="79">
        <f>BPU!E899</f>
        <v>0</v>
      </c>
      <c r="G899" s="95">
        <f t="shared" si="19"/>
        <v>0</v>
      </c>
    </row>
    <row r="900" spans="1:7" ht="18.600000000000001" customHeight="1" x14ac:dyDescent="0.3">
      <c r="A900" s="150" t="s">
        <v>1214</v>
      </c>
      <c r="B900" s="50" t="s">
        <v>250</v>
      </c>
      <c r="C900" s="51" t="s">
        <v>17</v>
      </c>
      <c r="D900" s="87" t="s">
        <v>292</v>
      </c>
      <c r="E900" s="126">
        <v>0</v>
      </c>
      <c r="F900" s="79">
        <f>BPU!E900</f>
        <v>0</v>
      </c>
      <c r="G900" s="95">
        <f t="shared" si="19"/>
        <v>0</v>
      </c>
    </row>
    <row r="901" spans="1:7" ht="18.600000000000001" customHeight="1" x14ac:dyDescent="0.3">
      <c r="A901" s="150" t="s">
        <v>1215</v>
      </c>
      <c r="B901" s="50" t="s">
        <v>194</v>
      </c>
      <c r="C901" s="51" t="s">
        <v>181</v>
      </c>
      <c r="D901" s="87" t="s">
        <v>292</v>
      </c>
      <c r="E901" s="126">
        <v>0</v>
      </c>
      <c r="F901" s="79">
        <f>BPU!E901</f>
        <v>0</v>
      </c>
      <c r="G901" s="95">
        <f t="shared" si="19"/>
        <v>0</v>
      </c>
    </row>
    <row r="902" spans="1:7" ht="18.600000000000001" customHeight="1" x14ac:dyDescent="0.3">
      <c r="A902" s="52" t="s">
        <v>1216</v>
      </c>
      <c r="B902" s="46" t="s">
        <v>175</v>
      </c>
      <c r="C902" s="52"/>
      <c r="D902" s="87"/>
      <c r="E902" s="126"/>
      <c r="F902" s="79">
        <f>BPU!E902</f>
        <v>0</v>
      </c>
      <c r="G902" s="95">
        <f t="shared" si="19"/>
        <v>0</v>
      </c>
    </row>
    <row r="903" spans="1:7" ht="18.600000000000001" customHeight="1" x14ac:dyDescent="0.3">
      <c r="A903" s="150" t="s">
        <v>1217</v>
      </c>
      <c r="B903" s="50" t="s">
        <v>180</v>
      </c>
      <c r="C903" s="51" t="s">
        <v>181</v>
      </c>
      <c r="D903" s="87" t="s">
        <v>292</v>
      </c>
      <c r="E903" s="126">
        <v>0</v>
      </c>
      <c r="F903" s="79">
        <f>BPU!E903</f>
        <v>0</v>
      </c>
      <c r="G903" s="95">
        <f t="shared" si="19"/>
        <v>0</v>
      </c>
    </row>
    <row r="904" spans="1:7" ht="18.600000000000001" customHeight="1" x14ac:dyDescent="0.3">
      <c r="A904" s="52" t="s">
        <v>1218</v>
      </c>
      <c r="B904" s="46" t="s">
        <v>176</v>
      </c>
      <c r="C904" s="52"/>
      <c r="D904" s="87"/>
      <c r="E904" s="126"/>
      <c r="F904" s="79">
        <f>BPU!E904</f>
        <v>0</v>
      </c>
      <c r="G904" s="95">
        <f t="shared" si="19"/>
        <v>0</v>
      </c>
    </row>
    <row r="905" spans="1:7" ht="18.600000000000001" customHeight="1" x14ac:dyDescent="0.3">
      <c r="A905" s="150" t="s">
        <v>1219</v>
      </c>
      <c r="B905" s="50" t="s">
        <v>257</v>
      </c>
      <c r="C905" s="51" t="s">
        <v>181</v>
      </c>
      <c r="D905" s="87" t="s">
        <v>292</v>
      </c>
      <c r="E905" s="126">
        <v>0</v>
      </c>
      <c r="F905" s="79">
        <f>BPU!E905</f>
        <v>0</v>
      </c>
      <c r="G905" s="95">
        <f t="shared" si="19"/>
        <v>0</v>
      </c>
    </row>
    <row r="906" spans="1:7" ht="18.600000000000001" customHeight="1" x14ac:dyDescent="0.3">
      <c r="A906" s="150" t="s">
        <v>1220</v>
      </c>
      <c r="B906" s="50" t="s">
        <v>253</v>
      </c>
      <c r="C906" s="51" t="s">
        <v>17</v>
      </c>
      <c r="D906" s="87" t="s">
        <v>292</v>
      </c>
      <c r="E906" s="126">
        <v>19</v>
      </c>
      <c r="F906" s="79">
        <f>BPU!E906</f>
        <v>0</v>
      </c>
      <c r="G906" s="95">
        <f t="shared" si="19"/>
        <v>0</v>
      </c>
    </row>
    <row r="907" spans="1:7" ht="18.600000000000001" customHeight="1" x14ac:dyDescent="0.3">
      <c r="A907" s="150" t="s">
        <v>1221</v>
      </c>
      <c r="B907" s="50" t="s">
        <v>252</v>
      </c>
      <c r="C907" s="51" t="s">
        <v>17</v>
      </c>
      <c r="D907" s="87" t="s">
        <v>292</v>
      </c>
      <c r="E907" s="126">
        <v>0</v>
      </c>
      <c r="F907" s="79">
        <f>BPU!E907</f>
        <v>0</v>
      </c>
      <c r="G907" s="95">
        <f t="shared" si="19"/>
        <v>0</v>
      </c>
    </row>
    <row r="908" spans="1:7" ht="18.600000000000001" customHeight="1" x14ac:dyDescent="0.3">
      <c r="A908" s="150" t="s">
        <v>1222</v>
      </c>
      <c r="B908" s="50" t="s">
        <v>254</v>
      </c>
      <c r="C908" s="51" t="s">
        <v>17</v>
      </c>
      <c r="D908" s="87" t="s">
        <v>292</v>
      </c>
      <c r="E908" s="126">
        <f>5.2*7</f>
        <v>36.4</v>
      </c>
      <c r="F908" s="79">
        <f>BPU!E908</f>
        <v>0</v>
      </c>
      <c r="G908" s="95">
        <f t="shared" si="19"/>
        <v>0</v>
      </c>
    </row>
    <row r="909" spans="1:7" ht="18.600000000000001" customHeight="1" x14ac:dyDescent="0.3">
      <c r="A909" s="150" t="s">
        <v>1223</v>
      </c>
      <c r="B909" s="50" t="s">
        <v>255</v>
      </c>
      <c r="C909" s="51" t="s">
        <v>17</v>
      </c>
      <c r="D909" s="87" t="s">
        <v>292</v>
      </c>
      <c r="E909" s="126">
        <v>0</v>
      </c>
      <c r="F909" s="79">
        <f>BPU!E909</f>
        <v>0</v>
      </c>
      <c r="G909" s="95">
        <f t="shared" si="19"/>
        <v>0</v>
      </c>
    </row>
    <row r="910" spans="1:7" ht="28.8" customHeight="1" x14ac:dyDescent="0.3">
      <c r="A910" s="150" t="s">
        <v>1224</v>
      </c>
      <c r="B910" s="50" t="s">
        <v>251</v>
      </c>
      <c r="C910" s="51" t="s">
        <v>17</v>
      </c>
      <c r="D910" s="87" t="s">
        <v>292</v>
      </c>
      <c r="E910" s="126">
        <v>0</v>
      </c>
      <c r="F910" s="79">
        <f>BPU!E910</f>
        <v>0</v>
      </c>
      <c r="G910" s="95">
        <f t="shared" si="19"/>
        <v>0</v>
      </c>
    </row>
    <row r="911" spans="1:7" x14ac:dyDescent="0.3">
      <c r="A911" s="150" t="s">
        <v>1225</v>
      </c>
      <c r="B911" s="50" t="s">
        <v>256</v>
      </c>
      <c r="C911" s="51" t="s">
        <v>181</v>
      </c>
      <c r="D911" s="87" t="s">
        <v>292</v>
      </c>
      <c r="E911" s="126">
        <f>5.2*9*1.25</f>
        <v>58.500000000000007</v>
      </c>
      <c r="F911" s="79">
        <f>BPU!E911</f>
        <v>0</v>
      </c>
      <c r="G911" s="95">
        <f t="shared" si="19"/>
        <v>0</v>
      </c>
    </row>
    <row r="912" spans="1:7" x14ac:dyDescent="0.3">
      <c r="A912" s="150" t="s">
        <v>1226</v>
      </c>
      <c r="B912" s="50" t="s">
        <v>258</v>
      </c>
      <c r="C912" s="51" t="s">
        <v>17</v>
      </c>
      <c r="D912" s="87" t="s">
        <v>292</v>
      </c>
      <c r="E912" s="126">
        <v>0</v>
      </c>
      <c r="F912" s="79">
        <f>BPU!E912</f>
        <v>0</v>
      </c>
      <c r="G912" s="95">
        <f t="shared" si="19"/>
        <v>0</v>
      </c>
    </row>
    <row r="913" spans="1:7" ht="18.600000000000001" customHeight="1" x14ac:dyDescent="0.3">
      <c r="A913" s="150" t="s">
        <v>1227</v>
      </c>
      <c r="B913" s="50" t="s">
        <v>193</v>
      </c>
      <c r="C913" s="51" t="s">
        <v>181</v>
      </c>
      <c r="D913" s="87" t="s">
        <v>292</v>
      </c>
      <c r="E913" s="126">
        <v>0</v>
      </c>
      <c r="F913" s="79">
        <f>BPU!E913</f>
        <v>0</v>
      </c>
      <c r="G913" s="95">
        <f t="shared" si="19"/>
        <v>0</v>
      </c>
    </row>
    <row r="914" spans="1:7" x14ac:dyDescent="0.3">
      <c r="A914" s="150" t="s">
        <v>1228</v>
      </c>
      <c r="B914" s="50" t="s">
        <v>192</v>
      </c>
      <c r="C914" s="51" t="s">
        <v>181</v>
      </c>
      <c r="D914" s="87" t="s">
        <v>292</v>
      </c>
      <c r="E914" s="126">
        <v>0</v>
      </c>
      <c r="F914" s="79">
        <f>BPU!E914</f>
        <v>0</v>
      </c>
      <c r="G914" s="95">
        <f t="shared" si="19"/>
        <v>0</v>
      </c>
    </row>
    <row r="915" spans="1:7" ht="28.8" x14ac:dyDescent="0.3">
      <c r="A915" s="150" t="s">
        <v>1229</v>
      </c>
      <c r="B915" s="50" t="s">
        <v>260</v>
      </c>
      <c r="C915" s="51" t="s">
        <v>181</v>
      </c>
      <c r="D915" s="87" t="s">
        <v>292</v>
      </c>
      <c r="E915" s="126">
        <v>0</v>
      </c>
      <c r="F915" s="79">
        <f>BPU!E915</f>
        <v>0</v>
      </c>
      <c r="G915" s="95">
        <f t="shared" si="19"/>
        <v>0</v>
      </c>
    </row>
    <row r="916" spans="1:7" ht="18.600000000000001" customHeight="1" x14ac:dyDescent="0.3">
      <c r="A916" s="52" t="s">
        <v>1230</v>
      </c>
      <c r="B916" s="46" t="s">
        <v>177</v>
      </c>
      <c r="C916" s="52"/>
      <c r="D916" s="87"/>
      <c r="E916" s="126"/>
      <c r="F916" s="79">
        <f>BPU!E916</f>
        <v>0</v>
      </c>
      <c r="G916" s="95">
        <f t="shared" si="19"/>
        <v>0</v>
      </c>
    </row>
    <row r="917" spans="1:7" ht="18.600000000000001" customHeight="1" x14ac:dyDescent="0.3">
      <c r="A917" s="150" t="s">
        <v>1231</v>
      </c>
      <c r="B917" s="50" t="s">
        <v>182</v>
      </c>
      <c r="C917" s="51" t="s">
        <v>181</v>
      </c>
      <c r="D917" s="87" t="s">
        <v>292</v>
      </c>
      <c r="E917" s="126">
        <v>0</v>
      </c>
      <c r="F917" s="79">
        <f>BPU!E917</f>
        <v>0</v>
      </c>
      <c r="G917" s="95">
        <f t="shared" si="19"/>
        <v>0</v>
      </c>
    </row>
    <row r="918" spans="1:7" x14ac:dyDescent="0.3">
      <c r="A918" s="150" t="s">
        <v>1232</v>
      </c>
      <c r="B918" s="50" t="s">
        <v>1273</v>
      </c>
      <c r="C918" s="51" t="s">
        <v>181</v>
      </c>
      <c r="D918" s="87" t="s">
        <v>292</v>
      </c>
      <c r="E918" s="126">
        <v>0</v>
      </c>
      <c r="F918" s="79">
        <f>BPU!E918</f>
        <v>0</v>
      </c>
      <c r="G918" s="95">
        <f t="shared" si="19"/>
        <v>0</v>
      </c>
    </row>
    <row r="919" spans="1:7" x14ac:dyDescent="0.3">
      <c r="A919" s="150" t="s">
        <v>1233</v>
      </c>
      <c r="B919" s="50" t="s">
        <v>183</v>
      </c>
      <c r="C919" s="51" t="s">
        <v>181</v>
      </c>
      <c r="D919" s="87" t="s">
        <v>292</v>
      </c>
      <c r="E919" s="126">
        <v>0</v>
      </c>
      <c r="F919" s="79">
        <f>BPU!E919</f>
        <v>0</v>
      </c>
      <c r="G919" s="95">
        <f t="shared" si="19"/>
        <v>0</v>
      </c>
    </row>
    <row r="920" spans="1:7" x14ac:dyDescent="0.3">
      <c r="A920" s="150" t="s">
        <v>1234</v>
      </c>
      <c r="B920" s="50" t="s">
        <v>184</v>
      </c>
      <c r="C920" s="51" t="s">
        <v>181</v>
      </c>
      <c r="D920" s="87" t="s">
        <v>292</v>
      </c>
      <c r="E920" s="126">
        <f>+E894*2</f>
        <v>6.7200000000000006</v>
      </c>
      <c r="F920" s="79">
        <f>BPU!E920</f>
        <v>0</v>
      </c>
      <c r="G920" s="95">
        <f t="shared" si="19"/>
        <v>0</v>
      </c>
    </row>
    <row r="921" spans="1:7" x14ac:dyDescent="0.3">
      <c r="A921" s="150" t="s">
        <v>1235</v>
      </c>
      <c r="B921" s="50" t="s">
        <v>185</v>
      </c>
      <c r="C921" s="51" t="s">
        <v>181</v>
      </c>
      <c r="D921" s="87" t="s">
        <v>292</v>
      </c>
      <c r="E921" s="126">
        <v>0</v>
      </c>
      <c r="F921" s="79">
        <f>BPU!E921</f>
        <v>0</v>
      </c>
      <c r="G921" s="95">
        <f t="shared" si="19"/>
        <v>0</v>
      </c>
    </row>
    <row r="922" spans="1:7" x14ac:dyDescent="0.3">
      <c r="A922" s="52" t="s">
        <v>1236</v>
      </c>
      <c r="B922" s="46" t="s">
        <v>304</v>
      </c>
      <c r="C922" s="51"/>
      <c r="D922" s="87"/>
      <c r="E922" s="126"/>
      <c r="F922" s="79">
        <f>BPU!E922</f>
        <v>0</v>
      </c>
      <c r="G922" s="95">
        <f t="shared" si="19"/>
        <v>0</v>
      </c>
    </row>
    <row r="923" spans="1:7" x14ac:dyDescent="0.3">
      <c r="A923" s="150" t="s">
        <v>1237</v>
      </c>
      <c r="B923" s="50" t="s">
        <v>305</v>
      </c>
      <c r="C923" s="51" t="s">
        <v>197</v>
      </c>
      <c r="D923" s="87" t="s">
        <v>292</v>
      </c>
      <c r="E923" s="126">
        <v>0</v>
      </c>
      <c r="F923" s="79">
        <f>BPU!E923</f>
        <v>0</v>
      </c>
      <c r="G923" s="95">
        <f t="shared" si="19"/>
        <v>0</v>
      </c>
    </row>
    <row r="924" spans="1:7" x14ac:dyDescent="0.3">
      <c r="A924" s="150" t="s">
        <v>1238</v>
      </c>
      <c r="B924" s="50" t="s">
        <v>306</v>
      </c>
      <c r="C924" s="51" t="s">
        <v>197</v>
      </c>
      <c r="D924" s="87" t="s">
        <v>292</v>
      </c>
      <c r="E924" s="126">
        <v>0</v>
      </c>
      <c r="F924" s="79">
        <f>BPU!E924</f>
        <v>0</v>
      </c>
      <c r="G924" s="95">
        <f t="shared" si="19"/>
        <v>0</v>
      </c>
    </row>
    <row r="925" spans="1:7" x14ac:dyDescent="0.3">
      <c r="A925" s="150" t="s">
        <v>1239</v>
      </c>
      <c r="B925" s="50" t="s">
        <v>307</v>
      </c>
      <c r="C925" s="51" t="s">
        <v>197</v>
      </c>
      <c r="D925" s="87" t="s">
        <v>292</v>
      </c>
      <c r="E925" s="126">
        <v>0</v>
      </c>
      <c r="F925" s="79">
        <f>BPU!E925</f>
        <v>0</v>
      </c>
      <c r="G925" s="95">
        <f t="shared" si="19"/>
        <v>0</v>
      </c>
    </row>
    <row r="926" spans="1:7" x14ac:dyDescent="0.3">
      <c r="A926" s="150" t="s">
        <v>1240</v>
      </c>
      <c r="B926" s="50" t="s">
        <v>308</v>
      </c>
      <c r="C926" s="51" t="s">
        <v>197</v>
      </c>
      <c r="D926" s="87" t="s">
        <v>292</v>
      </c>
      <c r="E926" s="126">
        <v>0</v>
      </c>
      <c r="F926" s="79">
        <f>BPU!E926</f>
        <v>0</v>
      </c>
      <c r="G926" s="95">
        <f t="shared" si="19"/>
        <v>0</v>
      </c>
    </row>
    <row r="927" spans="1:7" x14ac:dyDescent="0.3">
      <c r="A927" s="150" t="s">
        <v>1241</v>
      </c>
      <c r="B927" s="50" t="s">
        <v>315</v>
      </c>
      <c r="C927" s="51" t="s">
        <v>197</v>
      </c>
      <c r="D927" s="87" t="s">
        <v>292</v>
      </c>
      <c r="E927" s="126">
        <v>0</v>
      </c>
      <c r="F927" s="79">
        <f>BPU!E927</f>
        <v>0</v>
      </c>
      <c r="G927" s="95">
        <f t="shared" si="19"/>
        <v>0</v>
      </c>
    </row>
    <row r="928" spans="1:7" x14ac:dyDescent="0.3">
      <c r="A928" s="150" t="s">
        <v>1242</v>
      </c>
      <c r="B928" s="50" t="s">
        <v>309</v>
      </c>
      <c r="C928" s="51" t="s">
        <v>197</v>
      </c>
      <c r="D928" s="87" t="s">
        <v>292</v>
      </c>
      <c r="E928" s="126">
        <v>0</v>
      </c>
      <c r="F928" s="79">
        <f>BPU!E928</f>
        <v>0</v>
      </c>
      <c r="G928" s="95">
        <f t="shared" si="19"/>
        <v>0</v>
      </c>
    </row>
    <row r="929" spans="1:23" x14ac:dyDescent="0.3">
      <c r="A929" s="150" t="s">
        <v>1243</v>
      </c>
      <c r="B929" s="50" t="s">
        <v>310</v>
      </c>
      <c r="C929" s="51" t="s">
        <v>197</v>
      </c>
      <c r="D929" s="87" t="s">
        <v>292</v>
      </c>
      <c r="E929" s="126">
        <v>0</v>
      </c>
      <c r="F929" s="79">
        <f>BPU!E929</f>
        <v>0</v>
      </c>
      <c r="G929" s="95">
        <f t="shared" si="19"/>
        <v>0</v>
      </c>
    </row>
    <row r="930" spans="1:23" x14ac:dyDescent="0.3">
      <c r="A930" s="150" t="s">
        <v>1244</v>
      </c>
      <c r="B930" s="50" t="s">
        <v>311</v>
      </c>
      <c r="C930" s="51" t="s">
        <v>197</v>
      </c>
      <c r="D930" s="87" t="s">
        <v>292</v>
      </c>
      <c r="E930" s="126">
        <v>0</v>
      </c>
      <c r="F930" s="79">
        <f>BPU!E930</f>
        <v>0</v>
      </c>
      <c r="G930" s="95">
        <f t="shared" si="19"/>
        <v>0</v>
      </c>
    </row>
    <row r="931" spans="1:23" ht="26.4" customHeight="1" x14ac:dyDescent="0.3">
      <c r="A931" s="150" t="s">
        <v>1245</v>
      </c>
      <c r="B931" s="50" t="s">
        <v>313</v>
      </c>
      <c r="C931" s="51" t="s">
        <v>17</v>
      </c>
      <c r="D931" s="87" t="s">
        <v>292</v>
      </c>
      <c r="E931" s="126">
        <v>0</v>
      </c>
      <c r="F931" s="79">
        <f>BPU!E931</f>
        <v>0</v>
      </c>
      <c r="G931" s="95">
        <f t="shared" si="19"/>
        <v>0</v>
      </c>
    </row>
    <row r="932" spans="1:23" ht="28.2" customHeight="1" thickBot="1" x14ac:dyDescent="0.35">
      <c r="A932" s="150" t="s">
        <v>1246</v>
      </c>
      <c r="B932" s="50" t="s">
        <v>312</v>
      </c>
      <c r="C932" s="51" t="s">
        <v>17</v>
      </c>
      <c r="D932" s="87" t="s">
        <v>292</v>
      </c>
      <c r="E932" s="126">
        <v>0</v>
      </c>
      <c r="F932" s="79">
        <f>BPU!E932</f>
        <v>0</v>
      </c>
      <c r="G932" s="95">
        <f t="shared" si="19"/>
        <v>0</v>
      </c>
    </row>
    <row r="933" spans="1:23" s="98" customFormat="1" ht="15" thickBot="1" x14ac:dyDescent="0.35">
      <c r="A933" s="52"/>
      <c r="B933" s="96" t="s">
        <v>401</v>
      </c>
      <c r="C933" s="97"/>
      <c r="D933" s="97"/>
      <c r="E933" s="128"/>
      <c r="F933" s="145">
        <f>BPU!E933</f>
        <v>0</v>
      </c>
      <c r="G933" s="146">
        <f>SUM(G850:G932)</f>
        <v>0</v>
      </c>
      <c r="J933" s="99"/>
      <c r="K933" s="75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100"/>
      <c r="W933" s="100"/>
    </row>
    <row r="934" spans="1:23" s="58" customFormat="1" ht="16.8" customHeight="1" x14ac:dyDescent="0.3">
      <c r="A934" s="70" t="s">
        <v>121</v>
      </c>
      <c r="B934" s="70" t="s">
        <v>296</v>
      </c>
      <c r="C934" s="72"/>
      <c r="D934" s="91"/>
      <c r="E934" s="131"/>
      <c r="F934" s="79">
        <f>BPU!E934</f>
        <v>0</v>
      </c>
      <c r="G934" s="95">
        <f t="shared" si="19"/>
        <v>0</v>
      </c>
    </row>
    <row r="935" spans="1:23" x14ac:dyDescent="0.3">
      <c r="A935" s="150" t="s">
        <v>123</v>
      </c>
      <c r="B935" s="50" t="s">
        <v>269</v>
      </c>
      <c r="C935" s="51" t="s">
        <v>17</v>
      </c>
      <c r="D935" s="87" t="s">
        <v>292</v>
      </c>
      <c r="E935" s="130">
        <v>4650</v>
      </c>
      <c r="F935" s="79">
        <f>BPU!E935</f>
        <v>0</v>
      </c>
      <c r="G935" s="95">
        <f t="shared" si="19"/>
        <v>0</v>
      </c>
    </row>
    <row r="936" spans="1:23" x14ac:dyDescent="0.3">
      <c r="A936" s="150" t="s">
        <v>1247</v>
      </c>
      <c r="B936" s="50" t="s">
        <v>270</v>
      </c>
      <c r="C936" s="51" t="s">
        <v>17</v>
      </c>
      <c r="D936" s="87" t="s">
        <v>292</v>
      </c>
      <c r="E936" s="130">
        <v>2750</v>
      </c>
      <c r="F936" s="79">
        <f>BPU!E936</f>
        <v>0</v>
      </c>
      <c r="G936" s="95">
        <f t="shared" si="19"/>
        <v>0</v>
      </c>
    </row>
    <row r="937" spans="1:23" x14ac:dyDescent="0.3">
      <c r="A937" s="150" t="s">
        <v>1248</v>
      </c>
      <c r="B937" s="53" t="s">
        <v>360</v>
      </c>
      <c r="C937" s="51" t="s">
        <v>17</v>
      </c>
      <c r="D937" s="87" t="s">
        <v>292</v>
      </c>
      <c r="E937" s="130">
        <v>350</v>
      </c>
      <c r="F937" s="79">
        <f>BPU!E937</f>
        <v>0</v>
      </c>
      <c r="G937" s="95">
        <f t="shared" si="19"/>
        <v>0</v>
      </c>
    </row>
    <row r="938" spans="1:23" x14ac:dyDescent="0.3">
      <c r="A938" s="150" t="s">
        <v>1249</v>
      </c>
      <c r="B938" s="50" t="s">
        <v>284</v>
      </c>
      <c r="C938" s="51" t="s">
        <v>17</v>
      </c>
      <c r="D938" s="87" t="s">
        <v>292</v>
      </c>
      <c r="E938" s="130">
        <v>150</v>
      </c>
      <c r="F938" s="79">
        <f>BPU!E938</f>
        <v>0</v>
      </c>
      <c r="G938" s="95">
        <f t="shared" si="19"/>
        <v>0</v>
      </c>
    </row>
    <row r="939" spans="1:23" x14ac:dyDescent="0.3">
      <c r="A939" s="150" t="s">
        <v>1250</v>
      </c>
      <c r="B939" s="50" t="s">
        <v>271</v>
      </c>
      <c r="C939" s="51" t="s">
        <v>110</v>
      </c>
      <c r="D939" s="87" t="s">
        <v>292</v>
      </c>
      <c r="E939" s="130">
        <v>40</v>
      </c>
      <c r="F939" s="79">
        <f>BPU!E939</f>
        <v>0</v>
      </c>
      <c r="G939" s="95">
        <f t="shared" si="19"/>
        <v>0</v>
      </c>
    </row>
    <row r="940" spans="1:23" x14ac:dyDescent="0.3">
      <c r="A940" s="150" t="s">
        <v>1251</v>
      </c>
      <c r="B940" s="50" t="s">
        <v>286</v>
      </c>
      <c r="C940" s="51" t="s">
        <v>110</v>
      </c>
      <c r="D940" s="87" t="s">
        <v>292</v>
      </c>
      <c r="E940" s="130">
        <v>160</v>
      </c>
      <c r="F940" s="79">
        <f>BPU!E940</f>
        <v>0</v>
      </c>
      <c r="G940" s="95">
        <f t="shared" ref="G940:G961" si="20">E940*F940</f>
        <v>0</v>
      </c>
    </row>
    <row r="941" spans="1:23" x14ac:dyDescent="0.3">
      <c r="A941" s="150" t="s">
        <v>1252</v>
      </c>
      <c r="B941" s="50" t="s">
        <v>285</v>
      </c>
      <c r="C941" s="51" t="s">
        <v>110</v>
      </c>
      <c r="D941" s="87" t="s">
        <v>292</v>
      </c>
      <c r="E941" s="130">
        <v>160</v>
      </c>
      <c r="F941" s="79">
        <f>BPU!E941</f>
        <v>0</v>
      </c>
      <c r="G941" s="95">
        <f t="shared" si="20"/>
        <v>0</v>
      </c>
    </row>
    <row r="942" spans="1:23" x14ac:dyDescent="0.3">
      <c r="A942" s="150" t="s">
        <v>1253</v>
      </c>
      <c r="B942" s="50" t="s">
        <v>287</v>
      </c>
      <c r="C942" s="51" t="s">
        <v>110</v>
      </c>
      <c r="D942" s="87" t="s">
        <v>292</v>
      </c>
      <c r="E942" s="130">
        <v>14</v>
      </c>
      <c r="F942" s="79">
        <f>BPU!E942</f>
        <v>0</v>
      </c>
      <c r="G942" s="95">
        <f t="shared" si="20"/>
        <v>0</v>
      </c>
    </row>
    <row r="943" spans="1:23" x14ac:dyDescent="0.3">
      <c r="A943" s="150" t="s">
        <v>1254</v>
      </c>
      <c r="B943" s="50" t="s">
        <v>272</v>
      </c>
      <c r="C943" s="51" t="s">
        <v>110</v>
      </c>
      <c r="D943" s="87" t="s">
        <v>292</v>
      </c>
      <c r="E943" s="130">
        <v>30</v>
      </c>
      <c r="F943" s="79">
        <f>BPU!E943</f>
        <v>0</v>
      </c>
      <c r="G943" s="95">
        <f t="shared" si="20"/>
        <v>0</v>
      </c>
    </row>
    <row r="944" spans="1:23" x14ac:dyDescent="0.3">
      <c r="A944" s="150" t="s">
        <v>1255</v>
      </c>
      <c r="B944" s="50" t="s">
        <v>273</v>
      </c>
      <c r="C944" s="51" t="s">
        <v>110</v>
      </c>
      <c r="D944" s="87" t="s">
        <v>292</v>
      </c>
      <c r="E944" s="130">
        <v>115</v>
      </c>
      <c r="F944" s="79">
        <f>BPU!E944</f>
        <v>0</v>
      </c>
      <c r="G944" s="95">
        <f t="shared" si="20"/>
        <v>0</v>
      </c>
    </row>
    <row r="945" spans="1:7" x14ac:dyDescent="0.3">
      <c r="A945" s="150" t="s">
        <v>1256</v>
      </c>
      <c r="B945" s="50" t="s">
        <v>274</v>
      </c>
      <c r="C945" s="51" t="s">
        <v>110</v>
      </c>
      <c r="D945" s="87" t="s">
        <v>292</v>
      </c>
      <c r="E945" s="130">
        <v>10</v>
      </c>
      <c r="F945" s="79">
        <f>BPU!E945</f>
        <v>0</v>
      </c>
      <c r="G945" s="95">
        <f t="shared" si="20"/>
        <v>0</v>
      </c>
    </row>
    <row r="946" spans="1:7" x14ac:dyDescent="0.3">
      <c r="A946" s="150" t="s">
        <v>1257</v>
      </c>
      <c r="B946" s="50" t="s">
        <v>275</v>
      </c>
      <c r="C946" s="51" t="s">
        <v>110</v>
      </c>
      <c r="D946" s="87" t="s">
        <v>292</v>
      </c>
      <c r="E946" s="130">
        <v>0</v>
      </c>
      <c r="F946" s="79">
        <f>BPU!E946</f>
        <v>0</v>
      </c>
      <c r="G946" s="95">
        <f t="shared" si="20"/>
        <v>0</v>
      </c>
    </row>
    <row r="947" spans="1:7" x14ac:dyDescent="0.3">
      <c r="A947" s="150" t="s">
        <v>1258</v>
      </c>
      <c r="B947" s="50" t="s">
        <v>276</v>
      </c>
      <c r="C947" s="51" t="s">
        <v>110</v>
      </c>
      <c r="D947" s="87" t="s">
        <v>292</v>
      </c>
      <c r="E947" s="130">
        <v>0</v>
      </c>
      <c r="F947" s="79">
        <f>BPU!E947</f>
        <v>0</v>
      </c>
      <c r="G947" s="95">
        <f t="shared" si="20"/>
        <v>0</v>
      </c>
    </row>
    <row r="948" spans="1:7" x14ac:dyDescent="0.3">
      <c r="A948" s="150" t="s">
        <v>1259</v>
      </c>
      <c r="B948" s="50" t="s">
        <v>277</v>
      </c>
      <c r="C948" s="51" t="s">
        <v>17</v>
      </c>
      <c r="D948" s="87" t="s">
        <v>292</v>
      </c>
      <c r="E948" s="130">
        <v>0</v>
      </c>
      <c r="F948" s="79">
        <f>BPU!E948</f>
        <v>0</v>
      </c>
      <c r="G948" s="95">
        <f t="shared" si="20"/>
        <v>0</v>
      </c>
    </row>
    <row r="949" spans="1:7" x14ac:dyDescent="0.3">
      <c r="A949" s="150" t="s">
        <v>1260</v>
      </c>
      <c r="B949" s="50" t="s">
        <v>278</v>
      </c>
      <c r="C949" s="51" t="s">
        <v>17</v>
      </c>
      <c r="D949" s="87" t="s">
        <v>292</v>
      </c>
      <c r="E949" s="130">
        <v>500</v>
      </c>
      <c r="F949" s="79">
        <f>BPU!E949</f>
        <v>0</v>
      </c>
      <c r="G949" s="95">
        <f t="shared" si="20"/>
        <v>0</v>
      </c>
    </row>
    <row r="950" spans="1:7" x14ac:dyDescent="0.3">
      <c r="A950" s="150" t="s">
        <v>1261</v>
      </c>
      <c r="B950" s="50" t="s">
        <v>279</v>
      </c>
      <c r="C950" s="51" t="s">
        <v>110</v>
      </c>
      <c r="D950" s="87" t="s">
        <v>292</v>
      </c>
      <c r="E950" s="148">
        <v>10</v>
      </c>
      <c r="F950" s="79">
        <f>BPU!E950</f>
        <v>0</v>
      </c>
      <c r="G950" s="95">
        <f t="shared" si="20"/>
        <v>0</v>
      </c>
    </row>
    <row r="951" spans="1:7" x14ac:dyDescent="0.3">
      <c r="A951" s="150" t="s">
        <v>1262</v>
      </c>
      <c r="B951" s="50" t="s">
        <v>280</v>
      </c>
      <c r="C951" s="51" t="s">
        <v>17</v>
      </c>
      <c r="D951" s="87" t="s">
        <v>292</v>
      </c>
      <c r="E951" s="148">
        <v>200</v>
      </c>
      <c r="F951" s="79">
        <f>BPU!E951</f>
        <v>0</v>
      </c>
      <c r="G951" s="95">
        <f t="shared" si="20"/>
        <v>0</v>
      </c>
    </row>
    <row r="952" spans="1:7" x14ac:dyDescent="0.3">
      <c r="A952" s="150" t="s">
        <v>1263</v>
      </c>
      <c r="B952" s="50" t="s">
        <v>281</v>
      </c>
      <c r="C952" s="51" t="s">
        <v>110</v>
      </c>
      <c r="D952" s="87" t="s">
        <v>292</v>
      </c>
      <c r="E952" s="148">
        <v>4</v>
      </c>
      <c r="F952" s="79">
        <f>BPU!E952</f>
        <v>0</v>
      </c>
      <c r="G952" s="95">
        <f t="shared" si="20"/>
        <v>0</v>
      </c>
    </row>
    <row r="953" spans="1:7" x14ac:dyDescent="0.3">
      <c r="A953" s="150" t="s">
        <v>1264</v>
      </c>
      <c r="B953" s="50" t="s">
        <v>288</v>
      </c>
      <c r="C953" s="51" t="s">
        <v>110</v>
      </c>
      <c r="D953" s="87" t="s">
        <v>292</v>
      </c>
      <c r="E953" s="130">
        <v>3</v>
      </c>
      <c r="F953" s="79">
        <f>BPU!E953</f>
        <v>0</v>
      </c>
      <c r="G953" s="95">
        <f t="shared" si="20"/>
        <v>0</v>
      </c>
    </row>
    <row r="954" spans="1:7" x14ac:dyDescent="0.3">
      <c r="A954" s="150" t="s">
        <v>1265</v>
      </c>
      <c r="B954" s="50" t="s">
        <v>291</v>
      </c>
      <c r="C954" s="51" t="s">
        <v>110</v>
      </c>
      <c r="D954" s="87" t="s">
        <v>292</v>
      </c>
      <c r="E954" s="130">
        <v>4</v>
      </c>
      <c r="F954" s="79">
        <f>BPU!E954</f>
        <v>0</v>
      </c>
      <c r="G954" s="95">
        <f t="shared" si="20"/>
        <v>0</v>
      </c>
    </row>
    <row r="955" spans="1:7" x14ac:dyDescent="0.3">
      <c r="A955" s="150" t="s">
        <v>1266</v>
      </c>
      <c r="B955" s="50" t="s">
        <v>282</v>
      </c>
      <c r="C955" s="51" t="s">
        <v>110</v>
      </c>
      <c r="D955" s="87" t="s">
        <v>292</v>
      </c>
      <c r="E955" s="130">
        <v>10</v>
      </c>
      <c r="F955" s="79">
        <f>BPU!E955</f>
        <v>0</v>
      </c>
      <c r="G955" s="95">
        <f t="shared" si="20"/>
        <v>0</v>
      </c>
    </row>
    <row r="956" spans="1:7" x14ac:dyDescent="0.3">
      <c r="A956" s="150" t="s">
        <v>1267</v>
      </c>
      <c r="B956" s="50" t="s">
        <v>283</v>
      </c>
      <c r="C956" s="51" t="s">
        <v>110</v>
      </c>
      <c r="D956" s="87" t="s">
        <v>292</v>
      </c>
      <c r="E956" s="130">
        <v>30</v>
      </c>
      <c r="F956" s="79">
        <f>BPU!E956</f>
        <v>0</v>
      </c>
      <c r="G956" s="95">
        <f t="shared" si="20"/>
        <v>0</v>
      </c>
    </row>
    <row r="957" spans="1:7" ht="27" customHeight="1" x14ac:dyDescent="0.3">
      <c r="A957" s="150" t="s">
        <v>1268</v>
      </c>
      <c r="B957" s="50" t="s">
        <v>361</v>
      </c>
      <c r="C957" s="51" t="s">
        <v>110</v>
      </c>
      <c r="D957" s="87" t="s">
        <v>292</v>
      </c>
      <c r="E957" s="130">
        <v>3</v>
      </c>
      <c r="F957" s="79">
        <f>BPU!E957</f>
        <v>0</v>
      </c>
      <c r="G957" s="95">
        <f t="shared" si="20"/>
        <v>0</v>
      </c>
    </row>
    <row r="958" spans="1:7" ht="27" customHeight="1" x14ac:dyDescent="0.3">
      <c r="A958" s="150" t="s">
        <v>1269</v>
      </c>
      <c r="B958" s="50" t="s">
        <v>362</v>
      </c>
      <c r="C958" s="51" t="s">
        <v>110</v>
      </c>
      <c r="D958" s="87" t="s">
        <v>292</v>
      </c>
      <c r="E958" s="130">
        <v>3</v>
      </c>
      <c r="F958" s="79">
        <f>BPU!E958</f>
        <v>0</v>
      </c>
      <c r="G958" s="95">
        <f t="shared" si="20"/>
        <v>0</v>
      </c>
    </row>
    <row r="959" spans="1:7" ht="25.8" customHeight="1" x14ac:dyDescent="0.3">
      <c r="A959" s="150" t="s">
        <v>1270</v>
      </c>
      <c r="B959" s="50" t="s">
        <v>289</v>
      </c>
      <c r="C959" s="51" t="s">
        <v>110</v>
      </c>
      <c r="D959" s="87" t="s">
        <v>292</v>
      </c>
      <c r="E959" s="130">
        <v>3</v>
      </c>
      <c r="F959" s="79">
        <f>BPU!E959</f>
        <v>0</v>
      </c>
      <c r="G959" s="95">
        <f t="shared" si="20"/>
        <v>0</v>
      </c>
    </row>
    <row r="960" spans="1:7" ht="28.8" customHeight="1" x14ac:dyDescent="0.3">
      <c r="A960" s="150" t="s">
        <v>1271</v>
      </c>
      <c r="B960" s="50" t="s">
        <v>290</v>
      </c>
      <c r="C960" s="51" t="s">
        <v>110</v>
      </c>
      <c r="D960" s="87" t="s">
        <v>292</v>
      </c>
      <c r="E960" s="130">
        <v>0</v>
      </c>
      <c r="F960" s="79">
        <f>BPU!E960</f>
        <v>0</v>
      </c>
      <c r="G960" s="95">
        <f t="shared" si="20"/>
        <v>0</v>
      </c>
    </row>
    <row r="961" spans="1:23" ht="15" thickBot="1" x14ac:dyDescent="0.35">
      <c r="A961" s="150" t="s">
        <v>1272</v>
      </c>
      <c r="B961" s="52" t="s">
        <v>406</v>
      </c>
      <c r="C961" s="51" t="s">
        <v>110</v>
      </c>
      <c r="D961" s="87" t="s">
        <v>292</v>
      </c>
      <c r="E961" s="130">
        <v>1</v>
      </c>
      <c r="F961" s="79">
        <f>BPU!E961</f>
        <v>0</v>
      </c>
      <c r="G961" s="95">
        <f t="shared" si="20"/>
        <v>0</v>
      </c>
    </row>
    <row r="962" spans="1:23" s="98" customFormat="1" ht="15" thickBot="1" x14ac:dyDescent="0.35">
      <c r="A962" s="43"/>
      <c r="B962" s="96" t="s">
        <v>402</v>
      </c>
      <c r="C962" s="97"/>
      <c r="D962" s="97"/>
      <c r="E962" s="128"/>
      <c r="F962" s="145"/>
      <c r="G962" s="146">
        <f>SUM(G935:G961)</f>
        <v>0</v>
      </c>
      <c r="J962" s="99"/>
      <c r="K962" s="75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100"/>
      <c r="W962" s="100"/>
    </row>
    <row r="963" spans="1:23" s="58" customFormat="1" ht="18" customHeight="1" thickBot="1" x14ac:dyDescent="0.35">
      <c r="A963" s="72"/>
      <c r="B963" s="103" t="s">
        <v>359</v>
      </c>
      <c r="C963" s="72"/>
      <c r="D963" s="91"/>
      <c r="E963" s="131"/>
      <c r="F963" s="79"/>
      <c r="G963" s="105">
        <f>G962+G933+G847+G838+G831+G819+G775</f>
        <v>0</v>
      </c>
      <c r="H963" s="136"/>
    </row>
    <row r="964" spans="1:23" s="58" customFormat="1" ht="12" customHeight="1" thickBot="1" x14ac:dyDescent="0.35">
      <c r="B964" s="114"/>
      <c r="D964" s="115"/>
      <c r="E964" s="132"/>
      <c r="F964" s="108"/>
      <c r="G964" s="136"/>
      <c r="H964" s="136"/>
    </row>
    <row r="965" spans="1:23" ht="15" thickBot="1" x14ac:dyDescent="0.35">
      <c r="A965" s="116"/>
      <c r="B965" s="120" t="s">
        <v>365</v>
      </c>
      <c r="C965" s="117"/>
      <c r="D965" s="118"/>
      <c r="E965" s="135"/>
      <c r="F965" s="119"/>
      <c r="G965" s="121">
        <f>+G963+G681+G242+G23</f>
        <v>0</v>
      </c>
    </row>
    <row r="966" spans="1:23" x14ac:dyDescent="0.3">
      <c r="G966" s="144"/>
      <c r="I966" s="147"/>
    </row>
  </sheetData>
  <mergeCells count="1">
    <mergeCell ref="A4:G4"/>
  </mergeCells>
  <conditionalFormatting sqref="A10:A125">
    <cfRule type="containsText" dxfId="14" priority="15" operator="containsText" text="priodité 01">
      <formula>NOT(ISERROR(SEARCH("priodité 01",A10)))</formula>
    </cfRule>
  </conditionalFormatting>
  <conditionalFormatting sqref="A149">
    <cfRule type="containsText" dxfId="13" priority="14" operator="containsText" text="priodité 01">
      <formula>NOT(ISERROR(SEARCH("priodité 01",A149)))</formula>
    </cfRule>
  </conditionalFormatting>
  <conditionalFormatting sqref="A241">
    <cfRule type="containsText" dxfId="12" priority="13" operator="containsText" text="priodité 01">
      <formula>NOT(ISERROR(SEARCH("priodité 01",A241)))</formula>
    </cfRule>
  </conditionalFormatting>
  <conditionalFormatting sqref="A324">
    <cfRule type="containsText" dxfId="11" priority="12" operator="containsText" text="priodité 01">
      <formula>NOT(ISERROR(SEARCH("priodité 01",A324)))</formula>
    </cfRule>
  </conditionalFormatting>
  <conditionalFormatting sqref="A413">
    <cfRule type="containsText" dxfId="10" priority="11" operator="containsText" text="priodité 01">
      <formula>NOT(ISERROR(SEARCH("priodité 01",A413)))</formula>
    </cfRule>
  </conditionalFormatting>
  <conditionalFormatting sqref="A513">
    <cfRule type="containsText" dxfId="9" priority="10" operator="containsText" text="priodité 01">
      <formula>NOT(ISERROR(SEARCH("priodité 01",A513)))</formula>
    </cfRule>
  </conditionalFormatting>
  <conditionalFormatting sqref="A591">
    <cfRule type="containsText" dxfId="8" priority="9" operator="containsText" text="priodité 01">
      <formula>NOT(ISERROR(SEARCH("priodité 01",A591)))</formula>
    </cfRule>
  </conditionalFormatting>
  <conditionalFormatting sqref="A680">
    <cfRule type="containsText" dxfId="7" priority="8" operator="containsText" text="priodité 01">
      <formula>NOT(ISERROR(SEARCH("priodité 01",A680)))</formula>
    </cfRule>
  </conditionalFormatting>
  <conditionalFormatting sqref="A775">
    <cfRule type="containsText" dxfId="6" priority="7" operator="containsText" text="priodité 01">
      <formula>NOT(ISERROR(SEARCH("priodité 01",A775)))</formula>
    </cfRule>
  </conditionalFormatting>
  <conditionalFormatting sqref="A819">
    <cfRule type="containsText" dxfId="5" priority="6" operator="containsText" text="priodité 01">
      <formula>NOT(ISERROR(SEARCH("priodité 01",A819)))</formula>
    </cfRule>
  </conditionalFormatting>
  <conditionalFormatting sqref="A831">
    <cfRule type="containsText" dxfId="4" priority="5" operator="containsText" text="priodité 01">
      <formula>NOT(ISERROR(SEARCH("priodité 01",A831)))</formula>
    </cfRule>
  </conditionalFormatting>
  <conditionalFormatting sqref="A838">
    <cfRule type="containsText" dxfId="3" priority="4" operator="containsText" text="priodité 01">
      <formula>NOT(ISERROR(SEARCH("priodité 01",A838)))</formula>
    </cfRule>
  </conditionalFormatting>
  <conditionalFormatting sqref="A847">
    <cfRule type="containsText" dxfId="2" priority="3" operator="containsText" text="priodité 01">
      <formula>NOT(ISERROR(SEARCH("priodité 01",A847)))</formula>
    </cfRule>
  </conditionalFormatting>
  <conditionalFormatting sqref="A933">
    <cfRule type="containsText" dxfId="1" priority="2" operator="containsText" text="priodité 01">
      <formula>NOT(ISERROR(SEARCH("priodité 01",A933)))</formula>
    </cfRule>
  </conditionalFormatting>
  <conditionalFormatting sqref="A962">
    <cfRule type="containsText" dxfId="0" priority="1" operator="containsText" text="priodité 01">
      <formula>NOT(ISERROR(SEARCH("priodité 01",A962)))</formula>
    </cfRule>
  </conditionalFormatting>
  <pageMargins left="0.70866141732283472" right="0.70866141732283472" top="0.74803149606299213" bottom="0.74803149606299213" header="0.31496062992125984" footer="0.31496062992125984"/>
  <pageSetup paperSize="9" scale="90" fitToHeight="23" orientation="portrait" r:id="rId1"/>
  <headerFooter>
    <oddHeader>&amp;CDQE Lot N°3 ( 22 pages au total)</oddHeader>
    <oddFooter>&amp;CDQE Lot N°3 : &amp;P/ &amp;N Pages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64DE-0D58-4F54-ADC1-9CA3A0B4D80F}">
  <dimension ref="A1:E15"/>
  <sheetViews>
    <sheetView view="pageLayout" zoomScaleNormal="160" workbookViewId="0">
      <selection activeCell="C16" sqref="C16"/>
    </sheetView>
  </sheetViews>
  <sheetFormatPr baseColWidth="10" defaultColWidth="10.90625" defaultRowHeight="14.4" x14ac:dyDescent="0.3"/>
  <cols>
    <col min="1" max="1" width="6.1796875" style="47" customWidth="1"/>
    <col min="2" max="2" width="45.54296875" style="47" customWidth="1"/>
    <col min="3" max="3" width="13.54296875" style="47" customWidth="1"/>
    <col min="4" max="16384" width="10.90625" style="47"/>
  </cols>
  <sheetData>
    <row r="1" spans="1:5" x14ac:dyDescent="0.3">
      <c r="D1" s="85"/>
      <c r="E1" s="55"/>
    </row>
    <row r="3" spans="1:5" ht="15" thickBot="1" x14ac:dyDescent="0.35"/>
    <row r="4" spans="1:5" ht="31.8" customHeight="1" thickBot="1" x14ac:dyDescent="0.35">
      <c r="A4" s="158" t="s">
        <v>155</v>
      </c>
      <c r="B4" s="159"/>
      <c r="C4" s="160"/>
    </row>
    <row r="5" spans="1:5" ht="13.8" customHeight="1" x14ac:dyDescent="0.3">
      <c r="A5" s="45"/>
      <c r="B5" s="57"/>
      <c r="C5" s="45"/>
    </row>
    <row r="6" spans="1:5" x14ac:dyDescent="0.3">
      <c r="B6" s="58" t="s">
        <v>347</v>
      </c>
      <c r="C6" s="73" t="s">
        <v>1278</v>
      </c>
    </row>
    <row r="7" spans="1:5" x14ac:dyDescent="0.3">
      <c r="B7" s="58"/>
    </row>
    <row r="8" spans="1:5" x14ac:dyDescent="0.3">
      <c r="A8" s="60" t="s">
        <v>380</v>
      </c>
      <c r="B8" s="60" t="s">
        <v>381</v>
      </c>
      <c r="C8" s="60" t="s">
        <v>1276</v>
      </c>
    </row>
    <row r="9" spans="1:5" x14ac:dyDescent="0.3">
      <c r="A9" s="52" t="s">
        <v>374</v>
      </c>
      <c r="B9" s="52" t="s">
        <v>375</v>
      </c>
      <c r="C9" s="95">
        <f>+'Lot 1-Ngozi-femmes'!G965</f>
        <v>0</v>
      </c>
    </row>
    <row r="10" spans="1:5" x14ac:dyDescent="0.3">
      <c r="A10" s="52" t="s">
        <v>376</v>
      </c>
      <c r="B10" s="52" t="s">
        <v>378</v>
      </c>
      <c r="C10" s="95">
        <f>+'Lot 2 Ngozi-Hommes'!G965</f>
        <v>0</v>
      </c>
    </row>
    <row r="11" spans="1:5" ht="15" thickBot="1" x14ac:dyDescent="0.35">
      <c r="A11" s="52" t="s">
        <v>377</v>
      </c>
      <c r="B11" s="52" t="s">
        <v>379</v>
      </c>
      <c r="C11" s="143">
        <f>+'Lot 3 Muyinga'!G965</f>
        <v>0</v>
      </c>
    </row>
    <row r="12" spans="1:5" ht="15" thickBot="1" x14ac:dyDescent="0.35">
      <c r="A12" s="52"/>
      <c r="B12" s="142" t="s">
        <v>1277</v>
      </c>
      <c r="C12" s="121">
        <f>+SUM(C9:C11)</f>
        <v>0</v>
      </c>
    </row>
    <row r="15" spans="1:5" x14ac:dyDescent="0.3">
      <c r="C15" s="144"/>
    </row>
  </sheetData>
  <mergeCells count="1">
    <mergeCell ref="A4:C4"/>
  </mergeCells>
  <pageMargins left="0.7" right="0.7" top="0.75" bottom="0.75" header="0.3" footer="0.3"/>
  <pageSetup paperSize="9" orientation="portrait" r:id="rId1"/>
  <headerFooter>
    <oddHeader>&amp;CDQE- Récapitulatif</oddHeader>
    <oddFooter>&amp;CDQE RECAP : &amp;P / &amp;N Page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Muyinga</vt:lpstr>
      <vt:lpstr>BPU</vt:lpstr>
      <vt:lpstr>Lot 1-Ngozi-femmes</vt:lpstr>
      <vt:lpstr>Lot 2 Ngozi-Hommes</vt:lpstr>
      <vt:lpstr>Lot 3 Muyinga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</dc:creator>
  <cp:lastModifiedBy>NIYONGABO, Niyongabo Zaïdi</cp:lastModifiedBy>
  <cp:lastPrinted>2023-11-20T10:03:23Z</cp:lastPrinted>
  <dcterms:created xsi:type="dcterms:W3CDTF">2023-08-30T06:44:32Z</dcterms:created>
  <dcterms:modified xsi:type="dcterms:W3CDTF">2024-02-27T15:39:13Z</dcterms:modified>
</cp:coreProperties>
</file>