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https://enabelbe.sharepoint.com/sites/SEN/Contracts/21_Marchés_Publics/SEN21004_PTF_CLIMAT/MP_plus30k/SEN21004-10044 Installation de systèmes d'irrigation/2_CSC/"/>
    </mc:Choice>
  </mc:AlternateContent>
  <xr:revisionPtr revIDLastSave="23" documentId="8_{49159FF6-AAC7-4125-8E79-B6D871B30A5F}" xr6:coauthVersionLast="47" xr6:coauthVersionMax="47" xr10:uidLastSave="{F5BF3D53-DB14-4147-861E-27653E1540EE}"/>
  <bookViews>
    <workbookView xWindow="-110" yWindow="-110" windowWidth="19420" windowHeight="10420" tabRatio="1000" firstSheet="1" activeTab="1" xr2:uid="{00000000-000D-0000-FFFF-FFFF00000000}"/>
  </bookViews>
  <sheets>
    <sheet name="DIM SOUS PRESSION (puits)" sheetId="199" state="hidden" r:id="rId1"/>
    <sheet name="1-NGATHIE NAOUDE" sheetId="220" r:id="rId2"/>
    <sheet name="2-NGATHIE PEUL" sheetId="228" r:id="rId3"/>
    <sheet name="3-NGAMBOU" sheetId="223" r:id="rId4"/>
    <sheet name="Lot 3" sheetId="194" r:id="rId5"/>
  </sheets>
  <externalReferences>
    <externalReference r:id="rId6"/>
  </externalReferences>
  <definedNames>
    <definedName name="sol">[1]RFU!$A$5:$A$14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223" l="1"/>
  <c r="F40" i="223"/>
  <c r="F39" i="223"/>
  <c r="F38" i="223"/>
  <c r="F37" i="223"/>
  <c r="F36" i="223"/>
  <c r="F35" i="223"/>
  <c r="F34" i="223"/>
  <c r="A34" i="223"/>
  <c r="A35" i="223" s="1"/>
  <c r="A36" i="223" s="1"/>
  <c r="A37" i="223" s="1"/>
  <c r="A38" i="223" s="1"/>
  <c r="A39" i="223" s="1"/>
  <c r="A40" i="223" s="1"/>
  <c r="A41" i="223" s="1"/>
  <c r="F33" i="223"/>
  <c r="F31" i="223" s="1"/>
  <c r="F30" i="223" s="1"/>
  <c r="F29" i="223" s="1"/>
  <c r="F28" i="223"/>
  <c r="F27" i="223" s="1"/>
  <c r="D26" i="223"/>
  <c r="F26" i="223" s="1"/>
  <c r="F24" i="223"/>
  <c r="F23" i="223"/>
  <c r="F21" i="223" s="1"/>
  <c r="F20" i="223"/>
  <c r="F19" i="223" s="1"/>
  <c r="F18" i="223"/>
  <c r="F17" i="223" s="1"/>
  <c r="F16" i="223"/>
  <c r="A16" i="223"/>
  <c r="A17" i="223" s="1"/>
  <c r="A18" i="223" s="1"/>
  <c r="A19" i="223" s="1"/>
  <c r="A20" i="223" s="1"/>
  <c r="A21" i="223" s="1"/>
  <c r="A23" i="223" s="1"/>
  <c r="A24" i="223" s="1"/>
  <c r="A26" i="223" s="1"/>
  <c r="A27" i="223" s="1"/>
  <c r="A28" i="223" s="1"/>
  <c r="A29" i="223" s="1"/>
  <c r="F15" i="223" s="1"/>
  <c r="F11" i="223"/>
  <c r="F10" i="223" s="1"/>
  <c r="A10" i="223"/>
  <c r="A11" i="223" s="1"/>
  <c r="A12" i="223" s="1"/>
  <c r="F9" i="223"/>
  <c r="F7" i="223"/>
  <c r="F6" i="223"/>
  <c r="F4" i="223"/>
  <c r="F3" i="223" s="1"/>
  <c r="H5" i="194" s="1"/>
  <c r="F41" i="228"/>
  <c r="F40" i="228"/>
  <c r="F39" i="228"/>
  <c r="F38" i="228"/>
  <c r="F37" i="228"/>
  <c r="F36" i="228"/>
  <c r="F35" i="228"/>
  <c r="F34" i="228"/>
  <c r="A34" i="228"/>
  <c r="A35" i="228" s="1"/>
  <c r="A36" i="228" s="1"/>
  <c r="A37" i="228" s="1"/>
  <c r="A38" i="228" s="1"/>
  <c r="A39" i="228" s="1"/>
  <c r="A40" i="228" s="1"/>
  <c r="A41" i="228" s="1"/>
  <c r="F33" i="228"/>
  <c r="F31" i="228"/>
  <c r="F30" i="228" s="1"/>
  <c r="F29" i="228" s="1"/>
  <c r="F28" i="228" s="1"/>
  <c r="F27" i="228" s="1"/>
  <c r="D26" i="228"/>
  <c r="F25" i="228" s="1"/>
  <c r="F24" i="228"/>
  <c r="F23" i="228"/>
  <c r="F22" i="228" s="1"/>
  <c r="F21" i="228" s="1"/>
  <c r="F20" i="228" s="1"/>
  <c r="F19" i="228" s="1"/>
  <c r="F18" i="228" s="1"/>
  <c r="F17" i="228" s="1"/>
  <c r="F16" i="228" s="1"/>
  <c r="A16" i="228"/>
  <c r="A17" i="228" s="1"/>
  <c r="A18" i="228" s="1"/>
  <c r="A19" i="228" s="1"/>
  <c r="A20" i="228" s="1"/>
  <c r="A21" i="228" s="1"/>
  <c r="A23" i="228" s="1"/>
  <c r="A24" i="228" s="1"/>
  <c r="A26" i="228" s="1"/>
  <c r="A27" i="228" s="1"/>
  <c r="A28" i="228" s="1"/>
  <c r="A29" i="228" s="1"/>
  <c r="F15" i="228" s="1"/>
  <c r="F12" i="228"/>
  <c r="F11" i="228"/>
  <c r="F10" i="228"/>
  <c r="A10" i="228"/>
  <c r="A11" i="228" s="1"/>
  <c r="A12" i="228" s="1"/>
  <c r="F9" i="228"/>
  <c r="F7" i="228"/>
  <c r="F6" i="228"/>
  <c r="F4" i="228"/>
  <c r="F3" i="228" s="1"/>
  <c r="F41" i="220"/>
  <c r="F40" i="220"/>
  <c r="F39" i="220"/>
  <c r="F38" i="220"/>
  <c r="F37" i="220"/>
  <c r="F36" i="220"/>
  <c r="F35" i="220"/>
  <c r="F34" i="220"/>
  <c r="A34" i="220"/>
  <c r="A35" i="220" s="1"/>
  <c r="A36" i="220" s="1"/>
  <c r="A37" i="220" s="1"/>
  <c r="A38" i="220" s="1"/>
  <c r="A39" i="220" s="1"/>
  <c r="A40" i="220" s="1"/>
  <c r="A41" i="220" s="1"/>
  <c r="F33" i="220"/>
  <c r="F31" i="220" s="1"/>
  <c r="F29" i="220" s="1"/>
  <c r="F28" i="220" s="1"/>
  <c r="F27" i="220" s="1"/>
  <c r="D26" i="220"/>
  <c r="F24" i="220"/>
  <c r="F23" i="220" s="1"/>
  <c r="F21" i="220" s="1"/>
  <c r="F20" i="220" s="1"/>
  <c r="F19" i="220" s="1"/>
  <c r="F18" i="220" s="1"/>
  <c r="F17" i="220" s="1"/>
  <c r="A16" i="220"/>
  <c r="F15" i="220" s="1"/>
  <c r="F12" i="220"/>
  <c r="F11" i="220"/>
  <c r="F10" i="220"/>
  <c r="A10" i="220"/>
  <c r="A11" i="220" s="1"/>
  <c r="A12" i="220" s="1"/>
  <c r="F9" i="220"/>
  <c r="F7" i="220"/>
  <c r="F6" i="220"/>
  <c r="F4" i="220"/>
  <c r="F3" i="220" s="1"/>
  <c r="F12" i="223" l="1"/>
  <c r="F13" i="223"/>
  <c r="F5" i="194" s="1"/>
  <c r="H4" i="194"/>
  <c r="H3" i="194"/>
  <c r="F5" i="223"/>
  <c r="D5" i="194" s="1"/>
  <c r="F5" i="228"/>
  <c r="D4" i="194" s="1"/>
  <c r="F32" i="228"/>
  <c r="G4" i="194" s="1"/>
  <c r="F32" i="223"/>
  <c r="G5" i="194" s="1"/>
  <c r="F5" i="220"/>
  <c r="D3" i="194" s="1"/>
  <c r="F26" i="228"/>
  <c r="F26" i="220"/>
  <c r="F32" i="220"/>
  <c r="G3" i="194" s="1"/>
  <c r="A17" i="220"/>
  <c r="A18" i="220" s="1"/>
  <c r="A19" i="220" s="1"/>
  <c r="A20" i="220" s="1"/>
  <c r="A21" i="220" s="1"/>
  <c r="A23" i="220" s="1"/>
  <c r="A24" i="220" s="1"/>
  <c r="A26" i="220" s="1"/>
  <c r="A27" i="220" s="1"/>
  <c r="A28" i="220" s="1"/>
  <c r="A29" i="220" s="1"/>
  <c r="F16" i="220" s="1"/>
  <c r="F13" i="220" s="1"/>
  <c r="F13" i="228" l="1"/>
  <c r="F4" i="194" s="1"/>
  <c r="F3" i="194"/>
  <c r="F80" i="223" l="1"/>
  <c r="F79" i="223"/>
  <c r="D77" i="223"/>
  <c r="F77" i="223" s="1"/>
  <c r="D76" i="223"/>
  <c r="F76" i="223" s="1"/>
  <c r="F74" i="223"/>
  <c r="F73" i="223"/>
  <c r="D70" i="223"/>
  <c r="F70" i="223" s="1"/>
  <c r="D69" i="223"/>
  <c r="F69" i="223" s="1"/>
  <c r="D68" i="223"/>
  <c r="F68" i="223" s="1"/>
  <c r="F60" i="223"/>
  <c r="F59" i="223"/>
  <c r="F58" i="223"/>
  <c r="F57" i="223"/>
  <c r="F56" i="223"/>
  <c r="F54" i="223"/>
  <c r="F53" i="223"/>
  <c r="D50" i="223"/>
  <c r="F50" i="223" s="1"/>
  <c r="D49" i="223"/>
  <c r="F49" i="223" s="1"/>
  <c r="D48" i="223"/>
  <c r="F48" i="223" s="1"/>
  <c r="F78" i="228"/>
  <c r="F77" i="228"/>
  <c r="D75" i="228"/>
  <c r="F75" i="228" s="1"/>
  <c r="D74" i="228"/>
  <c r="F74" i="228" s="1"/>
  <c r="F72" i="228"/>
  <c r="F71" i="228"/>
  <c r="D68" i="228"/>
  <c r="F68" i="228" s="1"/>
  <c r="D67" i="228"/>
  <c r="F67" i="228" s="1"/>
  <c r="D66" i="228"/>
  <c r="F66" i="228" s="1"/>
  <c r="F59" i="228"/>
  <c r="F58" i="228"/>
  <c r="F57" i="228"/>
  <c r="F56" i="228"/>
  <c r="F55" i="228"/>
  <c r="F53" i="228"/>
  <c r="F52" i="228"/>
  <c r="D49" i="228"/>
  <c r="F49" i="228" s="1"/>
  <c r="D48" i="228"/>
  <c r="F48" i="228" s="1"/>
  <c r="D47" i="228"/>
  <c r="F47" i="228" s="1"/>
  <c r="F54" i="228" l="1"/>
  <c r="F76" i="228"/>
  <c r="F73" i="228" s="1"/>
  <c r="F52" i="223"/>
  <c r="F51" i="228"/>
  <c r="F55" i="223"/>
  <c r="F47" i="223"/>
  <c r="F46" i="228"/>
  <c r="F78" i="223"/>
  <c r="F75" i="223" s="1"/>
  <c r="F67" i="223"/>
  <c r="F72" i="223"/>
  <c r="F65" i="228"/>
  <c r="F70" i="228"/>
  <c r="F51" i="223" l="1"/>
  <c r="F61" i="223" s="1"/>
  <c r="F62" i="223" s="1"/>
  <c r="F50" i="228"/>
  <c r="F60" i="228" s="1"/>
  <c r="F61" i="228" s="1"/>
  <c r="F69" i="228"/>
  <c r="F79" i="228" s="1"/>
  <c r="F80" i="228" s="1"/>
  <c r="F71" i="223"/>
  <c r="F81" i="223" s="1"/>
  <c r="F82" i="223" s="1"/>
  <c r="C4" i="194" l="1"/>
  <c r="C5" i="194"/>
  <c r="F59" i="220" l="1"/>
  <c r="F58" i="220"/>
  <c r="F57" i="220"/>
  <c r="F56" i="220"/>
  <c r="F55" i="220"/>
  <c r="F53" i="220"/>
  <c r="F52" i="220"/>
  <c r="D49" i="220"/>
  <c r="F49" i="220" s="1"/>
  <c r="D48" i="220"/>
  <c r="F48" i="220" s="1"/>
  <c r="D47" i="220"/>
  <c r="F47" i="220" s="1"/>
  <c r="F46" i="220" l="1"/>
  <c r="F54" i="220"/>
  <c r="F51" i="220"/>
  <c r="F50" i="220" l="1"/>
  <c r="F60" i="220" s="1"/>
  <c r="F61" i="220" s="1"/>
  <c r="C3" i="194" l="1"/>
  <c r="F8" i="223" l="1"/>
  <c r="F42" i="223" l="1"/>
  <c r="F85" i="223" s="1"/>
  <c r="E5" i="194"/>
  <c r="F8" i="228" l="1"/>
  <c r="F42" i="228" s="1"/>
  <c r="F82" i="228" l="1"/>
  <c r="E4" i="194"/>
  <c r="F83" i="228" l="1"/>
  <c r="F84" i="228" s="1"/>
  <c r="I4" i="194"/>
  <c r="J4" i="194" s="1"/>
  <c r="F8" i="220" l="1"/>
  <c r="F42" i="220" s="1"/>
  <c r="F63" i="220" l="1"/>
  <c r="F64" i="220" s="1"/>
  <c r="F65" i="220" s="1"/>
  <c r="E3" i="194"/>
  <c r="F86" i="223"/>
  <c r="F87" i="223" s="1"/>
  <c r="I3" i="194" l="1"/>
  <c r="J3" i="194" s="1"/>
  <c r="I5" i="194"/>
  <c r="J5" i="194" s="1"/>
  <c r="B34" i="199" l="1"/>
  <c r="B146" i="199"/>
  <c r="B145" i="199"/>
  <c r="B144" i="199"/>
  <c r="B143" i="199"/>
  <c r="A143" i="199"/>
  <c r="A142" i="199"/>
  <c r="C141" i="199"/>
  <c r="C140" i="199"/>
  <c r="A139" i="199"/>
  <c r="C138" i="199"/>
  <c r="B138" i="199"/>
  <c r="A138" i="199"/>
  <c r="C137" i="199"/>
  <c r="B137" i="199"/>
  <c r="A137" i="199"/>
  <c r="C136" i="199"/>
  <c r="A136" i="199"/>
  <c r="C135" i="199"/>
  <c r="A135" i="199"/>
  <c r="A134" i="199"/>
  <c r="C133" i="199"/>
  <c r="B130" i="199"/>
  <c r="B129" i="199"/>
  <c r="B128" i="199"/>
  <c r="B126" i="199"/>
  <c r="B125" i="199"/>
  <c r="B123" i="199"/>
  <c r="B122" i="199"/>
  <c r="B107" i="199"/>
  <c r="B106" i="199"/>
  <c r="G100" i="199"/>
  <c r="B98" i="199"/>
  <c r="B101" i="199" s="1"/>
  <c r="B93" i="199"/>
  <c r="B87" i="199"/>
  <c r="B88" i="199" s="1"/>
  <c r="B116" i="199" s="1"/>
  <c r="B85" i="199"/>
  <c r="B84" i="199"/>
  <c r="B83" i="199"/>
  <c r="B82" i="199"/>
  <c r="B78" i="199"/>
  <c r="B74" i="199"/>
  <c r="B77" i="199" s="1"/>
  <c r="B79" i="199" s="1"/>
  <c r="B69" i="199"/>
  <c r="B70" i="199" s="1"/>
  <c r="B72" i="199" s="1"/>
  <c r="B67" i="199"/>
  <c r="B57" i="199"/>
  <c r="B53" i="199"/>
  <c r="B49" i="199"/>
  <c r="B30" i="199"/>
  <c r="B32" i="199" s="1"/>
  <c r="B20" i="199"/>
  <c r="D57" i="199" s="1"/>
  <c r="D58" i="199" s="1"/>
  <c r="B13" i="199"/>
  <c r="B12" i="199"/>
  <c r="B35" i="199" s="1"/>
  <c r="B10" i="199"/>
  <c r="B6" i="199"/>
  <c r="B8" i="199" s="1"/>
  <c r="B46" i="199" s="1"/>
  <c r="B59" i="199" l="1"/>
  <c r="B90" i="199"/>
  <c r="B139" i="199"/>
  <c r="B41" i="199"/>
  <c r="B44" i="199" s="1"/>
  <c r="B94" i="199"/>
  <c r="B133" i="199" s="1"/>
  <c r="B58" i="199"/>
  <c r="B80" i="199"/>
  <c r="B103" i="199"/>
  <c r="B102" i="199"/>
  <c r="B64" i="199" l="1"/>
  <c r="B65" i="199" s="1"/>
  <c r="B42" i="199"/>
  <c r="B109" i="199"/>
  <c r="D109" i="199" s="1"/>
  <c r="B47" i="199"/>
  <c r="D47" i="199" s="1"/>
  <c r="B121" i="199"/>
  <c r="B96" i="199"/>
  <c r="B135" i="199" s="1"/>
  <c r="B50" i="199"/>
  <c r="B54" i="199" s="1"/>
  <c r="B110" i="199"/>
  <c r="B114" i="199" s="1"/>
  <c r="B115" i="199" s="1"/>
  <c r="B117" i="199" s="1"/>
  <c r="B140" i="199"/>
  <c r="B141" i="199" s="1"/>
  <c r="B104" i="199"/>
  <c r="G119" i="199" l="1"/>
  <c r="B119" i="1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PSW</author>
    <author>user</author>
  </authors>
  <commentList>
    <comment ref="A12" authorId="0" shapeId="0" xr:uid="{00000000-0006-0000-0000-000001000000}">
      <text>
        <r>
          <rPr>
            <b/>
            <sz val="9"/>
            <color indexed="81"/>
            <rFont val="Tahoma"/>
            <family val="2"/>
          </rPr>
          <t>L'ET0 est considérée comme une donnée climatique, ne dépend que des conditions atmosphériques, de l'énergie disponible à la surface évaporante et la résistance aérodynamique de couvert végétal</t>
        </r>
      </text>
    </comment>
    <comment ref="A18" authorId="0" shapeId="0" xr:uid="{00000000-0006-0000-0000-000002000000}">
      <text>
        <r>
          <rPr>
            <b/>
            <sz val="9"/>
            <color indexed="81"/>
            <rFont val="Tahoma"/>
            <family val="2"/>
          </rPr>
          <t>Par définition, le coefficient cultural (kc) est le rapport entre l'évapotranspiration de la culture (ETc) et l'évapotranspiration potentielle (ET0), il intègre les effets des 4 caractéristiques primaires qui distinguent une culture de la culture de référence qui sont : la hauteur de la culture, la résistance de surface sol - végétation, l'albédo, l'évaporation de sol (Allen et al, 1998).
Les facteurs qui influent sur la valeur de kc sont : les caractéristiques de la culture, les dates de plantation ou de semis, le rythme de son développement et la durée de son cycle végétatif, les conditions climatiques, en particulier au début de la croissance et la fréquence des pluies ou des irrigations.</t>
        </r>
      </text>
    </comment>
    <comment ref="A46" authorId="0" shapeId="0" xr:uid="{00000000-0006-0000-0000-000003000000}">
      <text>
        <r>
          <rPr>
            <sz val="9"/>
            <color indexed="81"/>
            <rFont val="Tahoma"/>
            <family val="2"/>
          </rPr>
          <t xml:space="preserve">Elle correspond aux apports maximaux à ne pas dépasser
</t>
        </r>
      </text>
    </comment>
    <comment ref="A48" authorId="0" shapeId="0" xr:uid="{00000000-0006-0000-0000-000004000000}">
      <text>
        <r>
          <rPr>
            <sz val="9"/>
            <color indexed="81"/>
            <rFont val="Tahoma"/>
            <family val="2"/>
          </rPr>
          <t xml:space="preserve">
Elle correspond à l’intervalle maximal possible entre deux irrigations</t>
        </r>
      </text>
    </comment>
    <comment ref="B57" authorId="1" shapeId="0" xr:uid="{00000000-0006-0000-0000-000005000000}">
      <text>
        <r>
          <rPr>
            <b/>
            <sz val="9"/>
            <color indexed="81"/>
            <rFont val="Tahoma"/>
            <family val="2"/>
          </rPr>
          <t>Emetteur bon si rayon bulbe d'humectation est égale au rayon du système racinaire</t>
        </r>
      </text>
    </comment>
    <comment ref="B64" authorId="1" shapeId="0" xr:uid="{00000000-0006-0000-0000-000006000000}">
      <text>
        <r>
          <rPr>
            <b/>
            <sz val="9"/>
            <color indexed="81"/>
            <rFont val="Tahoma"/>
            <family val="2"/>
          </rPr>
          <t>Coefficient réducteur est le complément pou humecter à 100%</t>
        </r>
      </text>
    </comment>
  </commentList>
</comments>
</file>

<file path=xl/sharedStrings.xml><?xml version="1.0" encoding="utf-8"?>
<sst xmlns="http://schemas.openxmlformats.org/spreadsheetml/2006/main" count="733" uniqueCount="287">
  <si>
    <t>Objet</t>
  </si>
  <si>
    <t>Qté</t>
  </si>
  <si>
    <t>Unité</t>
  </si>
  <si>
    <t>Commentaires</t>
  </si>
  <si>
    <t>SOL</t>
  </si>
  <si>
    <t>Option 1:GG +Forage</t>
  </si>
  <si>
    <t>Type</t>
  </si>
  <si>
    <t>sablo-limoneux</t>
  </si>
  <si>
    <t>Capacité au champ</t>
  </si>
  <si>
    <t>Humidité au point de fletrissement</t>
  </si>
  <si>
    <t>Réserve utile</t>
  </si>
  <si>
    <t>m3/ha/m</t>
  </si>
  <si>
    <t>Densité apparente</t>
  </si>
  <si>
    <t>RFU</t>
  </si>
  <si>
    <t>Capacité d'infiltration du sol</t>
  </si>
  <si>
    <t>cm/h</t>
  </si>
  <si>
    <t>mm/h</t>
  </si>
  <si>
    <t>CLIMAT</t>
  </si>
  <si>
    <t>ETP max</t>
  </si>
  <si>
    <t>m³/ha/j</t>
  </si>
  <si>
    <t>Eto du mois d'Avril de KAOLACK</t>
  </si>
  <si>
    <t xml:space="preserve">Rayonnement total journalier  </t>
  </si>
  <si>
    <t>kwh/m².j</t>
  </si>
  <si>
    <t>CULTURE</t>
  </si>
  <si>
    <t>Culture</t>
  </si>
  <si>
    <t>Tomate</t>
  </si>
  <si>
    <t>Cerise</t>
  </si>
  <si>
    <t>Culture la plus exigente en eau selon les spéculations qui seront cultivées par les producteurs</t>
  </si>
  <si>
    <t>Distance entre poquet</t>
  </si>
  <si>
    <t>cm</t>
  </si>
  <si>
    <t>Distance entre ligne</t>
  </si>
  <si>
    <t>Kc</t>
  </si>
  <si>
    <t>Profondeur d'enracinement</t>
  </si>
  <si>
    <t>m</t>
  </si>
  <si>
    <t xml:space="preserve">Rayon système racinaire </t>
  </si>
  <si>
    <t>SOURCE D'EAU</t>
  </si>
  <si>
    <t>Nombre</t>
  </si>
  <si>
    <t>PUITS</t>
  </si>
  <si>
    <t>Considérant une batrie de 03 Puits productifs et bien développés pour satisfaire les besoins en eau (10m3/h chacune)</t>
  </si>
  <si>
    <t>Niveau Statique</t>
  </si>
  <si>
    <t>Niveau dynamique</t>
  </si>
  <si>
    <t>Profondeur Puits</t>
  </si>
  <si>
    <t>Profondeur chambre de pompage</t>
  </si>
  <si>
    <t>Débit d'équipement forage</t>
  </si>
  <si>
    <t>m3/h</t>
  </si>
  <si>
    <t>Type tuyau d'aspiration</t>
  </si>
  <si>
    <t>PVC</t>
  </si>
  <si>
    <t>Diamètre tuyau d'aspiration</t>
  </si>
  <si>
    <t>Longueur tuyau d'aspiration</t>
  </si>
  <si>
    <t xml:space="preserve">Gradient hydraulique </t>
  </si>
  <si>
    <t>Pertes de charge à l'aspiration</t>
  </si>
  <si>
    <t>Temps de pompage</t>
  </si>
  <si>
    <t>h</t>
  </si>
  <si>
    <t>Durée de l'ensoleillement: Equipements solaire</t>
  </si>
  <si>
    <t>Volume d'eau mobilisable</t>
  </si>
  <si>
    <t>m3/jour</t>
  </si>
  <si>
    <t>Superficie exploitable brute</t>
  </si>
  <si>
    <t>ha</t>
  </si>
  <si>
    <t>SYSTÈME D'IRRIGATION</t>
  </si>
  <si>
    <t>GOUTTE A GOUTTE</t>
  </si>
  <si>
    <t>Pourcentage de sol humecté</t>
  </si>
  <si>
    <t>Efficience du réseau  d'irrigation</t>
  </si>
  <si>
    <t>CALCUL DES BESOINS EN EAU DE LA CULTURE</t>
  </si>
  <si>
    <t>Dose au pic des besoins</t>
  </si>
  <si>
    <t>Superficie nette exploitable</t>
  </si>
  <si>
    <t>Superficie du périmètre retenu</t>
  </si>
  <si>
    <t>Besoin total en eau au pic</t>
  </si>
  <si>
    <t>m³/j</t>
  </si>
  <si>
    <t>DOSE D'IRRIGATION</t>
  </si>
  <si>
    <t>Dose d'irrigation théorique</t>
  </si>
  <si>
    <t>m3/ha</t>
  </si>
  <si>
    <t>Fréquence théorique maximale d'irrigation</t>
  </si>
  <si>
    <t>jour</t>
  </si>
  <si>
    <t>heures</t>
  </si>
  <si>
    <t>Fréquence réélle d'irrigation</t>
  </si>
  <si>
    <t>Dose d'irrigation réelle</t>
  </si>
  <si>
    <t>SECTORISATION</t>
  </si>
  <si>
    <t>Nbre de postes d'irrigation</t>
  </si>
  <si>
    <t>Superficie d'un poste d'irrigation</t>
  </si>
  <si>
    <t>Dose réelle d'irrigation par poste</t>
  </si>
  <si>
    <t>m3</t>
  </si>
  <si>
    <t>CHOIX DE L'EMETTEUR</t>
  </si>
  <si>
    <t>Débit du distributeur</t>
  </si>
  <si>
    <t>l/h</t>
  </si>
  <si>
    <t>Rayon du bulbe d'humectation</t>
  </si>
  <si>
    <t>% du bulbe humecté</t>
  </si>
  <si>
    <t>Goutteur autorégulant</t>
  </si>
  <si>
    <t>Allonge</t>
  </si>
  <si>
    <t>Pression nominale</t>
  </si>
  <si>
    <t>RAMPE</t>
  </si>
  <si>
    <t>Distance maximale entre distributeur</t>
  </si>
  <si>
    <t>Distance entre distributeur choisie</t>
  </si>
  <si>
    <t>dépendant du choix  sur le recouvrement souhaité</t>
  </si>
  <si>
    <t>Longueur maximale rampe</t>
  </si>
  <si>
    <t xml:space="preserve">69,15 plan </t>
  </si>
  <si>
    <t>Nombre de distributeurs par rampe</t>
  </si>
  <si>
    <t>Débit de la rampe</t>
  </si>
  <si>
    <t>Type de rampe</t>
  </si>
  <si>
    <t xml:space="preserve">PELD 400microns-1l/h-0,3m-75m Φ </t>
  </si>
  <si>
    <t>Diamètre théorique rampe</t>
  </si>
  <si>
    <t>mm</t>
  </si>
  <si>
    <t>La vitesse d’écoulement recommandée dans les conduites de diamètre inférieur à 300 mm est de 1,5m/s</t>
  </si>
  <si>
    <t>Diamètre commercial rampe</t>
  </si>
  <si>
    <t>m/ml</t>
  </si>
  <si>
    <t>perte de charge linéaire dépendant de la nature du tuyau et de son diamètre voir abaque</t>
  </si>
  <si>
    <t>Pente du terrain</t>
  </si>
  <si>
    <t>plus ou moins suivant pente descendante ou ascendante</t>
  </si>
  <si>
    <t>Perte de charge due aux sorties</t>
  </si>
  <si>
    <t xml:space="preserve"> F(n)</t>
  </si>
  <si>
    <t>Perte de charge dans la rampe</t>
  </si>
  <si>
    <t>elle doit être inférieure à la régle des 20%</t>
  </si>
  <si>
    <t>Règle des 20%</t>
  </si>
  <si>
    <t>Pression en tête de rampe</t>
  </si>
  <si>
    <t>bar</t>
  </si>
  <si>
    <t>Autres accessoires</t>
  </si>
  <si>
    <t xml:space="preserve">Départs gaines PELD Φ </t>
  </si>
  <si>
    <t xml:space="preserve">Fin de ligne PELD Φ </t>
  </si>
  <si>
    <t>Tuyau aveugle PVC PN 10 Ø</t>
  </si>
  <si>
    <t xml:space="preserve">Perforeur Φ </t>
  </si>
  <si>
    <t>PARCELLISATION</t>
  </si>
  <si>
    <t>Nombre de parcelles</t>
  </si>
  <si>
    <t>Le secteur est subdivisé en parcelle</t>
  </si>
  <si>
    <t>Superficie d'une parcelle</t>
  </si>
  <si>
    <t>PORTE RAMPE</t>
  </si>
  <si>
    <t>Distance maximale entre rampe</t>
  </si>
  <si>
    <t>Distance entre rampe choisie</t>
  </si>
  <si>
    <t>Longueur (maximale) porte rampe</t>
  </si>
  <si>
    <t>Nombre de rampes par porte rampe</t>
  </si>
  <si>
    <t>Débit de la porte rampe</t>
  </si>
  <si>
    <t>Type de porte rampe</t>
  </si>
  <si>
    <r>
      <t xml:space="preserve">Tuyau PEHD PN 10-40m </t>
    </r>
    <r>
      <rPr>
        <b/>
        <sz val="11"/>
        <color rgb="FFFF0000"/>
        <rFont val="Calibri"/>
        <family val="2"/>
      </rPr>
      <t>Ø</t>
    </r>
  </si>
  <si>
    <t xml:space="preserve">Diamètre théorique </t>
  </si>
  <si>
    <t>vitesse admissible 1,5m/s</t>
  </si>
  <si>
    <t>Diamètre commercial (mm)</t>
  </si>
  <si>
    <t>Perte de charge totale</t>
  </si>
  <si>
    <t>Pression en tête de porte rampe</t>
  </si>
  <si>
    <t xml:space="preserve">Bouchons </t>
  </si>
  <si>
    <t>Vanne</t>
  </si>
  <si>
    <t>DUREE D'IRRIGATION ET DE POMPAGE</t>
  </si>
  <si>
    <t>Durée d'irrigation journalière par parcelle</t>
  </si>
  <si>
    <t>mn</t>
  </si>
  <si>
    <t>Durée d'irrigation journalière par poste</t>
  </si>
  <si>
    <t>TETE DE CONTRÔLE</t>
  </si>
  <si>
    <t>Choix</t>
  </si>
  <si>
    <t>parcellaire</t>
  </si>
  <si>
    <t>chaque parcelle à son unité de contrôle</t>
  </si>
  <si>
    <t>Dose d'engrais bio solubles ou liquides</t>
  </si>
  <si>
    <t>l/ha</t>
  </si>
  <si>
    <t>Durée de la fertilisation</t>
  </si>
  <si>
    <t>Débit de l'injecteur</t>
  </si>
  <si>
    <t xml:space="preserve">Tank </t>
  </si>
  <si>
    <t>l</t>
  </si>
  <si>
    <t>Concentration de la solution d'engrais ou rapport dilution</t>
  </si>
  <si>
    <t>%</t>
  </si>
  <si>
    <t>Injecteur</t>
  </si>
  <si>
    <t xml:space="preserve">Pompe Injecteur Hydraulique </t>
  </si>
  <si>
    <t>Pression de l'injecteur</t>
  </si>
  <si>
    <t>inférieure à la pression en tête de réseau pour éviter la contre pression</t>
  </si>
  <si>
    <t>Choix du filtre</t>
  </si>
  <si>
    <t>Filtre à tamis et Filtre à disque</t>
  </si>
  <si>
    <t>eau de forage peu chargée</t>
  </si>
  <si>
    <t>Débit filtre  à tamis et à disque</t>
  </si>
  <si>
    <t xml:space="preserve">Filtre à tamis </t>
  </si>
  <si>
    <t>Filtre à tamis à disque</t>
  </si>
  <si>
    <t xml:space="preserve">Compteur d'eau  </t>
  </si>
  <si>
    <t xml:space="preserve">Manomètre </t>
  </si>
  <si>
    <t>Ventousse</t>
  </si>
  <si>
    <t>Régulateur de pression</t>
  </si>
  <si>
    <t>Clapet anti retour</t>
  </si>
  <si>
    <t>TETE MORTE</t>
  </si>
  <si>
    <t xml:space="preserve">Longueur (maximale) </t>
  </si>
  <si>
    <t xml:space="preserve">Débit </t>
  </si>
  <si>
    <t>Tuyau PVC PN 10 Ø</t>
  </si>
  <si>
    <t>Pression en tête</t>
  </si>
  <si>
    <t>Coude</t>
  </si>
  <si>
    <t>Té</t>
  </si>
  <si>
    <t>Perimètre irrigué</t>
  </si>
  <si>
    <t>N°</t>
  </si>
  <si>
    <t>Désignation</t>
  </si>
  <si>
    <t>Quantité</t>
  </si>
  <si>
    <t>Prix Unitaire</t>
  </si>
  <si>
    <t>Prix Total</t>
  </si>
  <si>
    <t>INSTALLATION DE CHANTIER</t>
  </si>
  <si>
    <t>Installation de chantier, amené matériel et repli de chantier, baraque et clôture de perimètres et abonnement provisoire de police pour eau et électricité y/c toutes sujétions</t>
  </si>
  <si>
    <t>FF</t>
  </si>
  <si>
    <t>Connexion point d'eau aux chateaux d'eau</t>
  </si>
  <si>
    <t>Tuyau PVC PN 6 Ø75mm</t>
  </si>
  <si>
    <t>ml</t>
  </si>
  <si>
    <t>Coude Ø75mm</t>
  </si>
  <si>
    <t>u</t>
  </si>
  <si>
    <t>RESEAU STRUCTURANT</t>
  </si>
  <si>
    <t>Tuyau PVC PN 6 Ø40mm</t>
  </si>
  <si>
    <t>Coude Ø40mm</t>
  </si>
  <si>
    <t>RESEAU D'IRRIGATION GOUTTE A GOUTE</t>
  </si>
  <si>
    <t>Tête de contrôle</t>
  </si>
  <si>
    <t>Filtre à tamis Ø75mm</t>
  </si>
  <si>
    <t>Filtre  à disque Ø75mm</t>
  </si>
  <si>
    <t>Vanne Ø75mm</t>
  </si>
  <si>
    <t>Compteur d'eau  Ø75mm</t>
  </si>
  <si>
    <t>Manomètre 10 bar</t>
  </si>
  <si>
    <t>Ventousse Ø75mm</t>
  </si>
  <si>
    <t>Clapet anti retour Ø75mm</t>
  </si>
  <si>
    <t>Porte rampe</t>
  </si>
  <si>
    <t>Tuyau PEHD PN 6-40m Ø75mm</t>
  </si>
  <si>
    <t>Bouchons Ø75mm</t>
  </si>
  <si>
    <t>Rampe (Gaines)</t>
  </si>
  <si>
    <r>
      <t xml:space="preserve">PELD 900microns-1l/h-0,3m-100m Φ 20mm </t>
    </r>
    <r>
      <rPr>
        <sz val="10"/>
        <color rgb="FFFF0000"/>
        <rFont val="Arial"/>
        <family val="2"/>
      </rPr>
      <t>(goutteurs intégrés)</t>
    </r>
  </si>
  <si>
    <t>Départs gaines PELD Φ 16mm</t>
  </si>
  <si>
    <t>Fin de ligne PELD Φ 16mm</t>
  </si>
  <si>
    <t>Perforeur Φ 16mm</t>
  </si>
  <si>
    <t xml:space="preserve">Autres </t>
  </si>
  <si>
    <t>Colle Parabond Grand Modèle</t>
  </si>
  <si>
    <t>RESEAU D'IRRIGATION CALIFORNIEN</t>
  </si>
  <si>
    <t>tuyau PEHD DN40, PN 6</t>
  </si>
  <si>
    <t>Borne complet Y/C allonge galva 1"</t>
  </si>
  <si>
    <r>
      <t xml:space="preserve">tuyau flexible DN25 </t>
    </r>
    <r>
      <rPr>
        <sz val="10"/>
        <color rgb="FFFF0000"/>
        <rFont val="Arial"/>
        <family val="2"/>
      </rPr>
      <t>(rouleau de 50m)</t>
    </r>
  </si>
  <si>
    <t>Adaptateur Male DN 3/4"</t>
  </si>
  <si>
    <t>Bouchon pvc DN40</t>
  </si>
  <si>
    <t>coude DN40x40</t>
  </si>
  <si>
    <t>Pistolet à Eau</t>
  </si>
  <si>
    <t>Regards en béton armé:0,8m x 0,6m x 0,4m</t>
  </si>
  <si>
    <t xml:space="preserve">Compteur d'eau </t>
  </si>
  <si>
    <t>TOTAL</t>
  </si>
  <si>
    <t>Château d'eau de 6 m</t>
  </si>
  <si>
    <t>TERRASSEMENTS ET FONDATIONS CE</t>
  </si>
  <si>
    <t>700.1</t>
  </si>
  <si>
    <t>Fouilles en puits pour semelles (à -0.50 m p/r TN)</t>
  </si>
  <si>
    <r>
      <t>m</t>
    </r>
    <r>
      <rPr>
        <vertAlign val="superscript"/>
        <sz val="10"/>
        <color theme="1"/>
        <rFont val="Arial"/>
        <family val="2"/>
      </rPr>
      <t>3</t>
    </r>
  </si>
  <si>
    <t>700.2</t>
  </si>
  <si>
    <r>
      <t>Béton de propreté pour semelles dosé à 150 Kg/m</t>
    </r>
    <r>
      <rPr>
        <vertAlign val="superscript"/>
        <sz val="10"/>
        <color theme="1"/>
        <rFont val="Arial"/>
        <family val="2"/>
      </rPr>
      <t>2</t>
    </r>
  </si>
  <si>
    <t>700.3</t>
  </si>
  <si>
    <r>
      <t>Béton pour semelles et futs (0,2x0,2x0,5x4) / massifs (0,6 x 0,6 x 0,45) dosé à 350 Kg/m</t>
    </r>
    <r>
      <rPr>
        <vertAlign val="superscript"/>
        <sz val="10"/>
        <color theme="1"/>
        <rFont val="Arial"/>
        <family val="2"/>
      </rPr>
      <t>3</t>
    </r>
  </si>
  <si>
    <t>SUPERSTRUCTURE EN ELEVATION</t>
  </si>
  <si>
    <t>710.1</t>
  </si>
  <si>
    <t>Poteaux et contreventement</t>
  </si>
  <si>
    <t>710.2</t>
  </si>
  <si>
    <t>Fourniture et pose de poteaux en IPE 120</t>
  </si>
  <si>
    <t>710.3</t>
  </si>
  <si>
    <t xml:space="preserve">Fourniture et pose de contreventements et garde corps en CAE 20x3  </t>
  </si>
  <si>
    <t>710.4</t>
  </si>
  <si>
    <t>Poutrelles support de la plateforme et du réservoir</t>
  </si>
  <si>
    <t>710.5</t>
  </si>
  <si>
    <t>Fourniture et pose du support du réservoir en IPE 80</t>
  </si>
  <si>
    <t>710.6</t>
  </si>
  <si>
    <t>Fourniture et pose de poutrelles supports en IPE 80 pour ceinture</t>
  </si>
  <si>
    <t>710.7</t>
  </si>
  <si>
    <t>Fourniture et pose d'accessoires d'assemblage (boulons, platines, tiges, baguettes, etc.)</t>
  </si>
  <si>
    <t>ens</t>
  </si>
  <si>
    <t>710.8</t>
  </si>
  <si>
    <t>Peinture anti-rouille sur les structures métalliques en deux couches</t>
  </si>
  <si>
    <r>
      <t>m</t>
    </r>
    <r>
      <rPr>
        <vertAlign val="superscript"/>
        <sz val="10"/>
        <color theme="1"/>
        <rFont val="Arial"/>
        <family val="2"/>
      </rPr>
      <t>2</t>
    </r>
  </si>
  <si>
    <t>Fourniture et pose de réservoir en polyéthylène de capacité de 5000 L y compris toutes sujetions conformement au cahier des charges</t>
  </si>
  <si>
    <t>Total pour un château</t>
  </si>
  <si>
    <t>Total pour 4 chateaux d'eau de 5 000 litres de 6 m</t>
  </si>
  <si>
    <t>Total Général périmètre</t>
  </si>
  <si>
    <t>TVA (18%)</t>
  </si>
  <si>
    <t>TTC</t>
  </si>
  <si>
    <t>Tuyau PVC PN 6 Ø90mm</t>
  </si>
  <si>
    <t>Coude Ø90mm</t>
  </si>
  <si>
    <t>Coude  Ø90mm</t>
  </si>
  <si>
    <t>Coude  Ø40mm</t>
  </si>
  <si>
    <t>RESEAU D'IRRIGATION GOUTTE A GOUTTE</t>
  </si>
  <si>
    <t>Vanne Ø90mm</t>
  </si>
  <si>
    <t>Bouchons Ø90mm</t>
  </si>
  <si>
    <t>Total pour 1 chateau d'eau de 5 000 litres de 6 m</t>
  </si>
  <si>
    <t>Château d'eau de 5,5 m</t>
  </si>
  <si>
    <t>Fourniture et pose de poteaux en IPE 100</t>
  </si>
  <si>
    <t>Total pour 3 chateaux d'eau de 5 000 litres de 5,5 m</t>
  </si>
  <si>
    <t>RESEAU D'IRRIGATION STRUCTURANT</t>
  </si>
  <si>
    <t>Tuyau PVC PN 6 Ø 75mm</t>
  </si>
  <si>
    <t>Coude  Ø 75mm</t>
  </si>
  <si>
    <t>Tuyau PVC PN 6 Ø 40mm</t>
  </si>
  <si>
    <t>Coude  Ø 40mm</t>
  </si>
  <si>
    <t>Total pour 2 chateaux d'eau de 5 000 litres de 6 m</t>
  </si>
  <si>
    <t>Total pour 4 chateaux d'eau de 5 000 litres de 5,5 m</t>
  </si>
  <si>
    <t>LOT 3</t>
  </si>
  <si>
    <t>Site</t>
  </si>
  <si>
    <t>Chateau d'eau</t>
  </si>
  <si>
    <t>Réseau structurant</t>
  </si>
  <si>
    <t>Goutte à goutte</t>
  </si>
  <si>
    <t>Californien</t>
  </si>
  <si>
    <t xml:space="preserve">Installation et repli de chantier </t>
  </si>
  <si>
    <t>Cout Total HTVA</t>
  </si>
  <si>
    <t>Cout Total TTC</t>
  </si>
  <si>
    <t>Ngathie Naoude</t>
  </si>
  <si>
    <t>Ngathie Peul</t>
  </si>
  <si>
    <t>Ngambou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</si>
</sst>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 _€_-;\-* #,##0.00\ _€_-;_-* &quot;-&quot;??\ _€_-;_-@_-"/>
    <numFmt numFmtId="165" formatCode="_-* #,##0\ _€_-;\-* #,##0\ _€_-;_-* &quot;-&quot;??\ _€_-;_-@_-"/>
    <numFmt numFmtId="166" formatCode="0.0"/>
    <numFmt numFmtId="167" formatCode="_-* #,##0\ _C_F_A_-;\-* #,##0\ _C_F_A_-;_-* &quot;-&quot;\ _C_F_A_-;_-@_-"/>
    <numFmt numFmtId="168" formatCode="0.000"/>
  </numFmts>
  <fonts count="28" x14ac:knownFonts="1">
    <font>
      <sz val="11"/>
      <color theme="1"/>
      <name val="Calibri"/>
      <family val="2"/>
      <scheme val="minor"/>
    </font>
    <font>
      <sz val="10"/>
      <name val="Arial"/>
      <family val="2"/>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Arial"/>
      <family val="2"/>
    </font>
    <font>
      <sz val="10"/>
      <color theme="1"/>
      <name val="Arial"/>
      <family val="2"/>
    </font>
    <font>
      <sz val="10"/>
      <color rgb="FFFF0000"/>
      <name val="Arial"/>
      <family val="2"/>
    </font>
    <font>
      <sz val="9"/>
      <color indexed="81"/>
      <name val="Tahoma"/>
      <family val="2"/>
    </font>
    <font>
      <b/>
      <sz val="9"/>
      <color indexed="81"/>
      <name val="Tahoma"/>
      <family val="2"/>
    </font>
    <font>
      <sz val="12"/>
      <color rgb="FFFF0000"/>
      <name val="Times New Roman"/>
      <family val="1"/>
    </font>
    <font>
      <b/>
      <sz val="11"/>
      <color rgb="FFFF0000"/>
      <name val="Calibri"/>
      <family val="2"/>
      <scheme val="minor"/>
    </font>
    <font>
      <sz val="12"/>
      <name val="Times New Roman"/>
      <family val="1"/>
    </font>
    <font>
      <b/>
      <sz val="10"/>
      <name val="Arial"/>
      <family val="2"/>
    </font>
    <font>
      <b/>
      <sz val="11"/>
      <color rgb="FFFF0000"/>
      <name val="Calibri"/>
      <family val="2"/>
    </font>
    <font>
      <b/>
      <sz val="11"/>
      <color theme="1"/>
      <name val="Arial"/>
      <family val="2"/>
    </font>
    <font>
      <sz val="11"/>
      <color theme="1"/>
      <name val="Arial"/>
      <family val="2"/>
    </font>
    <font>
      <sz val="14"/>
      <color theme="1"/>
      <name val="Arial"/>
      <family val="2"/>
    </font>
    <font>
      <b/>
      <i/>
      <sz val="10"/>
      <color theme="1"/>
      <name val="Arial"/>
      <family val="2"/>
    </font>
    <font>
      <vertAlign val="superscript"/>
      <sz val="10"/>
      <color theme="1"/>
      <name val="Arial"/>
      <family val="2"/>
    </font>
    <font>
      <b/>
      <i/>
      <sz val="10"/>
      <name val="Arial"/>
      <family val="2"/>
    </font>
    <font>
      <b/>
      <sz val="10"/>
      <color rgb="FF0070C0"/>
      <name val="Arial"/>
      <family val="2"/>
    </font>
    <font>
      <b/>
      <sz val="11"/>
      <color rgb="FF000000"/>
      <name val="Arial"/>
      <family val="2"/>
    </font>
    <font>
      <b/>
      <sz val="11"/>
      <color rgb="FF0D0D0D"/>
      <name val="Arial"/>
      <family val="2"/>
    </font>
    <font>
      <sz val="8"/>
      <name val="Calibri"/>
      <family val="2"/>
      <scheme val="minor"/>
    </font>
    <font>
      <b/>
      <sz val="14"/>
      <color theme="1"/>
      <name val="Arial"/>
      <family val="2"/>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1" fillId="0" borderId="0"/>
    <xf numFmtId="0" fontId="1" fillId="0" borderId="0"/>
    <xf numFmtId="164"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41" fontId="3" fillId="0" borderId="0" applyFont="0" applyFill="0" applyBorder="0" applyAlignment="0" applyProtection="0"/>
  </cellStyleXfs>
  <cellXfs count="284">
    <xf numFmtId="0" fontId="0" fillId="0" borderId="0" xfId="0"/>
    <xf numFmtId="164" fontId="8" fillId="0" borderId="1" xfId="3" applyFont="1" applyBorder="1" applyAlignment="1">
      <alignment vertical="top"/>
    </xf>
    <xf numFmtId="164" fontId="8" fillId="0" borderId="1" xfId="3" applyFont="1" applyBorder="1" applyAlignment="1">
      <alignment horizontal="right" vertical="top"/>
    </xf>
    <xf numFmtId="164" fontId="1" fillId="0" borderId="1" xfId="3" applyFont="1" applyBorder="1" applyAlignment="1">
      <alignment horizontal="right" vertical="top"/>
    </xf>
    <xf numFmtId="0" fontId="0" fillId="0" borderId="0" xfId="0" applyAlignment="1">
      <alignment vertical="top"/>
    </xf>
    <xf numFmtId="164" fontId="9" fillId="0" borderId="1" xfId="3" applyFont="1" applyBorder="1" applyAlignment="1">
      <alignment horizontal="right" vertical="top"/>
    </xf>
    <xf numFmtId="0" fontId="0" fillId="0" borderId="1" xfId="0" applyBorder="1" applyAlignment="1">
      <alignment horizontal="left" vertical="top"/>
    </xf>
    <xf numFmtId="164" fontId="8" fillId="0" borderId="1" xfId="3" applyFont="1" applyBorder="1" applyAlignment="1">
      <alignment horizontal="left" vertical="top"/>
    </xf>
    <xf numFmtId="164" fontId="8" fillId="0" borderId="1" xfId="3" applyFont="1" applyFill="1" applyBorder="1" applyAlignment="1">
      <alignment vertical="top"/>
    </xf>
    <xf numFmtId="164" fontId="9" fillId="0" borderId="1" xfId="3" applyFont="1" applyFill="1" applyBorder="1" applyAlignment="1">
      <alignment horizontal="right" vertical="top"/>
    </xf>
    <xf numFmtId="164" fontId="8" fillId="0" borderId="1" xfId="3" applyFont="1" applyFill="1" applyBorder="1" applyAlignment="1">
      <alignment horizontal="right" vertical="top"/>
    </xf>
    <xf numFmtId="164" fontId="8" fillId="0" borderId="1" xfId="3" applyFont="1" applyFill="1" applyBorder="1" applyAlignment="1">
      <alignment horizontal="left" vertical="top"/>
    </xf>
    <xf numFmtId="164" fontId="7" fillId="4" borderId="1" xfId="3" applyFont="1" applyFill="1" applyBorder="1" applyAlignment="1">
      <alignment horizontal="center" vertical="top"/>
    </xf>
    <xf numFmtId="164" fontId="7" fillId="4" borderId="1" xfId="3" applyFont="1" applyFill="1" applyBorder="1" applyAlignment="1">
      <alignment horizontal="center" vertical="top" wrapText="1"/>
    </xf>
    <xf numFmtId="9" fontId="12" fillId="0" borderId="1" xfId="0" applyNumberFormat="1" applyFont="1" applyBorder="1" applyAlignment="1">
      <alignment horizontal="right" vertical="top" wrapText="1"/>
    </xf>
    <xf numFmtId="0" fontId="0" fillId="0" borderId="1" xfId="0" applyBorder="1" applyAlignment="1">
      <alignment horizontal="right" vertical="top"/>
    </xf>
    <xf numFmtId="0" fontId="0" fillId="0" borderId="1" xfId="0" applyBorder="1" applyAlignment="1">
      <alignment vertical="top"/>
    </xf>
    <xf numFmtId="0" fontId="4" fillId="0" borderId="1" xfId="0" applyFont="1" applyBorder="1" applyAlignment="1">
      <alignment horizontal="right" vertical="top"/>
    </xf>
    <xf numFmtId="1" fontId="0" fillId="0" borderId="1" xfId="0" applyNumberFormat="1" applyBorder="1" applyAlignment="1">
      <alignment vertical="top"/>
    </xf>
    <xf numFmtId="0" fontId="5" fillId="0" borderId="1" xfId="0" applyFont="1" applyBorder="1" applyAlignment="1">
      <alignment horizontal="left" vertical="top"/>
    </xf>
    <xf numFmtId="164" fontId="8" fillId="0" borderId="1" xfId="3" applyFont="1" applyFill="1" applyBorder="1" applyAlignment="1">
      <alignment horizontal="right" vertical="top" wrapText="1"/>
    </xf>
    <xf numFmtId="9" fontId="4" fillId="0" borderId="1" xfId="4" applyFont="1" applyFill="1" applyBorder="1" applyAlignment="1">
      <alignment vertical="top"/>
    </xf>
    <xf numFmtId="9" fontId="9" fillId="0" borderId="1" xfId="3" applyNumberFormat="1" applyFont="1" applyBorder="1" applyAlignment="1">
      <alignment horizontal="right" vertical="top" wrapText="1"/>
    </xf>
    <xf numFmtId="0" fontId="0" fillId="0" borderId="1" xfId="0" applyBorder="1" applyAlignment="1">
      <alignment horizontal="left" vertical="top" wrapText="1"/>
    </xf>
    <xf numFmtId="2" fontId="0" fillId="0" borderId="1" xfId="0" applyNumberFormat="1" applyBorder="1" applyAlignment="1">
      <alignment vertical="top"/>
    </xf>
    <xf numFmtId="2" fontId="13" fillId="0" borderId="1" xfId="0" applyNumberFormat="1" applyFont="1" applyBorder="1" applyAlignment="1">
      <alignment vertical="top"/>
    </xf>
    <xf numFmtId="2" fontId="2" fillId="0" borderId="1" xfId="0" applyNumberFormat="1" applyFont="1" applyBorder="1" applyAlignment="1">
      <alignment vertical="top"/>
    </xf>
    <xf numFmtId="0" fontId="2" fillId="0" borderId="1" xfId="0" applyFont="1" applyBorder="1" applyAlignment="1">
      <alignment horizontal="left" vertical="top"/>
    </xf>
    <xf numFmtId="0" fontId="4" fillId="0" borderId="1" xfId="0" applyFont="1" applyBorder="1" applyAlignment="1">
      <alignment vertical="top"/>
    </xf>
    <xf numFmtId="2" fontId="2" fillId="0" borderId="1" xfId="0" applyNumberFormat="1" applyFont="1" applyBorder="1" applyAlignment="1">
      <alignment horizontal="center" vertical="top"/>
    </xf>
    <xf numFmtId="0" fontId="4" fillId="0" borderId="1" xfId="0" applyFont="1" applyBorder="1" applyAlignment="1">
      <alignment horizontal="center" vertical="top"/>
    </xf>
    <xf numFmtId="1" fontId="0" fillId="0" borderId="1" xfId="0" applyNumberFormat="1" applyBorder="1" applyAlignment="1">
      <alignment horizontal="center" vertical="top"/>
    </xf>
    <xf numFmtId="2" fontId="0" fillId="0" borderId="1" xfId="0" applyNumberFormat="1" applyBorder="1" applyAlignment="1">
      <alignment horizontal="center" vertical="top"/>
    </xf>
    <xf numFmtId="2" fontId="4" fillId="0" borderId="1" xfId="0" applyNumberFormat="1" applyFont="1" applyBorder="1" applyAlignment="1">
      <alignment horizontal="center" vertical="top"/>
    </xf>
    <xf numFmtId="0" fontId="0" fillId="0" borderId="2" xfId="0" applyBorder="1" applyAlignment="1">
      <alignment horizontal="left" vertical="top"/>
    </xf>
    <xf numFmtId="0" fontId="0" fillId="0" borderId="2" xfId="0" applyBorder="1" applyAlignment="1">
      <alignment vertical="top"/>
    </xf>
    <xf numFmtId="164" fontId="0" fillId="0" borderId="0" xfId="0" applyNumberFormat="1" applyAlignment="1">
      <alignment vertical="top"/>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horizontal="center" vertical="top"/>
    </xf>
    <xf numFmtId="2" fontId="4" fillId="0" borderId="1" xfId="0" applyNumberFormat="1" applyFont="1" applyBorder="1" applyAlignment="1">
      <alignment vertical="top"/>
    </xf>
    <xf numFmtId="2" fontId="0" fillId="0" borderId="5" xfId="0" applyNumberFormat="1" applyBorder="1" applyAlignment="1">
      <alignment horizontal="center" vertical="top"/>
    </xf>
    <xf numFmtId="0" fontId="0" fillId="0" borderId="5" xfId="0" applyBorder="1" applyAlignment="1">
      <alignment horizontal="right" vertical="top"/>
    </xf>
    <xf numFmtId="0" fontId="0" fillId="0" borderId="1" xfId="0" applyBorder="1" applyAlignment="1">
      <alignment horizontal="right" vertical="top" wrapText="1"/>
    </xf>
    <xf numFmtId="0" fontId="5" fillId="0" borderId="1" xfId="0" applyFont="1" applyBorder="1" applyAlignment="1">
      <alignment vertical="top"/>
    </xf>
    <xf numFmtId="164" fontId="8" fillId="0" borderId="2" xfId="3" applyFont="1" applyFill="1" applyBorder="1" applyAlignment="1">
      <alignment horizontal="right" vertical="top"/>
    </xf>
    <xf numFmtId="9" fontId="14" fillId="0" borderId="1" xfId="0" applyNumberFormat="1" applyFont="1" applyBorder="1" applyAlignment="1">
      <alignment horizontal="right" vertical="top" wrapText="1"/>
    </xf>
    <xf numFmtId="2" fontId="5" fillId="0" borderId="5" xfId="0" applyNumberFormat="1" applyFont="1" applyBorder="1" applyAlignment="1">
      <alignment horizontal="center" vertical="top"/>
    </xf>
    <xf numFmtId="2" fontId="5" fillId="0" borderId="1" xfId="0" applyNumberFormat="1" applyFont="1" applyBorder="1" applyAlignment="1">
      <alignment horizontal="center" vertical="top"/>
    </xf>
    <xf numFmtId="0" fontId="5" fillId="0" borderId="5" xfId="0" applyFont="1" applyBorder="1" applyAlignment="1">
      <alignment vertical="top"/>
    </xf>
    <xf numFmtId="164" fontId="7" fillId="0" borderId="11" xfId="3" applyFont="1" applyBorder="1" applyAlignment="1">
      <alignment horizontal="center" vertical="top" wrapText="1"/>
    </xf>
    <xf numFmtId="164" fontId="7" fillId="0" borderId="10" xfId="3" applyFont="1" applyBorder="1" applyAlignment="1">
      <alignment horizontal="center" vertical="top" wrapText="1"/>
    </xf>
    <xf numFmtId="164" fontId="7" fillId="0" borderId="9" xfId="3" applyFont="1" applyBorder="1" applyAlignment="1">
      <alignment horizontal="center" vertical="top" wrapText="1"/>
    </xf>
    <xf numFmtId="164" fontId="12" fillId="0" borderId="1" xfId="3" applyFont="1" applyFill="1" applyBorder="1" applyAlignment="1">
      <alignment horizontal="center" vertical="top" wrapText="1"/>
    </xf>
    <xf numFmtId="164" fontId="9" fillId="0" borderId="1" xfId="3" applyFont="1" applyFill="1" applyBorder="1" applyAlignment="1">
      <alignment horizontal="center" vertical="top" wrapText="1"/>
    </xf>
    <xf numFmtId="1" fontId="0" fillId="0" borderId="1" xfId="0" applyNumberFormat="1" applyBorder="1" applyAlignment="1">
      <alignment horizontal="right" vertical="top"/>
    </xf>
    <xf numFmtId="164" fontId="12" fillId="0" borderId="1" xfId="3" applyFont="1" applyFill="1" applyBorder="1" applyAlignment="1">
      <alignment vertical="top" wrapText="1"/>
    </xf>
    <xf numFmtId="2" fontId="0" fillId="0" borderId="0" xfId="0" applyNumberFormat="1" applyAlignment="1">
      <alignment vertical="top"/>
    </xf>
    <xf numFmtId="2" fontId="5" fillId="0" borderId="1" xfId="0" applyNumberFormat="1" applyFont="1" applyBorder="1" applyAlignment="1">
      <alignment vertical="top"/>
    </xf>
    <xf numFmtId="1" fontId="5" fillId="0" borderId="1" xfId="0" applyNumberFormat="1" applyFont="1" applyBorder="1" applyAlignment="1">
      <alignment horizontal="center" vertical="top"/>
    </xf>
    <xf numFmtId="9" fontId="2" fillId="0" borderId="1" xfId="4" applyFont="1" applyFill="1" applyBorder="1" applyAlignment="1">
      <alignment horizontal="right" vertical="top"/>
    </xf>
    <xf numFmtId="164" fontId="2" fillId="0" borderId="1" xfId="0" applyNumberFormat="1" applyFont="1" applyBorder="1" applyAlignment="1">
      <alignment horizontal="center" vertical="top"/>
    </xf>
    <xf numFmtId="1" fontId="6" fillId="0" borderId="1" xfId="0" applyNumberFormat="1" applyFont="1" applyBorder="1" applyAlignment="1">
      <alignment vertical="top"/>
    </xf>
    <xf numFmtId="165" fontId="15" fillId="0" borderId="1" xfId="3" applyNumberFormat="1" applyFont="1" applyFill="1" applyBorder="1" applyAlignment="1">
      <alignment horizontal="center" vertical="top"/>
    </xf>
    <xf numFmtId="164" fontId="7" fillId="0" borderId="1" xfId="3" applyFont="1" applyBorder="1" applyAlignment="1">
      <alignment horizontal="center" vertical="top" wrapText="1"/>
    </xf>
    <xf numFmtId="164" fontId="7" fillId="0" borderId="1" xfId="3" applyFont="1" applyBorder="1" applyAlignment="1">
      <alignment vertical="top" wrapText="1"/>
    </xf>
    <xf numFmtId="164" fontId="8" fillId="0" borderId="1" xfId="3" applyFont="1" applyBorder="1" applyAlignment="1">
      <alignment vertical="top" wrapText="1"/>
    </xf>
    <xf numFmtId="166" fontId="2" fillId="0" borderId="1" xfId="0" applyNumberFormat="1" applyFont="1" applyBorder="1" applyAlignment="1">
      <alignment horizontal="center" vertical="top"/>
    </xf>
    <xf numFmtId="164" fontId="7" fillId="0" borderId="2" xfId="3" applyFont="1" applyBorder="1" applyAlignment="1">
      <alignment horizontal="center" vertical="top" wrapText="1"/>
    </xf>
    <xf numFmtId="164" fontId="7" fillId="0" borderId="4" xfId="3" applyFont="1" applyBorder="1" applyAlignment="1">
      <alignment horizontal="center" vertical="top" wrapText="1"/>
    </xf>
    <xf numFmtId="164" fontId="7" fillId="0" borderId="3" xfId="3" applyFont="1" applyBorder="1" applyAlignment="1">
      <alignment horizontal="center" vertical="top" wrapText="1"/>
    </xf>
    <xf numFmtId="164" fontId="8" fillId="0" borderId="2" xfId="3" applyFont="1" applyBorder="1" applyAlignment="1">
      <alignment horizontal="right" vertical="top" wrapText="1"/>
    </xf>
    <xf numFmtId="164" fontId="8" fillId="0" borderId="4" xfId="3" applyFont="1" applyBorder="1" applyAlignment="1">
      <alignment horizontal="right" vertical="top" wrapText="1"/>
    </xf>
    <xf numFmtId="164" fontId="8" fillId="0" borderId="3" xfId="3" applyFont="1" applyBorder="1" applyAlignment="1">
      <alignment horizontal="right" vertical="top" wrapText="1"/>
    </xf>
    <xf numFmtId="0" fontId="13" fillId="0" borderId="2" xfId="0" applyFont="1" applyBorder="1" applyAlignment="1">
      <alignment vertical="top"/>
    </xf>
    <xf numFmtId="0" fontId="5" fillId="0" borderId="8" xfId="0" applyFont="1" applyBorder="1" applyAlignment="1">
      <alignment horizontal="left" vertical="top"/>
    </xf>
    <xf numFmtId="2" fontId="13" fillId="0" borderId="1" xfId="0" applyNumberFormat="1" applyFont="1" applyBorder="1" applyAlignment="1">
      <alignment horizontal="center" vertical="top"/>
    </xf>
    <xf numFmtId="164" fontId="5" fillId="0" borderId="0" xfId="0" applyNumberFormat="1" applyFont="1" applyAlignment="1">
      <alignment horizontal="center" vertical="top"/>
    </xf>
    <xf numFmtId="0" fontId="5" fillId="0" borderId="1" xfId="0" applyFont="1" applyBorder="1" applyAlignment="1">
      <alignment horizontal="right" vertical="top"/>
    </xf>
    <xf numFmtId="0" fontId="5" fillId="0" borderId="1" xfId="0" applyFont="1" applyBorder="1" applyAlignment="1">
      <alignment vertical="top" wrapText="1"/>
    </xf>
    <xf numFmtId="0" fontId="0" fillId="0" borderId="2" xfId="0" applyBorder="1" applyAlignment="1">
      <alignment vertical="top" wrapText="1"/>
    </xf>
    <xf numFmtId="1" fontId="13" fillId="0" borderId="1" xfId="0" applyNumberFormat="1" applyFont="1" applyBorder="1" applyAlignment="1">
      <alignment horizontal="center" vertical="top"/>
    </xf>
    <xf numFmtId="2" fontId="4" fillId="0" borderId="1" xfId="0" applyNumberFormat="1" applyFont="1" applyBorder="1" applyAlignment="1">
      <alignment horizontal="center" vertical="top" wrapText="1"/>
    </xf>
    <xf numFmtId="1" fontId="4" fillId="0" borderId="1" xfId="0" applyNumberFormat="1" applyFont="1" applyBorder="1" applyAlignment="1">
      <alignment horizontal="center" vertical="top"/>
    </xf>
    <xf numFmtId="1" fontId="13" fillId="3" borderId="1" xfId="0" applyNumberFormat="1" applyFont="1" applyFill="1" applyBorder="1" applyAlignment="1">
      <alignment horizontal="center" vertical="top"/>
    </xf>
    <xf numFmtId="166" fontId="5" fillId="3" borderId="5" xfId="0" applyNumberFormat="1" applyFont="1" applyFill="1" applyBorder="1" applyAlignment="1">
      <alignment horizontal="center" vertical="top"/>
    </xf>
    <xf numFmtId="2" fontId="5" fillId="3" borderId="1" xfId="0" applyNumberFormat="1" applyFont="1" applyFill="1" applyBorder="1" applyAlignment="1">
      <alignment horizontal="center" vertical="top"/>
    </xf>
    <xf numFmtId="164" fontId="8" fillId="0" borderId="6" xfId="3" applyFont="1" applyFill="1" applyBorder="1" applyAlignment="1">
      <alignment horizontal="right" vertical="top"/>
    </xf>
    <xf numFmtId="164" fontId="8" fillId="0" borderId="6" xfId="3" applyFont="1" applyBorder="1" applyAlignment="1">
      <alignment vertical="top" wrapText="1"/>
    </xf>
    <xf numFmtId="164" fontId="7" fillId="0" borderId="6" xfId="3" applyFont="1" applyBorder="1" applyAlignment="1">
      <alignment vertical="top" wrapText="1"/>
    </xf>
    <xf numFmtId="164" fontId="8" fillId="0" borderId="1" xfId="3" applyFont="1" applyBorder="1" applyAlignment="1">
      <alignment horizontal="center" vertical="top" wrapText="1"/>
    </xf>
    <xf numFmtId="2" fontId="0" fillId="3" borderId="0" xfId="0" applyNumberFormat="1" applyFill="1" applyAlignment="1">
      <alignment vertical="top"/>
    </xf>
    <xf numFmtId="2" fontId="5" fillId="3" borderId="1" xfId="0" applyNumberFormat="1" applyFont="1" applyFill="1" applyBorder="1" applyAlignment="1">
      <alignment vertical="top"/>
    </xf>
    <xf numFmtId="164" fontId="7" fillId="4" borderId="1" xfId="3" applyFont="1" applyFill="1" applyBorder="1" applyAlignment="1">
      <alignment horizontal="right" vertical="top" wrapText="1"/>
    </xf>
    <xf numFmtId="9" fontId="0" fillId="0" borderId="1" xfId="4" applyFont="1" applyFill="1" applyBorder="1" applyAlignment="1">
      <alignment horizontal="right" vertical="top"/>
    </xf>
    <xf numFmtId="0" fontId="13" fillId="0" borderId="3" xfId="0" applyFont="1" applyBorder="1" applyAlignment="1">
      <alignment horizontal="right" vertical="top"/>
    </xf>
    <xf numFmtId="0" fontId="0" fillId="0" borderId="3" xfId="0" applyBorder="1" applyAlignment="1">
      <alignment horizontal="right" vertical="top" wrapText="1"/>
    </xf>
    <xf numFmtId="0" fontId="0" fillId="0" borderId="0" xfId="0" applyAlignment="1">
      <alignment horizontal="right" vertical="top"/>
    </xf>
    <xf numFmtId="164" fontId="8" fillId="0" borderId="1" xfId="3" applyFont="1" applyBorder="1" applyAlignment="1">
      <alignment horizontal="left" vertical="top" wrapText="1"/>
    </xf>
    <xf numFmtId="164" fontId="7" fillId="2" borderId="0" xfId="3" applyFont="1" applyFill="1" applyBorder="1" applyAlignment="1">
      <alignment vertical="top"/>
    </xf>
    <xf numFmtId="164" fontId="8" fillId="0" borderId="14" xfId="3" applyFont="1" applyFill="1" applyBorder="1" applyAlignment="1">
      <alignment vertical="center" wrapText="1"/>
    </xf>
    <xf numFmtId="164" fontId="8" fillId="0" borderId="5" xfId="3" applyFont="1" applyFill="1" applyBorder="1" applyAlignment="1">
      <alignment vertical="center" wrapText="1"/>
    </xf>
    <xf numFmtId="0" fontId="5" fillId="2" borderId="12" xfId="0" applyFont="1" applyFill="1" applyBorder="1" applyAlignment="1">
      <alignment vertical="top"/>
    </xf>
    <xf numFmtId="164" fontId="7" fillId="2" borderId="1" xfId="3" applyFont="1" applyFill="1" applyBorder="1" applyAlignment="1">
      <alignment vertical="top"/>
    </xf>
    <xf numFmtId="0" fontId="5" fillId="2" borderId="0" xfId="0" applyFont="1" applyFill="1" applyAlignment="1">
      <alignment vertical="top"/>
    </xf>
    <xf numFmtId="0" fontId="5" fillId="2" borderId="1" xfId="0" applyFont="1" applyFill="1" applyBorder="1" applyAlignment="1">
      <alignment vertical="top"/>
    </xf>
    <xf numFmtId="2" fontId="0" fillId="0" borderId="0" xfId="0" applyNumberFormat="1" applyAlignment="1">
      <alignment horizontal="center" vertical="top"/>
    </xf>
    <xf numFmtId="0" fontId="0" fillId="0" borderId="12" xfId="0" applyBorder="1" applyAlignment="1">
      <alignment horizontal="center" vertical="top"/>
    </xf>
    <xf numFmtId="0" fontId="0" fillId="0" borderId="3" xfId="0" applyBorder="1" applyAlignment="1">
      <alignment vertical="top"/>
    </xf>
    <xf numFmtId="2" fontId="4" fillId="3" borderId="1" xfId="0" applyNumberFormat="1" applyFont="1" applyFill="1" applyBorder="1" applyAlignment="1">
      <alignment horizontal="center" vertical="top"/>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165" fontId="0" fillId="0" borderId="0" xfId="3" applyNumberFormat="1" applyFont="1" applyAlignment="1">
      <alignment vertical="top"/>
    </xf>
    <xf numFmtId="0" fontId="0" fillId="0" borderId="0" xfId="0" applyAlignment="1">
      <alignment horizontal="center" vertical="top"/>
    </xf>
    <xf numFmtId="165" fontId="0" fillId="0" borderId="0" xfId="0" applyNumberFormat="1"/>
    <xf numFmtId="0" fontId="4" fillId="0" borderId="0" xfId="0" applyFont="1" applyAlignment="1">
      <alignment vertical="top"/>
    </xf>
    <xf numFmtId="0" fontId="18" fillId="0" borderId="0" xfId="0" applyFont="1" applyAlignment="1">
      <alignment vertical="top"/>
    </xf>
    <xf numFmtId="0" fontId="2" fillId="0" borderId="0" xfId="0" applyFont="1" applyAlignment="1">
      <alignment vertical="top"/>
    </xf>
    <xf numFmtId="0" fontId="19" fillId="0" borderId="0" xfId="0" applyFont="1" applyAlignment="1">
      <alignment horizontal="center" vertical="top"/>
    </xf>
    <xf numFmtId="0" fontId="19" fillId="0" borderId="0" xfId="0" applyFont="1"/>
    <xf numFmtId="0" fontId="7" fillId="7" borderId="6" xfId="0" applyFont="1" applyFill="1" applyBorder="1" applyAlignment="1">
      <alignment horizontal="left" vertical="center"/>
    </xf>
    <xf numFmtId="0" fontId="15" fillId="7" borderId="6" xfId="0" applyFont="1" applyFill="1" applyBorder="1" applyAlignment="1">
      <alignment vertical="center"/>
    </xf>
    <xf numFmtId="0" fontId="1" fillId="7" borderId="6" xfId="0" applyFont="1" applyFill="1" applyBorder="1" applyAlignment="1">
      <alignment horizontal="center" vertical="center"/>
    </xf>
    <xf numFmtId="41" fontId="1" fillId="7" borderId="6" xfId="6" applyFont="1" applyFill="1" applyBorder="1" applyAlignment="1">
      <alignment horizontal="center" vertical="center"/>
    </xf>
    <xf numFmtId="3" fontId="15" fillId="7" borderId="6" xfId="0" applyNumberFormat="1" applyFont="1" applyFill="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vertical="top" wrapText="1"/>
    </xf>
    <xf numFmtId="0" fontId="1" fillId="0" borderId="1" xfId="0" applyFont="1" applyBorder="1" applyAlignment="1">
      <alignment horizontal="center" vertical="top"/>
    </xf>
    <xf numFmtId="165" fontId="1" fillId="0" borderId="1" xfId="3" applyNumberFormat="1" applyFont="1" applyBorder="1" applyAlignment="1">
      <alignment horizontal="center" vertical="top"/>
    </xf>
    <xf numFmtId="165" fontId="1" fillId="0" borderId="1" xfId="3" applyNumberFormat="1" applyFont="1" applyBorder="1" applyAlignment="1">
      <alignment vertical="top"/>
    </xf>
    <xf numFmtId="0" fontId="7" fillId="7" borderId="1" xfId="0" applyFont="1" applyFill="1" applyBorder="1" applyAlignment="1">
      <alignment horizontal="left" vertical="center"/>
    </xf>
    <xf numFmtId="0" fontId="15" fillId="7" borderId="1" xfId="0" applyFont="1" applyFill="1" applyBorder="1" applyAlignment="1">
      <alignment vertical="center"/>
    </xf>
    <xf numFmtId="0" fontId="1" fillId="7" borderId="1" xfId="0" applyFont="1" applyFill="1" applyBorder="1" applyAlignment="1">
      <alignment horizontal="center" vertical="center"/>
    </xf>
    <xf numFmtId="41" fontId="1" fillId="7" borderId="1" xfId="6" applyFont="1" applyFill="1" applyBorder="1" applyAlignment="1">
      <alignment horizontal="center" vertical="center"/>
    </xf>
    <xf numFmtId="0" fontId="8" fillId="0" borderId="1" xfId="0" applyFont="1" applyBorder="1" applyAlignment="1">
      <alignment horizontal="right" vertical="center"/>
    </xf>
    <xf numFmtId="0" fontId="8" fillId="0" borderId="1" xfId="0" applyFont="1" applyBorder="1" applyAlignment="1">
      <alignment vertical="top"/>
    </xf>
    <xf numFmtId="0" fontId="8" fillId="0" borderId="1" xfId="0" applyFont="1" applyBorder="1" applyAlignment="1">
      <alignment horizontal="center" vertical="top"/>
    </xf>
    <xf numFmtId="165" fontId="8" fillId="0" borderId="1" xfId="3" applyNumberFormat="1" applyFont="1" applyFill="1" applyBorder="1" applyAlignment="1">
      <alignment horizontal="center" vertical="top"/>
    </xf>
    <xf numFmtId="165" fontId="8" fillId="0" borderId="1" xfId="3" applyNumberFormat="1" applyFont="1" applyBorder="1" applyAlignment="1">
      <alignment horizontal="center" vertical="top"/>
    </xf>
    <xf numFmtId="0" fontId="8" fillId="8" borderId="1" xfId="0" applyFont="1" applyFill="1" applyBorder="1" applyAlignment="1">
      <alignment horizontal="right" vertical="center"/>
    </xf>
    <xf numFmtId="0" fontId="7" fillId="8" borderId="1" xfId="0" applyFont="1" applyFill="1" applyBorder="1" applyAlignment="1">
      <alignment vertical="top"/>
    </xf>
    <xf numFmtId="0" fontId="8" fillId="8" borderId="1" xfId="0" applyFont="1" applyFill="1" applyBorder="1" applyAlignment="1">
      <alignment horizontal="center" vertical="top"/>
    </xf>
    <xf numFmtId="165" fontId="8" fillId="8" borderId="1" xfId="3" applyNumberFormat="1" applyFont="1" applyFill="1" applyBorder="1" applyAlignment="1">
      <alignment horizontal="center" vertical="top"/>
    </xf>
    <xf numFmtId="165" fontId="8" fillId="8" borderId="1" xfId="3" applyNumberFormat="1" applyFont="1" applyFill="1" applyBorder="1" applyAlignment="1">
      <alignment vertical="top"/>
    </xf>
    <xf numFmtId="165" fontId="20" fillId="8" borderId="1" xfId="3" applyNumberFormat="1" applyFont="1" applyFill="1" applyBorder="1" applyAlignment="1">
      <alignment horizontal="center" vertical="top"/>
    </xf>
    <xf numFmtId="165" fontId="8" fillId="0" borderId="1" xfId="3" applyNumberFormat="1" applyFont="1" applyFill="1" applyBorder="1" applyAlignment="1">
      <alignment vertical="top"/>
    </xf>
    <xf numFmtId="0" fontId="7" fillId="3" borderId="25" xfId="0" applyFont="1" applyFill="1" applyBorder="1" applyAlignment="1">
      <alignment horizontal="center" vertical="center"/>
    </xf>
    <xf numFmtId="0" fontId="7" fillId="3" borderId="24" xfId="0" applyFont="1" applyFill="1" applyBorder="1" applyAlignment="1">
      <alignment horizontal="right" vertical="center"/>
    </xf>
    <xf numFmtId="0" fontId="7" fillId="3" borderId="26" xfId="0" applyFont="1" applyFill="1" applyBorder="1" applyAlignment="1">
      <alignment horizontal="center" vertical="top"/>
    </xf>
    <xf numFmtId="165" fontId="7" fillId="3" borderId="26" xfId="3" applyNumberFormat="1" applyFont="1" applyFill="1" applyBorder="1" applyAlignment="1">
      <alignment horizontal="center" vertical="top"/>
    </xf>
    <xf numFmtId="41" fontId="15" fillId="3" borderId="15" xfId="0" applyNumberFormat="1" applyFont="1" applyFill="1" applyBorder="1" applyAlignment="1">
      <alignment horizontal="center" vertical="center"/>
    </xf>
    <xf numFmtId="0" fontId="8" fillId="0" borderId="0" xfId="0" applyFont="1" applyAlignment="1">
      <alignment vertical="top"/>
    </xf>
    <xf numFmtId="0" fontId="7" fillId="0" borderId="0" xfId="0" applyFont="1" applyAlignment="1">
      <alignment horizontal="center" vertical="center"/>
    </xf>
    <xf numFmtId="0" fontId="7" fillId="7" borderId="16" xfId="0" applyFont="1" applyFill="1" applyBorder="1" applyAlignment="1">
      <alignment horizontal="left" vertical="center"/>
    </xf>
    <xf numFmtId="0" fontId="15" fillId="7" borderId="17" xfId="0" applyFont="1" applyFill="1" applyBorder="1" applyAlignment="1">
      <alignment vertical="center"/>
    </xf>
    <xf numFmtId="0" fontId="1" fillId="7" borderId="18" xfId="0" applyFont="1" applyFill="1" applyBorder="1" applyAlignment="1">
      <alignment horizontal="center" vertical="center"/>
    </xf>
    <xf numFmtId="0" fontId="1" fillId="7" borderId="19" xfId="0" applyFont="1" applyFill="1" applyBorder="1" applyAlignment="1">
      <alignment horizontal="center" vertical="center"/>
    </xf>
    <xf numFmtId="41" fontId="1" fillId="7" borderId="19" xfId="6" applyFont="1" applyFill="1" applyBorder="1" applyAlignment="1">
      <alignment horizontal="center" vertical="center"/>
    </xf>
    <xf numFmtId="0" fontId="8" fillId="0" borderId="21" xfId="0" applyFont="1" applyBorder="1" applyAlignment="1">
      <alignment horizontal="center" vertical="center"/>
    </xf>
    <xf numFmtId="168" fontId="8" fillId="0" borderId="22" xfId="0" applyNumberFormat="1" applyFont="1" applyBorder="1" applyAlignment="1">
      <alignment horizontal="center" vertical="center"/>
    </xf>
    <xf numFmtId="41" fontId="8" fillId="0" borderId="22" xfId="6" applyFont="1" applyBorder="1" applyAlignment="1">
      <alignment horizontal="center" vertical="center"/>
    </xf>
    <xf numFmtId="3" fontId="8" fillId="0" borderId="23" xfId="0" applyNumberFormat="1" applyFont="1" applyBorder="1" applyAlignment="1">
      <alignment horizontal="center" vertical="center"/>
    </xf>
    <xf numFmtId="0" fontId="8" fillId="0" borderId="16" xfId="0" applyFont="1" applyBorder="1" applyAlignment="1">
      <alignment horizontal="right" vertical="center"/>
    </xf>
    <xf numFmtId="0" fontId="8" fillId="7" borderId="21" xfId="0" applyFont="1" applyFill="1" applyBorder="1" applyAlignment="1">
      <alignment horizontal="center" vertical="center"/>
    </xf>
    <xf numFmtId="168" fontId="8" fillId="7" borderId="22" xfId="0" applyNumberFormat="1" applyFont="1" applyFill="1" applyBorder="1" applyAlignment="1">
      <alignment horizontal="center" vertical="center"/>
    </xf>
    <xf numFmtId="41" fontId="8" fillId="7" borderId="22" xfId="6" applyFont="1" applyFill="1" applyBorder="1" applyAlignment="1">
      <alignment horizontal="center" vertical="center"/>
    </xf>
    <xf numFmtId="0" fontId="7" fillId="9" borderId="16" xfId="0" applyFont="1" applyFill="1" applyBorder="1" applyAlignment="1">
      <alignment horizontal="right" vertical="center"/>
    </xf>
    <xf numFmtId="0" fontId="7" fillId="9" borderId="27" xfId="0" applyFont="1" applyFill="1" applyBorder="1" applyAlignment="1">
      <alignment vertical="center"/>
    </xf>
    <xf numFmtId="0" fontId="7" fillId="9" borderId="27" xfId="0" applyFont="1" applyFill="1" applyBorder="1" applyAlignment="1">
      <alignment horizontal="center" vertical="center"/>
    </xf>
    <xf numFmtId="3" fontId="15" fillId="3" borderId="28" xfId="0" applyNumberFormat="1" applyFont="1" applyFill="1" applyBorder="1" applyAlignment="1">
      <alignment horizontal="center" vertical="center"/>
    </xf>
    <xf numFmtId="165" fontId="8" fillId="0" borderId="0" xfId="3" applyNumberFormat="1" applyFont="1" applyFill="1" applyAlignment="1">
      <alignment vertical="top"/>
    </xf>
    <xf numFmtId="3" fontId="15" fillId="7" borderId="23" xfId="0" applyNumberFormat="1" applyFont="1" applyFill="1" applyBorder="1" applyAlignment="1">
      <alignment horizontal="center" vertical="center"/>
    </xf>
    <xf numFmtId="41" fontId="8" fillId="0" borderId="22" xfId="6" applyFont="1" applyFill="1" applyBorder="1" applyAlignment="1">
      <alignment horizontal="center" vertical="center"/>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31" xfId="0" applyFont="1" applyFill="1" applyBorder="1" applyAlignment="1">
      <alignment horizontal="center" vertical="center"/>
    </xf>
    <xf numFmtId="41" fontId="7" fillId="6" borderId="31" xfId="6" applyFont="1" applyFill="1" applyBorder="1" applyAlignment="1">
      <alignment horizontal="center" vertical="center"/>
    </xf>
    <xf numFmtId="0" fontId="7" fillId="6" borderId="32" xfId="0" applyFont="1" applyFill="1" applyBorder="1" applyAlignment="1">
      <alignment horizontal="center" vertical="center"/>
    </xf>
    <xf numFmtId="0" fontId="7" fillId="0" borderId="0" xfId="0" applyFont="1" applyAlignment="1">
      <alignment horizontal="center" vertical="top"/>
    </xf>
    <xf numFmtId="165" fontId="7" fillId="0" borderId="0" xfId="3" applyNumberFormat="1" applyFont="1" applyFill="1" applyBorder="1" applyAlignment="1">
      <alignment horizontal="center" vertical="top"/>
    </xf>
    <xf numFmtId="41" fontId="15" fillId="0" borderId="0" xfId="0" applyNumberFormat="1" applyFont="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7" fillId="7" borderId="1" xfId="0" applyFont="1" applyFill="1" applyBorder="1" applyAlignment="1">
      <alignment horizontal="left" vertical="center" wrapText="1"/>
    </xf>
    <xf numFmtId="0" fontId="1" fillId="0" borderId="1" xfId="0" applyFont="1" applyBorder="1" applyAlignment="1">
      <alignment horizontal="left" vertical="center"/>
    </xf>
    <xf numFmtId="0" fontId="7" fillId="0" borderId="27" xfId="0" applyFont="1" applyBorder="1" applyAlignment="1">
      <alignment horizontal="center" vertical="center"/>
    </xf>
    <xf numFmtId="3" fontId="15" fillId="7" borderId="20" xfId="0" applyNumberFormat="1" applyFont="1" applyFill="1" applyBorder="1" applyAlignment="1">
      <alignment horizontal="center" vertical="center"/>
    </xf>
    <xf numFmtId="41" fontId="1" fillId="0" borderId="22" xfId="6"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8" fillId="0" borderId="0" xfId="0" applyFont="1"/>
    <xf numFmtId="165" fontId="8" fillId="0" borderId="0" xfId="0" applyNumberFormat="1" applyFont="1" applyAlignment="1">
      <alignment vertical="top"/>
    </xf>
    <xf numFmtId="0" fontId="9" fillId="0" borderId="0" xfId="0" applyFont="1" applyAlignment="1">
      <alignment vertical="top"/>
    </xf>
    <xf numFmtId="0" fontId="1" fillId="0" borderId="0" xfId="0" applyFont="1" applyAlignment="1">
      <alignment vertical="top"/>
    </xf>
    <xf numFmtId="165" fontId="8" fillId="0" borderId="0" xfId="0" applyNumberFormat="1" applyFont="1"/>
    <xf numFmtId="0" fontId="8" fillId="0" borderId="0" xfId="0" applyFont="1" applyAlignment="1">
      <alignment horizontal="center"/>
    </xf>
    <xf numFmtId="165" fontId="8" fillId="0" borderId="0" xfId="3" applyNumberFormat="1" applyFont="1" applyAlignment="1">
      <alignment horizontal="center"/>
    </xf>
    <xf numFmtId="3" fontId="18" fillId="0" borderId="1" xfId="0" applyNumberFormat="1" applyFont="1" applyBorder="1"/>
    <xf numFmtId="3" fontId="17" fillId="0" borderId="1" xfId="0" applyNumberFormat="1" applyFont="1" applyBorder="1"/>
    <xf numFmtId="0" fontId="25" fillId="0" borderId="1" xfId="0" applyFont="1" applyBorder="1" applyAlignment="1">
      <alignment horizontal="left"/>
    </xf>
    <xf numFmtId="165" fontId="0" fillId="0" borderId="0" xfId="0" applyNumberFormat="1" applyAlignment="1">
      <alignment vertical="top"/>
    </xf>
    <xf numFmtId="0" fontId="15" fillId="0" borderId="1" xfId="0" applyFont="1" applyBorder="1" applyAlignment="1">
      <alignment vertical="center"/>
    </xf>
    <xf numFmtId="0" fontId="1" fillId="0" borderId="21" xfId="0" applyFont="1" applyBorder="1" applyAlignment="1">
      <alignment horizontal="center" vertical="center"/>
    </xf>
    <xf numFmtId="168" fontId="1" fillId="0" borderId="22" xfId="0" applyNumberFormat="1" applyFont="1" applyBorder="1" applyAlignment="1">
      <alignment horizontal="center" vertical="center"/>
    </xf>
    <xf numFmtId="3" fontId="22" fillId="0" borderId="23" xfId="0" applyNumberFormat="1" applyFont="1" applyBorder="1" applyAlignment="1">
      <alignment horizontal="center" vertical="center"/>
    </xf>
    <xf numFmtId="3" fontId="8" fillId="7" borderId="23" xfId="0" applyNumberFormat="1" applyFont="1" applyFill="1" applyBorder="1" applyAlignment="1">
      <alignment horizontal="center" vertical="center"/>
    </xf>
    <xf numFmtId="41" fontId="15" fillId="0" borderId="27" xfId="0" applyNumberFormat="1" applyFont="1" applyBorder="1" applyAlignment="1">
      <alignment horizontal="center" vertical="center"/>
    </xf>
    <xf numFmtId="3" fontId="15" fillId="3" borderId="37" xfId="0" applyNumberFormat="1" applyFont="1" applyFill="1" applyBorder="1" applyAlignment="1">
      <alignment horizontal="center" vertical="center"/>
    </xf>
    <xf numFmtId="0" fontId="8" fillId="7" borderId="21" xfId="0" applyFont="1" applyFill="1" applyBorder="1" applyAlignment="1">
      <alignment horizontal="right" vertical="center"/>
    </xf>
    <xf numFmtId="0" fontId="24" fillId="5" borderId="33" xfId="0" applyFont="1" applyFill="1" applyBorder="1" applyAlignment="1">
      <alignment horizontal="center" vertical="center" wrapText="1"/>
    </xf>
    <xf numFmtId="0" fontId="24" fillId="5" borderId="38" xfId="0" applyFont="1" applyFill="1" applyBorder="1" applyAlignment="1">
      <alignment horizontal="center" vertical="center" wrapText="1"/>
    </xf>
    <xf numFmtId="0" fontId="17" fillId="5" borderId="38" xfId="0" applyFont="1" applyFill="1" applyBorder="1" applyAlignment="1">
      <alignment horizontal="center" vertical="center" wrapText="1"/>
    </xf>
    <xf numFmtId="0" fontId="17" fillId="5" borderId="38" xfId="0" applyFont="1" applyFill="1" applyBorder="1" applyAlignment="1">
      <alignment horizontal="center" vertical="center"/>
    </xf>
    <xf numFmtId="0" fontId="25" fillId="0" borderId="39" xfId="0" applyFont="1" applyBorder="1" applyAlignment="1">
      <alignment horizontal="left"/>
    </xf>
    <xf numFmtId="3" fontId="18" fillId="0" borderId="39" xfId="0" applyNumberFormat="1" applyFont="1" applyBorder="1"/>
    <xf numFmtId="0" fontId="17" fillId="5" borderId="34" xfId="0" applyFont="1" applyFill="1" applyBorder="1" applyAlignment="1">
      <alignment horizontal="center" vertical="center" wrapText="1"/>
    </xf>
    <xf numFmtId="0" fontId="25" fillId="0" borderId="35" xfId="0" applyFont="1" applyBorder="1" applyAlignment="1">
      <alignment horizontal="center" wrapText="1"/>
    </xf>
    <xf numFmtId="0" fontId="25" fillId="0" borderId="36" xfId="0" applyFont="1" applyBorder="1" applyAlignment="1">
      <alignment horizontal="center" wrapText="1"/>
    </xf>
    <xf numFmtId="3" fontId="17" fillId="0" borderId="42" xfId="0" applyNumberFormat="1" applyFont="1" applyBorder="1"/>
    <xf numFmtId="3" fontId="17" fillId="0" borderId="43" xfId="0" applyNumberFormat="1" applyFont="1" applyBorder="1"/>
    <xf numFmtId="3" fontId="17" fillId="0" borderId="39" xfId="0" applyNumberFormat="1" applyFont="1" applyBorder="1"/>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5" fillId="2" borderId="12" xfId="0" applyFont="1" applyFill="1" applyBorder="1" applyAlignment="1">
      <alignment horizontal="center" vertical="top"/>
    </xf>
    <xf numFmtId="0" fontId="5" fillId="0" borderId="1" xfId="0" applyFont="1" applyBorder="1" applyAlignment="1">
      <alignment horizontal="left" vertic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164" fontId="8" fillId="0" borderId="1" xfId="3" applyFont="1" applyBorder="1" applyAlignment="1">
      <alignment horizontal="center" vertical="top" wrapText="1"/>
    </xf>
    <xf numFmtId="164" fontId="7" fillId="2" borderId="2" xfId="3" applyFont="1" applyFill="1" applyBorder="1" applyAlignment="1">
      <alignment horizontal="center" vertical="top"/>
    </xf>
    <xf numFmtId="164" fontId="7" fillId="2" borderId="4" xfId="3" applyFont="1" applyFill="1" applyBorder="1" applyAlignment="1">
      <alignment horizontal="center" vertical="top"/>
    </xf>
    <xf numFmtId="164" fontId="7" fillId="2" borderId="3" xfId="3" applyFont="1" applyFill="1" applyBorder="1" applyAlignment="1">
      <alignment horizontal="center" vertical="top"/>
    </xf>
    <xf numFmtId="0" fontId="5" fillId="2" borderId="4" xfId="0" applyFont="1" applyFill="1" applyBorder="1" applyAlignment="1">
      <alignment horizontal="left" vertical="top"/>
    </xf>
    <xf numFmtId="164" fontId="8" fillId="0" borderId="2" xfId="3" applyFont="1" applyBorder="1" applyAlignment="1">
      <alignment horizontal="center" vertical="top" wrapText="1"/>
    </xf>
    <xf numFmtId="164" fontId="8" fillId="0" borderId="4" xfId="3" applyFont="1" applyBorder="1" applyAlignment="1">
      <alignment horizontal="center" vertical="top" wrapText="1"/>
    </xf>
    <xf numFmtId="164" fontId="8" fillId="0" borderId="3" xfId="3" applyFont="1" applyBorder="1" applyAlignment="1">
      <alignment horizontal="center" vertical="top" wrapText="1"/>
    </xf>
    <xf numFmtId="0" fontId="0" fillId="0" borderId="1" xfId="0" applyBorder="1" applyAlignment="1">
      <alignment horizontal="left" vertical="top"/>
    </xf>
    <xf numFmtId="12" fontId="8" fillId="0" borderId="2" xfId="3" applyNumberFormat="1" applyFont="1" applyBorder="1" applyAlignment="1">
      <alignment horizontal="center" vertical="top" wrapText="1"/>
    </xf>
    <xf numFmtId="0" fontId="5" fillId="2" borderId="4" xfId="0" applyFont="1" applyFill="1" applyBorder="1" applyAlignment="1">
      <alignment horizontal="center" vertical="top"/>
    </xf>
    <xf numFmtId="164" fontId="7" fillId="0" borderId="2" xfId="3" applyFont="1" applyBorder="1" applyAlignment="1">
      <alignment horizontal="center" vertical="top" wrapText="1"/>
    </xf>
    <xf numFmtId="164" fontId="7" fillId="0" borderId="4" xfId="3" applyFont="1" applyBorder="1" applyAlignment="1">
      <alignment horizontal="center" vertical="top" wrapText="1"/>
    </xf>
    <xf numFmtId="164" fontId="7" fillId="0" borderId="3" xfId="3" applyFont="1" applyBorder="1" applyAlignment="1">
      <alignment horizontal="center" vertical="top" wrapText="1"/>
    </xf>
    <xf numFmtId="164" fontId="7" fillId="0" borderId="11" xfId="3" applyFont="1" applyBorder="1" applyAlignment="1">
      <alignment horizontal="center" vertical="top" wrapText="1"/>
    </xf>
    <xf numFmtId="164" fontId="7" fillId="0" borderId="10" xfId="3" applyFont="1" applyBorder="1" applyAlignment="1">
      <alignment horizontal="center" vertical="top" wrapText="1"/>
    </xf>
    <xf numFmtId="164" fontId="7" fillId="0" borderId="9" xfId="3" applyFont="1" applyBorder="1" applyAlignment="1">
      <alignment horizontal="center" vertical="top" wrapText="1"/>
    </xf>
    <xf numFmtId="0" fontId="5" fillId="0" borderId="5" xfId="0" applyFont="1" applyBorder="1" applyAlignment="1">
      <alignment horizontal="left" vertical="top"/>
    </xf>
    <xf numFmtId="0" fontId="5" fillId="0" borderId="6" xfId="0" applyFont="1" applyBorder="1" applyAlignment="1">
      <alignment horizontal="left" vertical="top"/>
    </xf>
    <xf numFmtId="0" fontId="0" fillId="0" borderId="5" xfId="0" applyBorder="1" applyAlignment="1">
      <alignment horizontal="left" vertical="center"/>
    </xf>
    <xf numFmtId="0" fontId="0" fillId="0" borderId="6" xfId="0" applyBorder="1" applyAlignment="1">
      <alignment horizontal="left" vertical="center"/>
    </xf>
    <xf numFmtId="164" fontId="8" fillId="0" borderId="2" xfId="3" applyFont="1" applyBorder="1" applyAlignment="1">
      <alignment horizontal="right" vertical="top" wrapText="1"/>
    </xf>
    <xf numFmtId="164" fontId="8" fillId="0" borderId="4" xfId="3" applyFont="1" applyBorder="1" applyAlignment="1">
      <alignment horizontal="right" vertical="top" wrapText="1"/>
    </xf>
    <xf numFmtId="164" fontId="8" fillId="0" borderId="3" xfId="3" applyFont="1" applyBorder="1" applyAlignment="1">
      <alignment horizontal="right" vertical="top" wrapText="1"/>
    </xf>
    <xf numFmtId="0" fontId="4" fillId="0" borderId="2" xfId="0" applyFont="1" applyBorder="1" applyAlignment="1">
      <alignment horizontal="center" vertical="top"/>
    </xf>
    <xf numFmtId="0" fontId="4" fillId="0" borderId="3" xfId="0" applyFont="1" applyBorder="1" applyAlignment="1">
      <alignment horizontal="center" vertical="top"/>
    </xf>
    <xf numFmtId="164" fontId="8" fillId="0" borderId="5" xfId="3" applyFont="1" applyFill="1" applyBorder="1" applyAlignment="1">
      <alignment horizontal="left" vertical="center"/>
    </xf>
    <xf numFmtId="164" fontId="8" fillId="0" borderId="6" xfId="3" applyFont="1" applyFill="1" applyBorder="1" applyAlignment="1">
      <alignment horizontal="left" vertical="center"/>
    </xf>
    <xf numFmtId="164" fontId="8" fillId="0" borderId="11" xfId="3" applyFont="1" applyBorder="1" applyAlignment="1">
      <alignment vertical="top" wrapText="1"/>
    </xf>
    <xf numFmtId="164" fontId="8" fillId="0" borderId="10" xfId="3" applyFont="1" applyBorder="1" applyAlignment="1">
      <alignment vertical="top" wrapText="1"/>
    </xf>
    <xf numFmtId="164" fontId="8" fillId="0" borderId="9" xfId="3" applyFont="1" applyBorder="1" applyAlignment="1">
      <alignment vertical="top" wrapText="1"/>
    </xf>
    <xf numFmtId="164" fontId="8" fillId="0" borderId="11" xfId="3" applyFont="1" applyBorder="1" applyAlignment="1">
      <alignment horizontal="center" vertical="top" wrapText="1"/>
    </xf>
    <xf numFmtId="164" fontId="8" fillId="0" borderId="10" xfId="3" applyFont="1" applyBorder="1" applyAlignment="1">
      <alignment horizontal="center" vertical="top" wrapText="1"/>
    </xf>
    <xf numFmtId="164" fontId="8" fillId="0" borderId="9" xfId="3" applyFont="1" applyBorder="1" applyAlignment="1">
      <alignment horizontal="center" vertical="top" wrapText="1"/>
    </xf>
    <xf numFmtId="0" fontId="0" fillId="0" borderId="1" xfId="0"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4" fillId="0" borderId="4" xfId="0" applyFont="1" applyBorder="1" applyAlignment="1">
      <alignment horizontal="center" vertical="top"/>
    </xf>
    <xf numFmtId="164" fontId="7" fillId="0" borderId="13" xfId="3" applyFont="1" applyBorder="1" applyAlignment="1">
      <alignment horizontal="center" vertical="top" wrapText="1"/>
    </xf>
    <xf numFmtId="164" fontId="7" fillId="0" borderId="12" xfId="3" applyFont="1" applyBorder="1" applyAlignment="1">
      <alignment horizontal="center" vertical="top" wrapText="1"/>
    </xf>
    <xf numFmtId="164" fontId="7" fillId="0" borderId="7" xfId="3" applyFont="1" applyBorder="1" applyAlignment="1">
      <alignment horizontal="center" vertical="top" wrapText="1"/>
    </xf>
    <xf numFmtId="164" fontId="7" fillId="0" borderId="1" xfId="3" applyFont="1" applyBorder="1" applyAlignment="1">
      <alignment horizontal="center" vertical="top" wrapText="1"/>
    </xf>
    <xf numFmtId="2" fontId="0" fillId="0" borderId="1" xfId="0" applyNumberFormat="1" applyBorder="1" applyAlignment="1">
      <alignment horizontal="center" vertical="top"/>
    </xf>
    <xf numFmtId="0" fontId="0" fillId="0" borderId="1" xfId="0" applyBorder="1" applyAlignment="1">
      <alignment horizontal="center" vertical="top" wrapText="1"/>
    </xf>
    <xf numFmtId="164" fontId="8" fillId="0" borderId="1" xfId="3" applyFont="1" applyFill="1" applyBorder="1" applyAlignment="1">
      <alignment horizontal="left" vertical="center"/>
    </xf>
    <xf numFmtId="164" fontId="7" fillId="4" borderId="8" xfId="3" applyFont="1" applyFill="1" applyBorder="1" applyAlignment="1">
      <alignment horizontal="center" vertical="top" wrapText="1"/>
    </xf>
    <xf numFmtId="164" fontId="7" fillId="4" borderId="0" xfId="3" applyFont="1" applyFill="1" applyBorder="1" applyAlignment="1">
      <alignment horizontal="center" vertical="top" wrapText="1"/>
    </xf>
    <xf numFmtId="9" fontId="12" fillId="0" borderId="2" xfId="0" applyNumberFormat="1" applyFont="1" applyBorder="1" applyAlignment="1">
      <alignment horizontal="left" vertical="top" wrapText="1"/>
    </xf>
    <xf numFmtId="9" fontId="12" fillId="0" borderId="3" xfId="0" applyNumberFormat="1" applyFont="1" applyBorder="1" applyAlignment="1">
      <alignment horizontal="left" vertical="top" wrapText="1"/>
    </xf>
    <xf numFmtId="0" fontId="23" fillId="0" borderId="1" xfId="0" applyFont="1" applyBorder="1" applyAlignment="1">
      <alignment horizontal="center" vertical="center"/>
    </xf>
    <xf numFmtId="0" fontId="27" fillId="0" borderId="40" xfId="0" applyFont="1" applyBorder="1" applyAlignment="1">
      <alignment horizontal="center"/>
    </xf>
    <xf numFmtId="0" fontId="27" fillId="0" borderId="24" xfId="0" applyFont="1" applyBorder="1" applyAlignment="1">
      <alignment horizontal="center"/>
    </xf>
    <xf numFmtId="0" fontId="27" fillId="0" borderId="41" xfId="0" applyFont="1" applyBorder="1" applyAlignment="1">
      <alignment horizontal="center"/>
    </xf>
  </cellXfs>
  <cellStyles count="7">
    <cellStyle name="Milliers" xfId="3" builtinId="3"/>
    <cellStyle name="Milliers [0]" xfId="6" builtinId="6"/>
    <cellStyle name="Milliers [0] 2" xfId="5" xr:uid="{00000000-0005-0000-0000-000002000000}"/>
    <cellStyle name="Normal" xfId="0" builtinId="0"/>
    <cellStyle name="Normal 2" xfId="1" xr:uid="{00000000-0005-0000-0000-000004000000}"/>
    <cellStyle name="Normal 3" xfId="2" xr:uid="{00000000-0005-0000-0000-000005000000}"/>
    <cellStyle name="Pourcentage" xfId="4" builtinId="5"/>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ERA\PERSO\BARVAFOR\Etude%20d&#233;taill&#233;e%20Winthiewy\Rapport\Dimensionnement%20r&#233;seau%20d'irrigation%20au%20Gandiola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U"/>
      <sheetName val="Dimensionnement du reseau "/>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146"/>
  <sheetViews>
    <sheetView zoomScaleNormal="100" workbookViewId="0">
      <pane ySplit="1" topLeftCell="A20" activePane="bottomLeft" state="frozen"/>
      <selection pane="bottomLeft" activeCell="L37" sqref="L37"/>
    </sheetView>
  </sheetViews>
  <sheetFormatPr baseColWidth="10" defaultColWidth="11.453125" defaultRowHeight="14.5" x14ac:dyDescent="0.35"/>
  <cols>
    <col min="1" max="1" width="27" style="4" customWidth="1"/>
    <col min="2" max="2" width="29.26953125" style="4" customWidth="1"/>
    <col min="3" max="3" width="10.7265625" style="97" customWidth="1"/>
    <col min="4" max="4" width="17.7265625" style="37" customWidth="1"/>
    <col min="5" max="5" width="20.7265625" style="4" customWidth="1"/>
    <col min="6" max="6" width="21.54296875" style="4" customWidth="1"/>
    <col min="7" max="7" width="21.7265625" style="4" customWidth="1"/>
    <col min="8" max="8" width="19.26953125" style="4" customWidth="1"/>
    <col min="9" max="9" width="17.453125" style="4" customWidth="1"/>
    <col min="10" max="16384" width="11.453125" style="4"/>
  </cols>
  <sheetData>
    <row r="1" spans="1:7" ht="12.75" customHeight="1" x14ac:dyDescent="0.35">
      <c r="A1" s="12" t="s">
        <v>0</v>
      </c>
      <c r="B1" s="13" t="s">
        <v>1</v>
      </c>
      <c r="C1" s="93" t="s">
        <v>2</v>
      </c>
      <c r="D1" s="276" t="s">
        <v>3</v>
      </c>
      <c r="E1" s="277"/>
      <c r="F1" s="277"/>
    </row>
    <row r="2" spans="1:7" x14ac:dyDescent="0.35">
      <c r="A2" s="232" t="s">
        <v>4</v>
      </c>
      <c r="B2" s="233"/>
      <c r="C2" s="233"/>
      <c r="D2" s="99"/>
      <c r="E2" s="99"/>
      <c r="F2" s="99"/>
      <c r="G2" s="4" t="s">
        <v>5</v>
      </c>
    </row>
    <row r="3" spans="1:7" ht="16.5" customHeight="1" x14ac:dyDescent="0.35">
      <c r="A3" s="7" t="s">
        <v>6</v>
      </c>
      <c r="B3" s="278" t="s">
        <v>7</v>
      </c>
      <c r="C3" s="279"/>
      <c r="D3" s="242"/>
      <c r="E3" s="243"/>
      <c r="F3" s="244"/>
    </row>
    <row r="4" spans="1:7" ht="15.5" x14ac:dyDescent="0.35">
      <c r="A4" s="7" t="s">
        <v>8</v>
      </c>
      <c r="B4" s="14">
        <v>0.14000000000000001</v>
      </c>
      <c r="C4" s="94"/>
      <c r="D4" s="242"/>
      <c r="E4" s="243"/>
      <c r="F4" s="244"/>
    </row>
    <row r="5" spans="1:7" ht="25" x14ac:dyDescent="0.35">
      <c r="A5" s="98" t="s">
        <v>9</v>
      </c>
      <c r="B5" s="14">
        <v>0.06</v>
      </c>
      <c r="C5" s="94"/>
      <c r="D5" s="242"/>
      <c r="E5" s="243"/>
      <c r="F5" s="244"/>
    </row>
    <row r="6" spans="1:7" x14ac:dyDescent="0.35">
      <c r="A6" s="7" t="s">
        <v>10</v>
      </c>
      <c r="B6" s="15">
        <f>(B4-B5)*1000*10</f>
        <v>800.00000000000011</v>
      </c>
      <c r="C6" s="15" t="s">
        <v>11</v>
      </c>
      <c r="D6" s="242"/>
      <c r="E6" s="243"/>
      <c r="F6" s="244"/>
    </row>
    <row r="7" spans="1:7" x14ac:dyDescent="0.35">
      <c r="A7" s="6" t="s">
        <v>12</v>
      </c>
      <c r="B7" s="17">
        <v>1.5</v>
      </c>
      <c r="C7" s="15"/>
      <c r="D7" s="242"/>
      <c r="E7" s="243"/>
      <c r="F7" s="244"/>
    </row>
    <row r="8" spans="1:7" x14ac:dyDescent="0.35">
      <c r="A8" s="6" t="s">
        <v>13</v>
      </c>
      <c r="B8" s="55">
        <f>B6*2/3</f>
        <v>533.33333333333337</v>
      </c>
      <c r="C8" s="15" t="s">
        <v>11</v>
      </c>
      <c r="D8" s="242"/>
      <c r="E8" s="243"/>
      <c r="F8" s="244"/>
    </row>
    <row r="9" spans="1:7" x14ac:dyDescent="0.35">
      <c r="A9" s="275" t="s">
        <v>14</v>
      </c>
      <c r="B9" s="17">
        <v>2.5</v>
      </c>
      <c r="C9" s="10" t="s">
        <v>15</v>
      </c>
      <c r="D9" s="242"/>
      <c r="E9" s="243"/>
      <c r="F9" s="244"/>
    </row>
    <row r="10" spans="1:7" x14ac:dyDescent="0.35">
      <c r="A10" s="275"/>
      <c r="B10" s="55">
        <f>B9*10</f>
        <v>25</v>
      </c>
      <c r="C10" s="10" t="s">
        <v>16</v>
      </c>
      <c r="D10" s="242"/>
      <c r="E10" s="243"/>
      <c r="F10" s="244"/>
    </row>
    <row r="11" spans="1:7" x14ac:dyDescent="0.35">
      <c r="A11" s="232" t="s">
        <v>17</v>
      </c>
      <c r="B11" s="233"/>
      <c r="C11" s="233"/>
      <c r="D11" s="99"/>
      <c r="E11" s="99"/>
      <c r="F11" s="99"/>
    </row>
    <row r="12" spans="1:7" ht="15.5" x14ac:dyDescent="0.35">
      <c r="A12" s="7" t="s">
        <v>18</v>
      </c>
      <c r="B12" s="56">
        <f>8.39*10</f>
        <v>83.9</v>
      </c>
      <c r="C12" s="2" t="s">
        <v>19</v>
      </c>
      <c r="D12" s="242" t="s">
        <v>20</v>
      </c>
      <c r="E12" s="243"/>
      <c r="F12" s="244"/>
    </row>
    <row r="13" spans="1:7" ht="15.5" x14ac:dyDescent="0.35">
      <c r="A13" s="38" t="s">
        <v>21</v>
      </c>
      <c r="B13" s="56">
        <f>8.397*1000000/3600000</f>
        <v>2.3325</v>
      </c>
      <c r="C13" s="43" t="s">
        <v>22</v>
      </c>
      <c r="D13" s="242"/>
      <c r="E13" s="243"/>
      <c r="F13" s="244"/>
    </row>
    <row r="14" spans="1:7" x14ac:dyDescent="0.35">
      <c r="A14" s="241" t="s">
        <v>23</v>
      </c>
      <c r="B14" s="241"/>
      <c r="C14" s="241"/>
      <c r="D14" s="104"/>
      <c r="E14" s="104"/>
      <c r="F14" s="104"/>
    </row>
    <row r="15" spans="1:7" x14ac:dyDescent="0.35">
      <c r="A15" s="7" t="s">
        <v>24</v>
      </c>
      <c r="B15" s="74" t="s">
        <v>25</v>
      </c>
      <c r="C15" s="95" t="s">
        <v>26</v>
      </c>
      <c r="D15" s="272" t="s">
        <v>27</v>
      </c>
      <c r="E15" s="272"/>
      <c r="F15" s="272"/>
    </row>
    <row r="16" spans="1:7" ht="15.5" x14ac:dyDescent="0.35">
      <c r="A16" s="7" t="s">
        <v>28</v>
      </c>
      <c r="B16" s="53">
        <v>30</v>
      </c>
      <c r="C16" s="46" t="s">
        <v>29</v>
      </c>
      <c r="D16" s="272"/>
      <c r="E16" s="272"/>
      <c r="F16" s="272"/>
    </row>
    <row r="17" spans="1:6" ht="15.5" x14ac:dyDescent="0.35">
      <c r="A17" s="7" t="s">
        <v>30</v>
      </c>
      <c r="B17" s="53">
        <v>57</v>
      </c>
      <c r="C17" s="46" t="s">
        <v>29</v>
      </c>
      <c r="D17" s="242"/>
      <c r="E17" s="243"/>
      <c r="F17" s="244"/>
    </row>
    <row r="18" spans="1:6" ht="15.5" x14ac:dyDescent="0.35">
      <c r="A18" s="7" t="s">
        <v>31</v>
      </c>
      <c r="B18" s="53">
        <v>1.1499999999999999</v>
      </c>
      <c r="C18" s="15"/>
      <c r="D18" s="272"/>
      <c r="E18" s="272"/>
      <c r="F18" s="272"/>
    </row>
    <row r="19" spans="1:6" ht="15.5" x14ac:dyDescent="0.35">
      <c r="A19" s="6" t="s">
        <v>32</v>
      </c>
      <c r="B19" s="53">
        <v>0.6</v>
      </c>
      <c r="C19" s="15" t="s">
        <v>33</v>
      </c>
      <c r="D19" s="242"/>
      <c r="E19" s="243"/>
      <c r="F19" s="244"/>
    </row>
    <row r="20" spans="1:6" x14ac:dyDescent="0.35">
      <c r="A20" s="11" t="s">
        <v>34</v>
      </c>
      <c r="B20" s="54">
        <f>B17/2</f>
        <v>28.5</v>
      </c>
      <c r="C20" s="20" t="s">
        <v>29</v>
      </c>
      <c r="D20" s="242"/>
      <c r="E20" s="243"/>
      <c r="F20" s="244"/>
    </row>
    <row r="21" spans="1:6" x14ac:dyDescent="0.35">
      <c r="A21" s="266" t="s">
        <v>35</v>
      </c>
      <c r="B21" s="241"/>
      <c r="C21" s="267"/>
      <c r="D21" s="105" t="s">
        <v>36</v>
      </c>
      <c r="E21" s="105">
        <v>3</v>
      </c>
      <c r="F21" s="105"/>
    </row>
    <row r="22" spans="1:6" ht="30.65" customHeight="1" x14ac:dyDescent="0.35">
      <c r="A22" s="6" t="s">
        <v>6</v>
      </c>
      <c r="B22" s="273" t="s">
        <v>37</v>
      </c>
      <c r="C22" s="273"/>
      <c r="D22" s="274" t="s">
        <v>38</v>
      </c>
      <c r="E22" s="274"/>
      <c r="F22" s="274"/>
    </row>
    <row r="23" spans="1:6" x14ac:dyDescent="0.35">
      <c r="A23" s="6" t="s">
        <v>39</v>
      </c>
      <c r="B23" s="109"/>
      <c r="C23" s="15" t="s">
        <v>33</v>
      </c>
      <c r="D23" s="265"/>
      <c r="E23" s="265"/>
      <c r="F23" s="265"/>
    </row>
    <row r="24" spans="1:6" x14ac:dyDescent="0.35">
      <c r="A24" s="6" t="s">
        <v>40</v>
      </c>
      <c r="B24" s="32"/>
      <c r="C24" s="15" t="s">
        <v>33</v>
      </c>
      <c r="D24" s="265"/>
      <c r="E24" s="265"/>
      <c r="F24" s="265"/>
    </row>
    <row r="25" spans="1:6" x14ac:dyDescent="0.35">
      <c r="A25" s="6" t="s">
        <v>41</v>
      </c>
      <c r="B25" s="33">
        <v>20</v>
      </c>
      <c r="C25" s="15" t="s">
        <v>33</v>
      </c>
      <c r="D25" s="265"/>
      <c r="E25" s="265"/>
      <c r="F25" s="265"/>
    </row>
    <row r="26" spans="1:6" x14ac:dyDescent="0.35">
      <c r="A26" s="6" t="s">
        <v>42</v>
      </c>
      <c r="B26" s="109">
        <v>19</v>
      </c>
      <c r="C26" s="15" t="s">
        <v>33</v>
      </c>
      <c r="D26" s="265"/>
      <c r="E26" s="265"/>
      <c r="F26" s="265"/>
    </row>
    <row r="27" spans="1:6" x14ac:dyDescent="0.35">
      <c r="A27" s="19" t="s">
        <v>43</v>
      </c>
      <c r="B27" s="76">
        <v>30</v>
      </c>
      <c r="C27" s="15" t="s">
        <v>44</v>
      </c>
      <c r="D27" s="265"/>
      <c r="E27" s="265"/>
      <c r="F27" s="265"/>
    </row>
    <row r="28" spans="1:6" x14ac:dyDescent="0.35">
      <c r="A28" s="6" t="s">
        <v>45</v>
      </c>
      <c r="B28" s="32" t="s">
        <v>46</v>
      </c>
      <c r="C28" s="15"/>
      <c r="D28" s="265"/>
      <c r="E28" s="265"/>
      <c r="F28" s="265"/>
    </row>
    <row r="29" spans="1:6" x14ac:dyDescent="0.35">
      <c r="A29" s="6" t="s">
        <v>47</v>
      </c>
      <c r="B29" s="32"/>
      <c r="C29" s="15"/>
      <c r="D29" s="265"/>
      <c r="E29" s="265"/>
      <c r="F29" s="265"/>
    </row>
    <row r="30" spans="1:6" x14ac:dyDescent="0.35">
      <c r="A30" s="6" t="s">
        <v>48</v>
      </c>
      <c r="B30" s="32">
        <f>B26</f>
        <v>19</v>
      </c>
      <c r="C30" s="15"/>
      <c r="D30" s="265"/>
      <c r="E30" s="265"/>
      <c r="F30" s="265"/>
    </row>
    <row r="31" spans="1:6" x14ac:dyDescent="0.35">
      <c r="A31" s="6" t="s">
        <v>49</v>
      </c>
      <c r="B31" s="32"/>
      <c r="C31" s="15" t="s">
        <v>33</v>
      </c>
      <c r="D31" s="265"/>
      <c r="E31" s="265"/>
      <c r="F31" s="265"/>
    </row>
    <row r="32" spans="1:6" x14ac:dyDescent="0.35">
      <c r="A32" s="6" t="s">
        <v>50</v>
      </c>
      <c r="B32" s="32">
        <f>B31*B30*1.1</f>
        <v>0</v>
      </c>
      <c r="C32" s="15"/>
      <c r="D32" s="265"/>
      <c r="E32" s="265"/>
      <c r="F32" s="265"/>
    </row>
    <row r="33" spans="1:6" x14ac:dyDescent="0.35">
      <c r="A33" s="6" t="s">
        <v>51</v>
      </c>
      <c r="B33" s="33">
        <v>10</v>
      </c>
      <c r="C33" s="15" t="s">
        <v>52</v>
      </c>
      <c r="D33" s="6" t="s">
        <v>53</v>
      </c>
      <c r="E33" s="39"/>
      <c r="F33" s="39"/>
    </row>
    <row r="34" spans="1:6" x14ac:dyDescent="0.35">
      <c r="A34" s="6" t="s">
        <v>54</v>
      </c>
      <c r="B34" s="32">
        <f>B27*B33</f>
        <v>300</v>
      </c>
      <c r="C34" s="15" t="s">
        <v>55</v>
      </c>
      <c r="D34" s="39"/>
      <c r="E34" s="39"/>
      <c r="F34" s="39"/>
    </row>
    <row r="35" spans="1:6" x14ac:dyDescent="0.35">
      <c r="A35" s="6" t="s">
        <v>56</v>
      </c>
      <c r="B35" s="32">
        <f>B34/B12</f>
        <v>3.5756853396901072</v>
      </c>
      <c r="C35" s="15" t="s">
        <v>57</v>
      </c>
      <c r="D35" s="39"/>
      <c r="E35" s="39"/>
      <c r="F35" s="39"/>
    </row>
    <row r="36" spans="1:6" x14ac:dyDescent="0.35">
      <c r="A36" s="266" t="s">
        <v>58</v>
      </c>
      <c r="B36" s="241"/>
      <c r="C36" s="267"/>
      <c r="D36" s="105"/>
      <c r="E36" s="105"/>
      <c r="F36" s="105"/>
    </row>
    <row r="37" spans="1:6" x14ac:dyDescent="0.35">
      <c r="A37" s="4" t="s">
        <v>6</v>
      </c>
      <c r="B37" s="268" t="s">
        <v>59</v>
      </c>
      <c r="C37" s="256"/>
      <c r="D37" s="269"/>
      <c r="E37" s="270"/>
      <c r="F37" s="271"/>
    </row>
    <row r="38" spans="1:6" x14ac:dyDescent="0.35">
      <c r="A38" s="6" t="s">
        <v>60</v>
      </c>
      <c r="B38" s="21">
        <v>0.8</v>
      </c>
      <c r="C38" s="15"/>
      <c r="D38" s="242"/>
      <c r="E38" s="243"/>
      <c r="F38" s="244"/>
    </row>
    <row r="39" spans="1:6" x14ac:dyDescent="0.35">
      <c r="A39" s="7" t="s">
        <v>61</v>
      </c>
      <c r="B39" s="22">
        <v>0.9</v>
      </c>
      <c r="C39" s="15"/>
      <c r="D39" s="242"/>
      <c r="E39" s="243"/>
      <c r="F39" s="244"/>
    </row>
    <row r="40" spans="1:6" x14ac:dyDescent="0.35">
      <c r="A40" s="241" t="s">
        <v>62</v>
      </c>
      <c r="B40" s="241"/>
      <c r="C40" s="241"/>
      <c r="D40" s="104"/>
      <c r="E40" s="104"/>
      <c r="F40" s="104"/>
    </row>
    <row r="41" spans="1:6" x14ac:dyDescent="0.35">
      <c r="A41" s="1" t="s">
        <v>63</v>
      </c>
      <c r="B41" s="3">
        <f>B12*B18/B39</f>
        <v>107.20555555555555</v>
      </c>
      <c r="C41" s="2" t="s">
        <v>19</v>
      </c>
      <c r="D41" s="242"/>
      <c r="E41" s="243"/>
      <c r="F41" s="244"/>
    </row>
    <row r="42" spans="1:6" x14ac:dyDescent="0.35">
      <c r="A42" s="1" t="s">
        <v>64</v>
      </c>
      <c r="B42" s="3">
        <f>B34/B41</f>
        <v>2.7983624397574753</v>
      </c>
      <c r="C42" s="2" t="s">
        <v>57</v>
      </c>
      <c r="D42" s="242"/>
      <c r="E42" s="243"/>
      <c r="F42" s="244"/>
    </row>
    <row r="43" spans="1:6" x14ac:dyDescent="0.35">
      <c r="A43" s="1" t="s">
        <v>65</v>
      </c>
      <c r="B43" s="5">
        <v>1</v>
      </c>
      <c r="C43" s="2" t="s">
        <v>57</v>
      </c>
      <c r="D43" s="242"/>
      <c r="E43" s="243"/>
      <c r="F43" s="244"/>
    </row>
    <row r="44" spans="1:6" x14ac:dyDescent="0.35">
      <c r="A44" s="8" t="s">
        <v>66</v>
      </c>
      <c r="B44" s="10">
        <f>B41*B43</f>
        <v>107.20555555555555</v>
      </c>
      <c r="C44" s="10" t="s">
        <v>67</v>
      </c>
      <c r="D44" s="242"/>
      <c r="E44" s="243"/>
      <c r="F44" s="244"/>
    </row>
    <row r="45" spans="1:6" x14ac:dyDescent="0.35">
      <c r="A45" s="232" t="s">
        <v>68</v>
      </c>
      <c r="B45" s="233"/>
      <c r="C45" s="233"/>
      <c r="D45" s="99"/>
      <c r="E45" s="99"/>
      <c r="F45" s="99"/>
    </row>
    <row r="46" spans="1:6" x14ac:dyDescent="0.35">
      <c r="A46" s="6" t="s">
        <v>69</v>
      </c>
      <c r="B46" s="18">
        <f>B8*B7*B19*B38</f>
        <v>384</v>
      </c>
      <c r="C46" s="15" t="s">
        <v>70</v>
      </c>
      <c r="D46" s="242"/>
      <c r="E46" s="243"/>
      <c r="F46" s="244"/>
    </row>
    <row r="47" spans="1:6" ht="20.25" customHeight="1" x14ac:dyDescent="0.35">
      <c r="A47" s="23" t="s">
        <v>71</v>
      </c>
      <c r="B47" s="24">
        <f>B41/B46</f>
        <v>0.27918113425925922</v>
      </c>
      <c r="C47" s="15" t="s">
        <v>72</v>
      </c>
      <c r="D47" s="66">
        <f>B47*24</f>
        <v>6.7003472222222218</v>
      </c>
      <c r="E47" s="66" t="s">
        <v>73</v>
      </c>
      <c r="F47" s="65"/>
    </row>
    <row r="48" spans="1:6" x14ac:dyDescent="0.35">
      <c r="A48" s="250" t="s">
        <v>74</v>
      </c>
      <c r="B48" s="25">
        <v>0.15</v>
      </c>
      <c r="C48" s="15" t="s">
        <v>72</v>
      </c>
      <c r="D48" s="66"/>
      <c r="E48" s="66"/>
      <c r="F48" s="65"/>
    </row>
    <row r="49" spans="1:6" x14ac:dyDescent="0.35">
      <c r="A49" s="251"/>
      <c r="B49" s="62">
        <f>B48*24</f>
        <v>3.5999999999999996</v>
      </c>
      <c r="C49" s="15" t="s">
        <v>52</v>
      </c>
      <c r="D49" s="64"/>
      <c r="E49" s="64"/>
      <c r="F49" s="64"/>
    </row>
    <row r="50" spans="1:6" x14ac:dyDescent="0.35">
      <c r="A50" s="6" t="s">
        <v>75</v>
      </c>
      <c r="B50" s="24">
        <f>B41*B48</f>
        <v>16.080833333333331</v>
      </c>
      <c r="C50" s="15" t="s">
        <v>70</v>
      </c>
      <c r="D50" s="242"/>
      <c r="E50" s="243"/>
      <c r="F50" s="244"/>
    </row>
    <row r="51" spans="1:6" x14ac:dyDescent="0.35">
      <c r="A51" s="232" t="s">
        <v>76</v>
      </c>
      <c r="B51" s="233"/>
      <c r="C51" s="233"/>
      <c r="D51" s="99"/>
      <c r="E51" s="99"/>
      <c r="F51" s="99"/>
    </row>
    <row r="52" spans="1:6" x14ac:dyDescent="0.35">
      <c r="A52" s="6" t="s">
        <v>77</v>
      </c>
      <c r="B52" s="40">
        <v>4</v>
      </c>
      <c r="C52" s="15"/>
      <c r="D52" s="242"/>
      <c r="E52" s="243"/>
      <c r="F52" s="244"/>
    </row>
    <row r="53" spans="1:6" x14ac:dyDescent="0.35">
      <c r="A53" s="6" t="s">
        <v>78</v>
      </c>
      <c r="B53" s="26">
        <f>B43/B52</f>
        <v>0.25</v>
      </c>
      <c r="C53" s="15" t="s">
        <v>57</v>
      </c>
      <c r="D53" s="242"/>
      <c r="E53" s="243"/>
      <c r="F53" s="244"/>
    </row>
    <row r="54" spans="1:6" x14ac:dyDescent="0.35">
      <c r="A54" s="27" t="s">
        <v>79</v>
      </c>
      <c r="B54" s="26">
        <f>B50*B53</f>
        <v>4.0202083333333327</v>
      </c>
      <c r="C54" s="15" t="s">
        <v>80</v>
      </c>
      <c r="D54" s="242"/>
      <c r="E54" s="243"/>
      <c r="F54" s="244"/>
    </row>
    <row r="55" spans="1:6" x14ac:dyDescent="0.35">
      <c r="A55" s="232" t="s">
        <v>81</v>
      </c>
      <c r="B55" s="233"/>
      <c r="C55" s="233"/>
      <c r="D55" s="99"/>
      <c r="E55" s="99"/>
      <c r="F55" s="99"/>
    </row>
    <row r="56" spans="1:6" x14ac:dyDescent="0.35">
      <c r="A56" s="8" t="s">
        <v>82</v>
      </c>
      <c r="B56" s="9">
        <v>1</v>
      </c>
      <c r="C56" s="10" t="s">
        <v>83</v>
      </c>
      <c r="D56" s="236"/>
      <c r="E56" s="237"/>
      <c r="F56" s="238"/>
    </row>
    <row r="57" spans="1:6" x14ac:dyDescent="0.35">
      <c r="A57" s="257" t="s">
        <v>84</v>
      </c>
      <c r="B57" s="10">
        <f>(SQRT(1000*B56/3.14*B9))</f>
        <v>28.216632399155014</v>
      </c>
      <c r="C57" s="10" t="s">
        <v>29</v>
      </c>
      <c r="D57" s="259">
        <f>B20</f>
        <v>28.5</v>
      </c>
      <c r="E57" s="260"/>
      <c r="F57" s="261"/>
    </row>
    <row r="58" spans="1:6" x14ac:dyDescent="0.35">
      <c r="A58" s="258"/>
      <c r="B58" s="45">
        <f>B57/100</f>
        <v>0.28216632399155012</v>
      </c>
      <c r="C58" s="10" t="s">
        <v>33</v>
      </c>
      <c r="D58" s="262">
        <f>D57/100</f>
        <v>0.28499999999999998</v>
      </c>
      <c r="E58" s="263"/>
      <c r="F58" s="264"/>
    </row>
    <row r="59" spans="1:6" x14ac:dyDescent="0.35">
      <c r="A59" s="6" t="s">
        <v>85</v>
      </c>
      <c r="B59" s="60">
        <f>(B57/B20)</f>
        <v>0.9900572771633338</v>
      </c>
      <c r="C59" s="10"/>
      <c r="D59" s="236"/>
      <c r="E59" s="237"/>
      <c r="F59" s="238"/>
    </row>
    <row r="60" spans="1:6" x14ac:dyDescent="0.35">
      <c r="A60" s="11" t="s">
        <v>6</v>
      </c>
      <c r="B60" s="255" t="s">
        <v>86</v>
      </c>
      <c r="C60" s="256"/>
      <c r="D60" s="236"/>
      <c r="E60" s="237"/>
      <c r="F60" s="238"/>
    </row>
    <row r="61" spans="1:6" x14ac:dyDescent="0.35">
      <c r="A61" s="11" t="s">
        <v>87</v>
      </c>
      <c r="B61" s="28">
        <v>0</v>
      </c>
      <c r="C61" s="15" t="s">
        <v>33</v>
      </c>
      <c r="D61" s="236"/>
      <c r="E61" s="237"/>
      <c r="F61" s="238"/>
    </row>
    <row r="62" spans="1:6" x14ac:dyDescent="0.35">
      <c r="A62" s="11" t="s">
        <v>88</v>
      </c>
      <c r="B62" s="28">
        <v>10</v>
      </c>
      <c r="C62" s="15" t="s">
        <v>33</v>
      </c>
      <c r="D62" s="242"/>
      <c r="E62" s="243"/>
      <c r="F62" s="244"/>
    </row>
    <row r="63" spans="1:6" x14ac:dyDescent="0.35">
      <c r="A63" s="241" t="s">
        <v>89</v>
      </c>
      <c r="B63" s="241"/>
      <c r="C63" s="241"/>
      <c r="D63" s="102"/>
      <c r="E63" s="102"/>
      <c r="F63" s="102"/>
    </row>
    <row r="64" spans="1:6" x14ac:dyDescent="0.35">
      <c r="A64" s="250" t="s">
        <v>90</v>
      </c>
      <c r="B64" s="29">
        <f>B58*2*(100%-B59)</f>
        <v>5.6110031065778757E-3</v>
      </c>
      <c r="C64" s="10" t="s">
        <v>33</v>
      </c>
      <c r="D64" s="242"/>
      <c r="E64" s="243"/>
      <c r="F64" s="244"/>
    </row>
    <row r="65" spans="1:6" x14ac:dyDescent="0.35">
      <c r="A65" s="251"/>
      <c r="B65" s="67">
        <f>B64*100</f>
        <v>0.56110031065778754</v>
      </c>
      <c r="C65" s="10" t="s">
        <v>29</v>
      </c>
      <c r="D65" s="68"/>
      <c r="E65" s="69"/>
      <c r="F65" s="70"/>
    </row>
    <row r="66" spans="1:6" x14ac:dyDescent="0.35">
      <c r="A66" s="250" t="s">
        <v>91</v>
      </c>
      <c r="B66" s="33">
        <v>0.3</v>
      </c>
      <c r="C66" s="10" t="s">
        <v>33</v>
      </c>
      <c r="D66" s="252" t="s">
        <v>92</v>
      </c>
      <c r="E66" s="253"/>
      <c r="F66" s="254"/>
    </row>
    <row r="67" spans="1:6" x14ac:dyDescent="0.35">
      <c r="A67" s="251"/>
      <c r="B67" s="83">
        <f>B66*100</f>
        <v>30</v>
      </c>
      <c r="C67" s="10" t="s">
        <v>29</v>
      </c>
      <c r="D67" s="71"/>
      <c r="E67" s="72"/>
      <c r="F67" s="73"/>
    </row>
    <row r="68" spans="1:6" x14ac:dyDescent="0.35">
      <c r="A68" s="16" t="s">
        <v>93</v>
      </c>
      <c r="B68" s="30">
        <v>75</v>
      </c>
      <c r="C68" s="15" t="s">
        <v>33</v>
      </c>
      <c r="D68" s="252" t="s">
        <v>94</v>
      </c>
      <c r="E68" s="253"/>
      <c r="F68" s="254"/>
    </row>
    <row r="69" spans="1:6" ht="17.25" customHeight="1" x14ac:dyDescent="0.35">
      <c r="A69" s="16" t="s">
        <v>95</v>
      </c>
      <c r="B69" s="31">
        <f>B68/B66</f>
        <v>250</v>
      </c>
      <c r="C69" s="10"/>
      <c r="D69" s="242"/>
      <c r="E69" s="243"/>
      <c r="F69" s="244"/>
    </row>
    <row r="70" spans="1:6" x14ac:dyDescent="0.35">
      <c r="A70" s="44" t="s">
        <v>96</v>
      </c>
      <c r="B70" s="48">
        <f>B69*B56/1000</f>
        <v>0.25</v>
      </c>
      <c r="C70" s="15" t="s">
        <v>44</v>
      </c>
      <c r="D70" s="242"/>
      <c r="E70" s="243"/>
      <c r="F70" s="244"/>
    </row>
    <row r="71" spans="1:6" ht="18.75" customHeight="1" x14ac:dyDescent="0.35">
      <c r="A71" s="16" t="s">
        <v>97</v>
      </c>
      <c r="B71" s="82" t="s">
        <v>98</v>
      </c>
      <c r="C71" s="15"/>
      <c r="D71" s="242"/>
      <c r="E71" s="243"/>
      <c r="F71" s="244"/>
    </row>
    <row r="72" spans="1:6" ht="17.25" customHeight="1" x14ac:dyDescent="0.35">
      <c r="A72" s="6" t="s">
        <v>99</v>
      </c>
      <c r="B72" s="32">
        <f>(SQRT((B70/3600)/1.5))*1000</f>
        <v>6.8041381743977167</v>
      </c>
      <c r="C72" s="15" t="s">
        <v>100</v>
      </c>
      <c r="D72" s="236" t="s">
        <v>101</v>
      </c>
      <c r="E72" s="237"/>
      <c r="F72" s="238"/>
    </row>
    <row r="73" spans="1:6" ht="14.25" customHeight="1" x14ac:dyDescent="0.35">
      <c r="A73" s="75" t="s">
        <v>102</v>
      </c>
      <c r="B73" s="84">
        <v>50</v>
      </c>
      <c r="C73" s="15" t="s">
        <v>100</v>
      </c>
      <c r="D73" s="236"/>
      <c r="E73" s="237"/>
      <c r="F73" s="238"/>
    </row>
    <row r="74" spans="1:6" ht="17.25" customHeight="1" x14ac:dyDescent="0.35">
      <c r="A74" s="6" t="s">
        <v>49</v>
      </c>
      <c r="B74" s="33">
        <f>5/100</f>
        <v>0.05</v>
      </c>
      <c r="C74" s="15" t="s">
        <v>103</v>
      </c>
      <c r="D74" s="236" t="s">
        <v>104</v>
      </c>
      <c r="E74" s="237"/>
      <c r="F74" s="238"/>
    </row>
    <row r="75" spans="1:6" ht="17.25" customHeight="1" x14ac:dyDescent="0.35">
      <c r="A75" s="34" t="s">
        <v>105</v>
      </c>
      <c r="B75" s="33">
        <v>0.3</v>
      </c>
      <c r="C75" s="15" t="s">
        <v>33</v>
      </c>
      <c r="D75" s="236" t="s">
        <v>106</v>
      </c>
      <c r="E75" s="237"/>
      <c r="F75" s="238"/>
    </row>
    <row r="76" spans="1:6" x14ac:dyDescent="0.35">
      <c r="A76" s="34" t="s">
        <v>107</v>
      </c>
      <c r="B76" s="33">
        <v>0.4</v>
      </c>
      <c r="C76" s="15"/>
      <c r="D76" s="236" t="s">
        <v>108</v>
      </c>
      <c r="E76" s="237"/>
      <c r="F76" s="238"/>
    </row>
    <row r="77" spans="1:6" ht="17.25" customHeight="1" x14ac:dyDescent="0.35">
      <c r="A77" s="35" t="s">
        <v>109</v>
      </c>
      <c r="B77" s="32">
        <f>B74*B68*B76+B75</f>
        <v>1.8</v>
      </c>
      <c r="C77" s="15" t="s">
        <v>33</v>
      </c>
      <c r="D77" s="236" t="s">
        <v>110</v>
      </c>
      <c r="E77" s="237"/>
      <c r="F77" s="238"/>
    </row>
    <row r="78" spans="1:6" ht="17.25" customHeight="1" x14ac:dyDescent="0.35">
      <c r="A78" s="35" t="s">
        <v>111</v>
      </c>
      <c r="B78" s="39">
        <f>20*B62/100</f>
        <v>2</v>
      </c>
      <c r="C78" s="15"/>
      <c r="D78" s="236"/>
      <c r="E78" s="237"/>
      <c r="F78" s="238"/>
    </row>
    <row r="79" spans="1:6" x14ac:dyDescent="0.35">
      <c r="A79" s="248" t="s">
        <v>112</v>
      </c>
      <c r="B79" s="47">
        <f>B62+B77+B61</f>
        <v>11.8</v>
      </c>
      <c r="C79" s="42" t="s">
        <v>33</v>
      </c>
      <c r="D79" s="245"/>
      <c r="E79" s="246"/>
      <c r="F79" s="247"/>
    </row>
    <row r="80" spans="1:6" x14ac:dyDescent="0.35">
      <c r="A80" s="249"/>
      <c r="B80" s="85">
        <f>+B79/10</f>
        <v>1.1800000000000002</v>
      </c>
      <c r="C80" s="42" t="s">
        <v>113</v>
      </c>
      <c r="D80" s="50"/>
      <c r="E80" s="51"/>
      <c r="F80" s="52"/>
    </row>
    <row r="81" spans="1:6" x14ac:dyDescent="0.35">
      <c r="A81" s="19" t="s">
        <v>114</v>
      </c>
      <c r="B81" s="32"/>
      <c r="C81" s="15"/>
      <c r="D81" s="245"/>
      <c r="E81" s="246"/>
      <c r="F81" s="247"/>
    </row>
    <row r="82" spans="1:6" ht="14.25" customHeight="1" x14ac:dyDescent="0.35">
      <c r="A82" s="15" t="s">
        <v>115</v>
      </c>
      <c r="B82" s="31">
        <f>B73</f>
        <v>50</v>
      </c>
      <c r="C82" s="15" t="s">
        <v>100</v>
      </c>
      <c r="D82" s="245"/>
      <c r="E82" s="246"/>
      <c r="F82" s="247"/>
    </row>
    <row r="83" spans="1:6" ht="14.25" customHeight="1" x14ac:dyDescent="0.35">
      <c r="A83" s="15" t="s">
        <v>116</v>
      </c>
      <c r="B83" s="31">
        <f>B73</f>
        <v>50</v>
      </c>
      <c r="C83" s="15" t="s">
        <v>100</v>
      </c>
      <c r="D83" s="245"/>
      <c r="E83" s="246"/>
      <c r="F83" s="247"/>
    </row>
    <row r="84" spans="1:6" ht="14.25" customHeight="1" x14ac:dyDescent="0.35">
      <c r="A84" s="15" t="s">
        <v>117</v>
      </c>
      <c r="B84" s="31">
        <f>B73</f>
        <v>50</v>
      </c>
      <c r="C84" s="15" t="s">
        <v>100</v>
      </c>
      <c r="D84" s="50"/>
      <c r="E84" s="51"/>
      <c r="F84" s="52"/>
    </row>
    <row r="85" spans="1:6" x14ac:dyDescent="0.35">
      <c r="A85" s="15" t="s">
        <v>118</v>
      </c>
      <c r="B85" s="31">
        <f>B73</f>
        <v>50</v>
      </c>
      <c r="C85" s="15" t="s">
        <v>100</v>
      </c>
      <c r="D85" s="245"/>
      <c r="E85" s="246"/>
      <c r="F85" s="247"/>
    </row>
    <row r="86" spans="1:6" x14ac:dyDescent="0.35">
      <c r="A86" s="241" t="s">
        <v>119</v>
      </c>
      <c r="B86" s="241"/>
      <c r="C86" s="241"/>
      <c r="D86" s="102"/>
      <c r="E86" s="102"/>
      <c r="F86" s="102"/>
    </row>
    <row r="87" spans="1:6" x14ac:dyDescent="0.35">
      <c r="A87" s="16" t="s">
        <v>120</v>
      </c>
      <c r="B87" s="29">
        <f>B52</f>
        <v>4</v>
      </c>
      <c r="C87" s="15"/>
      <c r="D87" s="223" t="s">
        <v>121</v>
      </c>
      <c r="E87" s="224"/>
      <c r="F87" s="225"/>
    </row>
    <row r="88" spans="1:6" x14ac:dyDescent="0.35">
      <c r="A88" s="16" t="s">
        <v>122</v>
      </c>
      <c r="B88" s="61">
        <f>B43/B87</f>
        <v>0.25</v>
      </c>
      <c r="C88" s="15" t="s">
        <v>57</v>
      </c>
      <c r="D88" s="223"/>
      <c r="E88" s="224"/>
      <c r="F88" s="225"/>
    </row>
    <row r="89" spans="1:6" x14ac:dyDescent="0.35">
      <c r="A89" s="241" t="s">
        <v>123</v>
      </c>
      <c r="B89" s="241"/>
      <c r="C89" s="241"/>
      <c r="D89" s="102"/>
      <c r="E89" s="102"/>
      <c r="F89" s="102"/>
    </row>
    <row r="90" spans="1:6" x14ac:dyDescent="0.35">
      <c r="A90" s="6" t="s">
        <v>124</v>
      </c>
      <c r="B90" s="67">
        <f>+B57*2/100</f>
        <v>0.56433264798310023</v>
      </c>
      <c r="C90" s="10" t="s">
        <v>33</v>
      </c>
      <c r="D90" s="242"/>
      <c r="E90" s="243"/>
      <c r="F90" s="244"/>
    </row>
    <row r="91" spans="1:6" x14ac:dyDescent="0.35">
      <c r="A91" s="6" t="s">
        <v>125</v>
      </c>
      <c r="B91" s="30">
        <v>1</v>
      </c>
      <c r="C91" s="10" t="s">
        <v>33</v>
      </c>
      <c r="D91" s="242"/>
      <c r="E91" s="243"/>
      <c r="F91" s="244"/>
    </row>
    <row r="92" spans="1:6" ht="30" customHeight="1" x14ac:dyDescent="0.35">
      <c r="A92" s="38" t="s">
        <v>126</v>
      </c>
      <c r="B92" s="30">
        <v>40</v>
      </c>
      <c r="C92" s="15" t="s">
        <v>33</v>
      </c>
      <c r="D92" s="242"/>
      <c r="E92" s="243"/>
      <c r="F92" s="244"/>
    </row>
    <row r="93" spans="1:6" ht="29.25" customHeight="1" x14ac:dyDescent="0.35">
      <c r="A93" s="38" t="s">
        <v>127</v>
      </c>
      <c r="B93" s="31">
        <f>B92/B91</f>
        <v>40</v>
      </c>
      <c r="C93" s="10"/>
      <c r="D93" s="242"/>
      <c r="E93" s="243"/>
      <c r="F93" s="244"/>
    </row>
    <row r="94" spans="1:6" x14ac:dyDescent="0.35">
      <c r="A94" s="44" t="s">
        <v>128</v>
      </c>
      <c r="B94" s="59">
        <f>B93*B70</f>
        <v>10</v>
      </c>
      <c r="C94" s="15" t="s">
        <v>44</v>
      </c>
      <c r="D94" s="236"/>
      <c r="E94" s="237"/>
      <c r="F94" s="238"/>
    </row>
    <row r="95" spans="1:6" x14ac:dyDescent="0.35">
      <c r="A95" s="44" t="s">
        <v>129</v>
      </c>
      <c r="B95" s="76" t="s">
        <v>130</v>
      </c>
      <c r="C95" s="15"/>
      <c r="D95" s="236"/>
      <c r="E95" s="237"/>
      <c r="F95" s="238"/>
    </row>
    <row r="96" spans="1:6" ht="15.75" customHeight="1" x14ac:dyDescent="0.35">
      <c r="A96" s="6" t="s">
        <v>131</v>
      </c>
      <c r="B96" s="32">
        <f>(SQRT((B94/3600)/1.5))*1000</f>
        <v>43.03314829119352</v>
      </c>
      <c r="C96" s="15" t="s">
        <v>100</v>
      </c>
      <c r="D96" s="236" t="s">
        <v>132</v>
      </c>
      <c r="E96" s="237"/>
      <c r="F96" s="238"/>
    </row>
    <row r="97" spans="1:7" ht="15" customHeight="1" x14ac:dyDescent="0.35">
      <c r="A97" s="19" t="s">
        <v>133</v>
      </c>
      <c r="B97" s="81">
        <v>50</v>
      </c>
      <c r="C97" s="15" t="s">
        <v>100</v>
      </c>
      <c r="D97" s="236"/>
      <c r="E97" s="237"/>
      <c r="F97" s="238"/>
    </row>
    <row r="98" spans="1:7" ht="18" customHeight="1" x14ac:dyDescent="0.35">
      <c r="A98" s="6" t="s">
        <v>49</v>
      </c>
      <c r="B98" s="33">
        <f>10/100</f>
        <v>0.1</v>
      </c>
      <c r="C98" s="15" t="s">
        <v>103</v>
      </c>
      <c r="D98" s="236" t="s">
        <v>104</v>
      </c>
      <c r="E98" s="237"/>
      <c r="F98" s="238"/>
    </row>
    <row r="99" spans="1:7" ht="15" customHeight="1" x14ac:dyDescent="0.35">
      <c r="A99" s="6" t="s">
        <v>105</v>
      </c>
      <c r="B99" s="33">
        <v>0.3</v>
      </c>
      <c r="C99" s="15" t="s">
        <v>33</v>
      </c>
      <c r="D99" s="236" t="s">
        <v>106</v>
      </c>
      <c r="E99" s="237"/>
      <c r="F99" s="238"/>
      <c r="G99" s="36"/>
    </row>
    <row r="100" spans="1:7" x14ac:dyDescent="0.35">
      <c r="A100" s="6" t="s">
        <v>107</v>
      </c>
      <c r="B100" s="33">
        <v>0.4</v>
      </c>
      <c r="C100" s="15"/>
      <c r="D100" s="236" t="s">
        <v>108</v>
      </c>
      <c r="E100" s="237"/>
      <c r="F100" s="238"/>
      <c r="G100" s="36">
        <f>8000*2/3</f>
        <v>5333.333333333333</v>
      </c>
    </row>
    <row r="101" spans="1:7" ht="15.75" customHeight="1" x14ac:dyDescent="0.35">
      <c r="A101" s="16" t="s">
        <v>134</v>
      </c>
      <c r="B101" s="32">
        <f>B98*B92*B100+B99</f>
        <v>1.9000000000000001</v>
      </c>
      <c r="C101" s="15" t="s">
        <v>33</v>
      </c>
      <c r="D101" s="236" t="s">
        <v>110</v>
      </c>
      <c r="E101" s="237"/>
      <c r="F101" s="238"/>
      <c r="G101" s="36"/>
    </row>
    <row r="102" spans="1:7" ht="15.75" customHeight="1" x14ac:dyDescent="0.35">
      <c r="A102" s="16" t="s">
        <v>111</v>
      </c>
      <c r="B102" s="32">
        <f>20*B79/100</f>
        <v>2.36</v>
      </c>
      <c r="C102" s="15" t="s">
        <v>33</v>
      </c>
      <c r="D102" s="236"/>
      <c r="E102" s="237"/>
      <c r="F102" s="238"/>
      <c r="G102" s="36"/>
    </row>
    <row r="103" spans="1:7" ht="16.5" customHeight="1" x14ac:dyDescent="0.35">
      <c r="A103" s="239" t="s">
        <v>135</v>
      </c>
      <c r="B103" s="48">
        <f>B79+B101</f>
        <v>13.700000000000001</v>
      </c>
      <c r="C103" s="15" t="s">
        <v>33</v>
      </c>
      <c r="D103" s="236"/>
      <c r="E103" s="237"/>
      <c r="F103" s="238"/>
      <c r="G103" s="36"/>
    </row>
    <row r="104" spans="1:7" ht="12.75" customHeight="1" x14ac:dyDescent="0.35">
      <c r="A104" s="239"/>
      <c r="B104" s="86">
        <f>B103/10</f>
        <v>1.37</v>
      </c>
      <c r="C104" s="15" t="s">
        <v>113</v>
      </c>
      <c r="D104" s="236"/>
      <c r="E104" s="237"/>
      <c r="F104" s="238"/>
      <c r="G104" s="36"/>
    </row>
    <row r="105" spans="1:7" ht="19.5" customHeight="1" x14ac:dyDescent="0.35">
      <c r="A105" s="19" t="s">
        <v>114</v>
      </c>
      <c r="B105" s="32"/>
      <c r="C105" s="15"/>
      <c r="D105" s="240"/>
      <c r="E105" s="237"/>
      <c r="F105" s="238"/>
      <c r="G105" s="36"/>
    </row>
    <row r="106" spans="1:7" ht="19.5" customHeight="1" x14ac:dyDescent="0.35">
      <c r="A106" s="15" t="s">
        <v>136</v>
      </c>
      <c r="B106" s="31">
        <f>B97</f>
        <v>50</v>
      </c>
      <c r="C106" s="15" t="s">
        <v>100</v>
      </c>
      <c r="D106" s="231"/>
      <c r="E106" s="231"/>
      <c r="F106" s="231"/>
      <c r="G106" s="36"/>
    </row>
    <row r="107" spans="1:7" ht="19.5" customHeight="1" x14ac:dyDescent="0.35">
      <c r="A107" s="15" t="s">
        <v>137</v>
      </c>
      <c r="B107" s="33">
        <f>B97</f>
        <v>50</v>
      </c>
      <c r="C107" s="15" t="s">
        <v>100</v>
      </c>
      <c r="D107" s="90"/>
      <c r="E107" s="90"/>
      <c r="F107" s="90"/>
      <c r="G107" s="36"/>
    </row>
    <row r="108" spans="1:7" ht="19.5" customHeight="1" x14ac:dyDescent="0.35">
      <c r="A108" s="232" t="s">
        <v>138</v>
      </c>
      <c r="B108" s="233"/>
      <c r="C108" s="234"/>
      <c r="D108" s="103"/>
      <c r="E108" s="103"/>
      <c r="F108" s="103"/>
      <c r="G108" s="36"/>
    </row>
    <row r="109" spans="1:7" ht="32.25" customHeight="1" x14ac:dyDescent="0.35">
      <c r="A109" s="100" t="s">
        <v>139</v>
      </c>
      <c r="B109" s="57">
        <f>B41*B88/B27</f>
        <v>0.89337962962962958</v>
      </c>
      <c r="C109" s="87" t="s">
        <v>52</v>
      </c>
      <c r="D109" s="88">
        <f>B109*60</f>
        <v>53.602777777777774</v>
      </c>
      <c r="E109" s="89" t="s">
        <v>140</v>
      </c>
      <c r="F109" s="89"/>
      <c r="G109" s="36"/>
    </row>
    <row r="110" spans="1:7" ht="30" customHeight="1" x14ac:dyDescent="0.35">
      <c r="A110" s="101" t="s">
        <v>141</v>
      </c>
      <c r="B110" s="63">
        <f>+B109*B87</f>
        <v>3.5735185185185183</v>
      </c>
      <c r="C110" s="10" t="s">
        <v>52</v>
      </c>
      <c r="D110" s="65"/>
      <c r="E110" s="65"/>
      <c r="F110" s="65"/>
      <c r="G110" s="36"/>
    </row>
    <row r="111" spans="1:7" x14ac:dyDescent="0.35">
      <c r="A111" s="235" t="s">
        <v>142</v>
      </c>
      <c r="B111" s="235"/>
      <c r="C111" s="235"/>
      <c r="D111" s="235"/>
      <c r="E111" s="235"/>
      <c r="F111" s="235"/>
    </row>
    <row r="112" spans="1:7" x14ac:dyDescent="0.35">
      <c r="A112" s="16" t="s">
        <v>143</v>
      </c>
      <c r="B112" s="28" t="s">
        <v>144</v>
      </c>
      <c r="C112" s="15"/>
      <c r="D112" s="223" t="s">
        <v>145</v>
      </c>
      <c r="E112" s="224"/>
      <c r="F112" s="225"/>
    </row>
    <row r="113" spans="1:7" x14ac:dyDescent="0.35">
      <c r="A113" s="16" t="s">
        <v>146</v>
      </c>
      <c r="B113" s="30">
        <v>1</v>
      </c>
      <c r="C113" s="15" t="s">
        <v>147</v>
      </c>
      <c r="D113" s="223"/>
      <c r="E113" s="224"/>
      <c r="F113" s="225"/>
    </row>
    <row r="114" spans="1:7" x14ac:dyDescent="0.35">
      <c r="A114" s="16" t="s">
        <v>148</v>
      </c>
      <c r="B114" s="32">
        <f>B110/B87</f>
        <v>0.89337962962962958</v>
      </c>
      <c r="C114" s="15" t="s">
        <v>52</v>
      </c>
      <c r="D114" s="223"/>
      <c r="E114" s="224"/>
      <c r="F114" s="225"/>
    </row>
    <row r="115" spans="1:7" x14ac:dyDescent="0.35">
      <c r="A115" s="16" t="s">
        <v>149</v>
      </c>
      <c r="B115" s="32">
        <f>B88*B113/B114</f>
        <v>0.27983624397574752</v>
      </c>
      <c r="C115" s="15" t="s">
        <v>83</v>
      </c>
      <c r="D115" s="223"/>
      <c r="E115" s="224"/>
      <c r="F115" s="225"/>
    </row>
    <row r="116" spans="1:7" x14ac:dyDescent="0.35">
      <c r="A116" s="44" t="s">
        <v>150</v>
      </c>
      <c r="B116" s="77">
        <f>B113*B88</f>
        <v>0.25</v>
      </c>
      <c r="C116" s="78" t="s">
        <v>151</v>
      </c>
      <c r="D116" s="223"/>
      <c r="E116" s="224"/>
      <c r="F116" s="225"/>
    </row>
    <row r="117" spans="1:7" ht="35.25" customHeight="1" x14ac:dyDescent="0.35">
      <c r="A117" s="38" t="s">
        <v>152</v>
      </c>
      <c r="B117" s="32">
        <f>(100*B115)/(B115*B94)</f>
        <v>9.9999999999999982</v>
      </c>
      <c r="C117" s="15" t="s">
        <v>153</v>
      </c>
      <c r="D117" s="223"/>
      <c r="E117" s="224"/>
      <c r="F117" s="225"/>
    </row>
    <row r="118" spans="1:7" ht="30" customHeight="1" x14ac:dyDescent="0.35">
      <c r="A118" s="44" t="s">
        <v>154</v>
      </c>
      <c r="B118" s="79" t="s">
        <v>155</v>
      </c>
      <c r="C118" s="15"/>
      <c r="D118" s="223"/>
      <c r="E118" s="224"/>
      <c r="F118" s="225"/>
    </row>
    <row r="119" spans="1:7" ht="19.5" customHeight="1" x14ac:dyDescent="0.35">
      <c r="A119" s="16" t="s">
        <v>156</v>
      </c>
      <c r="B119" s="48">
        <f>B104*90/100</f>
        <v>1.2330000000000001</v>
      </c>
      <c r="C119" s="15" t="s">
        <v>113</v>
      </c>
      <c r="D119" s="228" t="s">
        <v>157</v>
      </c>
      <c r="E119" s="229"/>
      <c r="F119" s="230"/>
      <c r="G119" s="91">
        <f>B104</f>
        <v>1.37</v>
      </c>
    </row>
    <row r="120" spans="1:7" ht="29.25" customHeight="1" x14ac:dyDescent="0.35">
      <c r="A120" s="16" t="s">
        <v>158</v>
      </c>
      <c r="B120" s="80" t="s">
        <v>159</v>
      </c>
      <c r="C120" s="96"/>
      <c r="D120" s="223" t="s">
        <v>160</v>
      </c>
      <c r="E120" s="224"/>
      <c r="F120" s="225"/>
    </row>
    <row r="121" spans="1:7" x14ac:dyDescent="0.35">
      <c r="A121" s="6" t="s">
        <v>161</v>
      </c>
      <c r="B121" s="31">
        <f>B94*2.5</f>
        <v>25</v>
      </c>
      <c r="C121" s="15" t="s">
        <v>44</v>
      </c>
      <c r="D121" s="223"/>
      <c r="E121" s="224"/>
      <c r="F121" s="225"/>
    </row>
    <row r="122" spans="1:7" x14ac:dyDescent="0.35">
      <c r="A122" s="44" t="s">
        <v>162</v>
      </c>
      <c r="B122" s="59">
        <f>B97</f>
        <v>50</v>
      </c>
      <c r="C122" s="78" t="s">
        <v>100</v>
      </c>
      <c r="D122" s="110"/>
      <c r="E122" s="111"/>
      <c r="F122" s="112"/>
    </row>
    <row r="123" spans="1:7" x14ac:dyDescent="0.35">
      <c r="A123" s="44" t="s">
        <v>163</v>
      </c>
      <c r="B123" s="48">
        <f>B97</f>
        <v>50</v>
      </c>
      <c r="C123" s="78" t="s">
        <v>100</v>
      </c>
      <c r="D123" s="223"/>
      <c r="E123" s="224"/>
      <c r="F123" s="225"/>
    </row>
    <row r="124" spans="1:7" x14ac:dyDescent="0.35">
      <c r="A124" s="49" t="s">
        <v>114</v>
      </c>
      <c r="B124" s="41"/>
      <c r="C124" s="42"/>
      <c r="D124" s="223"/>
      <c r="E124" s="224"/>
      <c r="F124" s="225"/>
    </row>
    <row r="125" spans="1:7" x14ac:dyDescent="0.35">
      <c r="A125" s="42" t="s">
        <v>137</v>
      </c>
      <c r="B125" s="41">
        <f>B97</f>
        <v>50</v>
      </c>
      <c r="C125" s="42" t="s">
        <v>100</v>
      </c>
      <c r="D125" s="223"/>
      <c r="E125" s="224"/>
      <c r="F125" s="225"/>
    </row>
    <row r="126" spans="1:7" x14ac:dyDescent="0.35">
      <c r="A126" s="42" t="s">
        <v>164</v>
      </c>
      <c r="B126" s="41">
        <f>B97</f>
        <v>50</v>
      </c>
      <c r="C126" s="42" t="s">
        <v>100</v>
      </c>
      <c r="D126" s="223"/>
      <c r="E126" s="224"/>
      <c r="F126" s="225"/>
    </row>
    <row r="127" spans="1:7" x14ac:dyDescent="0.35">
      <c r="A127" s="42" t="s">
        <v>165</v>
      </c>
      <c r="B127" s="41">
        <v>10</v>
      </c>
      <c r="C127" s="42" t="s">
        <v>113</v>
      </c>
      <c r="D127" s="223"/>
      <c r="E127" s="224"/>
      <c r="F127" s="225"/>
    </row>
    <row r="128" spans="1:7" x14ac:dyDescent="0.35">
      <c r="A128" s="42" t="s">
        <v>166</v>
      </c>
      <c r="B128" s="41">
        <f>B97</f>
        <v>50</v>
      </c>
      <c r="C128" s="42" t="s">
        <v>100</v>
      </c>
      <c r="D128" s="223"/>
      <c r="E128" s="224"/>
      <c r="F128" s="225"/>
    </row>
    <row r="129" spans="1:6" x14ac:dyDescent="0.35">
      <c r="A129" s="97" t="s">
        <v>167</v>
      </c>
      <c r="B129" s="106">
        <f>+B97</f>
        <v>50</v>
      </c>
      <c r="C129" s="42" t="s">
        <v>100</v>
      </c>
      <c r="D129" s="107"/>
      <c r="E129" s="107"/>
      <c r="F129" s="107"/>
    </row>
    <row r="130" spans="1:6" x14ac:dyDescent="0.35">
      <c r="A130" s="97" t="s">
        <v>168</v>
      </c>
      <c r="B130" s="106">
        <f>B97</f>
        <v>50</v>
      </c>
      <c r="C130" s="42" t="s">
        <v>100</v>
      </c>
      <c r="D130" s="107"/>
      <c r="E130" s="107"/>
      <c r="F130" s="107"/>
    </row>
    <row r="131" spans="1:6" x14ac:dyDescent="0.35">
      <c r="A131" s="226" t="s">
        <v>169</v>
      </c>
      <c r="B131" s="226"/>
      <c r="C131" s="226"/>
      <c r="D131" s="102"/>
      <c r="E131" s="102"/>
      <c r="F131" s="102"/>
    </row>
    <row r="132" spans="1:6" x14ac:dyDescent="0.35">
      <c r="A132" s="16" t="s">
        <v>170</v>
      </c>
      <c r="B132" s="40">
        <v>50</v>
      </c>
      <c r="C132" s="15" t="s">
        <v>33</v>
      </c>
      <c r="D132" s="38"/>
      <c r="E132" s="16"/>
      <c r="F132" s="16"/>
    </row>
    <row r="133" spans="1:6" x14ac:dyDescent="0.35">
      <c r="A133" s="16" t="s">
        <v>171</v>
      </c>
      <c r="B133" s="18">
        <f>B94</f>
        <v>10</v>
      </c>
      <c r="C133" s="55" t="str">
        <f>C94</f>
        <v>m3/h</v>
      </c>
      <c r="D133" s="38"/>
      <c r="E133" s="16"/>
      <c r="F133" s="16"/>
    </row>
    <row r="134" spans="1:6" x14ac:dyDescent="0.35">
      <c r="A134" s="44" t="str">
        <f>A95</f>
        <v>Type de porte rampe</v>
      </c>
      <c r="B134" s="48" t="s">
        <v>172</v>
      </c>
      <c r="C134" s="15"/>
      <c r="D134" s="38"/>
      <c r="E134" s="16"/>
      <c r="F134" s="16"/>
    </row>
    <row r="135" spans="1:6" x14ac:dyDescent="0.35">
      <c r="A135" s="16" t="str">
        <f t="shared" ref="A135:C138" si="0">A96</f>
        <v xml:space="preserve">Diamètre théorique </v>
      </c>
      <c r="B135" s="18">
        <f>B96</f>
        <v>43.03314829119352</v>
      </c>
      <c r="C135" s="15" t="str">
        <f t="shared" si="0"/>
        <v>mm</v>
      </c>
      <c r="D135" s="38"/>
      <c r="E135" s="16"/>
      <c r="F135" s="16"/>
    </row>
    <row r="136" spans="1:6" x14ac:dyDescent="0.35">
      <c r="A136" s="44" t="str">
        <f>A97</f>
        <v>Diamètre commercial (mm)</v>
      </c>
      <c r="B136" s="44">
        <v>63</v>
      </c>
      <c r="C136" s="15" t="str">
        <f t="shared" si="0"/>
        <v>mm</v>
      </c>
      <c r="D136" s="38"/>
      <c r="E136" s="16"/>
      <c r="F136" s="16"/>
    </row>
    <row r="137" spans="1:6" x14ac:dyDescent="0.35">
      <c r="A137" s="16" t="str">
        <f t="shared" si="0"/>
        <v xml:space="preserve">Gradient hydraulique </v>
      </c>
      <c r="B137" s="16">
        <f>3/100</f>
        <v>0.03</v>
      </c>
      <c r="C137" s="15" t="str">
        <f t="shared" si="0"/>
        <v>m/ml</v>
      </c>
      <c r="D137" s="38"/>
      <c r="E137" s="16"/>
      <c r="F137" s="16"/>
    </row>
    <row r="138" spans="1:6" x14ac:dyDescent="0.35">
      <c r="A138" s="16" t="str">
        <f t="shared" si="0"/>
        <v>Pente du terrain</v>
      </c>
      <c r="B138" s="16">
        <f t="shared" si="0"/>
        <v>0.3</v>
      </c>
      <c r="C138" s="15" t="str">
        <f t="shared" si="0"/>
        <v>m</v>
      </c>
      <c r="D138" s="38"/>
      <c r="E138" s="16"/>
      <c r="F138" s="16"/>
    </row>
    <row r="139" spans="1:6" x14ac:dyDescent="0.35">
      <c r="A139" s="16" t="str">
        <f>A101</f>
        <v>Perte de charge totale</v>
      </c>
      <c r="B139" s="24">
        <f>B132*B137+B138</f>
        <v>1.8</v>
      </c>
      <c r="C139" s="15" t="s">
        <v>33</v>
      </c>
      <c r="D139" s="38"/>
      <c r="E139" s="16"/>
      <c r="F139" s="16"/>
    </row>
    <row r="140" spans="1:6" x14ac:dyDescent="0.35">
      <c r="A140" s="227" t="s">
        <v>173</v>
      </c>
      <c r="B140" s="58">
        <f>(B103+B139)*1.1</f>
        <v>17.050000000000004</v>
      </c>
      <c r="C140" s="15" t="str">
        <f>C103</f>
        <v>m</v>
      </c>
      <c r="D140" s="38"/>
      <c r="E140" s="16"/>
      <c r="F140" s="16"/>
    </row>
    <row r="141" spans="1:6" x14ac:dyDescent="0.35">
      <c r="A141" s="227"/>
      <c r="B141" s="92">
        <f>B140/10</f>
        <v>1.7050000000000005</v>
      </c>
      <c r="C141" s="15" t="str">
        <f>C104</f>
        <v>bar</v>
      </c>
      <c r="D141" s="38"/>
      <c r="E141" s="16"/>
      <c r="F141" s="16"/>
    </row>
    <row r="142" spans="1:6" x14ac:dyDescent="0.35">
      <c r="A142" s="44" t="str">
        <f>A105</f>
        <v>Autres accessoires</v>
      </c>
      <c r="B142" s="16"/>
      <c r="C142" s="15"/>
      <c r="D142" s="38"/>
      <c r="E142" s="16"/>
      <c r="F142" s="16"/>
    </row>
    <row r="143" spans="1:6" x14ac:dyDescent="0.35">
      <c r="A143" s="15" t="str">
        <f>A125</f>
        <v>Vanne</v>
      </c>
      <c r="B143" s="15">
        <f>$B$136</f>
        <v>63</v>
      </c>
      <c r="C143" s="15" t="s">
        <v>100</v>
      </c>
      <c r="D143" s="38"/>
      <c r="E143" s="16"/>
      <c r="F143" s="16"/>
    </row>
    <row r="144" spans="1:6" x14ac:dyDescent="0.35">
      <c r="A144" s="15" t="s">
        <v>174</v>
      </c>
      <c r="B144" s="15">
        <f>$B$136</f>
        <v>63</v>
      </c>
      <c r="C144" s="15" t="s">
        <v>100</v>
      </c>
      <c r="D144" s="38"/>
      <c r="E144" s="16"/>
      <c r="F144" s="16"/>
    </row>
    <row r="145" spans="1:6" x14ac:dyDescent="0.35">
      <c r="A145" s="15" t="s">
        <v>175</v>
      </c>
      <c r="B145" s="15">
        <f>$B$136</f>
        <v>63</v>
      </c>
      <c r="C145" s="15" t="s">
        <v>100</v>
      </c>
      <c r="D145" s="38"/>
      <c r="E145" s="108"/>
      <c r="F145" s="16"/>
    </row>
    <row r="146" spans="1:6" x14ac:dyDescent="0.35">
      <c r="A146" s="15" t="s">
        <v>136</v>
      </c>
      <c r="B146" s="15">
        <f>$B$136</f>
        <v>63</v>
      </c>
      <c r="C146" s="15" t="s">
        <v>100</v>
      </c>
      <c r="D146" s="38"/>
      <c r="E146" s="16"/>
      <c r="F146" s="16"/>
    </row>
  </sheetData>
  <mergeCells count="127">
    <mergeCell ref="D6:F6"/>
    <mergeCell ref="D7:F7"/>
    <mergeCell ref="D8:F8"/>
    <mergeCell ref="A9:A10"/>
    <mergeCell ref="D9:F9"/>
    <mergeCell ref="D10:F10"/>
    <mergeCell ref="D1:F1"/>
    <mergeCell ref="A2:C2"/>
    <mergeCell ref="B3:C3"/>
    <mergeCell ref="D3:F3"/>
    <mergeCell ref="D4:F4"/>
    <mergeCell ref="D5:F5"/>
    <mergeCell ref="A21:C21"/>
    <mergeCell ref="B22:C22"/>
    <mergeCell ref="D22:F22"/>
    <mergeCell ref="A11:C11"/>
    <mergeCell ref="D12:F12"/>
    <mergeCell ref="D13:F13"/>
    <mergeCell ref="A14:C14"/>
    <mergeCell ref="D15:F15"/>
    <mergeCell ref="D16:F16"/>
    <mergeCell ref="D23:F23"/>
    <mergeCell ref="D24:F24"/>
    <mergeCell ref="D25:F25"/>
    <mergeCell ref="D26:F26"/>
    <mergeCell ref="D27:F27"/>
    <mergeCell ref="D28:F28"/>
    <mergeCell ref="D17:F17"/>
    <mergeCell ref="D18:F18"/>
    <mergeCell ref="D19:F19"/>
    <mergeCell ref="D20:F20"/>
    <mergeCell ref="D38:F38"/>
    <mergeCell ref="D39:F39"/>
    <mergeCell ref="A40:C40"/>
    <mergeCell ref="D41:F41"/>
    <mergeCell ref="D42:F42"/>
    <mergeCell ref="D43:F43"/>
    <mergeCell ref="D29:F29"/>
    <mergeCell ref="D30:F30"/>
    <mergeCell ref="D31:F31"/>
    <mergeCell ref="D32:F32"/>
    <mergeCell ref="A36:C36"/>
    <mergeCell ref="B37:C37"/>
    <mergeCell ref="D37:F37"/>
    <mergeCell ref="D52:F52"/>
    <mergeCell ref="D53:F53"/>
    <mergeCell ref="D54:F54"/>
    <mergeCell ref="A55:C55"/>
    <mergeCell ref="D56:F56"/>
    <mergeCell ref="A57:A58"/>
    <mergeCell ref="D57:F57"/>
    <mergeCell ref="D58:F58"/>
    <mergeCell ref="D44:F44"/>
    <mergeCell ref="A45:C45"/>
    <mergeCell ref="D46:F46"/>
    <mergeCell ref="A48:A49"/>
    <mergeCell ref="D50:F50"/>
    <mergeCell ref="A51:C51"/>
    <mergeCell ref="A64:A65"/>
    <mergeCell ref="D64:F64"/>
    <mergeCell ref="A66:A67"/>
    <mergeCell ref="D66:F66"/>
    <mergeCell ref="D68:F68"/>
    <mergeCell ref="D69:F69"/>
    <mergeCell ref="D59:F59"/>
    <mergeCell ref="B60:C60"/>
    <mergeCell ref="D60:F60"/>
    <mergeCell ref="D61:F61"/>
    <mergeCell ref="D62:F62"/>
    <mergeCell ref="A63:C63"/>
    <mergeCell ref="D76:F76"/>
    <mergeCell ref="D77:F77"/>
    <mergeCell ref="D78:F78"/>
    <mergeCell ref="A79:A80"/>
    <mergeCell ref="D79:F79"/>
    <mergeCell ref="D81:F81"/>
    <mergeCell ref="D70:F70"/>
    <mergeCell ref="D71:F71"/>
    <mergeCell ref="D72:F72"/>
    <mergeCell ref="D73:F73"/>
    <mergeCell ref="D74:F74"/>
    <mergeCell ref="D75:F75"/>
    <mergeCell ref="A89:C89"/>
    <mergeCell ref="D90:F90"/>
    <mergeCell ref="D91:F91"/>
    <mergeCell ref="D92:F92"/>
    <mergeCell ref="D93:F93"/>
    <mergeCell ref="D94:F94"/>
    <mergeCell ref="D82:F82"/>
    <mergeCell ref="D83:F83"/>
    <mergeCell ref="D85:F85"/>
    <mergeCell ref="A86:C86"/>
    <mergeCell ref="D87:F87"/>
    <mergeCell ref="D88:F88"/>
    <mergeCell ref="D101:F101"/>
    <mergeCell ref="D102:F102"/>
    <mergeCell ref="A103:A104"/>
    <mergeCell ref="D103:F103"/>
    <mergeCell ref="D104:F104"/>
    <mergeCell ref="D105:F105"/>
    <mergeCell ref="D95:F95"/>
    <mergeCell ref="D96:F96"/>
    <mergeCell ref="D97:F97"/>
    <mergeCell ref="D98:F98"/>
    <mergeCell ref="D99:F99"/>
    <mergeCell ref="D100:F100"/>
    <mergeCell ref="D115:F115"/>
    <mergeCell ref="D116:F116"/>
    <mergeCell ref="D117:F117"/>
    <mergeCell ref="D118:F118"/>
    <mergeCell ref="D119:F119"/>
    <mergeCell ref="D120:F120"/>
    <mergeCell ref="D106:F106"/>
    <mergeCell ref="A108:C108"/>
    <mergeCell ref="A111:F111"/>
    <mergeCell ref="D112:F112"/>
    <mergeCell ref="D113:F113"/>
    <mergeCell ref="D114:F114"/>
    <mergeCell ref="D128:F128"/>
    <mergeCell ref="A131:C131"/>
    <mergeCell ref="A140:A141"/>
    <mergeCell ref="D121:F121"/>
    <mergeCell ref="D123:F123"/>
    <mergeCell ref="D124:F124"/>
    <mergeCell ref="D125:F125"/>
    <mergeCell ref="D126:F126"/>
    <mergeCell ref="D127:F127"/>
  </mergeCells>
  <pageMargins left="0.7" right="0.7" top="0.75" bottom="0.75" header="0.3" footer="0.3"/>
  <pageSetup orientation="portrait" horizontalDpi="4294967294"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65"/>
  <sheetViews>
    <sheetView tabSelected="1" zoomScale="80" zoomScaleNormal="80" workbookViewId="0">
      <selection activeCell="B58" sqref="B58"/>
    </sheetView>
  </sheetViews>
  <sheetFormatPr baseColWidth="10" defaultColWidth="11.453125" defaultRowHeight="14.5" x14ac:dyDescent="0.35"/>
  <cols>
    <col min="1" max="1" width="6.453125" style="117" bestFit="1" customWidth="1"/>
    <col min="2" max="2" width="66.54296875" style="117" customWidth="1"/>
    <col min="3" max="3" width="8.453125" style="114" customWidth="1"/>
    <col min="4" max="4" width="10.54296875" style="114" bestFit="1" customWidth="1"/>
    <col min="5" max="5" width="14.453125" style="113" bestFit="1" customWidth="1"/>
    <col min="6" max="6" width="18.26953125" style="113" customWidth="1"/>
    <col min="7" max="7" width="17.54296875" style="4" customWidth="1"/>
    <col min="8" max="8" width="12.81640625" style="4" customWidth="1"/>
    <col min="9" max="9" width="13.7265625" style="4" customWidth="1"/>
    <col min="10" max="10" width="14.26953125" style="4" customWidth="1"/>
    <col min="11" max="16384" width="11.453125" style="4"/>
  </cols>
  <sheetData>
    <row r="1" spans="1:10" x14ac:dyDescent="0.35">
      <c r="A1" s="280" t="s">
        <v>176</v>
      </c>
      <c r="B1" s="280"/>
      <c r="C1" s="280"/>
      <c r="D1" s="280"/>
      <c r="E1" s="280"/>
      <c r="F1" s="280"/>
      <c r="G1" s="152"/>
    </row>
    <row r="2" spans="1:10" ht="15" thickBot="1" x14ac:dyDescent="0.4">
      <c r="A2" s="174" t="s">
        <v>177</v>
      </c>
      <c r="B2" s="175" t="s">
        <v>178</v>
      </c>
      <c r="C2" s="175" t="s">
        <v>2</v>
      </c>
      <c r="D2" s="176" t="s">
        <v>179</v>
      </c>
      <c r="E2" s="177" t="s">
        <v>180</v>
      </c>
      <c r="F2" s="178" t="s">
        <v>181</v>
      </c>
      <c r="G2" s="152"/>
    </row>
    <row r="3" spans="1:10" s="116" customFormat="1" ht="21.65" customHeight="1" x14ac:dyDescent="0.35">
      <c r="A3" s="121">
        <v>100</v>
      </c>
      <c r="B3" s="122" t="s">
        <v>182</v>
      </c>
      <c r="C3" s="123"/>
      <c r="D3" s="123"/>
      <c r="E3" s="124"/>
      <c r="F3" s="125">
        <f>+F4</f>
        <v>0</v>
      </c>
      <c r="G3" s="194"/>
    </row>
    <row r="4" spans="1:10" s="118" customFormat="1" ht="37.5" x14ac:dyDescent="0.35">
      <c r="A4" s="126">
        <v>101</v>
      </c>
      <c r="B4" s="127" t="s">
        <v>183</v>
      </c>
      <c r="C4" s="128" t="s">
        <v>184</v>
      </c>
      <c r="D4" s="129">
        <v>1</v>
      </c>
      <c r="E4" s="130"/>
      <c r="F4" s="129">
        <f>E4*D4</f>
        <v>0</v>
      </c>
      <c r="G4" s="195"/>
    </row>
    <row r="5" spans="1:10" s="152" customFormat="1" ht="13" x14ac:dyDescent="0.35">
      <c r="A5" s="131">
        <v>200</v>
      </c>
      <c r="B5" s="132" t="s">
        <v>185</v>
      </c>
      <c r="C5" s="133"/>
      <c r="D5" s="133"/>
      <c r="E5" s="134"/>
      <c r="F5" s="172">
        <f>SUM(F6:F7)</f>
        <v>0</v>
      </c>
      <c r="H5" s="193"/>
      <c r="I5" s="193"/>
      <c r="J5" s="193"/>
    </row>
    <row r="6" spans="1:10" s="152" customFormat="1" ht="12.5" x14ac:dyDescent="0.35">
      <c r="A6" s="135">
        <v>201</v>
      </c>
      <c r="B6" s="136" t="s">
        <v>186</v>
      </c>
      <c r="C6" s="137" t="s">
        <v>187</v>
      </c>
      <c r="D6" s="138">
        <v>546</v>
      </c>
      <c r="E6" s="138"/>
      <c r="F6" s="139">
        <f t="shared" ref="F6:F7" si="0">E6*D6</f>
        <v>0</v>
      </c>
    </row>
    <row r="7" spans="1:10" s="152" customFormat="1" ht="12.5" x14ac:dyDescent="0.35">
      <c r="A7" s="135">
        <v>202</v>
      </c>
      <c r="B7" s="136" t="s">
        <v>188</v>
      </c>
      <c r="C7" s="137" t="s">
        <v>189</v>
      </c>
      <c r="D7" s="138">
        <v>10</v>
      </c>
      <c r="E7" s="138"/>
      <c r="F7" s="139">
        <f t="shared" si="0"/>
        <v>0</v>
      </c>
    </row>
    <row r="8" spans="1:10" x14ac:dyDescent="0.35">
      <c r="A8" s="131">
        <v>300</v>
      </c>
      <c r="B8" s="132" t="s">
        <v>190</v>
      </c>
      <c r="C8" s="133"/>
      <c r="D8" s="133"/>
      <c r="E8" s="134"/>
      <c r="F8" s="172">
        <f>SUM(F9:F12)</f>
        <v>0</v>
      </c>
      <c r="H8" s="202"/>
      <c r="I8" s="202"/>
      <c r="J8" s="202"/>
    </row>
    <row r="9" spans="1:10" x14ac:dyDescent="0.35">
      <c r="A9" s="135">
        <v>301</v>
      </c>
      <c r="B9" s="136" t="s">
        <v>186</v>
      </c>
      <c r="C9" s="137" t="s">
        <v>187</v>
      </c>
      <c r="D9" s="138">
        <v>200</v>
      </c>
      <c r="E9" s="138"/>
      <c r="F9" s="139">
        <f t="shared" ref="F9:F10" si="1">E9*D9</f>
        <v>0</v>
      </c>
      <c r="G9" s="152"/>
    </row>
    <row r="10" spans="1:10" x14ac:dyDescent="0.35">
      <c r="A10" s="135">
        <f>+A9+1</f>
        <v>302</v>
      </c>
      <c r="B10" s="136" t="s">
        <v>191</v>
      </c>
      <c r="C10" s="137" t="s">
        <v>187</v>
      </c>
      <c r="D10" s="138">
        <v>180</v>
      </c>
      <c r="E10" s="138"/>
      <c r="F10" s="139">
        <f t="shared" si="1"/>
        <v>0</v>
      </c>
      <c r="G10" s="152"/>
    </row>
    <row r="11" spans="1:10" x14ac:dyDescent="0.35">
      <c r="A11" s="135">
        <f t="shared" ref="A11:A12" si="2">+A10+1</f>
        <v>303</v>
      </c>
      <c r="B11" s="136" t="s">
        <v>188</v>
      </c>
      <c r="C11" s="137" t="s">
        <v>189</v>
      </c>
      <c r="D11" s="138">
        <v>4</v>
      </c>
      <c r="E11" s="138"/>
      <c r="F11" s="139">
        <f>E11*D11</f>
        <v>0</v>
      </c>
      <c r="G11" s="152"/>
    </row>
    <row r="12" spans="1:10" x14ac:dyDescent="0.35">
      <c r="A12" s="135">
        <f t="shared" si="2"/>
        <v>304</v>
      </c>
      <c r="B12" s="136" t="s">
        <v>192</v>
      </c>
      <c r="C12" s="137" t="s">
        <v>189</v>
      </c>
      <c r="D12" s="138">
        <v>6</v>
      </c>
      <c r="E12" s="138"/>
      <c r="F12" s="139">
        <f>E12*D12</f>
        <v>0</v>
      </c>
      <c r="G12" s="152"/>
    </row>
    <row r="13" spans="1:10" x14ac:dyDescent="0.35">
      <c r="A13" s="131">
        <v>400</v>
      </c>
      <c r="B13" s="132" t="s">
        <v>193</v>
      </c>
      <c r="C13" s="133"/>
      <c r="D13" s="133"/>
      <c r="E13" s="134"/>
      <c r="F13" s="172">
        <f>SUM(F14:F31)</f>
        <v>0</v>
      </c>
    </row>
    <row r="14" spans="1:10" x14ac:dyDescent="0.35">
      <c r="A14" s="140"/>
      <c r="B14" s="141" t="s">
        <v>194</v>
      </c>
      <c r="C14" s="142"/>
      <c r="D14" s="143"/>
      <c r="E14" s="144"/>
      <c r="F14" s="145"/>
      <c r="G14" s="152"/>
    </row>
    <row r="15" spans="1:10" x14ac:dyDescent="0.35">
      <c r="A15" s="135">
        <v>401</v>
      </c>
      <c r="B15" s="136" t="s">
        <v>195</v>
      </c>
      <c r="C15" s="137" t="s">
        <v>189</v>
      </c>
      <c r="D15" s="138">
        <v>4</v>
      </c>
      <c r="E15" s="146"/>
      <c r="F15" s="139">
        <f>E15*D15</f>
        <v>0</v>
      </c>
      <c r="G15" s="152"/>
    </row>
    <row r="16" spans="1:10" x14ac:dyDescent="0.35">
      <c r="A16" s="135">
        <f t="shared" ref="A16:A21" si="3">+A15+1</f>
        <v>402</v>
      </c>
      <c r="B16" s="136" t="s">
        <v>196</v>
      </c>
      <c r="C16" s="137" t="s">
        <v>189</v>
      </c>
      <c r="D16" s="138">
        <v>4</v>
      </c>
      <c r="E16" s="146"/>
      <c r="F16" s="139">
        <f t="shared" ref="F16:F31" si="4">E16*D16</f>
        <v>0</v>
      </c>
      <c r="G16" s="152"/>
    </row>
    <row r="17" spans="1:7" x14ac:dyDescent="0.35">
      <c r="A17" s="135">
        <f t="shared" si="3"/>
        <v>403</v>
      </c>
      <c r="B17" s="136" t="s">
        <v>197</v>
      </c>
      <c r="C17" s="137" t="s">
        <v>189</v>
      </c>
      <c r="D17" s="138">
        <v>4</v>
      </c>
      <c r="E17" s="146"/>
      <c r="F17" s="139">
        <f t="shared" si="4"/>
        <v>0</v>
      </c>
      <c r="G17" s="152"/>
    </row>
    <row r="18" spans="1:7" x14ac:dyDescent="0.35">
      <c r="A18" s="135">
        <f t="shared" si="3"/>
        <v>404</v>
      </c>
      <c r="B18" s="136" t="s">
        <v>198</v>
      </c>
      <c r="C18" s="137" t="s">
        <v>189</v>
      </c>
      <c r="D18" s="138">
        <v>4</v>
      </c>
      <c r="E18" s="146"/>
      <c r="F18" s="139">
        <f t="shared" si="4"/>
        <v>0</v>
      </c>
      <c r="G18" s="152"/>
    </row>
    <row r="19" spans="1:7" x14ac:dyDescent="0.35">
      <c r="A19" s="135">
        <f t="shared" si="3"/>
        <v>405</v>
      </c>
      <c r="B19" s="136" t="s">
        <v>199</v>
      </c>
      <c r="C19" s="137" t="s">
        <v>189</v>
      </c>
      <c r="D19" s="138">
        <v>4</v>
      </c>
      <c r="E19" s="146"/>
      <c r="F19" s="139">
        <f t="shared" si="4"/>
        <v>0</v>
      </c>
      <c r="G19" s="152"/>
    </row>
    <row r="20" spans="1:7" x14ac:dyDescent="0.35">
      <c r="A20" s="135">
        <f t="shared" si="3"/>
        <v>406</v>
      </c>
      <c r="B20" s="136" t="s">
        <v>200</v>
      </c>
      <c r="C20" s="137" t="s">
        <v>189</v>
      </c>
      <c r="D20" s="138">
        <v>4</v>
      </c>
      <c r="E20" s="146"/>
      <c r="F20" s="139">
        <f t="shared" si="4"/>
        <v>0</v>
      </c>
      <c r="G20" s="152"/>
    </row>
    <row r="21" spans="1:7" x14ac:dyDescent="0.35">
      <c r="A21" s="135">
        <f t="shared" si="3"/>
        <v>407</v>
      </c>
      <c r="B21" s="136" t="s">
        <v>201</v>
      </c>
      <c r="C21" s="137" t="s">
        <v>189</v>
      </c>
      <c r="D21" s="138">
        <v>4</v>
      </c>
      <c r="E21" s="146"/>
      <c r="F21" s="139">
        <f t="shared" si="4"/>
        <v>0</v>
      </c>
      <c r="G21" s="152"/>
    </row>
    <row r="22" spans="1:7" x14ac:dyDescent="0.35">
      <c r="A22" s="140"/>
      <c r="B22" s="141" t="s">
        <v>202</v>
      </c>
      <c r="C22" s="142"/>
      <c r="D22" s="143"/>
      <c r="E22" s="144"/>
      <c r="F22" s="145"/>
      <c r="G22" s="152"/>
    </row>
    <row r="23" spans="1:7" x14ac:dyDescent="0.35">
      <c r="A23" s="135">
        <f>+A21+1</f>
        <v>408</v>
      </c>
      <c r="B23" s="136" t="s">
        <v>203</v>
      </c>
      <c r="C23" s="137" t="s">
        <v>187</v>
      </c>
      <c r="D23" s="138">
        <v>160</v>
      </c>
      <c r="E23" s="146"/>
      <c r="F23" s="139">
        <f t="shared" si="4"/>
        <v>0</v>
      </c>
      <c r="G23" s="152"/>
    </row>
    <row r="24" spans="1:7" x14ac:dyDescent="0.35">
      <c r="A24" s="135">
        <f>+A23+1</f>
        <v>409</v>
      </c>
      <c r="B24" s="136" t="s">
        <v>204</v>
      </c>
      <c r="C24" s="137" t="s">
        <v>189</v>
      </c>
      <c r="D24" s="138">
        <v>4</v>
      </c>
      <c r="E24" s="146"/>
      <c r="F24" s="139">
        <f t="shared" si="4"/>
        <v>0</v>
      </c>
      <c r="G24" s="152"/>
    </row>
    <row r="25" spans="1:7" x14ac:dyDescent="0.35">
      <c r="A25" s="140"/>
      <c r="B25" s="141" t="s">
        <v>205</v>
      </c>
      <c r="C25" s="142"/>
      <c r="D25" s="143"/>
      <c r="E25" s="144"/>
      <c r="F25" s="145"/>
      <c r="G25" s="152"/>
    </row>
    <row r="26" spans="1:7" x14ac:dyDescent="0.35">
      <c r="A26" s="135">
        <f>+A24+1</f>
        <v>410</v>
      </c>
      <c r="B26" s="136" t="s">
        <v>206</v>
      </c>
      <c r="C26" s="137" t="s">
        <v>187</v>
      </c>
      <c r="D26" s="138">
        <f>268*50</f>
        <v>13400</v>
      </c>
      <c r="E26" s="146"/>
      <c r="F26" s="139">
        <f t="shared" si="4"/>
        <v>0</v>
      </c>
      <c r="G26" s="152"/>
    </row>
    <row r="27" spans="1:7" x14ac:dyDescent="0.35">
      <c r="A27" s="135">
        <f>+A26+1</f>
        <v>411</v>
      </c>
      <c r="B27" s="136" t="s">
        <v>207</v>
      </c>
      <c r="C27" s="137" t="s">
        <v>189</v>
      </c>
      <c r="D27" s="138">
        <v>268</v>
      </c>
      <c r="E27" s="146"/>
      <c r="F27" s="139">
        <f t="shared" si="4"/>
        <v>0</v>
      </c>
      <c r="G27" s="152"/>
    </row>
    <row r="28" spans="1:7" x14ac:dyDescent="0.35">
      <c r="A28" s="135">
        <f>+A27+1</f>
        <v>412</v>
      </c>
      <c r="B28" s="136" t="s">
        <v>208</v>
      </c>
      <c r="C28" s="137" t="s">
        <v>189</v>
      </c>
      <c r="D28" s="138">
        <v>268</v>
      </c>
      <c r="E28" s="146"/>
      <c r="F28" s="139">
        <f t="shared" si="4"/>
        <v>0</v>
      </c>
      <c r="G28" s="152"/>
    </row>
    <row r="29" spans="1:7" x14ac:dyDescent="0.35">
      <c r="A29" s="135">
        <f>+A28+1</f>
        <v>413</v>
      </c>
      <c r="B29" s="136" t="s">
        <v>209</v>
      </c>
      <c r="C29" s="137" t="s">
        <v>189</v>
      </c>
      <c r="D29" s="138">
        <v>30</v>
      </c>
      <c r="E29" s="146"/>
      <c r="F29" s="139">
        <f t="shared" si="4"/>
        <v>0</v>
      </c>
      <c r="G29" s="152"/>
    </row>
    <row r="30" spans="1:7" x14ac:dyDescent="0.35">
      <c r="A30" s="135"/>
      <c r="B30" s="141" t="s">
        <v>210</v>
      </c>
      <c r="C30" s="142"/>
      <c r="D30" s="143"/>
      <c r="E30" s="144"/>
      <c r="F30" s="145"/>
      <c r="G30" s="152"/>
    </row>
    <row r="31" spans="1:7" x14ac:dyDescent="0.35">
      <c r="A31" s="135">
        <v>414</v>
      </c>
      <c r="B31" s="136" t="s">
        <v>211</v>
      </c>
      <c r="C31" s="137" t="s">
        <v>189</v>
      </c>
      <c r="D31" s="138">
        <v>12</v>
      </c>
      <c r="E31" s="146"/>
      <c r="F31" s="139">
        <f t="shared" si="4"/>
        <v>0</v>
      </c>
      <c r="G31" s="152"/>
    </row>
    <row r="32" spans="1:7" x14ac:dyDescent="0.35">
      <c r="A32" s="131">
        <v>500</v>
      </c>
      <c r="B32" s="132" t="s">
        <v>212</v>
      </c>
      <c r="C32" s="133"/>
      <c r="D32" s="133"/>
      <c r="E32" s="134"/>
      <c r="F32" s="172">
        <f>SUM(F33:F41)</f>
        <v>0</v>
      </c>
    </row>
    <row r="33" spans="1:7" x14ac:dyDescent="0.35">
      <c r="A33" s="135">
        <v>501</v>
      </c>
      <c r="B33" s="136" t="s">
        <v>213</v>
      </c>
      <c r="C33" s="137" t="s">
        <v>187</v>
      </c>
      <c r="D33" s="138">
        <v>420</v>
      </c>
      <c r="E33" s="190"/>
      <c r="F33" s="139">
        <f>E33*D33</f>
        <v>0</v>
      </c>
      <c r="G33" s="152"/>
    </row>
    <row r="34" spans="1:7" x14ac:dyDescent="0.35">
      <c r="A34" s="135">
        <f>+A33+1</f>
        <v>502</v>
      </c>
      <c r="B34" s="136" t="s">
        <v>214</v>
      </c>
      <c r="C34" s="137" t="s">
        <v>189</v>
      </c>
      <c r="D34" s="138">
        <v>18</v>
      </c>
      <c r="E34" s="190"/>
      <c r="F34" s="139">
        <f t="shared" ref="F34:F41" si="5">E34*D34</f>
        <v>0</v>
      </c>
      <c r="G34" s="152"/>
    </row>
    <row r="35" spans="1:7" x14ac:dyDescent="0.35">
      <c r="A35" s="135">
        <f t="shared" ref="A35:A41" si="6">+A34+1</f>
        <v>503</v>
      </c>
      <c r="B35" s="136" t="s">
        <v>215</v>
      </c>
      <c r="C35" s="137" t="s">
        <v>189</v>
      </c>
      <c r="D35" s="138">
        <v>18</v>
      </c>
      <c r="E35" s="190"/>
      <c r="F35" s="139">
        <f t="shared" si="5"/>
        <v>0</v>
      </c>
      <c r="G35" s="152"/>
    </row>
    <row r="36" spans="1:7" x14ac:dyDescent="0.35">
      <c r="A36" s="135">
        <f t="shared" si="6"/>
        <v>504</v>
      </c>
      <c r="B36" s="136" t="s">
        <v>216</v>
      </c>
      <c r="C36" s="137" t="s">
        <v>187</v>
      </c>
      <c r="D36" s="138">
        <v>18</v>
      </c>
      <c r="E36" s="190"/>
      <c r="F36" s="139">
        <f t="shared" si="5"/>
        <v>0</v>
      </c>
      <c r="G36" s="152"/>
    </row>
    <row r="37" spans="1:7" x14ac:dyDescent="0.35">
      <c r="A37" s="135">
        <f t="shared" si="6"/>
        <v>505</v>
      </c>
      <c r="B37" s="136" t="s">
        <v>217</v>
      </c>
      <c r="C37" s="137" t="s">
        <v>189</v>
      </c>
      <c r="D37" s="138">
        <v>18</v>
      </c>
      <c r="E37" s="190"/>
      <c r="F37" s="139">
        <f t="shared" si="5"/>
        <v>0</v>
      </c>
      <c r="G37" s="152"/>
    </row>
    <row r="38" spans="1:7" x14ac:dyDescent="0.35">
      <c r="A38" s="135">
        <f t="shared" si="6"/>
        <v>506</v>
      </c>
      <c r="B38" s="136" t="s">
        <v>218</v>
      </c>
      <c r="C38" s="137" t="s">
        <v>189</v>
      </c>
      <c r="D38" s="138">
        <v>6</v>
      </c>
      <c r="E38" s="190"/>
      <c r="F38" s="139">
        <f t="shared" si="5"/>
        <v>0</v>
      </c>
      <c r="G38" s="152"/>
    </row>
    <row r="39" spans="1:7" x14ac:dyDescent="0.35">
      <c r="A39" s="135">
        <f t="shared" si="6"/>
        <v>507</v>
      </c>
      <c r="B39" s="136" t="s">
        <v>219</v>
      </c>
      <c r="C39" s="137" t="s">
        <v>189</v>
      </c>
      <c r="D39" s="138">
        <v>18</v>
      </c>
      <c r="E39" s="190"/>
      <c r="F39" s="139">
        <f t="shared" si="5"/>
        <v>0</v>
      </c>
      <c r="G39" s="152"/>
    </row>
    <row r="40" spans="1:7" x14ac:dyDescent="0.35">
      <c r="A40" s="135">
        <f t="shared" si="6"/>
        <v>508</v>
      </c>
      <c r="B40" s="136" t="s">
        <v>220</v>
      </c>
      <c r="C40" s="137" t="s">
        <v>189</v>
      </c>
      <c r="D40" s="138">
        <v>6</v>
      </c>
      <c r="E40" s="190"/>
      <c r="F40" s="139">
        <f t="shared" si="5"/>
        <v>0</v>
      </c>
      <c r="G40" s="152"/>
    </row>
    <row r="41" spans="1:7" ht="15" thickBot="1" x14ac:dyDescent="0.4">
      <c r="A41" s="135">
        <f t="shared" si="6"/>
        <v>509</v>
      </c>
      <c r="B41" s="191" t="s">
        <v>221</v>
      </c>
      <c r="C41" s="137" t="s">
        <v>189</v>
      </c>
      <c r="D41" s="138">
        <v>6</v>
      </c>
      <c r="E41" s="190"/>
      <c r="F41" s="139">
        <f t="shared" si="5"/>
        <v>0</v>
      </c>
    </row>
    <row r="42" spans="1:7" ht="15" thickBot="1" x14ac:dyDescent="0.4">
      <c r="A42" s="147"/>
      <c r="B42" s="148" t="s">
        <v>222</v>
      </c>
      <c r="C42" s="149"/>
      <c r="D42" s="149"/>
      <c r="E42" s="150"/>
      <c r="F42" s="151">
        <f>F3+F5+F8+F13+F32</f>
        <v>0</v>
      </c>
    </row>
    <row r="43" spans="1:7" x14ac:dyDescent="0.35">
      <c r="A43" s="187"/>
      <c r="B43" s="182"/>
      <c r="C43" s="179"/>
      <c r="D43" s="179"/>
      <c r="E43" s="180"/>
      <c r="F43" s="181"/>
      <c r="G43" s="171"/>
    </row>
    <row r="44" spans="1:7" x14ac:dyDescent="0.35">
      <c r="A44" s="280" t="s">
        <v>223</v>
      </c>
      <c r="B44" s="280"/>
      <c r="C44" s="280"/>
      <c r="D44" s="280"/>
      <c r="E44" s="280"/>
      <c r="F44" s="280"/>
    </row>
    <row r="45" spans="1:7" ht="15" thickBot="1" x14ac:dyDescent="0.4">
      <c r="A45" s="174" t="s">
        <v>177</v>
      </c>
      <c r="B45" s="175" t="s">
        <v>178</v>
      </c>
      <c r="C45" s="175" t="s">
        <v>2</v>
      </c>
      <c r="D45" s="176" t="s">
        <v>179</v>
      </c>
      <c r="E45" s="177" t="s">
        <v>180</v>
      </c>
      <c r="F45" s="178" t="s">
        <v>181</v>
      </c>
    </row>
    <row r="46" spans="1:7" x14ac:dyDescent="0.35">
      <c r="A46" s="154">
        <v>700</v>
      </c>
      <c r="B46" s="155" t="s">
        <v>224</v>
      </c>
      <c r="C46" s="156"/>
      <c r="D46" s="157"/>
      <c r="E46" s="158"/>
      <c r="F46" s="188">
        <f>+SUM(F47:F49)</f>
        <v>0</v>
      </c>
    </row>
    <row r="47" spans="1:7" x14ac:dyDescent="0.35">
      <c r="A47" s="135" t="s">
        <v>225</v>
      </c>
      <c r="B47" s="184" t="s">
        <v>226</v>
      </c>
      <c r="C47" s="159" t="s">
        <v>227</v>
      </c>
      <c r="D47" s="160">
        <f>0.8*0.8*1*4</f>
        <v>2.5600000000000005</v>
      </c>
      <c r="E47" s="161"/>
      <c r="F47" s="162">
        <f t="shared" ref="F47:F59" si="7">D47*E47</f>
        <v>0</v>
      </c>
    </row>
    <row r="48" spans="1:7" x14ac:dyDescent="0.35">
      <c r="A48" s="135" t="s">
        <v>228</v>
      </c>
      <c r="B48" s="183" t="s">
        <v>229</v>
      </c>
      <c r="C48" s="159" t="s">
        <v>227</v>
      </c>
      <c r="D48" s="160">
        <f>0.7*0.7*0.05*4</f>
        <v>9.799999999999999E-2</v>
      </c>
      <c r="E48" s="161"/>
      <c r="F48" s="162">
        <f t="shared" si="7"/>
        <v>0</v>
      </c>
    </row>
    <row r="49" spans="1:6" ht="27" x14ac:dyDescent="0.35">
      <c r="A49" s="135" t="s">
        <v>230</v>
      </c>
      <c r="B49" s="183" t="s">
        <v>231</v>
      </c>
      <c r="C49" s="159" t="s">
        <v>227</v>
      </c>
      <c r="D49" s="160">
        <f>(0.6*0.6*0.45*4)+(0.2*0.2*0.5*4)</f>
        <v>0.72799999999999998</v>
      </c>
      <c r="E49" s="161"/>
      <c r="F49" s="162">
        <f t="shared" si="7"/>
        <v>0</v>
      </c>
    </row>
    <row r="50" spans="1:6" x14ac:dyDescent="0.35">
      <c r="A50" s="131">
        <v>710</v>
      </c>
      <c r="B50" s="132" t="s">
        <v>232</v>
      </c>
      <c r="C50" s="164"/>
      <c r="D50" s="165"/>
      <c r="E50" s="166"/>
      <c r="F50" s="172">
        <f>+F51+F54</f>
        <v>0</v>
      </c>
    </row>
    <row r="51" spans="1:6" x14ac:dyDescent="0.35">
      <c r="A51" s="135" t="s">
        <v>233</v>
      </c>
      <c r="B51" s="203" t="s">
        <v>234</v>
      </c>
      <c r="C51" s="204"/>
      <c r="D51" s="205"/>
      <c r="E51" s="189"/>
      <c r="F51" s="206">
        <f>+SUM(F52:F53)</f>
        <v>0</v>
      </c>
    </row>
    <row r="52" spans="1:6" x14ac:dyDescent="0.35">
      <c r="A52" s="135" t="s">
        <v>235</v>
      </c>
      <c r="B52" s="186" t="s">
        <v>236</v>
      </c>
      <c r="C52" s="159" t="s">
        <v>187</v>
      </c>
      <c r="D52" s="160">
        <v>28</v>
      </c>
      <c r="E52" s="173"/>
      <c r="F52" s="162">
        <f t="shared" si="7"/>
        <v>0</v>
      </c>
    </row>
    <row r="53" spans="1:6" x14ac:dyDescent="0.35">
      <c r="A53" s="135" t="s">
        <v>237</v>
      </c>
      <c r="B53" s="186" t="s">
        <v>238</v>
      </c>
      <c r="C53" s="159" t="s">
        <v>187</v>
      </c>
      <c r="D53" s="160">
        <v>75.680000000000007</v>
      </c>
      <c r="E53" s="173"/>
      <c r="F53" s="162">
        <f>D53*E53</f>
        <v>0</v>
      </c>
    </row>
    <row r="54" spans="1:6" x14ac:dyDescent="0.35">
      <c r="A54" s="135" t="s">
        <v>239</v>
      </c>
      <c r="B54" s="203" t="s">
        <v>240</v>
      </c>
      <c r="C54" s="204"/>
      <c r="D54" s="205"/>
      <c r="E54" s="189"/>
      <c r="F54" s="206">
        <f>+SUM(F55:F58)</f>
        <v>0</v>
      </c>
    </row>
    <row r="55" spans="1:6" x14ac:dyDescent="0.35">
      <c r="A55" s="135" t="s">
        <v>241</v>
      </c>
      <c r="B55" s="186" t="s">
        <v>242</v>
      </c>
      <c r="C55" s="159" t="s">
        <v>187</v>
      </c>
      <c r="D55" s="160">
        <v>12</v>
      </c>
      <c r="E55" s="173"/>
      <c r="F55" s="162">
        <f>D55*E55</f>
        <v>0</v>
      </c>
    </row>
    <row r="56" spans="1:6" x14ac:dyDescent="0.35">
      <c r="A56" s="135" t="s">
        <v>243</v>
      </c>
      <c r="B56" s="186" t="s">
        <v>244</v>
      </c>
      <c r="C56" s="159" t="s">
        <v>187</v>
      </c>
      <c r="D56" s="160">
        <v>8</v>
      </c>
      <c r="E56" s="161"/>
      <c r="F56" s="162">
        <f>D56*E56</f>
        <v>0</v>
      </c>
    </row>
    <row r="57" spans="1:6" ht="25" x14ac:dyDescent="0.35">
      <c r="A57" s="135" t="s">
        <v>245</v>
      </c>
      <c r="B57" s="183" t="s">
        <v>246</v>
      </c>
      <c r="C57" s="159" t="s">
        <v>247</v>
      </c>
      <c r="D57" s="160">
        <v>1</v>
      </c>
      <c r="E57" s="161"/>
      <c r="F57" s="162">
        <f>D57*E57</f>
        <v>0</v>
      </c>
    </row>
    <row r="58" spans="1:6" x14ac:dyDescent="0.35">
      <c r="A58" s="135" t="s">
        <v>248</v>
      </c>
      <c r="B58" s="184" t="s">
        <v>249</v>
      </c>
      <c r="C58" s="159" t="s">
        <v>250</v>
      </c>
      <c r="D58" s="159">
        <v>25.65</v>
      </c>
      <c r="E58" s="159"/>
      <c r="F58" s="162">
        <f t="shared" si="7"/>
        <v>0</v>
      </c>
    </row>
    <row r="59" spans="1:6" ht="26.5" thickBot="1" x14ac:dyDescent="0.4">
      <c r="A59" s="131">
        <v>720</v>
      </c>
      <c r="B59" s="185" t="s">
        <v>251</v>
      </c>
      <c r="C59" s="164" t="s">
        <v>247</v>
      </c>
      <c r="D59" s="164">
        <v>1</v>
      </c>
      <c r="E59" s="164"/>
      <c r="F59" s="207">
        <f t="shared" si="7"/>
        <v>0</v>
      </c>
    </row>
    <row r="60" spans="1:6" ht="15" thickBot="1" x14ac:dyDescent="0.4">
      <c r="A60" s="163"/>
      <c r="B60" s="167" t="s">
        <v>252</v>
      </c>
      <c r="C60" s="168"/>
      <c r="D60" s="169"/>
      <c r="E60" s="168"/>
      <c r="F60" s="170">
        <f>+F50+F46+F59</f>
        <v>0</v>
      </c>
    </row>
    <row r="61" spans="1:6" ht="15" thickBot="1" x14ac:dyDescent="0.4">
      <c r="A61" s="147"/>
      <c r="B61" s="148" t="s">
        <v>253</v>
      </c>
      <c r="C61" s="149"/>
      <c r="D61" s="149"/>
      <c r="E61" s="150"/>
      <c r="F61" s="170">
        <f>+F60*4</f>
        <v>0</v>
      </c>
    </row>
    <row r="62" spans="1:6" ht="15" thickBot="1" x14ac:dyDescent="0.4">
      <c r="A62" s="187"/>
      <c r="B62" s="182"/>
      <c r="C62" s="179"/>
      <c r="D62" s="179"/>
      <c r="E62" s="180"/>
      <c r="F62" s="208"/>
    </row>
    <row r="63" spans="1:6" ht="15" thickBot="1" x14ac:dyDescent="0.4">
      <c r="A63" s="147"/>
      <c r="B63" s="148" t="s">
        <v>254</v>
      </c>
      <c r="C63" s="149"/>
      <c r="D63" s="149"/>
      <c r="E63" s="150"/>
      <c r="F63" s="151">
        <f>+F61+F42</f>
        <v>0</v>
      </c>
    </row>
    <row r="64" spans="1:6" ht="15" thickBot="1" x14ac:dyDescent="0.4">
      <c r="A64" s="147"/>
      <c r="B64" s="148" t="s">
        <v>255</v>
      </c>
      <c r="C64" s="149"/>
      <c r="D64" s="149"/>
      <c r="E64" s="150"/>
      <c r="F64" s="151">
        <f>+F63*0.18</f>
        <v>0</v>
      </c>
    </row>
    <row r="65" spans="1:6" ht="15" thickBot="1" x14ac:dyDescent="0.4">
      <c r="A65" s="147"/>
      <c r="B65" s="148" t="s">
        <v>256</v>
      </c>
      <c r="C65" s="149"/>
      <c r="D65" s="149"/>
      <c r="E65" s="150"/>
      <c r="F65" s="151">
        <f>+F63+F64</f>
        <v>0</v>
      </c>
    </row>
  </sheetData>
  <mergeCells count="2">
    <mergeCell ref="A1:F1"/>
    <mergeCell ref="A44:F44"/>
  </mergeCells>
  <phoneticPr fontId="26" type="noConversion"/>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1:J84"/>
  <sheetViews>
    <sheetView topLeftCell="A58" zoomScale="80" zoomScaleNormal="80" workbookViewId="0">
      <selection activeCell="B78" sqref="B78"/>
    </sheetView>
  </sheetViews>
  <sheetFormatPr baseColWidth="10" defaultColWidth="11.453125" defaultRowHeight="14.5" x14ac:dyDescent="0.35"/>
  <cols>
    <col min="1" max="1" width="5.54296875" style="4" customWidth="1"/>
    <col min="2" max="2" width="63.26953125" customWidth="1"/>
    <col min="3" max="3" width="8.26953125" customWidth="1"/>
    <col min="4" max="4" width="9.26953125" bestFit="1" customWidth="1"/>
    <col min="5" max="5" width="15.7265625" bestFit="1" customWidth="1"/>
    <col min="6" max="6" width="20" customWidth="1"/>
    <col min="7" max="7" width="17.453125" bestFit="1" customWidth="1"/>
    <col min="8" max="8" width="15.26953125" customWidth="1"/>
    <col min="9" max="9" width="13.26953125" customWidth="1"/>
    <col min="10" max="10" width="14.54296875" customWidth="1"/>
  </cols>
  <sheetData>
    <row r="1" spans="1:10" x14ac:dyDescent="0.35">
      <c r="A1" s="280" t="s">
        <v>176</v>
      </c>
      <c r="B1" s="280"/>
      <c r="C1" s="280"/>
      <c r="D1" s="280"/>
      <c r="E1" s="280"/>
      <c r="F1" s="280"/>
      <c r="G1" s="192"/>
    </row>
    <row r="2" spans="1:10" ht="15" thickBot="1" x14ac:dyDescent="0.4">
      <c r="A2" s="174" t="s">
        <v>177</v>
      </c>
      <c r="B2" s="175" t="s">
        <v>178</v>
      </c>
      <c r="C2" s="175" t="s">
        <v>2</v>
      </c>
      <c r="D2" s="176" t="s">
        <v>179</v>
      </c>
      <c r="E2" s="177" t="s">
        <v>180</v>
      </c>
      <c r="F2" s="178" t="s">
        <v>181</v>
      </c>
      <c r="G2" s="192"/>
    </row>
    <row r="3" spans="1:10" x14ac:dyDescent="0.35">
      <c r="A3" s="121">
        <v>100</v>
      </c>
      <c r="B3" s="122" t="s">
        <v>182</v>
      </c>
      <c r="C3" s="123"/>
      <c r="D3" s="123"/>
      <c r="E3" s="124"/>
      <c r="F3" s="125">
        <f>+F4</f>
        <v>0</v>
      </c>
      <c r="G3" s="192"/>
    </row>
    <row r="4" spans="1:10" ht="37.5" x14ac:dyDescent="0.35">
      <c r="A4" s="126">
        <v>101</v>
      </c>
      <c r="B4" s="127" t="s">
        <v>183</v>
      </c>
      <c r="C4" s="128" t="s">
        <v>184</v>
      </c>
      <c r="D4" s="129">
        <v>1</v>
      </c>
      <c r="E4" s="130"/>
      <c r="F4" s="129">
        <f>E4*D4</f>
        <v>0</v>
      </c>
      <c r="G4" s="192"/>
    </row>
    <row r="5" spans="1:10" s="152" customFormat="1" ht="13" x14ac:dyDescent="0.35">
      <c r="A5" s="131">
        <v>200</v>
      </c>
      <c r="B5" s="132" t="s">
        <v>185</v>
      </c>
      <c r="C5" s="133"/>
      <c r="D5" s="133"/>
      <c r="E5" s="134"/>
      <c r="F5" s="172">
        <f>SUM(F6:F7)</f>
        <v>0</v>
      </c>
      <c r="H5" s="193"/>
      <c r="I5" s="193"/>
      <c r="J5" s="193"/>
    </row>
    <row r="6" spans="1:10" s="152" customFormat="1" ht="12.5" x14ac:dyDescent="0.35">
      <c r="A6" s="135">
        <v>201</v>
      </c>
      <c r="B6" s="136" t="s">
        <v>257</v>
      </c>
      <c r="C6" s="137" t="s">
        <v>187</v>
      </c>
      <c r="D6" s="138">
        <v>492</v>
      </c>
      <c r="E6" s="138"/>
      <c r="F6" s="139">
        <f t="shared" ref="F6:F7" si="0">E6*D6</f>
        <v>0</v>
      </c>
    </row>
    <row r="7" spans="1:10" s="152" customFormat="1" ht="12.5" x14ac:dyDescent="0.35">
      <c r="A7" s="135">
        <v>202</v>
      </c>
      <c r="B7" s="136" t="s">
        <v>258</v>
      </c>
      <c r="C7" s="137" t="s">
        <v>189</v>
      </c>
      <c r="D7" s="138">
        <v>6</v>
      </c>
      <c r="E7" s="138"/>
      <c r="F7" s="139">
        <f t="shared" si="0"/>
        <v>0</v>
      </c>
    </row>
    <row r="8" spans="1:10" x14ac:dyDescent="0.35">
      <c r="A8" s="131">
        <v>300</v>
      </c>
      <c r="B8" s="132" t="s">
        <v>190</v>
      </c>
      <c r="C8" s="133"/>
      <c r="D8" s="133"/>
      <c r="E8" s="134"/>
      <c r="F8" s="172">
        <f>SUM(F9:F12)</f>
        <v>0</v>
      </c>
      <c r="H8" s="115"/>
      <c r="I8" s="115"/>
      <c r="J8" s="115"/>
    </row>
    <row r="9" spans="1:10" x14ac:dyDescent="0.35">
      <c r="A9" s="135">
        <v>301</v>
      </c>
      <c r="B9" s="136" t="s">
        <v>186</v>
      </c>
      <c r="C9" s="137" t="s">
        <v>187</v>
      </c>
      <c r="D9" s="138">
        <v>200</v>
      </c>
      <c r="E9" s="138"/>
      <c r="F9" s="139">
        <f t="shared" ref="F9:F31" si="1">E9*D9</f>
        <v>0</v>
      </c>
      <c r="G9" s="192"/>
    </row>
    <row r="10" spans="1:10" x14ac:dyDescent="0.35">
      <c r="A10" s="135">
        <f>+A9+1</f>
        <v>302</v>
      </c>
      <c r="B10" s="136" t="s">
        <v>259</v>
      </c>
      <c r="C10" s="137" t="s">
        <v>189</v>
      </c>
      <c r="D10" s="138">
        <v>2</v>
      </c>
      <c r="E10" s="138"/>
      <c r="F10" s="139">
        <f t="shared" si="1"/>
        <v>0</v>
      </c>
      <c r="G10" s="192"/>
    </row>
    <row r="11" spans="1:10" x14ac:dyDescent="0.35">
      <c r="A11" s="135">
        <f t="shared" ref="A11:A12" si="2">+A10+1</f>
        <v>303</v>
      </c>
      <c r="B11" s="136" t="s">
        <v>191</v>
      </c>
      <c r="C11" s="137" t="s">
        <v>187</v>
      </c>
      <c r="D11" s="138">
        <v>280</v>
      </c>
      <c r="E11" s="138"/>
      <c r="F11" s="139">
        <f t="shared" si="1"/>
        <v>0</v>
      </c>
      <c r="G11" s="192"/>
    </row>
    <row r="12" spans="1:10" x14ac:dyDescent="0.35">
      <c r="A12" s="135">
        <f t="shared" si="2"/>
        <v>304</v>
      </c>
      <c r="B12" s="136" t="s">
        <v>260</v>
      </c>
      <c r="C12" s="137" t="s">
        <v>189</v>
      </c>
      <c r="D12" s="138">
        <v>4</v>
      </c>
      <c r="E12" s="138"/>
      <c r="F12" s="139">
        <f t="shared" si="1"/>
        <v>0</v>
      </c>
      <c r="G12" s="192"/>
    </row>
    <row r="13" spans="1:10" x14ac:dyDescent="0.35">
      <c r="A13" s="131">
        <v>400</v>
      </c>
      <c r="B13" s="132" t="s">
        <v>261</v>
      </c>
      <c r="C13" s="133"/>
      <c r="D13" s="133"/>
      <c r="E13" s="134"/>
      <c r="F13" s="172">
        <f>SUM(F15:F31)</f>
        <v>0</v>
      </c>
    </row>
    <row r="14" spans="1:10" s="4" customFormat="1" x14ac:dyDescent="0.35">
      <c r="A14" s="140"/>
      <c r="B14" s="141" t="s">
        <v>194</v>
      </c>
      <c r="C14" s="142"/>
      <c r="D14" s="143"/>
      <c r="E14" s="144"/>
      <c r="F14" s="145"/>
      <c r="G14" s="152"/>
    </row>
    <row r="15" spans="1:10" x14ac:dyDescent="0.35">
      <c r="A15" s="135">
        <v>401</v>
      </c>
      <c r="B15" s="136" t="s">
        <v>195</v>
      </c>
      <c r="C15" s="137" t="s">
        <v>189</v>
      </c>
      <c r="D15" s="138">
        <v>2</v>
      </c>
      <c r="E15" s="146"/>
      <c r="F15" s="139">
        <f t="shared" si="1"/>
        <v>0</v>
      </c>
      <c r="G15" s="192"/>
    </row>
    <row r="16" spans="1:10" x14ac:dyDescent="0.35">
      <c r="A16" s="135">
        <f t="shared" ref="A16:A21" si="3">+A15+1</f>
        <v>402</v>
      </c>
      <c r="B16" s="136" t="s">
        <v>196</v>
      </c>
      <c r="C16" s="137" t="s">
        <v>189</v>
      </c>
      <c r="D16" s="138">
        <v>2</v>
      </c>
      <c r="E16" s="146"/>
      <c r="F16" s="139">
        <f t="shared" si="1"/>
        <v>0</v>
      </c>
      <c r="G16" s="192"/>
    </row>
    <row r="17" spans="1:7" x14ac:dyDescent="0.35">
      <c r="A17" s="135">
        <f t="shared" si="3"/>
        <v>403</v>
      </c>
      <c r="B17" s="136" t="s">
        <v>262</v>
      </c>
      <c r="C17" s="137" t="s">
        <v>189</v>
      </c>
      <c r="D17" s="138">
        <v>2</v>
      </c>
      <c r="E17" s="146"/>
      <c r="F17" s="139">
        <f t="shared" si="1"/>
        <v>0</v>
      </c>
      <c r="G17" s="192"/>
    </row>
    <row r="18" spans="1:7" x14ac:dyDescent="0.35">
      <c r="A18" s="135">
        <f t="shared" si="3"/>
        <v>404</v>
      </c>
      <c r="B18" s="136" t="s">
        <v>198</v>
      </c>
      <c r="C18" s="137" t="s">
        <v>189</v>
      </c>
      <c r="D18" s="138">
        <v>2</v>
      </c>
      <c r="E18" s="146"/>
      <c r="F18" s="139">
        <f t="shared" si="1"/>
        <v>0</v>
      </c>
      <c r="G18" s="192"/>
    </row>
    <row r="19" spans="1:7" x14ac:dyDescent="0.35">
      <c r="A19" s="135">
        <f t="shared" si="3"/>
        <v>405</v>
      </c>
      <c r="B19" s="136" t="s">
        <v>199</v>
      </c>
      <c r="C19" s="137" t="s">
        <v>189</v>
      </c>
      <c r="D19" s="138">
        <v>2</v>
      </c>
      <c r="E19" s="146"/>
      <c r="F19" s="139">
        <f t="shared" si="1"/>
        <v>0</v>
      </c>
      <c r="G19" s="192"/>
    </row>
    <row r="20" spans="1:7" x14ac:dyDescent="0.35">
      <c r="A20" s="135">
        <f t="shared" si="3"/>
        <v>406</v>
      </c>
      <c r="B20" s="136" t="s">
        <v>200</v>
      </c>
      <c r="C20" s="137" t="s">
        <v>189</v>
      </c>
      <c r="D20" s="138">
        <v>2</v>
      </c>
      <c r="E20" s="146"/>
      <c r="F20" s="139">
        <f t="shared" si="1"/>
        <v>0</v>
      </c>
      <c r="G20" s="192"/>
    </row>
    <row r="21" spans="1:7" x14ac:dyDescent="0.35">
      <c r="A21" s="135">
        <f t="shared" si="3"/>
        <v>407</v>
      </c>
      <c r="B21" s="136" t="s">
        <v>201</v>
      </c>
      <c r="C21" s="137" t="s">
        <v>189</v>
      </c>
      <c r="D21" s="138">
        <v>2</v>
      </c>
      <c r="E21" s="146"/>
      <c r="F21" s="139">
        <f t="shared" si="1"/>
        <v>0</v>
      </c>
      <c r="G21" s="192"/>
    </row>
    <row r="22" spans="1:7" x14ac:dyDescent="0.35">
      <c r="A22" s="140"/>
      <c r="B22" s="141" t="s">
        <v>202</v>
      </c>
      <c r="C22" s="142"/>
      <c r="D22" s="143"/>
      <c r="E22" s="144"/>
      <c r="F22" s="145">
        <f t="shared" si="1"/>
        <v>0</v>
      </c>
      <c r="G22" s="192"/>
    </row>
    <row r="23" spans="1:7" x14ac:dyDescent="0.35">
      <c r="A23" s="135">
        <f>+A21+1</f>
        <v>408</v>
      </c>
      <c r="B23" s="136" t="s">
        <v>203</v>
      </c>
      <c r="C23" s="137" t="s">
        <v>187</v>
      </c>
      <c r="D23" s="138">
        <v>100</v>
      </c>
      <c r="E23" s="146"/>
      <c r="F23" s="139">
        <f t="shared" si="1"/>
        <v>0</v>
      </c>
      <c r="G23" s="192"/>
    </row>
    <row r="24" spans="1:7" x14ac:dyDescent="0.35">
      <c r="A24" s="135">
        <f>+A23+1</f>
        <v>409</v>
      </c>
      <c r="B24" s="136" t="s">
        <v>263</v>
      </c>
      <c r="C24" s="137" t="s">
        <v>189</v>
      </c>
      <c r="D24" s="138">
        <v>2</v>
      </c>
      <c r="E24" s="146"/>
      <c r="F24" s="139">
        <f t="shared" si="1"/>
        <v>0</v>
      </c>
      <c r="G24" s="192"/>
    </row>
    <row r="25" spans="1:7" x14ac:dyDescent="0.35">
      <c r="A25" s="140"/>
      <c r="B25" s="141" t="s">
        <v>205</v>
      </c>
      <c r="C25" s="142"/>
      <c r="D25" s="143"/>
      <c r="E25" s="144"/>
      <c r="F25" s="145">
        <f t="shared" si="1"/>
        <v>0</v>
      </c>
      <c r="G25" s="192"/>
    </row>
    <row r="26" spans="1:7" x14ac:dyDescent="0.35">
      <c r="A26" s="135">
        <f>+A24+1</f>
        <v>410</v>
      </c>
      <c r="B26" s="136" t="s">
        <v>206</v>
      </c>
      <c r="C26" s="137" t="s">
        <v>187</v>
      </c>
      <c r="D26" s="138">
        <f>167*50</f>
        <v>8350</v>
      </c>
      <c r="E26" s="146"/>
      <c r="F26" s="139">
        <f t="shared" si="1"/>
        <v>0</v>
      </c>
      <c r="G26" s="192"/>
    </row>
    <row r="27" spans="1:7" x14ac:dyDescent="0.35">
      <c r="A27" s="135">
        <f>+A26+1</f>
        <v>411</v>
      </c>
      <c r="B27" s="136" t="s">
        <v>207</v>
      </c>
      <c r="C27" s="137" t="s">
        <v>189</v>
      </c>
      <c r="D27" s="138">
        <v>167</v>
      </c>
      <c r="E27" s="146"/>
      <c r="F27" s="139">
        <f t="shared" si="1"/>
        <v>0</v>
      </c>
      <c r="G27" s="192"/>
    </row>
    <row r="28" spans="1:7" x14ac:dyDescent="0.35">
      <c r="A28" s="135">
        <f>+A27+1</f>
        <v>412</v>
      </c>
      <c r="B28" s="136" t="s">
        <v>208</v>
      </c>
      <c r="C28" s="137" t="s">
        <v>189</v>
      </c>
      <c r="D28" s="138">
        <v>167</v>
      </c>
      <c r="E28" s="146"/>
      <c r="F28" s="139">
        <f t="shared" si="1"/>
        <v>0</v>
      </c>
      <c r="G28" s="192"/>
    </row>
    <row r="29" spans="1:7" x14ac:dyDescent="0.35">
      <c r="A29" s="135">
        <f>+A28+1</f>
        <v>413</v>
      </c>
      <c r="B29" s="136" t="s">
        <v>209</v>
      </c>
      <c r="C29" s="137" t="s">
        <v>189</v>
      </c>
      <c r="D29" s="138">
        <v>30</v>
      </c>
      <c r="E29" s="146"/>
      <c r="F29" s="139">
        <f t="shared" si="1"/>
        <v>0</v>
      </c>
      <c r="G29" s="192"/>
    </row>
    <row r="30" spans="1:7" x14ac:dyDescent="0.35">
      <c r="A30" s="135"/>
      <c r="B30" s="141" t="s">
        <v>210</v>
      </c>
      <c r="C30" s="142">
        <v>0</v>
      </c>
      <c r="D30" s="143">
        <v>0</v>
      </c>
      <c r="E30" s="144"/>
      <c r="F30" s="145">
        <f t="shared" si="1"/>
        <v>0</v>
      </c>
      <c r="G30" s="192"/>
    </row>
    <row r="31" spans="1:7" x14ac:dyDescent="0.35">
      <c r="A31" s="135">
        <v>414</v>
      </c>
      <c r="B31" s="136" t="s">
        <v>211</v>
      </c>
      <c r="C31" s="137" t="s">
        <v>189</v>
      </c>
      <c r="D31" s="138">
        <v>12</v>
      </c>
      <c r="E31" s="146"/>
      <c r="F31" s="139">
        <f t="shared" si="1"/>
        <v>0</v>
      </c>
      <c r="G31" s="192"/>
    </row>
    <row r="32" spans="1:7" x14ac:dyDescent="0.35">
      <c r="A32" s="131">
        <v>500</v>
      </c>
      <c r="B32" s="132" t="s">
        <v>212</v>
      </c>
      <c r="C32" s="133"/>
      <c r="D32" s="133"/>
      <c r="E32" s="134"/>
      <c r="F32" s="172">
        <f>SUM(F33:F41)</f>
        <v>0</v>
      </c>
    </row>
    <row r="33" spans="1:7" x14ac:dyDescent="0.35">
      <c r="A33" s="135">
        <v>501</v>
      </c>
      <c r="B33" s="136" t="s">
        <v>213</v>
      </c>
      <c r="C33" s="137" t="s">
        <v>187</v>
      </c>
      <c r="D33" s="138">
        <v>225</v>
      </c>
      <c r="E33" s="190"/>
      <c r="F33" s="139">
        <f t="shared" ref="F33:F41" si="4">E33*D33</f>
        <v>0</v>
      </c>
      <c r="G33" s="192"/>
    </row>
    <row r="34" spans="1:7" x14ac:dyDescent="0.35">
      <c r="A34" s="135">
        <f>+A33+1</f>
        <v>502</v>
      </c>
      <c r="B34" s="136" t="s">
        <v>214</v>
      </c>
      <c r="C34" s="137" t="s">
        <v>189</v>
      </c>
      <c r="D34" s="138">
        <v>9</v>
      </c>
      <c r="E34" s="190"/>
      <c r="F34" s="139">
        <f t="shared" si="4"/>
        <v>0</v>
      </c>
      <c r="G34" s="192"/>
    </row>
    <row r="35" spans="1:7" x14ac:dyDescent="0.35">
      <c r="A35" s="135">
        <f t="shared" ref="A35:A41" si="5">+A34+1</f>
        <v>503</v>
      </c>
      <c r="B35" s="136" t="s">
        <v>215</v>
      </c>
      <c r="C35" s="137" t="s">
        <v>189</v>
      </c>
      <c r="D35" s="138">
        <v>9</v>
      </c>
      <c r="E35" s="190"/>
      <c r="F35" s="139">
        <f t="shared" si="4"/>
        <v>0</v>
      </c>
      <c r="G35" s="192"/>
    </row>
    <row r="36" spans="1:7" x14ac:dyDescent="0.35">
      <c r="A36" s="135">
        <f t="shared" si="5"/>
        <v>504</v>
      </c>
      <c r="B36" s="136" t="s">
        <v>216</v>
      </c>
      <c r="C36" s="137" t="s">
        <v>187</v>
      </c>
      <c r="D36" s="138">
        <v>9</v>
      </c>
      <c r="E36" s="190"/>
      <c r="F36" s="139">
        <f t="shared" si="4"/>
        <v>0</v>
      </c>
      <c r="G36" s="192"/>
    </row>
    <row r="37" spans="1:7" x14ac:dyDescent="0.35">
      <c r="A37" s="135">
        <f t="shared" si="5"/>
        <v>505</v>
      </c>
      <c r="B37" s="136" t="s">
        <v>217</v>
      </c>
      <c r="C37" s="137" t="s">
        <v>189</v>
      </c>
      <c r="D37" s="138">
        <v>9</v>
      </c>
      <c r="E37" s="190"/>
      <c r="F37" s="139">
        <f t="shared" si="4"/>
        <v>0</v>
      </c>
      <c r="G37" s="192"/>
    </row>
    <row r="38" spans="1:7" x14ac:dyDescent="0.35">
      <c r="A38" s="135">
        <f t="shared" si="5"/>
        <v>506</v>
      </c>
      <c r="B38" s="136" t="s">
        <v>218</v>
      </c>
      <c r="C38" s="137" t="s">
        <v>189</v>
      </c>
      <c r="D38" s="138">
        <v>9</v>
      </c>
      <c r="E38" s="190"/>
      <c r="F38" s="139">
        <f t="shared" si="4"/>
        <v>0</v>
      </c>
      <c r="G38" s="192"/>
    </row>
    <row r="39" spans="1:7" x14ac:dyDescent="0.35">
      <c r="A39" s="135">
        <f t="shared" si="5"/>
        <v>507</v>
      </c>
      <c r="B39" s="136" t="s">
        <v>219</v>
      </c>
      <c r="C39" s="137" t="s">
        <v>189</v>
      </c>
      <c r="D39" s="138">
        <v>9</v>
      </c>
      <c r="E39" s="190"/>
      <c r="F39" s="139">
        <f t="shared" si="4"/>
        <v>0</v>
      </c>
      <c r="G39" s="192"/>
    </row>
    <row r="40" spans="1:7" x14ac:dyDescent="0.35">
      <c r="A40" s="135">
        <f t="shared" si="5"/>
        <v>508</v>
      </c>
      <c r="B40" s="136" t="s">
        <v>220</v>
      </c>
      <c r="C40" s="137" t="s">
        <v>189</v>
      </c>
      <c r="D40" s="138">
        <v>4</v>
      </c>
      <c r="E40" s="190"/>
      <c r="F40" s="139">
        <f t="shared" si="4"/>
        <v>0</v>
      </c>
      <c r="G40" s="192"/>
    </row>
    <row r="41" spans="1:7" ht="15" thickBot="1" x14ac:dyDescent="0.4">
      <c r="A41" s="135">
        <f t="shared" si="5"/>
        <v>509</v>
      </c>
      <c r="B41" s="191" t="s">
        <v>221</v>
      </c>
      <c r="C41" s="137" t="s">
        <v>189</v>
      </c>
      <c r="D41" s="138">
        <v>4</v>
      </c>
      <c r="E41" s="190"/>
      <c r="F41" s="139">
        <f t="shared" si="4"/>
        <v>0</v>
      </c>
    </row>
    <row r="42" spans="1:7" ht="15" thickBot="1" x14ac:dyDescent="0.4">
      <c r="A42" s="147"/>
      <c r="B42" s="148" t="s">
        <v>222</v>
      </c>
      <c r="C42" s="149"/>
      <c r="D42" s="149"/>
      <c r="E42" s="150"/>
      <c r="F42" s="151">
        <f>F3+F5+F8+F13+F32</f>
        <v>0</v>
      </c>
      <c r="G42" s="192"/>
    </row>
    <row r="44" spans="1:7" x14ac:dyDescent="0.35">
      <c r="A44" s="280" t="s">
        <v>223</v>
      </c>
      <c r="B44" s="280"/>
      <c r="C44" s="280"/>
      <c r="D44" s="280"/>
      <c r="E44" s="280"/>
      <c r="F44" s="280"/>
    </row>
    <row r="45" spans="1:7" ht="15" thickBot="1" x14ac:dyDescent="0.4">
      <c r="A45" s="174" t="s">
        <v>177</v>
      </c>
      <c r="B45" s="175" t="s">
        <v>178</v>
      </c>
      <c r="C45" s="175" t="s">
        <v>2</v>
      </c>
      <c r="D45" s="176" t="s">
        <v>179</v>
      </c>
      <c r="E45" s="177" t="s">
        <v>180</v>
      </c>
      <c r="F45" s="178" t="s">
        <v>181</v>
      </c>
    </row>
    <row r="46" spans="1:7" x14ac:dyDescent="0.35">
      <c r="A46" s="154">
        <v>700</v>
      </c>
      <c r="B46" s="155" t="s">
        <v>224</v>
      </c>
      <c r="C46" s="156"/>
      <c r="D46" s="157"/>
      <c r="E46" s="158"/>
      <c r="F46" s="188">
        <f>+SUM(F47:F49)</f>
        <v>0</v>
      </c>
    </row>
    <row r="47" spans="1:7" x14ac:dyDescent="0.35">
      <c r="A47" s="135" t="s">
        <v>225</v>
      </c>
      <c r="B47" s="184" t="s">
        <v>226</v>
      </c>
      <c r="C47" s="159" t="s">
        <v>227</v>
      </c>
      <c r="D47" s="160">
        <f>0.8*0.8*1*4</f>
        <v>2.5600000000000005</v>
      </c>
      <c r="E47" s="161"/>
      <c r="F47" s="162">
        <f t="shared" ref="F47:F59" si="6">D47*E47</f>
        <v>0</v>
      </c>
    </row>
    <row r="48" spans="1:7" x14ac:dyDescent="0.35">
      <c r="A48" s="135" t="s">
        <v>228</v>
      </c>
      <c r="B48" s="183" t="s">
        <v>229</v>
      </c>
      <c r="C48" s="159" t="s">
        <v>227</v>
      </c>
      <c r="D48" s="160">
        <f>0.7*0.7*0.05*4</f>
        <v>9.799999999999999E-2</v>
      </c>
      <c r="E48" s="161"/>
      <c r="F48" s="162">
        <f t="shared" si="6"/>
        <v>0</v>
      </c>
    </row>
    <row r="49" spans="1:6" ht="27" x14ac:dyDescent="0.35">
      <c r="A49" s="135" t="s">
        <v>230</v>
      </c>
      <c r="B49" s="183" t="s">
        <v>231</v>
      </c>
      <c r="C49" s="159" t="s">
        <v>227</v>
      </c>
      <c r="D49" s="160">
        <f>(0.6*0.6*0.45*4)+(0.2*0.2*0.5*4)</f>
        <v>0.72799999999999998</v>
      </c>
      <c r="E49" s="161"/>
      <c r="F49" s="162">
        <f t="shared" si="6"/>
        <v>0</v>
      </c>
    </row>
    <row r="50" spans="1:6" x14ac:dyDescent="0.35">
      <c r="A50" s="131">
        <v>710</v>
      </c>
      <c r="B50" s="132" t="s">
        <v>232</v>
      </c>
      <c r="C50" s="164"/>
      <c r="D50" s="165"/>
      <c r="E50" s="166"/>
      <c r="F50" s="172">
        <f>+F51+F54</f>
        <v>0</v>
      </c>
    </row>
    <row r="51" spans="1:6" x14ac:dyDescent="0.35">
      <c r="A51" s="135" t="s">
        <v>233</v>
      </c>
      <c r="B51" s="203" t="s">
        <v>234</v>
      </c>
      <c r="C51" s="204"/>
      <c r="D51" s="205"/>
      <c r="E51" s="189"/>
      <c r="F51" s="206">
        <f>+SUM(F52:F53)</f>
        <v>0</v>
      </c>
    </row>
    <row r="52" spans="1:6" x14ac:dyDescent="0.35">
      <c r="A52" s="135" t="s">
        <v>235</v>
      </c>
      <c r="B52" s="186" t="s">
        <v>236</v>
      </c>
      <c r="C52" s="159" t="s">
        <v>187</v>
      </c>
      <c r="D52" s="160">
        <v>28</v>
      </c>
      <c r="E52" s="173"/>
      <c r="F52" s="162">
        <f t="shared" si="6"/>
        <v>0</v>
      </c>
    </row>
    <row r="53" spans="1:6" x14ac:dyDescent="0.35">
      <c r="A53" s="135" t="s">
        <v>237</v>
      </c>
      <c r="B53" s="186" t="s">
        <v>238</v>
      </c>
      <c r="C53" s="159" t="s">
        <v>187</v>
      </c>
      <c r="D53" s="160">
        <v>75.680000000000007</v>
      </c>
      <c r="E53" s="173"/>
      <c r="F53" s="162">
        <f>D53*E53</f>
        <v>0</v>
      </c>
    </row>
    <row r="54" spans="1:6" x14ac:dyDescent="0.35">
      <c r="A54" s="135" t="s">
        <v>239</v>
      </c>
      <c r="B54" s="203" t="s">
        <v>240</v>
      </c>
      <c r="C54" s="204"/>
      <c r="D54" s="205"/>
      <c r="E54" s="189"/>
      <c r="F54" s="206">
        <f>+SUM(F55:F58)</f>
        <v>0</v>
      </c>
    </row>
    <row r="55" spans="1:6" x14ac:dyDescent="0.35">
      <c r="A55" s="135" t="s">
        <v>241</v>
      </c>
      <c r="B55" s="186" t="s">
        <v>242</v>
      </c>
      <c r="C55" s="159" t="s">
        <v>187</v>
      </c>
      <c r="D55" s="160">
        <v>12</v>
      </c>
      <c r="E55" s="161"/>
      <c r="F55" s="162">
        <f>D55*E55</f>
        <v>0</v>
      </c>
    </row>
    <row r="56" spans="1:6" x14ac:dyDescent="0.35">
      <c r="A56" s="135" t="s">
        <v>243</v>
      </c>
      <c r="B56" s="186" t="s">
        <v>244</v>
      </c>
      <c r="C56" s="159" t="s">
        <v>187</v>
      </c>
      <c r="D56" s="160">
        <v>8</v>
      </c>
      <c r="E56" s="161"/>
      <c r="F56" s="162">
        <f>D56*E56</f>
        <v>0</v>
      </c>
    </row>
    <row r="57" spans="1:6" ht="25" x14ac:dyDescent="0.35">
      <c r="A57" s="135" t="s">
        <v>245</v>
      </c>
      <c r="B57" s="183" t="s">
        <v>246</v>
      </c>
      <c r="C57" s="159" t="s">
        <v>247</v>
      </c>
      <c r="D57" s="160">
        <v>1</v>
      </c>
      <c r="E57" s="161"/>
      <c r="F57" s="162">
        <f>D57*E57</f>
        <v>0</v>
      </c>
    </row>
    <row r="58" spans="1:6" x14ac:dyDescent="0.35">
      <c r="A58" s="135" t="s">
        <v>248</v>
      </c>
      <c r="B58" s="184" t="s">
        <v>249</v>
      </c>
      <c r="C58" s="159" t="s">
        <v>250</v>
      </c>
      <c r="D58" s="159">
        <v>25.65</v>
      </c>
      <c r="E58" s="159"/>
      <c r="F58" s="162">
        <f t="shared" si="6"/>
        <v>0</v>
      </c>
    </row>
    <row r="59" spans="1:6" ht="26.5" thickBot="1" x14ac:dyDescent="0.4">
      <c r="A59" s="131">
        <v>720</v>
      </c>
      <c r="B59" s="185" t="s">
        <v>251</v>
      </c>
      <c r="C59" s="164" t="s">
        <v>247</v>
      </c>
      <c r="D59" s="164">
        <v>1</v>
      </c>
      <c r="E59" s="164"/>
      <c r="F59" s="207">
        <f t="shared" si="6"/>
        <v>0</v>
      </c>
    </row>
    <row r="60" spans="1:6" ht="15" thickBot="1" x14ac:dyDescent="0.4">
      <c r="A60" s="163"/>
      <c r="B60" s="167" t="s">
        <v>252</v>
      </c>
      <c r="C60" s="168"/>
      <c r="D60" s="169"/>
      <c r="E60" s="168"/>
      <c r="F60" s="170">
        <f>+F50+F46+F59</f>
        <v>0</v>
      </c>
    </row>
    <row r="61" spans="1:6" ht="15" thickBot="1" x14ac:dyDescent="0.4">
      <c r="A61" s="147"/>
      <c r="B61" s="148" t="s">
        <v>264</v>
      </c>
      <c r="C61" s="149"/>
      <c r="D61" s="149"/>
      <c r="E61" s="150"/>
      <c r="F61" s="209">
        <f>+F60*1</f>
        <v>0</v>
      </c>
    </row>
    <row r="62" spans="1:6" x14ac:dyDescent="0.35">
      <c r="A62" s="187"/>
      <c r="B62" s="182"/>
      <c r="C62" s="179"/>
      <c r="D62" s="179"/>
      <c r="E62" s="180"/>
      <c r="F62" s="181"/>
    </row>
    <row r="63" spans="1:6" x14ac:dyDescent="0.35">
      <c r="A63" s="280" t="s">
        <v>265</v>
      </c>
      <c r="B63" s="280"/>
      <c r="C63" s="280"/>
      <c r="D63" s="280"/>
      <c r="E63" s="280"/>
      <c r="F63" s="280"/>
    </row>
    <row r="64" spans="1:6" ht="15" thickBot="1" x14ac:dyDescent="0.4">
      <c r="A64" s="174" t="s">
        <v>177</v>
      </c>
      <c r="B64" s="175" t="s">
        <v>178</v>
      </c>
      <c r="C64" s="175" t="s">
        <v>2</v>
      </c>
      <c r="D64" s="176" t="s">
        <v>179</v>
      </c>
      <c r="E64" s="177" t="s">
        <v>180</v>
      </c>
      <c r="F64" s="178" t="s">
        <v>181</v>
      </c>
    </row>
    <row r="65" spans="1:6" x14ac:dyDescent="0.35">
      <c r="A65" s="154">
        <v>700</v>
      </c>
      <c r="B65" s="155" t="s">
        <v>224</v>
      </c>
      <c r="C65" s="156"/>
      <c r="D65" s="157"/>
      <c r="E65" s="158"/>
      <c r="F65" s="188">
        <f>+SUM(F66:F68)</f>
        <v>0</v>
      </c>
    </row>
    <row r="66" spans="1:6" x14ac:dyDescent="0.35">
      <c r="A66" s="135" t="s">
        <v>225</v>
      </c>
      <c r="B66" s="184" t="s">
        <v>226</v>
      </c>
      <c r="C66" s="159" t="s">
        <v>227</v>
      </c>
      <c r="D66" s="160">
        <f>0.8*0.8*1*4</f>
        <v>2.5600000000000005</v>
      </c>
      <c r="E66" s="161"/>
      <c r="F66" s="162">
        <f t="shared" ref="F66:F67" si="7">D66*E66</f>
        <v>0</v>
      </c>
    </row>
    <row r="67" spans="1:6" x14ac:dyDescent="0.35">
      <c r="A67" s="135" t="s">
        <v>228</v>
      </c>
      <c r="B67" s="183" t="s">
        <v>229</v>
      </c>
      <c r="C67" s="159" t="s">
        <v>227</v>
      </c>
      <c r="D67" s="160">
        <f>0.7*0.7*0.05*4</f>
        <v>9.799999999999999E-2</v>
      </c>
      <c r="E67" s="161"/>
      <c r="F67" s="162">
        <f t="shared" si="7"/>
        <v>0</v>
      </c>
    </row>
    <row r="68" spans="1:6" ht="27" x14ac:dyDescent="0.35">
      <c r="A68" s="135" t="s">
        <v>230</v>
      </c>
      <c r="B68" s="183" t="s">
        <v>231</v>
      </c>
      <c r="C68" s="159" t="s">
        <v>227</v>
      </c>
      <c r="D68" s="160">
        <f>(0.6*0.6*0.45*4)+(0.2*0.2*0.5*4)</f>
        <v>0.72799999999999998</v>
      </c>
      <c r="E68" s="161"/>
      <c r="F68" s="162">
        <f>D68*E68</f>
        <v>0</v>
      </c>
    </row>
    <row r="69" spans="1:6" x14ac:dyDescent="0.35">
      <c r="A69" s="131">
        <v>710</v>
      </c>
      <c r="B69" s="132" t="s">
        <v>232</v>
      </c>
      <c r="C69" s="164"/>
      <c r="D69" s="165"/>
      <c r="E69" s="166"/>
      <c r="F69" s="172">
        <f>+F70+F73</f>
        <v>0</v>
      </c>
    </row>
    <row r="70" spans="1:6" x14ac:dyDescent="0.35">
      <c r="A70" s="135" t="s">
        <v>233</v>
      </c>
      <c r="B70" s="203" t="s">
        <v>234</v>
      </c>
      <c r="C70" s="204"/>
      <c r="D70" s="205"/>
      <c r="E70" s="189"/>
      <c r="F70" s="206">
        <f>+SUM(F71:F72)</f>
        <v>0</v>
      </c>
    </row>
    <row r="71" spans="1:6" x14ac:dyDescent="0.35">
      <c r="A71" s="135" t="s">
        <v>235</v>
      </c>
      <c r="B71" s="186" t="s">
        <v>266</v>
      </c>
      <c r="C71" s="159" t="s">
        <v>187</v>
      </c>
      <c r="D71" s="160">
        <v>24</v>
      </c>
      <c r="E71" s="173"/>
      <c r="F71" s="162">
        <f t="shared" ref="F71" si="8">D71*E71</f>
        <v>0</v>
      </c>
    </row>
    <row r="72" spans="1:6" x14ac:dyDescent="0.35">
      <c r="A72" s="135" t="s">
        <v>237</v>
      </c>
      <c r="B72" s="186" t="s">
        <v>238</v>
      </c>
      <c r="C72" s="159" t="s">
        <v>187</v>
      </c>
      <c r="D72" s="160">
        <v>69.28</v>
      </c>
      <c r="E72" s="173"/>
      <c r="F72" s="162">
        <f>D72*E72</f>
        <v>0</v>
      </c>
    </row>
    <row r="73" spans="1:6" x14ac:dyDescent="0.35">
      <c r="A73" s="135" t="s">
        <v>239</v>
      </c>
      <c r="B73" s="203" t="s">
        <v>240</v>
      </c>
      <c r="C73" s="204"/>
      <c r="D73" s="205"/>
      <c r="E73" s="189"/>
      <c r="F73" s="206">
        <f>+SUM(F74:F77)</f>
        <v>0</v>
      </c>
    </row>
    <row r="74" spans="1:6" x14ac:dyDescent="0.35">
      <c r="A74" s="135" t="s">
        <v>241</v>
      </c>
      <c r="B74" s="186" t="s">
        <v>242</v>
      </c>
      <c r="C74" s="159" t="s">
        <v>187</v>
      </c>
      <c r="D74" s="160">
        <f>6*2.2</f>
        <v>13.200000000000001</v>
      </c>
      <c r="E74" s="161"/>
      <c r="F74" s="162">
        <f>D74*E74</f>
        <v>0</v>
      </c>
    </row>
    <row r="75" spans="1:6" x14ac:dyDescent="0.35">
      <c r="A75" s="135" t="s">
        <v>243</v>
      </c>
      <c r="B75" s="186" t="s">
        <v>244</v>
      </c>
      <c r="C75" s="159" t="s">
        <v>187</v>
      </c>
      <c r="D75" s="160">
        <f>4*2.2</f>
        <v>8.8000000000000007</v>
      </c>
      <c r="E75" s="161"/>
      <c r="F75" s="162">
        <f>D75*E75</f>
        <v>0</v>
      </c>
    </row>
    <row r="76" spans="1:6" ht="25" x14ac:dyDescent="0.35">
      <c r="A76" s="135" t="s">
        <v>245</v>
      </c>
      <c r="B76" s="183" t="s">
        <v>246</v>
      </c>
      <c r="C76" s="159" t="s">
        <v>247</v>
      </c>
      <c r="D76" s="160">
        <v>1</v>
      </c>
      <c r="E76" s="161"/>
      <c r="F76" s="162">
        <f>D76*E76</f>
        <v>0</v>
      </c>
    </row>
    <row r="77" spans="1:6" x14ac:dyDescent="0.35">
      <c r="A77" s="135" t="s">
        <v>248</v>
      </c>
      <c r="B77" s="184" t="s">
        <v>249</v>
      </c>
      <c r="C77" s="159" t="s">
        <v>250</v>
      </c>
      <c r="D77" s="159">
        <v>21.46</v>
      </c>
      <c r="E77" s="161"/>
      <c r="F77" s="162">
        <f t="shared" ref="F77:F78" si="9">D77*E77</f>
        <v>0</v>
      </c>
    </row>
    <row r="78" spans="1:6" ht="26.5" thickBot="1" x14ac:dyDescent="0.4">
      <c r="A78" s="131">
        <v>720</v>
      </c>
      <c r="B78" s="185" t="s">
        <v>251</v>
      </c>
      <c r="C78" s="164" t="s">
        <v>247</v>
      </c>
      <c r="D78" s="164">
        <v>1</v>
      </c>
      <c r="E78" s="210"/>
      <c r="F78" s="207">
        <f t="shared" si="9"/>
        <v>0</v>
      </c>
    </row>
    <row r="79" spans="1:6" ht="15" thickBot="1" x14ac:dyDescent="0.4">
      <c r="A79" s="163"/>
      <c r="B79" s="167" t="s">
        <v>252</v>
      </c>
      <c r="C79" s="168"/>
      <c r="D79" s="169"/>
      <c r="E79" s="168"/>
      <c r="F79" s="170">
        <f>+F69+F65+F78</f>
        <v>0</v>
      </c>
    </row>
    <row r="80" spans="1:6" ht="15" thickBot="1" x14ac:dyDescent="0.4">
      <c r="A80" s="147"/>
      <c r="B80" s="148" t="s">
        <v>267</v>
      </c>
      <c r="C80" s="149"/>
      <c r="D80" s="149"/>
      <c r="E80" s="150"/>
      <c r="F80" s="209">
        <f>+F79*3</f>
        <v>0</v>
      </c>
    </row>
    <row r="81" spans="1:6" ht="15" thickBot="1" x14ac:dyDescent="0.4">
      <c r="A81" s="153"/>
      <c r="B81" s="182"/>
      <c r="C81" s="179"/>
      <c r="D81" s="179"/>
      <c r="E81" s="180"/>
      <c r="F81" s="181"/>
    </row>
    <row r="82" spans="1:6" ht="15" thickBot="1" x14ac:dyDescent="0.4">
      <c r="A82" s="147"/>
      <c r="B82" s="148" t="s">
        <v>254</v>
      </c>
      <c r="C82" s="149"/>
      <c r="D82" s="149"/>
      <c r="E82" s="150"/>
      <c r="F82" s="151">
        <f>+F61+F42+F80</f>
        <v>0</v>
      </c>
    </row>
    <row r="83" spans="1:6" ht="15" thickBot="1" x14ac:dyDescent="0.4">
      <c r="A83" s="147"/>
      <c r="B83" s="148" t="s">
        <v>255</v>
      </c>
      <c r="C83" s="149"/>
      <c r="D83" s="149"/>
      <c r="E83" s="150"/>
      <c r="F83" s="151">
        <f>+F82*0.18</f>
        <v>0</v>
      </c>
    </row>
    <row r="84" spans="1:6" ht="15" thickBot="1" x14ac:dyDescent="0.4">
      <c r="A84" s="147"/>
      <c r="B84" s="148" t="s">
        <v>256</v>
      </c>
      <c r="C84" s="149"/>
      <c r="D84" s="149"/>
      <c r="E84" s="150"/>
      <c r="F84" s="151">
        <f>+F82+F83</f>
        <v>0</v>
      </c>
    </row>
  </sheetData>
  <mergeCells count="3">
    <mergeCell ref="A1:F1"/>
    <mergeCell ref="A44:F44"/>
    <mergeCell ref="A63:F63"/>
  </mergeCells>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J87"/>
  <sheetViews>
    <sheetView zoomScale="80" zoomScaleNormal="80" workbookViewId="0">
      <selection activeCell="E4" sqref="E4"/>
    </sheetView>
  </sheetViews>
  <sheetFormatPr baseColWidth="10" defaultColWidth="11.453125" defaultRowHeight="12.5" x14ac:dyDescent="0.25"/>
  <cols>
    <col min="1" max="1" width="5.54296875" style="152" customWidth="1"/>
    <col min="2" max="2" width="59.26953125" style="192" customWidth="1"/>
    <col min="3" max="3" width="6" style="197" bestFit="1" customWidth="1"/>
    <col min="4" max="4" width="10.7265625" style="192" customWidth="1"/>
    <col min="5" max="5" width="16" style="198" bestFit="1" customWidth="1"/>
    <col min="6" max="6" width="18.7265625" style="198" bestFit="1" customWidth="1"/>
    <col min="7" max="7" width="17.54296875" style="192" customWidth="1"/>
    <col min="8" max="8" width="15" style="192" customWidth="1"/>
    <col min="9" max="9" width="13.1796875" style="192" customWidth="1"/>
    <col min="10" max="10" width="13.81640625" style="192" customWidth="1"/>
    <col min="11" max="16384" width="11.453125" style="192"/>
  </cols>
  <sheetData>
    <row r="1" spans="1:10" ht="15.75" customHeight="1" x14ac:dyDescent="0.25">
      <c r="A1" s="280" t="s">
        <v>176</v>
      </c>
      <c r="B1" s="280"/>
      <c r="C1" s="280"/>
      <c r="D1" s="280"/>
      <c r="E1" s="280"/>
      <c r="F1" s="280"/>
    </row>
    <row r="2" spans="1:10" ht="13.5" thickBot="1" x14ac:dyDescent="0.3">
      <c r="A2" s="174" t="s">
        <v>177</v>
      </c>
      <c r="B2" s="175" t="s">
        <v>178</v>
      </c>
      <c r="C2" s="175" t="s">
        <v>2</v>
      </c>
      <c r="D2" s="176" t="s">
        <v>179</v>
      </c>
      <c r="E2" s="177" t="s">
        <v>180</v>
      </c>
      <c r="F2" s="178" t="s">
        <v>181</v>
      </c>
    </row>
    <row r="3" spans="1:10" ht="13" x14ac:dyDescent="0.25">
      <c r="A3" s="121">
        <v>100</v>
      </c>
      <c r="B3" s="122" t="s">
        <v>182</v>
      </c>
      <c r="C3" s="123"/>
      <c r="D3" s="123"/>
      <c r="E3" s="124"/>
      <c r="F3" s="125">
        <f>+F4</f>
        <v>0</v>
      </c>
    </row>
    <row r="4" spans="1:10" ht="37.5" x14ac:dyDescent="0.25">
      <c r="A4" s="126">
        <v>101</v>
      </c>
      <c r="B4" s="127" t="s">
        <v>183</v>
      </c>
      <c r="C4" s="128" t="s">
        <v>184</v>
      </c>
      <c r="D4" s="129">
        <v>1</v>
      </c>
      <c r="E4" s="130"/>
      <c r="F4" s="129">
        <f>E4*D4</f>
        <v>0</v>
      </c>
    </row>
    <row r="5" spans="1:10" s="152" customFormat="1" ht="13" x14ac:dyDescent="0.35">
      <c r="A5" s="131">
        <v>200</v>
      </c>
      <c r="B5" s="132" t="s">
        <v>185</v>
      </c>
      <c r="C5" s="133"/>
      <c r="D5" s="133"/>
      <c r="E5" s="134"/>
      <c r="F5" s="172">
        <f>SUM(F6:F7)</f>
        <v>0</v>
      </c>
      <c r="H5" s="193"/>
      <c r="I5" s="193"/>
      <c r="J5" s="193"/>
    </row>
    <row r="6" spans="1:10" s="152" customFormat="1" x14ac:dyDescent="0.35">
      <c r="A6" s="135">
        <v>201</v>
      </c>
      <c r="B6" s="136" t="s">
        <v>257</v>
      </c>
      <c r="C6" s="137" t="s">
        <v>187</v>
      </c>
      <c r="D6" s="138">
        <v>699</v>
      </c>
      <c r="E6" s="138"/>
      <c r="F6" s="139">
        <f t="shared" ref="F6:F7" si="0">E6*D6</f>
        <v>0</v>
      </c>
    </row>
    <row r="7" spans="1:10" s="152" customFormat="1" x14ac:dyDescent="0.35">
      <c r="A7" s="135">
        <v>202</v>
      </c>
      <c r="B7" s="136" t="s">
        <v>258</v>
      </c>
      <c r="C7" s="137" t="s">
        <v>189</v>
      </c>
      <c r="D7" s="138">
        <v>10</v>
      </c>
      <c r="E7" s="138"/>
      <c r="F7" s="139">
        <f t="shared" si="0"/>
        <v>0</v>
      </c>
    </row>
    <row r="8" spans="1:10" ht="13" x14ac:dyDescent="0.25">
      <c r="A8" s="131">
        <v>300</v>
      </c>
      <c r="B8" s="132" t="s">
        <v>268</v>
      </c>
      <c r="C8" s="133"/>
      <c r="D8" s="133"/>
      <c r="E8" s="134"/>
      <c r="F8" s="172">
        <f>SUM(F9:F12)</f>
        <v>0</v>
      </c>
      <c r="H8" s="196"/>
      <c r="I8" s="196"/>
      <c r="J8" s="196"/>
    </row>
    <row r="9" spans="1:10" x14ac:dyDescent="0.25">
      <c r="A9" s="135">
        <v>301</v>
      </c>
      <c r="B9" s="136" t="s">
        <v>269</v>
      </c>
      <c r="C9" s="137" t="s">
        <v>187</v>
      </c>
      <c r="D9" s="138">
        <v>355</v>
      </c>
      <c r="E9" s="138"/>
      <c r="F9" s="139">
        <f>E9*D9</f>
        <v>0</v>
      </c>
    </row>
    <row r="10" spans="1:10" x14ac:dyDescent="0.25">
      <c r="A10" s="135">
        <f>+A9+1</f>
        <v>302</v>
      </c>
      <c r="B10" s="136" t="s">
        <v>270</v>
      </c>
      <c r="C10" s="137" t="s">
        <v>189</v>
      </c>
      <c r="D10" s="138">
        <v>4</v>
      </c>
      <c r="E10" s="138"/>
      <c r="F10" s="139">
        <f>E10*D10</f>
        <v>0</v>
      </c>
    </row>
    <row r="11" spans="1:10" x14ac:dyDescent="0.25">
      <c r="A11" s="135">
        <f t="shared" ref="A11:A12" si="1">+A10+1</f>
        <v>303</v>
      </c>
      <c r="B11" s="136" t="s">
        <v>271</v>
      </c>
      <c r="C11" s="137" t="s">
        <v>187</v>
      </c>
      <c r="D11" s="138">
        <v>270</v>
      </c>
      <c r="E11" s="138"/>
      <c r="F11" s="139">
        <f>E11*D11</f>
        <v>0</v>
      </c>
    </row>
    <row r="12" spans="1:10" x14ac:dyDescent="0.25">
      <c r="A12" s="135">
        <f t="shared" si="1"/>
        <v>304</v>
      </c>
      <c r="B12" s="136" t="s">
        <v>272</v>
      </c>
      <c r="C12" s="137" t="s">
        <v>189</v>
      </c>
      <c r="D12" s="138">
        <v>6</v>
      </c>
      <c r="E12" s="138"/>
      <c r="F12" s="139">
        <f>E12*D12</f>
        <v>0</v>
      </c>
    </row>
    <row r="13" spans="1:10" ht="13" x14ac:dyDescent="0.25">
      <c r="A13" s="131">
        <v>400</v>
      </c>
      <c r="B13" s="132" t="s">
        <v>261</v>
      </c>
      <c r="C13" s="133"/>
      <c r="D13" s="133"/>
      <c r="E13" s="134"/>
      <c r="F13" s="172">
        <f>SUM(F14:F31)</f>
        <v>0</v>
      </c>
    </row>
    <row r="14" spans="1:10" ht="13" x14ac:dyDescent="0.25">
      <c r="A14" s="140"/>
      <c r="B14" s="141" t="s">
        <v>194</v>
      </c>
      <c r="C14" s="142"/>
      <c r="D14" s="143"/>
      <c r="E14" s="144"/>
      <c r="F14" s="145"/>
    </row>
    <row r="15" spans="1:10" x14ac:dyDescent="0.25">
      <c r="A15" s="135">
        <v>401</v>
      </c>
      <c r="B15" s="136" t="s">
        <v>195</v>
      </c>
      <c r="C15" s="137" t="s">
        <v>189</v>
      </c>
      <c r="D15" s="138">
        <v>4</v>
      </c>
      <c r="E15" s="146"/>
      <c r="F15" s="139">
        <f t="shared" ref="F15:F31" si="2">E15*D15</f>
        <v>0</v>
      </c>
    </row>
    <row r="16" spans="1:10" x14ac:dyDescent="0.25">
      <c r="A16" s="135">
        <f t="shared" ref="A16:A21" si="3">+A15+1</f>
        <v>402</v>
      </c>
      <c r="B16" s="136" t="s">
        <v>196</v>
      </c>
      <c r="C16" s="137" t="s">
        <v>189</v>
      </c>
      <c r="D16" s="138">
        <v>4</v>
      </c>
      <c r="E16" s="146"/>
      <c r="F16" s="139">
        <f t="shared" si="2"/>
        <v>0</v>
      </c>
    </row>
    <row r="17" spans="1:6" x14ac:dyDescent="0.25">
      <c r="A17" s="135">
        <f t="shared" si="3"/>
        <v>403</v>
      </c>
      <c r="B17" s="136" t="s">
        <v>197</v>
      </c>
      <c r="C17" s="137" t="s">
        <v>189</v>
      </c>
      <c r="D17" s="138">
        <v>4</v>
      </c>
      <c r="E17" s="146"/>
      <c r="F17" s="139">
        <f t="shared" si="2"/>
        <v>0</v>
      </c>
    </row>
    <row r="18" spans="1:6" x14ac:dyDescent="0.25">
      <c r="A18" s="135">
        <f t="shared" si="3"/>
        <v>404</v>
      </c>
      <c r="B18" s="136" t="s">
        <v>198</v>
      </c>
      <c r="C18" s="137" t="s">
        <v>189</v>
      </c>
      <c r="D18" s="138">
        <v>4</v>
      </c>
      <c r="E18" s="146"/>
      <c r="F18" s="139">
        <f t="shared" si="2"/>
        <v>0</v>
      </c>
    </row>
    <row r="19" spans="1:6" x14ac:dyDescent="0.25">
      <c r="A19" s="135">
        <f t="shared" si="3"/>
        <v>405</v>
      </c>
      <c r="B19" s="136" t="s">
        <v>199</v>
      </c>
      <c r="C19" s="137" t="s">
        <v>189</v>
      </c>
      <c r="D19" s="138">
        <v>4</v>
      </c>
      <c r="E19" s="146"/>
      <c r="F19" s="139">
        <f t="shared" si="2"/>
        <v>0</v>
      </c>
    </row>
    <row r="20" spans="1:6" x14ac:dyDescent="0.25">
      <c r="A20" s="135">
        <f t="shared" si="3"/>
        <v>406</v>
      </c>
      <c r="B20" s="136" t="s">
        <v>200</v>
      </c>
      <c r="C20" s="137" t="s">
        <v>189</v>
      </c>
      <c r="D20" s="138">
        <v>4</v>
      </c>
      <c r="E20" s="146"/>
      <c r="F20" s="139">
        <f t="shared" si="2"/>
        <v>0</v>
      </c>
    </row>
    <row r="21" spans="1:6" x14ac:dyDescent="0.25">
      <c r="A21" s="135">
        <f t="shared" si="3"/>
        <v>407</v>
      </c>
      <c r="B21" s="136" t="s">
        <v>201</v>
      </c>
      <c r="C21" s="137" t="s">
        <v>189</v>
      </c>
      <c r="D21" s="138">
        <v>4</v>
      </c>
      <c r="E21" s="146"/>
      <c r="F21" s="139">
        <f t="shared" si="2"/>
        <v>0</v>
      </c>
    </row>
    <row r="22" spans="1:6" ht="13" x14ac:dyDescent="0.25">
      <c r="A22" s="140"/>
      <c r="B22" s="141" t="s">
        <v>202</v>
      </c>
      <c r="C22" s="142"/>
      <c r="D22" s="143"/>
      <c r="E22" s="144"/>
      <c r="F22" s="145"/>
    </row>
    <row r="23" spans="1:6" x14ac:dyDescent="0.25">
      <c r="A23" s="135">
        <f>+A21+1</f>
        <v>408</v>
      </c>
      <c r="B23" s="136" t="s">
        <v>203</v>
      </c>
      <c r="C23" s="137" t="s">
        <v>187</v>
      </c>
      <c r="D23" s="138">
        <v>160</v>
      </c>
      <c r="E23" s="146"/>
      <c r="F23" s="139">
        <f t="shared" si="2"/>
        <v>0</v>
      </c>
    </row>
    <row r="24" spans="1:6" x14ac:dyDescent="0.25">
      <c r="A24" s="135">
        <f>+A23+1</f>
        <v>409</v>
      </c>
      <c r="B24" s="136" t="s">
        <v>204</v>
      </c>
      <c r="C24" s="137" t="s">
        <v>189</v>
      </c>
      <c r="D24" s="138">
        <v>4</v>
      </c>
      <c r="E24" s="146"/>
      <c r="F24" s="139">
        <f t="shared" si="2"/>
        <v>0</v>
      </c>
    </row>
    <row r="25" spans="1:6" ht="13" x14ac:dyDescent="0.25">
      <c r="A25" s="140"/>
      <c r="B25" s="141" t="s">
        <v>205</v>
      </c>
      <c r="C25" s="142"/>
      <c r="D25" s="143"/>
      <c r="E25" s="144"/>
      <c r="F25" s="145"/>
    </row>
    <row r="26" spans="1:6" x14ac:dyDescent="0.25">
      <c r="A26" s="135">
        <f>+A24+1</f>
        <v>410</v>
      </c>
      <c r="B26" s="136" t="s">
        <v>206</v>
      </c>
      <c r="C26" s="137" t="s">
        <v>187</v>
      </c>
      <c r="D26" s="138">
        <f>266.7*50</f>
        <v>13335</v>
      </c>
      <c r="E26" s="146"/>
      <c r="F26" s="139">
        <f t="shared" si="2"/>
        <v>0</v>
      </c>
    </row>
    <row r="27" spans="1:6" x14ac:dyDescent="0.25">
      <c r="A27" s="135">
        <f>+A26+1</f>
        <v>411</v>
      </c>
      <c r="B27" s="136" t="s">
        <v>207</v>
      </c>
      <c r="C27" s="137" t="s">
        <v>189</v>
      </c>
      <c r="D27" s="138">
        <v>267</v>
      </c>
      <c r="E27" s="146"/>
      <c r="F27" s="139">
        <f t="shared" si="2"/>
        <v>0</v>
      </c>
    </row>
    <row r="28" spans="1:6" x14ac:dyDescent="0.25">
      <c r="A28" s="135">
        <f>+A27+1</f>
        <v>412</v>
      </c>
      <c r="B28" s="136" t="s">
        <v>208</v>
      </c>
      <c r="C28" s="137" t="s">
        <v>189</v>
      </c>
      <c r="D28" s="138">
        <v>267</v>
      </c>
      <c r="E28" s="146"/>
      <c r="F28" s="139">
        <f t="shared" si="2"/>
        <v>0</v>
      </c>
    </row>
    <row r="29" spans="1:6" x14ac:dyDescent="0.25">
      <c r="A29" s="135">
        <f>+A28+1</f>
        <v>413</v>
      </c>
      <c r="B29" s="136" t="s">
        <v>209</v>
      </c>
      <c r="C29" s="137" t="s">
        <v>189</v>
      </c>
      <c r="D29" s="138">
        <v>30</v>
      </c>
      <c r="E29" s="146"/>
      <c r="F29" s="139">
        <f t="shared" si="2"/>
        <v>0</v>
      </c>
    </row>
    <row r="30" spans="1:6" ht="13" x14ac:dyDescent="0.25">
      <c r="A30" s="135"/>
      <c r="B30" s="141" t="s">
        <v>210</v>
      </c>
      <c r="C30" s="142">
        <v>0</v>
      </c>
      <c r="D30" s="143">
        <v>0</v>
      </c>
      <c r="E30" s="144"/>
      <c r="F30" s="145">
        <f t="shared" si="2"/>
        <v>0</v>
      </c>
    </row>
    <row r="31" spans="1:6" x14ac:dyDescent="0.25">
      <c r="A31" s="135">
        <v>414</v>
      </c>
      <c r="B31" s="136" t="s">
        <v>211</v>
      </c>
      <c r="C31" s="137" t="s">
        <v>189</v>
      </c>
      <c r="D31" s="138">
        <v>12</v>
      </c>
      <c r="E31" s="146"/>
      <c r="F31" s="139">
        <f t="shared" si="2"/>
        <v>0</v>
      </c>
    </row>
    <row r="32" spans="1:6" ht="13" x14ac:dyDescent="0.25">
      <c r="A32" s="131">
        <v>500</v>
      </c>
      <c r="B32" s="132" t="s">
        <v>212</v>
      </c>
      <c r="C32" s="133"/>
      <c r="D32" s="133"/>
      <c r="E32" s="134"/>
      <c r="F32" s="172">
        <f>SUM(F33:F41)</f>
        <v>0</v>
      </c>
    </row>
    <row r="33" spans="1:7" x14ac:dyDescent="0.25">
      <c r="A33" s="135">
        <v>501</v>
      </c>
      <c r="B33" s="136" t="s">
        <v>213</v>
      </c>
      <c r="C33" s="137" t="s">
        <v>187</v>
      </c>
      <c r="D33" s="138">
        <v>415</v>
      </c>
      <c r="E33" s="190"/>
      <c r="F33" s="139">
        <f>E33*D33</f>
        <v>0</v>
      </c>
    </row>
    <row r="34" spans="1:7" x14ac:dyDescent="0.25">
      <c r="A34" s="135">
        <f>+A33+1</f>
        <v>502</v>
      </c>
      <c r="B34" s="136" t="s">
        <v>214</v>
      </c>
      <c r="C34" s="137" t="s">
        <v>189</v>
      </c>
      <c r="D34" s="138">
        <v>20</v>
      </c>
      <c r="E34" s="190"/>
      <c r="F34" s="139">
        <f t="shared" ref="F34:F41" si="4">E34*D34</f>
        <v>0</v>
      </c>
    </row>
    <row r="35" spans="1:7" x14ac:dyDescent="0.25">
      <c r="A35" s="135">
        <f t="shared" ref="A35:A41" si="5">+A34+1</f>
        <v>503</v>
      </c>
      <c r="B35" s="136" t="s">
        <v>215</v>
      </c>
      <c r="C35" s="137" t="s">
        <v>189</v>
      </c>
      <c r="D35" s="138">
        <v>20</v>
      </c>
      <c r="E35" s="190"/>
      <c r="F35" s="139">
        <f t="shared" si="4"/>
        <v>0</v>
      </c>
    </row>
    <row r="36" spans="1:7" x14ac:dyDescent="0.25">
      <c r="A36" s="135">
        <f t="shared" si="5"/>
        <v>504</v>
      </c>
      <c r="B36" s="136" t="s">
        <v>216</v>
      </c>
      <c r="C36" s="137" t="s">
        <v>187</v>
      </c>
      <c r="D36" s="138">
        <v>20</v>
      </c>
      <c r="E36" s="190"/>
      <c r="F36" s="139">
        <f t="shared" si="4"/>
        <v>0</v>
      </c>
    </row>
    <row r="37" spans="1:7" x14ac:dyDescent="0.25">
      <c r="A37" s="135">
        <f t="shared" si="5"/>
        <v>505</v>
      </c>
      <c r="B37" s="136" t="s">
        <v>217</v>
      </c>
      <c r="C37" s="137" t="s">
        <v>189</v>
      </c>
      <c r="D37" s="138">
        <v>13</v>
      </c>
      <c r="E37" s="190"/>
      <c r="F37" s="139">
        <f t="shared" si="4"/>
        <v>0</v>
      </c>
    </row>
    <row r="38" spans="1:7" x14ac:dyDescent="0.25">
      <c r="A38" s="135">
        <f t="shared" si="5"/>
        <v>506</v>
      </c>
      <c r="B38" s="136" t="s">
        <v>218</v>
      </c>
      <c r="C38" s="137" t="s">
        <v>189</v>
      </c>
      <c r="D38" s="138">
        <v>20</v>
      </c>
      <c r="E38" s="190"/>
      <c r="F38" s="139">
        <f t="shared" si="4"/>
        <v>0</v>
      </c>
    </row>
    <row r="39" spans="1:7" x14ac:dyDescent="0.25">
      <c r="A39" s="135">
        <f t="shared" si="5"/>
        <v>507</v>
      </c>
      <c r="B39" s="136" t="s">
        <v>219</v>
      </c>
      <c r="C39" s="137" t="s">
        <v>189</v>
      </c>
      <c r="D39" s="138">
        <v>20</v>
      </c>
      <c r="E39" s="190"/>
      <c r="F39" s="139">
        <f t="shared" si="4"/>
        <v>0</v>
      </c>
    </row>
    <row r="40" spans="1:7" x14ac:dyDescent="0.25">
      <c r="A40" s="135">
        <f t="shared" si="5"/>
        <v>508</v>
      </c>
      <c r="B40" s="136" t="s">
        <v>220</v>
      </c>
      <c r="C40" s="137"/>
      <c r="D40" s="138">
        <v>6</v>
      </c>
      <c r="E40" s="190"/>
      <c r="F40" s="139">
        <f t="shared" si="4"/>
        <v>0</v>
      </c>
    </row>
    <row r="41" spans="1:7" ht="13" thickBot="1" x14ac:dyDescent="0.3">
      <c r="A41" s="135">
        <f t="shared" si="5"/>
        <v>509</v>
      </c>
      <c r="B41" s="191" t="s">
        <v>221</v>
      </c>
      <c r="C41" s="137" t="s">
        <v>189</v>
      </c>
      <c r="D41" s="138">
        <v>6</v>
      </c>
      <c r="E41" s="190"/>
      <c r="F41" s="139">
        <f t="shared" si="4"/>
        <v>0</v>
      </c>
    </row>
    <row r="42" spans="1:7" ht="13.5" thickBot="1" x14ac:dyDescent="0.3">
      <c r="A42" s="147"/>
      <c r="B42" s="148" t="s">
        <v>222</v>
      </c>
      <c r="C42" s="149"/>
      <c r="D42" s="149"/>
      <c r="E42" s="150"/>
      <c r="F42" s="151">
        <f>F3+F5+F8+F13+F32</f>
        <v>0</v>
      </c>
      <c r="G42" s="196"/>
    </row>
    <row r="45" spans="1:7" ht="13" x14ac:dyDescent="0.25">
      <c r="A45" s="280" t="s">
        <v>223</v>
      </c>
      <c r="B45" s="280"/>
      <c r="C45" s="280"/>
      <c r="D45" s="280"/>
      <c r="E45" s="280"/>
      <c r="F45" s="280"/>
    </row>
    <row r="46" spans="1:7" ht="13.5" thickBot="1" x14ac:dyDescent="0.3">
      <c r="A46" s="174" t="s">
        <v>177</v>
      </c>
      <c r="B46" s="175" t="s">
        <v>178</v>
      </c>
      <c r="C46" s="175" t="s">
        <v>2</v>
      </c>
      <c r="D46" s="176" t="s">
        <v>179</v>
      </c>
      <c r="E46" s="177" t="s">
        <v>180</v>
      </c>
      <c r="F46" s="178" t="s">
        <v>181</v>
      </c>
    </row>
    <row r="47" spans="1:7" ht="13" x14ac:dyDescent="0.25">
      <c r="A47" s="154">
        <v>700</v>
      </c>
      <c r="B47" s="155" t="s">
        <v>224</v>
      </c>
      <c r="C47" s="156"/>
      <c r="D47" s="157"/>
      <c r="E47" s="158"/>
      <c r="F47" s="188">
        <f>+SUM(F48:F50)</f>
        <v>0</v>
      </c>
    </row>
    <row r="48" spans="1:7" ht="14.5" x14ac:dyDescent="0.25">
      <c r="A48" s="135" t="s">
        <v>225</v>
      </c>
      <c r="B48" s="184" t="s">
        <v>226</v>
      </c>
      <c r="C48" s="159" t="s">
        <v>227</v>
      </c>
      <c r="D48" s="160">
        <f>0.8*0.8*1*4</f>
        <v>2.5600000000000005</v>
      </c>
      <c r="E48" s="161"/>
      <c r="F48" s="162">
        <f t="shared" ref="F48:F60" si="6">D48*E48</f>
        <v>0</v>
      </c>
    </row>
    <row r="49" spans="1:6" ht="14.5" x14ac:dyDescent="0.25">
      <c r="A49" s="135" t="s">
        <v>228</v>
      </c>
      <c r="B49" s="183" t="s">
        <v>229</v>
      </c>
      <c r="C49" s="159" t="s">
        <v>227</v>
      </c>
      <c r="D49" s="160">
        <f>0.7*0.7*0.05*4</f>
        <v>9.799999999999999E-2</v>
      </c>
      <c r="E49" s="161"/>
      <c r="F49" s="162">
        <f t="shared" si="6"/>
        <v>0</v>
      </c>
    </row>
    <row r="50" spans="1:6" ht="27" x14ac:dyDescent="0.25">
      <c r="A50" s="135" t="s">
        <v>230</v>
      </c>
      <c r="B50" s="183" t="s">
        <v>231</v>
      </c>
      <c r="C50" s="159" t="s">
        <v>227</v>
      </c>
      <c r="D50" s="160">
        <f>(0.6*0.6*0.45*4)+(0.2*0.2*0.5*4)</f>
        <v>0.72799999999999998</v>
      </c>
      <c r="E50" s="161"/>
      <c r="F50" s="162">
        <f t="shared" si="6"/>
        <v>0</v>
      </c>
    </row>
    <row r="51" spans="1:6" ht="13" x14ac:dyDescent="0.25">
      <c r="A51" s="131">
        <v>710</v>
      </c>
      <c r="B51" s="132" t="s">
        <v>232</v>
      </c>
      <c r="C51" s="164"/>
      <c r="D51" s="165"/>
      <c r="E51" s="166"/>
      <c r="F51" s="172">
        <f>+F52+F55</f>
        <v>0</v>
      </c>
    </row>
    <row r="52" spans="1:6" ht="13" x14ac:dyDescent="0.25">
      <c r="A52" s="135" t="s">
        <v>233</v>
      </c>
      <c r="B52" s="203" t="s">
        <v>234</v>
      </c>
      <c r="C52" s="204"/>
      <c r="D52" s="205"/>
      <c r="E52" s="189"/>
      <c r="F52" s="206">
        <f>+SUM(F53:F54)</f>
        <v>0</v>
      </c>
    </row>
    <row r="53" spans="1:6" x14ac:dyDescent="0.25">
      <c r="A53" s="135" t="s">
        <v>235</v>
      </c>
      <c r="B53" s="186" t="s">
        <v>236</v>
      </c>
      <c r="C53" s="159" t="s">
        <v>187</v>
      </c>
      <c r="D53" s="160">
        <v>28</v>
      </c>
      <c r="E53" s="173"/>
      <c r="F53" s="162">
        <f t="shared" si="6"/>
        <v>0</v>
      </c>
    </row>
    <row r="54" spans="1:6" x14ac:dyDescent="0.25">
      <c r="A54" s="135" t="s">
        <v>237</v>
      </c>
      <c r="B54" s="186" t="s">
        <v>238</v>
      </c>
      <c r="C54" s="159" t="s">
        <v>187</v>
      </c>
      <c r="D54" s="160">
        <v>75.680000000000007</v>
      </c>
      <c r="E54" s="173"/>
      <c r="F54" s="162">
        <f>D54*E54</f>
        <v>0</v>
      </c>
    </row>
    <row r="55" spans="1:6" ht="13" x14ac:dyDescent="0.25">
      <c r="A55" s="135" t="s">
        <v>239</v>
      </c>
      <c r="B55" s="203" t="s">
        <v>240</v>
      </c>
      <c r="C55" s="204"/>
      <c r="D55" s="205"/>
      <c r="E55" s="189"/>
      <c r="F55" s="206">
        <f>+SUM(F56:F59)</f>
        <v>0</v>
      </c>
    </row>
    <row r="56" spans="1:6" x14ac:dyDescent="0.25">
      <c r="A56" s="135" t="s">
        <v>241</v>
      </c>
      <c r="B56" s="186" t="s">
        <v>242</v>
      </c>
      <c r="C56" s="159" t="s">
        <v>187</v>
      </c>
      <c r="D56" s="160">
        <v>12</v>
      </c>
      <c r="E56" s="173"/>
      <c r="F56" s="162">
        <f>D56*E56</f>
        <v>0</v>
      </c>
    </row>
    <row r="57" spans="1:6" x14ac:dyDescent="0.25">
      <c r="A57" s="135" t="s">
        <v>243</v>
      </c>
      <c r="B57" s="186" t="s">
        <v>244</v>
      </c>
      <c r="C57" s="159" t="s">
        <v>187</v>
      </c>
      <c r="D57" s="160">
        <v>8</v>
      </c>
      <c r="E57" s="161"/>
      <c r="F57" s="162">
        <f>D57*E57</f>
        <v>0</v>
      </c>
    </row>
    <row r="58" spans="1:6" ht="25" x14ac:dyDescent="0.25">
      <c r="A58" s="135" t="s">
        <v>245</v>
      </c>
      <c r="B58" s="183" t="s">
        <v>246</v>
      </c>
      <c r="C58" s="159" t="s">
        <v>247</v>
      </c>
      <c r="D58" s="160">
        <v>1</v>
      </c>
      <c r="E58" s="161"/>
      <c r="F58" s="162">
        <f>D58*E58</f>
        <v>0</v>
      </c>
    </row>
    <row r="59" spans="1:6" ht="14.5" x14ac:dyDescent="0.25">
      <c r="A59" s="135" t="s">
        <v>248</v>
      </c>
      <c r="B59" s="184" t="s">
        <v>249</v>
      </c>
      <c r="C59" s="159" t="s">
        <v>250</v>
      </c>
      <c r="D59" s="159">
        <v>25.65</v>
      </c>
      <c r="E59" s="159"/>
      <c r="F59" s="162">
        <f t="shared" si="6"/>
        <v>0</v>
      </c>
    </row>
    <row r="60" spans="1:6" ht="39.5" thickBot="1" x14ac:dyDescent="0.3">
      <c r="A60" s="131">
        <v>720</v>
      </c>
      <c r="B60" s="185" t="s">
        <v>251</v>
      </c>
      <c r="C60" s="164" t="s">
        <v>247</v>
      </c>
      <c r="D60" s="164">
        <v>1</v>
      </c>
      <c r="E60" s="164"/>
      <c r="F60" s="207">
        <f t="shared" si="6"/>
        <v>0</v>
      </c>
    </row>
    <row r="61" spans="1:6" ht="13.5" thickBot="1" x14ac:dyDescent="0.3">
      <c r="A61" s="163"/>
      <c r="B61" s="167" t="s">
        <v>252</v>
      </c>
      <c r="C61" s="168"/>
      <c r="D61" s="169"/>
      <c r="E61" s="168"/>
      <c r="F61" s="170">
        <f>+F51+F47+F60</f>
        <v>0</v>
      </c>
    </row>
    <row r="62" spans="1:6" ht="13.5" thickBot="1" x14ac:dyDescent="0.3">
      <c r="A62" s="147"/>
      <c r="B62" s="148" t="s">
        <v>273</v>
      </c>
      <c r="C62" s="149"/>
      <c r="D62" s="149"/>
      <c r="E62" s="150"/>
      <c r="F62" s="209">
        <f>+F61*2</f>
        <v>0</v>
      </c>
    </row>
    <row r="63" spans="1:6" ht="13" x14ac:dyDescent="0.25">
      <c r="A63" s="187"/>
      <c r="B63" s="182"/>
      <c r="C63" s="179"/>
      <c r="D63" s="179"/>
      <c r="E63" s="180"/>
      <c r="F63" s="181"/>
    </row>
    <row r="64" spans="1:6" ht="13" x14ac:dyDescent="0.25">
      <c r="A64" s="153"/>
      <c r="B64" s="182"/>
      <c r="C64" s="179"/>
      <c r="D64" s="179"/>
      <c r="E64" s="180"/>
      <c r="F64" s="181"/>
    </row>
    <row r="65" spans="1:6" ht="13" x14ac:dyDescent="0.25">
      <c r="A65" s="280" t="s">
        <v>265</v>
      </c>
      <c r="B65" s="280"/>
      <c r="C65" s="280"/>
      <c r="D65" s="280"/>
      <c r="E65" s="280"/>
      <c r="F65" s="280"/>
    </row>
    <row r="66" spans="1:6" ht="13.5" thickBot="1" x14ac:dyDescent="0.3">
      <c r="A66" s="174" t="s">
        <v>177</v>
      </c>
      <c r="B66" s="175" t="s">
        <v>178</v>
      </c>
      <c r="C66" s="175" t="s">
        <v>2</v>
      </c>
      <c r="D66" s="176" t="s">
        <v>179</v>
      </c>
      <c r="E66" s="177" t="s">
        <v>180</v>
      </c>
      <c r="F66" s="178" t="s">
        <v>181</v>
      </c>
    </row>
    <row r="67" spans="1:6" ht="13" x14ac:dyDescent="0.25">
      <c r="A67" s="154">
        <v>700</v>
      </c>
      <c r="B67" s="155" t="s">
        <v>224</v>
      </c>
      <c r="C67" s="156"/>
      <c r="D67" s="157"/>
      <c r="E67" s="158"/>
      <c r="F67" s="188">
        <f>+SUM(F68:F70)</f>
        <v>0</v>
      </c>
    </row>
    <row r="68" spans="1:6" ht="14.5" x14ac:dyDescent="0.25">
      <c r="A68" s="135" t="s">
        <v>225</v>
      </c>
      <c r="B68" s="184" t="s">
        <v>226</v>
      </c>
      <c r="C68" s="159" t="s">
        <v>227</v>
      </c>
      <c r="D68" s="160">
        <f>0.8*0.8*1*4</f>
        <v>2.5600000000000005</v>
      </c>
      <c r="E68" s="161"/>
      <c r="F68" s="162">
        <f t="shared" ref="F68:F69" si="7">D68*E68</f>
        <v>0</v>
      </c>
    </row>
    <row r="69" spans="1:6" ht="14.5" x14ac:dyDescent="0.25">
      <c r="A69" s="135" t="s">
        <v>228</v>
      </c>
      <c r="B69" s="183" t="s">
        <v>229</v>
      </c>
      <c r="C69" s="159" t="s">
        <v>227</v>
      </c>
      <c r="D69" s="160">
        <f>0.7*0.7*0.05*4</f>
        <v>9.799999999999999E-2</v>
      </c>
      <c r="E69" s="161"/>
      <c r="F69" s="162">
        <f t="shared" si="7"/>
        <v>0</v>
      </c>
    </row>
    <row r="70" spans="1:6" ht="27" x14ac:dyDescent="0.25">
      <c r="A70" s="135" t="s">
        <v>230</v>
      </c>
      <c r="B70" s="183" t="s">
        <v>231</v>
      </c>
      <c r="C70" s="159" t="s">
        <v>227</v>
      </c>
      <c r="D70" s="160">
        <f>(0.6*0.6*0.45*4)+(0.2*0.2*0.5*4)</f>
        <v>0.72799999999999998</v>
      </c>
      <c r="E70" s="161"/>
      <c r="F70" s="162">
        <f>D70*E70</f>
        <v>0</v>
      </c>
    </row>
    <row r="71" spans="1:6" ht="13" x14ac:dyDescent="0.25">
      <c r="A71" s="131">
        <v>710</v>
      </c>
      <c r="B71" s="132" t="s">
        <v>232</v>
      </c>
      <c r="C71" s="164"/>
      <c r="D71" s="165"/>
      <c r="E71" s="166"/>
      <c r="F71" s="172">
        <f>+F72+F75</f>
        <v>0</v>
      </c>
    </row>
    <row r="72" spans="1:6" ht="13" x14ac:dyDescent="0.25">
      <c r="A72" s="135" t="s">
        <v>233</v>
      </c>
      <c r="B72" s="203" t="s">
        <v>234</v>
      </c>
      <c r="C72" s="204"/>
      <c r="D72" s="205"/>
      <c r="E72" s="189"/>
      <c r="F72" s="206">
        <f>+SUM(F73:F74)</f>
        <v>0</v>
      </c>
    </row>
    <row r="73" spans="1:6" x14ac:dyDescent="0.25">
      <c r="A73" s="135" t="s">
        <v>235</v>
      </c>
      <c r="B73" s="186" t="s">
        <v>266</v>
      </c>
      <c r="C73" s="159" t="s">
        <v>187</v>
      </c>
      <c r="D73" s="160">
        <v>24</v>
      </c>
      <c r="E73" s="173"/>
      <c r="F73" s="162">
        <f t="shared" ref="F73" si="8">D73*E73</f>
        <v>0</v>
      </c>
    </row>
    <row r="74" spans="1:6" x14ac:dyDescent="0.25">
      <c r="A74" s="135" t="s">
        <v>237</v>
      </c>
      <c r="B74" s="186" t="s">
        <v>238</v>
      </c>
      <c r="C74" s="159" t="s">
        <v>187</v>
      </c>
      <c r="D74" s="160">
        <v>69.28</v>
      </c>
      <c r="E74" s="173"/>
      <c r="F74" s="162">
        <f>D74*E74</f>
        <v>0</v>
      </c>
    </row>
    <row r="75" spans="1:6" ht="13" x14ac:dyDescent="0.25">
      <c r="A75" s="135" t="s">
        <v>239</v>
      </c>
      <c r="B75" s="203" t="s">
        <v>240</v>
      </c>
      <c r="C75" s="204"/>
      <c r="D75" s="205"/>
      <c r="E75" s="189"/>
      <c r="F75" s="206">
        <f>+SUM(F76:F79)</f>
        <v>0</v>
      </c>
    </row>
    <row r="76" spans="1:6" x14ac:dyDescent="0.25">
      <c r="A76" s="135" t="s">
        <v>241</v>
      </c>
      <c r="B76" s="186" t="s">
        <v>242</v>
      </c>
      <c r="C76" s="159" t="s">
        <v>187</v>
      </c>
      <c r="D76" s="160">
        <f>6*2.2</f>
        <v>13.200000000000001</v>
      </c>
      <c r="E76" s="161"/>
      <c r="F76" s="162">
        <f>D76*E76</f>
        <v>0</v>
      </c>
    </row>
    <row r="77" spans="1:6" x14ac:dyDescent="0.25">
      <c r="A77" s="135" t="s">
        <v>243</v>
      </c>
      <c r="B77" s="186" t="s">
        <v>244</v>
      </c>
      <c r="C77" s="159" t="s">
        <v>187</v>
      </c>
      <c r="D77" s="160">
        <f>4*2.2</f>
        <v>8.8000000000000007</v>
      </c>
      <c r="E77" s="161"/>
      <c r="F77" s="162">
        <f>D77*E77</f>
        <v>0</v>
      </c>
    </row>
    <row r="78" spans="1:6" ht="25" x14ac:dyDescent="0.25">
      <c r="A78" s="135" t="s">
        <v>245</v>
      </c>
      <c r="B78" s="183" t="s">
        <v>246</v>
      </c>
      <c r="C78" s="159" t="s">
        <v>247</v>
      </c>
      <c r="D78" s="160">
        <v>1</v>
      </c>
      <c r="E78" s="161"/>
      <c r="F78" s="162">
        <f>D78*E78</f>
        <v>0</v>
      </c>
    </row>
    <row r="79" spans="1:6" ht="14.5" x14ac:dyDescent="0.25">
      <c r="A79" s="135" t="s">
        <v>248</v>
      </c>
      <c r="B79" s="184" t="s">
        <v>249</v>
      </c>
      <c r="C79" s="159" t="s">
        <v>250</v>
      </c>
      <c r="D79" s="159">
        <v>21.46</v>
      </c>
      <c r="E79" s="161"/>
      <c r="F79" s="162">
        <f t="shared" ref="F79:F80" si="9">D79*E79</f>
        <v>0</v>
      </c>
    </row>
    <row r="80" spans="1:6" ht="39.5" thickBot="1" x14ac:dyDescent="0.3">
      <c r="A80" s="131">
        <v>720</v>
      </c>
      <c r="B80" s="185" t="s">
        <v>251</v>
      </c>
      <c r="C80" s="164" t="s">
        <v>247</v>
      </c>
      <c r="D80" s="164">
        <v>1</v>
      </c>
      <c r="E80" s="210"/>
      <c r="F80" s="207">
        <f t="shared" si="9"/>
        <v>0</v>
      </c>
    </row>
    <row r="81" spans="1:6" ht="13.5" thickBot="1" x14ac:dyDescent="0.3">
      <c r="A81" s="163"/>
      <c r="B81" s="167" t="s">
        <v>252</v>
      </c>
      <c r="C81" s="168"/>
      <c r="D81" s="169"/>
      <c r="E81" s="168"/>
      <c r="F81" s="170">
        <f>+F71+F67+F80</f>
        <v>0</v>
      </c>
    </row>
    <row r="82" spans="1:6" ht="13.5" thickBot="1" x14ac:dyDescent="0.3">
      <c r="A82" s="147"/>
      <c r="B82" s="148" t="s">
        <v>274</v>
      </c>
      <c r="C82" s="149"/>
      <c r="D82" s="149"/>
      <c r="E82" s="150"/>
      <c r="F82" s="209">
        <f>+F81*4</f>
        <v>0</v>
      </c>
    </row>
    <row r="83" spans="1:6" ht="13" x14ac:dyDescent="0.25">
      <c r="A83" s="153"/>
      <c r="B83" s="182"/>
      <c r="C83" s="179"/>
      <c r="D83" s="179"/>
      <c r="E83" s="180"/>
      <c r="F83" s="181"/>
    </row>
    <row r="84" spans="1:6" ht="13.5" thickBot="1" x14ac:dyDescent="0.3">
      <c r="A84" s="153"/>
      <c r="B84" s="182"/>
      <c r="C84" s="179"/>
      <c r="D84" s="179"/>
      <c r="E84" s="180"/>
      <c r="F84" s="181"/>
    </row>
    <row r="85" spans="1:6" ht="13.5" thickBot="1" x14ac:dyDescent="0.3">
      <c r="A85" s="147"/>
      <c r="B85" s="148" t="s">
        <v>254</v>
      </c>
      <c r="C85" s="149"/>
      <c r="D85" s="149"/>
      <c r="E85" s="150"/>
      <c r="F85" s="151">
        <f>+F82+F62+F42</f>
        <v>0</v>
      </c>
    </row>
    <row r="86" spans="1:6" ht="13.5" thickBot="1" x14ac:dyDescent="0.3">
      <c r="A86" s="147"/>
      <c r="B86" s="148" t="s">
        <v>255</v>
      </c>
      <c r="C86" s="149"/>
      <c r="D86" s="149"/>
      <c r="E86" s="150"/>
      <c r="F86" s="151">
        <f>+F85*0.18</f>
        <v>0</v>
      </c>
    </row>
    <row r="87" spans="1:6" ht="13.5" thickBot="1" x14ac:dyDescent="0.3">
      <c r="A87" s="147"/>
      <c r="B87" s="148" t="s">
        <v>256</v>
      </c>
      <c r="C87" s="149"/>
      <c r="D87" s="149"/>
      <c r="E87" s="150"/>
      <c r="F87" s="151">
        <f>+F85+F86</f>
        <v>0</v>
      </c>
    </row>
  </sheetData>
  <mergeCells count="3">
    <mergeCell ref="A1:F1"/>
    <mergeCell ref="A45:F45"/>
    <mergeCell ref="A65:F65"/>
  </mergeCells>
  <pageMargins left="0.7" right="0.7" top="0.75" bottom="0.75" header="0.3" footer="0.3"/>
  <pageSetup paperSize="9" scale="75" orientation="portrait" r:id="rId1"/>
  <rowBreaks count="1" manualBreakCount="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5"/>
  <sheetViews>
    <sheetView zoomScale="90" zoomScaleNormal="90" workbookViewId="0">
      <selection activeCell="H3" sqref="H3"/>
    </sheetView>
  </sheetViews>
  <sheetFormatPr baseColWidth="10" defaultColWidth="11.453125" defaultRowHeight="17.5" x14ac:dyDescent="0.35"/>
  <cols>
    <col min="1" max="1" width="4.26953125" style="120" customWidth="1"/>
    <col min="2" max="2" width="25.7265625" style="120" customWidth="1"/>
    <col min="3" max="3" width="14.81640625" style="120" customWidth="1"/>
    <col min="4" max="4" width="17" style="120" customWidth="1"/>
    <col min="5" max="10" width="14.81640625" style="120" customWidth="1"/>
    <col min="11" max="11" width="19.54296875" style="120" customWidth="1"/>
    <col min="12" max="16384" width="11.453125" style="120"/>
  </cols>
  <sheetData>
    <row r="1" spans="1:10" ht="18.5" thickBot="1" x14ac:dyDescent="0.45">
      <c r="A1" s="281" t="s">
        <v>275</v>
      </c>
      <c r="B1" s="282"/>
      <c r="C1" s="282"/>
      <c r="D1" s="282"/>
      <c r="E1" s="282"/>
      <c r="F1" s="282"/>
      <c r="G1" s="282"/>
      <c r="H1" s="282"/>
      <c r="I1" s="282"/>
      <c r="J1" s="283"/>
    </row>
    <row r="2" spans="1:10" s="119" customFormat="1" ht="62.25" customHeight="1" x14ac:dyDescent="0.35">
      <c r="A2" s="211" t="s">
        <v>177</v>
      </c>
      <c r="B2" s="212" t="s">
        <v>276</v>
      </c>
      <c r="C2" s="213" t="s">
        <v>277</v>
      </c>
      <c r="D2" s="213" t="s">
        <v>185</v>
      </c>
      <c r="E2" s="213" t="s">
        <v>278</v>
      </c>
      <c r="F2" s="213" t="s">
        <v>279</v>
      </c>
      <c r="G2" s="214" t="s">
        <v>280</v>
      </c>
      <c r="H2" s="213" t="s">
        <v>281</v>
      </c>
      <c r="I2" s="213" t="s">
        <v>282</v>
      </c>
      <c r="J2" s="217" t="s">
        <v>283</v>
      </c>
    </row>
    <row r="3" spans="1:10" x14ac:dyDescent="0.35">
      <c r="A3" s="218">
        <v>1</v>
      </c>
      <c r="B3" s="201" t="s">
        <v>284</v>
      </c>
      <c r="C3" s="199">
        <f>'1-NGATHIE NAOUDE'!F61</f>
        <v>0</v>
      </c>
      <c r="D3" s="199">
        <f>'1-NGATHIE NAOUDE'!F5</f>
        <v>0</v>
      </c>
      <c r="E3" s="199">
        <f>+'1-NGATHIE NAOUDE'!F8</f>
        <v>0</v>
      </c>
      <c r="F3" s="199">
        <f>'1-NGATHIE NAOUDE'!F13</f>
        <v>0</v>
      </c>
      <c r="G3" s="199">
        <f>'1-NGATHIE NAOUDE'!F32</f>
        <v>0</v>
      </c>
      <c r="H3" s="199">
        <f>'1-NGATHIE NAOUDE'!F3</f>
        <v>0</v>
      </c>
      <c r="I3" s="200">
        <f t="shared" ref="I3:I5" si="0">SUM(C3:H3)</f>
        <v>0</v>
      </c>
      <c r="J3" s="220">
        <f>I3*1.18</f>
        <v>0</v>
      </c>
    </row>
    <row r="4" spans="1:10" x14ac:dyDescent="0.35">
      <c r="A4" s="218">
        <v>2</v>
      </c>
      <c r="B4" s="201" t="s">
        <v>285</v>
      </c>
      <c r="C4" s="199">
        <f>'2-NGATHIE PEUL'!F80+'2-NGATHIE PEUL'!F61</f>
        <v>0</v>
      </c>
      <c r="D4" s="199">
        <f>'2-NGATHIE PEUL'!F5</f>
        <v>0</v>
      </c>
      <c r="E4" s="199">
        <f>'2-NGATHIE PEUL'!F8</f>
        <v>0</v>
      </c>
      <c r="F4" s="199">
        <f>'2-NGATHIE PEUL'!F13</f>
        <v>0</v>
      </c>
      <c r="G4" s="199">
        <f>'2-NGATHIE PEUL'!F32</f>
        <v>0</v>
      </c>
      <c r="H4" s="199">
        <f>'2-NGATHIE PEUL'!F3</f>
        <v>0</v>
      </c>
      <c r="I4" s="200">
        <f t="shared" si="0"/>
        <v>0</v>
      </c>
      <c r="J4" s="220">
        <f t="shared" ref="J4:J5" si="1">I4*1.18</f>
        <v>0</v>
      </c>
    </row>
    <row r="5" spans="1:10" ht="18" thickBot="1" x14ac:dyDescent="0.4">
      <c r="A5" s="219">
        <v>3</v>
      </c>
      <c r="B5" s="215" t="s">
        <v>286</v>
      </c>
      <c r="C5" s="216">
        <f>'3-NGAMBOU'!F82+'3-NGAMBOU'!F62</f>
        <v>0</v>
      </c>
      <c r="D5" s="216">
        <f>'3-NGAMBOU'!F5</f>
        <v>0</v>
      </c>
      <c r="E5" s="216">
        <f>'3-NGAMBOU'!F8</f>
        <v>0</v>
      </c>
      <c r="F5" s="216">
        <f>'3-NGAMBOU'!F13</f>
        <v>0</v>
      </c>
      <c r="G5" s="216">
        <f>'3-NGAMBOU'!F32</f>
        <v>0</v>
      </c>
      <c r="H5" s="216">
        <f>'3-NGAMBOU'!F3</f>
        <v>0</v>
      </c>
      <c r="I5" s="222">
        <f t="shared" si="0"/>
        <v>0</v>
      </c>
      <c r="J5" s="221">
        <f t="shared" si="1"/>
        <v>0</v>
      </c>
    </row>
  </sheetData>
  <mergeCells count="1">
    <mergeCell ref="A1:J1"/>
  </mergeCells>
  <pageMargins left="0.7" right="0.7" top="0.75" bottom="0.75" header="0.3" footer="0.3"/>
  <pageSetup paperSize="9"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08ba6eb-9e09-4fd5-92f2-2d9921329f2d">SENENABEL-124183628-78646</_dlc_DocId>
    <lcf76f155ced4ddcb4097134ff3c332f xmlns="a1ddbe5a-88f5-4dcf-b333-bf73e2eddbd1">
      <Terms xmlns="http://schemas.microsoft.com/office/infopath/2007/PartnerControls"/>
    </lcf76f155ced4ddcb4097134ff3c332f>
    <TaxCatchAll xmlns="1c89b6ff-5735-4b3c-9dca-50e80957a65b">
      <Value>265</Value>
      <Value>4</Value>
      <Value>513</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SEN21004-10044</TermName>
          <TermId xmlns="http://schemas.microsoft.com/office/infopath/2007/PartnerControls">86b3b73f-c8ef-43ad-8022-cf84f8c3d851</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https://enabelbe.sharepoint.com/sites/SEN/_layouts/15/DocIdRedir.aspx?ID=SENENABEL-124183628-78646</Url>
      <Description>SENENABEL-124183628-78646</Description>
    </_dlc_DocIdUrl>
    <j50cb40f2a0941d2947e6bcbd5d19dce xmlns="14a9c00f-d9e3-4eb9-aad3-f69239d17d9c">
      <Terms xmlns="http://schemas.microsoft.com/office/infopath/2007/PartnerControls"/>
    </j50cb40f2a0941d2947e6bcbd5d19dce>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SEN21004</TermName>
          <TermId xmlns="http://schemas.microsoft.com/office/infopath/2007/PartnerControls">adeb5d34-029b-4188-8f4c-3442345f4bc8</TermId>
        </TermInfo>
      </Terms>
    </e2b781e9cad840cd89b90f5a7e989839>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28" ma:contentTypeDescription="" ma:contentTypeScope="" ma:versionID="face560981c46e769a174a8a390ff16b">
  <xsd:schema xmlns:xsd="http://www.w3.org/2001/XMLSchema" xmlns:xs="http://www.w3.org/2001/XMLSchema" xmlns:p="http://schemas.microsoft.com/office/2006/metadata/properties" xmlns:ns2="1c89b6ff-5735-4b3c-9dca-50e80957a65b" xmlns:ns3="14a9c00f-d9e3-4eb9-aad3-f69239d17d9c" xmlns:ns4="508ba6eb-9e09-4fd5-92f2-2d9921329f2d" xmlns:ns5="a1ddbe5a-88f5-4dcf-b333-bf73e2eddbd1" targetNamespace="http://schemas.microsoft.com/office/2006/metadata/properties" ma:root="true" ma:fieldsID="62bc9d2518d56a411d8c64935f5780b1" ns2:_="" ns3:_="" ns4:_="" ns5:_="">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D0D5D3-D980-4185-8714-73DAFDC7DB90}">
  <ds:schemaRefs>
    <ds:schemaRef ds:uri="http://schemas.microsoft.com/office/2006/metadata/properties"/>
    <ds:schemaRef ds:uri="http://schemas.microsoft.com/office/infopath/2007/PartnerControls"/>
    <ds:schemaRef ds:uri="508ba6eb-9e09-4fd5-92f2-2d9921329f2d"/>
    <ds:schemaRef ds:uri="a1ddbe5a-88f5-4dcf-b333-bf73e2eddbd1"/>
    <ds:schemaRef ds:uri="1c89b6ff-5735-4b3c-9dca-50e80957a65b"/>
    <ds:schemaRef ds:uri="14a9c00f-d9e3-4eb9-aad3-f69239d17d9c"/>
  </ds:schemaRefs>
</ds:datastoreItem>
</file>

<file path=customXml/itemProps2.xml><?xml version="1.0" encoding="utf-8"?>
<ds:datastoreItem xmlns:ds="http://schemas.openxmlformats.org/officeDocument/2006/customXml" ds:itemID="{8FDE51EA-ED84-41A6-8448-B999FFD9DB0C}">
  <ds:schemaRefs>
    <ds:schemaRef ds:uri="http://schemas.microsoft.com/sharepoint/v3/contenttype/forms"/>
  </ds:schemaRefs>
</ds:datastoreItem>
</file>

<file path=customXml/itemProps3.xml><?xml version="1.0" encoding="utf-8"?>
<ds:datastoreItem xmlns:ds="http://schemas.openxmlformats.org/officeDocument/2006/customXml" ds:itemID="{769D720A-ACBA-4892-9239-68DD8AD8EAD5}">
  <ds:schemaRefs>
    <ds:schemaRef ds:uri="http://schemas.microsoft.com/sharepoint/events"/>
  </ds:schemaRefs>
</ds:datastoreItem>
</file>

<file path=customXml/itemProps4.xml><?xml version="1.0" encoding="utf-8"?>
<ds:datastoreItem xmlns:ds="http://schemas.openxmlformats.org/officeDocument/2006/customXml" ds:itemID="{7E1E520D-A47F-4AB7-BE61-B0DC0BA6A7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DIM SOUS PRESSION (puits)</vt:lpstr>
      <vt:lpstr>1-NGATHIE NAOUDE</vt:lpstr>
      <vt:lpstr>2-NGATHIE PEUL</vt:lpstr>
      <vt:lpstr>3-NGAMBOU</vt:lpstr>
      <vt:lpstr>Lot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stagiaire1.culture</dc:creator>
  <cp:keywords/>
  <dc:description/>
  <cp:lastModifiedBy>VANDER AUWERA, Thibault</cp:lastModifiedBy>
  <cp:revision/>
  <dcterms:created xsi:type="dcterms:W3CDTF">2009-09-07T08:41:44Z</dcterms:created>
  <dcterms:modified xsi:type="dcterms:W3CDTF">2024-06-21T14:13:43Z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0x01010084FDA68FEA25C847A6128BBA7C1A6EC10040DEC2D9A4E8A943A61D3368400126BA</vt:lpwstr>
  </property>
  <property fmtid="{D5CDD505-2E9C-101B-9397-08002B2CF9AE}" pid="4" name="Document_Language">
    <vt:lpwstr>4</vt:lpwstr>
  </property>
  <property fmtid="{D5CDD505-2E9C-101B-9397-08002B2CF9AE}" pid="5" name="Document_Type">
    <vt:lpwstr/>
  </property>
  <property fmtid="{D5CDD505-2E9C-101B-9397-08002B2CF9AE}" pid="6" name="Country">
    <vt:lpwstr>1;#SEN|2b0d2337-59d1-468e-9a57-52ee80937861</vt:lpwstr>
  </property>
  <property fmtid="{D5CDD505-2E9C-101B-9397-08002B2CF9AE}" pid="7" name="_dlc_DocIdItemGuid">
    <vt:lpwstr>820682a3-dc34-4191-81b6-e3de4f5d7aa7</vt:lpwstr>
  </property>
  <property fmtid="{D5CDD505-2E9C-101B-9397-08002B2CF9AE}" pid="8" name="Document_Status">
    <vt:lpwstr/>
  </property>
  <property fmtid="{D5CDD505-2E9C-101B-9397-08002B2CF9AE}" pid="9" name="Contract_reference">
    <vt:lpwstr>513</vt:lpwstr>
  </property>
  <property fmtid="{D5CDD505-2E9C-101B-9397-08002B2CF9AE}" pid="10" name="Project_code">
    <vt:lpwstr>265</vt:lpwstr>
  </property>
  <property fmtid="{D5CDD505-2E9C-101B-9397-08002B2CF9AE}" pid="11" name="_docset_NoMedatataSyncRequired">
    <vt:lpwstr>False</vt:lpwstr>
  </property>
</Properties>
</file>