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0"/>
  <workbookPr/>
  <mc:AlternateContent xmlns:mc="http://schemas.openxmlformats.org/markup-compatibility/2006">
    <mc:Choice Requires="x15">
      <x15ac:absPath xmlns:x15ac="http://schemas.microsoft.com/office/spreadsheetml/2010/11/ac" url="C:\Users\Claudette\OneDrive - ENABEL\Desktop\da\Waux Blocs op\"/>
    </mc:Choice>
  </mc:AlternateContent>
  <xr:revisionPtr revIDLastSave="1" documentId="13_ncr:1_{842C7C05-415D-4EE5-B930-886C53AC7A2A}" xr6:coauthVersionLast="36" xr6:coauthVersionMax="36" xr10:uidLastSave="{F83E3F0F-09C2-4F12-A8DA-3AF7811EA27A}"/>
  <bookViews>
    <workbookView xWindow="0" yWindow="0" windowWidth="28800" windowHeight="12430" tabRatio="491" firstSheet="1" activeTab="2" xr2:uid="{00000000-000D-0000-FFFF-FFFF00000000}"/>
  </bookViews>
  <sheets>
    <sheet name="DETAIL DES PU" sheetId="16" state="hidden" r:id="rId1"/>
    <sheet name="BPU" sheetId="17" r:id="rId2"/>
    <sheet name="DQE BLOC OPERATOIRE " sheetId="5" r:id="rId3"/>
  </sheets>
  <externalReferences>
    <externalReference r:id="rId4"/>
    <externalReference r:id="rId5"/>
  </externalReferences>
  <definedNames>
    <definedName name="DQE">[1]macro!$B$1:$C$1000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5" l="1"/>
  <c r="F6" i="5"/>
  <c r="G6" i="5" l="1"/>
  <c r="G7" i="5" s="1"/>
  <c r="G101" i="5" l="1"/>
  <c r="F152" i="5"/>
  <c r="G152" i="5" s="1"/>
  <c r="F12" i="5"/>
  <c r="F17" i="5"/>
  <c r="F18" i="5"/>
  <c r="F19" i="5"/>
  <c r="F20" i="5"/>
  <c r="F24" i="5"/>
  <c r="F25" i="5"/>
  <c r="F26" i="5"/>
  <c r="F27" i="5"/>
  <c r="F28" i="5"/>
  <c r="F31" i="5"/>
  <c r="F35" i="5"/>
  <c r="F36" i="5"/>
  <c r="F37" i="5"/>
  <c r="F41" i="5"/>
  <c r="F44" i="5"/>
  <c r="F45" i="5"/>
  <c r="F48" i="5"/>
  <c r="F53" i="5"/>
  <c r="F56" i="5"/>
  <c r="G56" i="5" s="1"/>
  <c r="F57" i="5"/>
  <c r="F60" i="5"/>
  <c r="F61" i="5"/>
  <c r="F62" i="5"/>
  <c r="F65" i="5"/>
  <c r="F70" i="5"/>
  <c r="F71" i="5"/>
  <c r="F72" i="5"/>
  <c r="F75" i="5"/>
  <c r="F76" i="5"/>
  <c r="F77" i="5"/>
  <c r="F78" i="5"/>
  <c r="F79" i="5"/>
  <c r="F84" i="5"/>
  <c r="F88" i="5"/>
  <c r="F92" i="5"/>
  <c r="F93" i="5"/>
  <c r="G93" i="5" s="1"/>
  <c r="F94" i="5"/>
  <c r="G94" i="5" s="1"/>
  <c r="F95" i="5"/>
  <c r="G95" i="5" s="1"/>
  <c r="F96" i="5"/>
  <c r="G96" i="5" s="1"/>
  <c r="F97" i="5"/>
  <c r="G97" i="5" s="1"/>
  <c r="F98" i="5"/>
  <c r="G98" i="5" s="1"/>
  <c r="F101" i="5"/>
  <c r="F104" i="5"/>
  <c r="G104" i="5" s="1"/>
  <c r="F105" i="5"/>
  <c r="G105" i="5" s="1"/>
  <c r="F108" i="5"/>
  <c r="G108" i="5" s="1"/>
  <c r="F111" i="5"/>
  <c r="G111" i="5" s="1"/>
  <c r="F112" i="5"/>
  <c r="F113" i="5"/>
  <c r="F118" i="5"/>
  <c r="F119" i="5"/>
  <c r="F120" i="5"/>
  <c r="F127" i="5"/>
  <c r="F128" i="5"/>
  <c r="F131" i="5"/>
  <c r="F132" i="5"/>
  <c r="F133" i="5"/>
  <c r="F135" i="5"/>
  <c r="F138" i="5"/>
  <c r="F139" i="5"/>
  <c r="F140" i="5"/>
  <c r="F145" i="5"/>
  <c r="G145" i="5" s="1"/>
  <c r="F146" i="5"/>
  <c r="G146" i="5" s="1"/>
  <c r="F149" i="5"/>
  <c r="G149" i="5" s="1"/>
  <c r="F155" i="5"/>
  <c r="G155" i="5" s="1"/>
  <c r="F156" i="5"/>
  <c r="G156" i="5" s="1"/>
  <c r="F157" i="5"/>
  <c r="G157" i="5" s="1"/>
  <c r="F158" i="5"/>
  <c r="G158" i="5" s="1"/>
  <c r="F159" i="5"/>
  <c r="G159" i="5" s="1"/>
  <c r="F162" i="5"/>
  <c r="G162" i="5" s="1"/>
  <c r="F165" i="5"/>
  <c r="G165" i="5" s="1"/>
  <c r="F166" i="5"/>
  <c r="G166" i="5" s="1"/>
  <c r="F167" i="5"/>
  <c r="G167" i="5" s="1"/>
  <c r="F168" i="5"/>
  <c r="G168" i="5" s="1"/>
  <c r="F171" i="5"/>
  <c r="G171" i="5" s="1"/>
  <c r="F172" i="5"/>
  <c r="G172" i="5" s="1"/>
  <c r="F175" i="5"/>
  <c r="G175" i="5" s="1"/>
  <c r="F176" i="5"/>
  <c r="G176" i="5" s="1"/>
  <c r="F179" i="5"/>
  <c r="G179" i="5" s="1"/>
  <c r="F180" i="5"/>
  <c r="G180" i="5" s="1"/>
  <c r="F181" i="5"/>
  <c r="G181" i="5" s="1"/>
  <c r="G182" i="5" l="1"/>
  <c r="D4307" i="16" l="1"/>
  <c r="D4308" i="16" s="1"/>
  <c r="F4308" i="16" s="1"/>
  <c r="D4304" i="16"/>
  <c r="D4302" i="16"/>
  <c r="D4301" i="16"/>
  <c r="D4300" i="16"/>
  <c r="F4300" i="16" s="1"/>
  <c r="F4317" i="16"/>
  <c r="F4316" i="16"/>
  <c r="F4315" i="16"/>
  <c r="F4314" i="16"/>
  <c r="F4313" i="16"/>
  <c r="F4312" i="16"/>
  <c r="E4308" i="16"/>
  <c r="E4307" i="16"/>
  <c r="E4306" i="16"/>
  <c r="F4306" i="16" s="1"/>
  <c r="E4305" i="16"/>
  <c r="F4305" i="16" s="1"/>
  <c r="E4304" i="16"/>
  <c r="F4304" i="16"/>
  <c r="E4303" i="16"/>
  <c r="F4303" i="16" s="1"/>
  <c r="E4302" i="16"/>
  <c r="F4302" i="16"/>
  <c r="E4301" i="16"/>
  <c r="E4300" i="16"/>
  <c r="D2935" i="16"/>
  <c r="D2934" i="16"/>
  <c r="D2933" i="16"/>
  <c r="D2932" i="16"/>
  <c r="F2950" i="16"/>
  <c r="F2949" i="16"/>
  <c r="F2948" i="16"/>
  <c r="F2947" i="16"/>
  <c r="F2946" i="16"/>
  <c r="F2945" i="16"/>
  <c r="F2944" i="16"/>
  <c r="F2940" i="16"/>
  <c r="F2939" i="16"/>
  <c r="E2938" i="16"/>
  <c r="F2938" i="16" s="1"/>
  <c r="E2937" i="16"/>
  <c r="F2937" i="16" s="1"/>
  <c r="F2936" i="16"/>
  <c r="E2935" i="16"/>
  <c r="E2934" i="16"/>
  <c r="E2933" i="16"/>
  <c r="E2932" i="16"/>
  <c r="F2932" i="16" s="1"/>
  <c r="D2903" i="16"/>
  <c r="D2902" i="16"/>
  <c r="D2901" i="16"/>
  <c r="D2900" i="16"/>
  <c r="F2918" i="16"/>
  <c r="F2917" i="16"/>
  <c r="F2916" i="16"/>
  <c r="F2915" i="16"/>
  <c r="F2914" i="16"/>
  <c r="F2913" i="16"/>
  <c r="F2912" i="16"/>
  <c r="F2908" i="16"/>
  <c r="F2907" i="16"/>
  <c r="E2906" i="16"/>
  <c r="F2906" i="16" s="1"/>
  <c r="E2905" i="16"/>
  <c r="F2905" i="16" s="1"/>
  <c r="F2904" i="16"/>
  <c r="E2903" i="16"/>
  <c r="F2903" i="16" s="1"/>
  <c r="E2902" i="16"/>
  <c r="F2902" i="16" s="1"/>
  <c r="E2901" i="16"/>
  <c r="E2900" i="16"/>
  <c r="F2951" i="16" l="1"/>
  <c r="F2935" i="16"/>
  <c r="F2941" i="16" s="1"/>
  <c r="F2942" i="16" s="1"/>
  <c r="F2952" i="16" s="1"/>
  <c r="F2953" i="16" s="1"/>
  <c r="F2955" i="16" s="1"/>
  <c r="F4318" i="16"/>
  <c r="F2901" i="16"/>
  <c r="F2933" i="16"/>
  <c r="F4301" i="16"/>
  <c r="F4307" i="16"/>
  <c r="F4309" i="16" s="1"/>
  <c r="F4310" i="16" s="1"/>
  <c r="F4319" i="16" s="1"/>
  <c r="F4320" i="16" s="1"/>
  <c r="F4322" i="16" s="1"/>
  <c r="F2919" i="16"/>
  <c r="F2934" i="16"/>
  <c r="F2900" i="16"/>
  <c r="F2909" i="16" s="1"/>
  <c r="F2910" i="16" s="1"/>
  <c r="F2920" i="16" s="1"/>
  <c r="F2921" i="16" s="1"/>
  <c r="F2923" i="16" s="1"/>
  <c r="A7145" i="16"/>
  <c r="F7140" i="16"/>
  <c r="F7141" i="16" s="1"/>
  <c r="F7136" i="16"/>
  <c r="A7128" i="16"/>
  <c r="F7123" i="16"/>
  <c r="F7124" i="16" s="1"/>
  <c r="F7119" i="16"/>
  <c r="F7120" i="16" s="1"/>
  <c r="F7121" i="16" s="1"/>
  <c r="A6617" i="16"/>
  <c r="F6612" i="16"/>
  <c r="F6613" i="16" s="1"/>
  <c r="F6608" i="16"/>
  <c r="F6609" i="16" s="1"/>
  <c r="F6610" i="16" s="1"/>
  <c r="F6601" i="16"/>
  <c r="A6600" i="16"/>
  <c r="F6595" i="16"/>
  <c r="F6596" i="16" s="1"/>
  <c r="F6591" i="16"/>
  <c r="A6583" i="16"/>
  <c r="F6578" i="16"/>
  <c r="F6579" i="16" s="1"/>
  <c r="F6574" i="16"/>
  <c r="A6566" i="16"/>
  <c r="F6561" i="16"/>
  <c r="F6562" i="16" s="1"/>
  <c r="F6557" i="16"/>
  <c r="A6549" i="16"/>
  <c r="F6544" i="16"/>
  <c r="F6545" i="16" s="1"/>
  <c r="F6540" i="16"/>
  <c r="A6532" i="16"/>
  <c r="F6527" i="16"/>
  <c r="F6528" i="16" s="1"/>
  <c r="F6523" i="16"/>
  <c r="A6515" i="16"/>
  <c r="F6510" i="16"/>
  <c r="F6511" i="16" s="1"/>
  <c r="F6506" i="16"/>
  <c r="A6498" i="16"/>
  <c r="F6493" i="16"/>
  <c r="F6494" i="16" s="1"/>
  <c r="F6489" i="16"/>
  <c r="A6481" i="16"/>
  <c r="F6476" i="16"/>
  <c r="F6477" i="16" s="1"/>
  <c r="F6472" i="16"/>
  <c r="A6464" i="16"/>
  <c r="F6459" i="16"/>
  <c r="F6460" i="16" s="1"/>
  <c r="F6455" i="16"/>
  <c r="F6456" i="16" s="1"/>
  <c r="F6457" i="16" s="1"/>
  <c r="F6442" i="16"/>
  <c r="F6443" i="16" s="1"/>
  <c r="F6438" i="16"/>
  <c r="F6439" i="16" s="1"/>
  <c r="F6440" i="16" s="1"/>
  <c r="F6357" i="16"/>
  <c r="F6358" i="16" s="1"/>
  <c r="F6353" i="16"/>
  <c r="F6354" i="16" s="1"/>
  <c r="F6355" i="16" s="1"/>
  <c r="F7125" i="16" l="1"/>
  <c r="F7126" i="16" s="1"/>
  <c r="F7128" i="16" s="1"/>
  <c r="F7137" i="16"/>
  <c r="F7138" i="16" s="1"/>
  <c r="F7142" i="16" s="1"/>
  <c r="F7143" i="16" s="1"/>
  <c r="F7145" i="16" s="1"/>
  <c r="F6359" i="16"/>
  <c r="F6360" i="16" s="1"/>
  <c r="F6362" i="16" s="1"/>
  <c r="F6614" i="16"/>
  <c r="F6615" i="16" s="1"/>
  <c r="F6617" i="16" s="1"/>
  <c r="F6592" i="16"/>
  <c r="F6593" i="16" s="1"/>
  <c r="F6597" i="16" s="1"/>
  <c r="F6598" i="16" s="1"/>
  <c r="F6600" i="16" s="1"/>
  <c r="F6575" i="16"/>
  <c r="F6576" i="16" s="1"/>
  <c r="F6580" i="16" s="1"/>
  <c r="F6581" i="16" s="1"/>
  <c r="F6583" i="16" s="1"/>
  <c r="F6558" i="16"/>
  <c r="F6559" i="16" s="1"/>
  <c r="F6563" i="16" s="1"/>
  <c r="F6564" i="16" s="1"/>
  <c r="F6566" i="16" s="1"/>
  <c r="F6541" i="16"/>
  <c r="F6542" i="16" s="1"/>
  <c r="F6546" i="16" s="1"/>
  <c r="F6547" i="16" s="1"/>
  <c r="F6549" i="16" s="1"/>
  <c r="F6524" i="16"/>
  <c r="F6525" i="16" s="1"/>
  <c r="F6529" i="16" s="1"/>
  <c r="F6530" i="16" s="1"/>
  <c r="F6532" i="16" s="1"/>
  <c r="F6507" i="16"/>
  <c r="F6508" i="16" s="1"/>
  <c r="F6512" i="16" s="1"/>
  <c r="F6513" i="16" s="1"/>
  <c r="F6515" i="16" s="1"/>
  <c r="F6490" i="16"/>
  <c r="F6491" i="16" s="1"/>
  <c r="F6495" i="16" s="1"/>
  <c r="F6496" i="16" s="1"/>
  <c r="F6498" i="16" s="1"/>
  <c r="F6473" i="16"/>
  <c r="F6474" i="16" s="1"/>
  <c r="F6478" i="16" s="1"/>
  <c r="F6479" i="16" s="1"/>
  <c r="F6481" i="16" s="1"/>
  <c r="F6461" i="16"/>
  <c r="F6462" i="16" s="1"/>
  <c r="F6464" i="16" s="1"/>
  <c r="F6444" i="16"/>
  <c r="F6445" i="16" s="1"/>
  <c r="F6447" i="16" s="1"/>
  <c r="F1216" i="16" l="1"/>
  <c r="F1215" i="16"/>
  <c r="F1214" i="16"/>
  <c r="F1213" i="16"/>
  <c r="F1212" i="16"/>
  <c r="F1209" i="16"/>
  <c r="F1208" i="16"/>
  <c r="F1207" i="16"/>
  <c r="F1206" i="16"/>
  <c r="F1205" i="16"/>
  <c r="F1204" i="16"/>
  <c r="F1203" i="16"/>
  <c r="F1202" i="16"/>
  <c r="F1201" i="16"/>
  <c r="F1210" i="16" l="1"/>
  <c r="F1217" i="16"/>
  <c r="F1218" i="16" s="1"/>
  <c r="F1219" i="16" s="1"/>
  <c r="F1221" i="16" s="1"/>
  <c r="F7753" i="16" l="1"/>
  <c r="F7754" i="16" s="1"/>
  <c r="F7749" i="16"/>
  <c r="F7737" i="16"/>
  <c r="F7738" i="16" s="1"/>
  <c r="F7733" i="16"/>
  <c r="F7734" i="16" s="1"/>
  <c r="F7721" i="16"/>
  <c r="F7722" i="16" s="1"/>
  <c r="F7717" i="16"/>
  <c r="F7718" i="16" s="1"/>
  <c r="F7705" i="16"/>
  <c r="F7706" i="16" s="1"/>
  <c r="F7701" i="16"/>
  <c r="F7702" i="16" s="1"/>
  <c r="F7689" i="16"/>
  <c r="F7690" i="16" s="1"/>
  <c r="F7685" i="16"/>
  <c r="F7686" i="16" s="1"/>
  <c r="F7673" i="16"/>
  <c r="F7674" i="16" s="1"/>
  <c r="F7669" i="16"/>
  <c r="F7656" i="16"/>
  <c r="F7657" i="16" s="1"/>
  <c r="F7652" i="16"/>
  <c r="F7653" i="16" s="1"/>
  <c r="F7640" i="16"/>
  <c r="F7639" i="16"/>
  <c r="F7635" i="16"/>
  <c r="F7636" i="16" s="1"/>
  <c r="F7622" i="16"/>
  <c r="F7621" i="16"/>
  <c r="F7617" i="16"/>
  <c r="F7618" i="16" s="1"/>
  <c r="F7604" i="16"/>
  <c r="F7603" i="16"/>
  <c r="F7599" i="16"/>
  <c r="F7586" i="16"/>
  <c r="F7585" i="16"/>
  <c r="F7581" i="16"/>
  <c r="F7582" i="16" s="1"/>
  <c r="F7568" i="16"/>
  <c r="F7567" i="16"/>
  <c r="F7563" i="16"/>
  <c r="F7550" i="16"/>
  <c r="F7549" i="16"/>
  <c r="F7545" i="16"/>
  <c r="F7546" i="16" s="1"/>
  <c r="F7532" i="16"/>
  <c r="F7531" i="16"/>
  <c r="F7527" i="16"/>
  <c r="F7514" i="16"/>
  <c r="F7513" i="16"/>
  <c r="F7509" i="16"/>
  <c r="F7510" i="16" s="1"/>
  <c r="F7496" i="16"/>
  <c r="F7495" i="16"/>
  <c r="F7491" i="16"/>
  <c r="F7479" i="16"/>
  <c r="F7478" i="16"/>
  <c r="F7474" i="16"/>
  <c r="F7475" i="16" s="1"/>
  <c r="F7462" i="16"/>
  <c r="F7461" i="16"/>
  <c r="F7456" i="16"/>
  <c r="F7455" i="16"/>
  <c r="F7454" i="16"/>
  <c r="F7442" i="16"/>
  <c r="F7441" i="16"/>
  <c r="F7440" i="16"/>
  <c r="F7439" i="16"/>
  <c r="F7438" i="16"/>
  <c r="F7437" i="16"/>
  <c r="F7433" i="16"/>
  <c r="E7432" i="16"/>
  <c r="F7432" i="16" s="1"/>
  <c r="E7431" i="16"/>
  <c r="F7431" i="16" s="1"/>
  <c r="E7430" i="16"/>
  <c r="F7430" i="16" s="1"/>
  <c r="F7418" i="16"/>
  <c r="F7417" i="16"/>
  <c r="F7413" i="16"/>
  <c r="F7414" i="16" s="1"/>
  <c r="F7401" i="16"/>
  <c r="F7400" i="16"/>
  <c r="F7399" i="16"/>
  <c r="F7398" i="16"/>
  <c r="F7382" i="16"/>
  <c r="F7383" i="16" s="1"/>
  <c r="F7378" i="16"/>
  <c r="F7379" i="16" s="1"/>
  <c r="F7366" i="16"/>
  <c r="F7365" i="16"/>
  <c r="F7364" i="16"/>
  <c r="F7363" i="16"/>
  <c r="F7359" i="16"/>
  <c r="F7358" i="16"/>
  <c r="F7357" i="16"/>
  <c r="F7356" i="16"/>
  <c r="F7342" i="16"/>
  <c r="F7341" i="16"/>
  <c r="F7340" i="16"/>
  <c r="F7336" i="16"/>
  <c r="F7335" i="16"/>
  <c r="F7334" i="16"/>
  <c r="F7333" i="16"/>
  <c r="F7317" i="16"/>
  <c r="F7318" i="16" s="1"/>
  <c r="F7313" i="16"/>
  <c r="F7312" i="16"/>
  <c r="F7299" i="16"/>
  <c r="F7300" i="16" s="1"/>
  <c r="F7295" i="16"/>
  <c r="F7294" i="16"/>
  <c r="F7281" i="16"/>
  <c r="F7282" i="16" s="1"/>
  <c r="F7277" i="16"/>
  <c r="F7278" i="16" s="1"/>
  <c r="F7265" i="16"/>
  <c r="F7264" i="16"/>
  <c r="F7260" i="16"/>
  <c r="F7261" i="16" s="1"/>
  <c r="F7248" i="16"/>
  <c r="F7249" i="16" s="1"/>
  <c r="F7244" i="16"/>
  <c r="F7245" i="16" s="1"/>
  <c r="F7232" i="16"/>
  <c r="F7231" i="16"/>
  <c r="E7227" i="16"/>
  <c r="F7227" i="16" s="1"/>
  <c r="F7211" i="16"/>
  <c r="F7212" i="16" s="1"/>
  <c r="F7208" i="16"/>
  <c r="F7207" i="16"/>
  <c r="F7206" i="16"/>
  <c r="F7194" i="16"/>
  <c r="F7195" i="16" s="1"/>
  <c r="F7191" i="16"/>
  <c r="F7190" i="16"/>
  <c r="D7189" i="16"/>
  <c r="F7189" i="16" s="1"/>
  <c r="F7175" i="16"/>
  <c r="F7176" i="16" s="1"/>
  <c r="F7172" i="16"/>
  <c r="F7171" i="16"/>
  <c r="F7170" i="16"/>
  <c r="F7169" i="16"/>
  <c r="F7157" i="16"/>
  <c r="F7158" i="16" s="1"/>
  <c r="F7154" i="16"/>
  <c r="E7153" i="16"/>
  <c r="F7153" i="16" s="1"/>
  <c r="F7106" i="16"/>
  <c r="F7107" i="16" s="1"/>
  <c r="F7102" i="16"/>
  <c r="F7103" i="16" s="1"/>
  <c r="F7089" i="16"/>
  <c r="F7090" i="16" s="1"/>
  <c r="F7085" i="16"/>
  <c r="F7072" i="16"/>
  <c r="F7073" i="16" s="1"/>
  <c r="F7068" i="16"/>
  <c r="F7069" i="16" s="1"/>
  <c r="F7055" i="16"/>
  <c r="F7056" i="16" s="1"/>
  <c r="F7051" i="16"/>
  <c r="F7038" i="16"/>
  <c r="F7039" i="16" s="1"/>
  <c r="F7034" i="16"/>
  <c r="F7035" i="16" s="1"/>
  <c r="F7021" i="16"/>
  <c r="F7022" i="16" s="1"/>
  <c r="F7017" i="16"/>
  <c r="F7018" i="16" s="1"/>
  <c r="F7019" i="16" s="1"/>
  <c r="F7004" i="16"/>
  <c r="F7005" i="16" s="1"/>
  <c r="F7000" i="16"/>
  <c r="F6987" i="16"/>
  <c r="F6988" i="16" s="1"/>
  <c r="F6983" i="16"/>
  <c r="F6970" i="16"/>
  <c r="F6971" i="16" s="1"/>
  <c r="F6966" i="16"/>
  <c r="F6953" i="16"/>
  <c r="F6954" i="16" s="1"/>
  <c r="F6949" i="16"/>
  <c r="F6936" i="16"/>
  <c r="F6937" i="16" s="1"/>
  <c r="F6932" i="16"/>
  <c r="F6919" i="16"/>
  <c r="F6920" i="16" s="1"/>
  <c r="F6915" i="16"/>
  <c r="F6916" i="16" s="1"/>
  <c r="F6917" i="16" s="1"/>
  <c r="F6902" i="16"/>
  <c r="F6903" i="16" s="1"/>
  <c r="F6898" i="16"/>
  <c r="F6885" i="16"/>
  <c r="F6886" i="16" s="1"/>
  <c r="F6881" i="16"/>
  <c r="F6882" i="16" s="1"/>
  <c r="F6883" i="16" s="1"/>
  <c r="F6868" i="16"/>
  <c r="F6869" i="16" s="1"/>
  <c r="F6864" i="16"/>
  <c r="F6851" i="16"/>
  <c r="F6852" i="16" s="1"/>
  <c r="F6847" i="16"/>
  <c r="F6833" i="16"/>
  <c r="F6834" i="16" s="1"/>
  <c r="F6829" i="16"/>
  <c r="F6816" i="16"/>
  <c r="F6817" i="16" s="1"/>
  <c r="F6812" i="16"/>
  <c r="F6799" i="16"/>
  <c r="F6800" i="16" s="1"/>
  <c r="F6795" i="16"/>
  <c r="F6782" i="16"/>
  <c r="F6783" i="16" s="1"/>
  <c r="F6778" i="16"/>
  <c r="F6779" i="16" s="1"/>
  <c r="F6780" i="16" s="1"/>
  <c r="F6765" i="16"/>
  <c r="F6766" i="16" s="1"/>
  <c r="F6761" i="16"/>
  <c r="F6748" i="16"/>
  <c r="F6749" i="16" s="1"/>
  <c r="F6744" i="16"/>
  <c r="F6745" i="16" s="1"/>
  <c r="F6746" i="16" s="1"/>
  <c r="F6731" i="16"/>
  <c r="F6732" i="16" s="1"/>
  <c r="F6727" i="16"/>
  <c r="F6714" i="16"/>
  <c r="F6715" i="16" s="1"/>
  <c r="F6710" i="16"/>
  <c r="F6697" i="16"/>
  <c r="F6698" i="16" s="1"/>
  <c r="F6693" i="16"/>
  <c r="F6680" i="16"/>
  <c r="F6681" i="16" s="1"/>
  <c r="F6676" i="16"/>
  <c r="F6663" i="16"/>
  <c r="F6664" i="16" s="1"/>
  <c r="F6659" i="16"/>
  <c r="F6646" i="16"/>
  <c r="F6647" i="16" s="1"/>
  <c r="F6642" i="16"/>
  <c r="F6643" i="16" s="1"/>
  <c r="F6644" i="16" s="1"/>
  <c r="F6629" i="16"/>
  <c r="F6630" i="16" s="1"/>
  <c r="F6625" i="16"/>
  <c r="F6425" i="16"/>
  <c r="F6426" i="16" s="1"/>
  <c r="F6421" i="16"/>
  <c r="F6422" i="16" s="1"/>
  <c r="F6423" i="16" s="1"/>
  <c r="F6408" i="16"/>
  <c r="F6409" i="16" s="1"/>
  <c r="F6404" i="16"/>
  <c r="F6391" i="16"/>
  <c r="F6392" i="16" s="1"/>
  <c r="F6387" i="16"/>
  <c r="F6388" i="16" s="1"/>
  <c r="F6374" i="16"/>
  <c r="F6375" i="16" s="1"/>
  <c r="F6370" i="16"/>
  <c r="F6371" i="16" s="1"/>
  <c r="F6340" i="16"/>
  <c r="F6341" i="16" s="1"/>
  <c r="F6336" i="16"/>
  <c r="F6323" i="16"/>
  <c r="F6324" i="16" s="1"/>
  <c r="F6319" i="16"/>
  <c r="F6320" i="16" s="1"/>
  <c r="F6306" i="16"/>
  <c r="F6307" i="16" s="1"/>
  <c r="F6302" i="16"/>
  <c r="F6303" i="16" s="1"/>
  <c r="F6289" i="16"/>
  <c r="F6290" i="16" s="1"/>
  <c r="F6285" i="16"/>
  <c r="F6286" i="16" s="1"/>
  <c r="F6272" i="16"/>
  <c r="F6273" i="16" s="1"/>
  <c r="F6268" i="16"/>
  <c r="F6255" i="16"/>
  <c r="F6256" i="16" s="1"/>
  <c r="F6251" i="16"/>
  <c r="F6238" i="16"/>
  <c r="F6239" i="16" s="1"/>
  <c r="F6234" i="16"/>
  <c r="F6235" i="16" s="1"/>
  <c r="F6221" i="16"/>
  <c r="F6222" i="16" s="1"/>
  <c r="F6217" i="16"/>
  <c r="F6204" i="16"/>
  <c r="F6205" i="16" s="1"/>
  <c r="F6200" i="16"/>
  <c r="F6187" i="16"/>
  <c r="F6188" i="16" s="1"/>
  <c r="F6183" i="16"/>
  <c r="F6170" i="16"/>
  <c r="F6171" i="16" s="1"/>
  <c r="F6166" i="16"/>
  <c r="F6167" i="16" s="1"/>
  <c r="F6153" i="16"/>
  <c r="F6154" i="16" s="1"/>
  <c r="F6149" i="16"/>
  <c r="F6136" i="16"/>
  <c r="F6137" i="16" s="1"/>
  <c r="F6132" i="16"/>
  <c r="F6119" i="16"/>
  <c r="F6120" i="16" s="1"/>
  <c r="F6115" i="16"/>
  <c r="F6102" i="16"/>
  <c r="F6103" i="16" s="1"/>
  <c r="F6098" i="16"/>
  <c r="F6099" i="16" s="1"/>
  <c r="F6085" i="16"/>
  <c r="F6086" i="16" s="1"/>
  <c r="F6081" i="16"/>
  <c r="F6082" i="16" s="1"/>
  <c r="F6068" i="16"/>
  <c r="F6069" i="16" s="1"/>
  <c r="F6064" i="16"/>
  <c r="F6051" i="16"/>
  <c r="F6052" i="16" s="1"/>
  <c r="F6047" i="16"/>
  <c r="F6034" i="16"/>
  <c r="F6035" i="16" s="1"/>
  <c r="F6030" i="16"/>
  <c r="F6017" i="16"/>
  <c r="F6018" i="16" s="1"/>
  <c r="F6013" i="16"/>
  <c r="F6014" i="16" s="1"/>
  <c r="F6000" i="16"/>
  <c r="F6001" i="16" s="1"/>
  <c r="F5996" i="16"/>
  <c r="F5983" i="16"/>
  <c r="F5984" i="16" s="1"/>
  <c r="F5979" i="16"/>
  <c r="F5980" i="16" s="1"/>
  <c r="F5966" i="16"/>
  <c r="F5967" i="16" s="1"/>
  <c r="F5962" i="16"/>
  <c r="F5963" i="16" s="1"/>
  <c r="F5949" i="16"/>
  <c r="F5950" i="16" s="1"/>
  <c r="F5945" i="16"/>
  <c r="F5946" i="16" s="1"/>
  <c r="F5947" i="16" s="1"/>
  <c r="F5932" i="16"/>
  <c r="F5933" i="16" s="1"/>
  <c r="F5928" i="16"/>
  <c r="F5915" i="16"/>
  <c r="F5916" i="16" s="1"/>
  <c r="F5911" i="16"/>
  <c r="F5912" i="16" s="1"/>
  <c r="F5913" i="16" s="1"/>
  <c r="F5898" i="16"/>
  <c r="F5899" i="16" s="1"/>
  <c r="F5894" i="16"/>
  <c r="F5881" i="16"/>
  <c r="F5882" i="16" s="1"/>
  <c r="F5877" i="16"/>
  <c r="F5864" i="16"/>
  <c r="F5865" i="16" s="1"/>
  <c r="F5860" i="16"/>
  <c r="F5847" i="16"/>
  <c r="F5848" i="16" s="1"/>
  <c r="F5843" i="16"/>
  <c r="F5829" i="16"/>
  <c r="F5830" i="16" s="1"/>
  <c r="F5825" i="16"/>
  <c r="F5826" i="16" s="1"/>
  <c r="F5811" i="16"/>
  <c r="F5812" i="16" s="1"/>
  <c r="F5807" i="16"/>
  <c r="F5794" i="16"/>
  <c r="F5795" i="16" s="1"/>
  <c r="F5790" i="16"/>
  <c r="F5777" i="16"/>
  <c r="F5778" i="16" s="1"/>
  <c r="F5773" i="16"/>
  <c r="F5760" i="16"/>
  <c r="F5761" i="16" s="1"/>
  <c r="F5756" i="16"/>
  <c r="F5743" i="16"/>
  <c r="F5744" i="16" s="1"/>
  <c r="F5739" i="16"/>
  <c r="F5726" i="16"/>
  <c r="F5727" i="16" s="1"/>
  <c r="F5722" i="16"/>
  <c r="F5709" i="16"/>
  <c r="F5710" i="16" s="1"/>
  <c r="F5705" i="16"/>
  <c r="F5706" i="16" s="1"/>
  <c r="F5692" i="16"/>
  <c r="F5693" i="16" s="1"/>
  <c r="F5688" i="16"/>
  <c r="F5689" i="16" s="1"/>
  <c r="F5675" i="16"/>
  <c r="F5676" i="16" s="1"/>
  <c r="F5671" i="16"/>
  <c r="F5672" i="16" s="1"/>
  <c r="F5658" i="16"/>
  <c r="F5659" i="16" s="1"/>
  <c r="F5654" i="16"/>
  <c r="F5641" i="16"/>
  <c r="F5642" i="16" s="1"/>
  <c r="F5637" i="16"/>
  <c r="F5638" i="16" s="1"/>
  <c r="F5624" i="16"/>
  <c r="F5625" i="16" s="1"/>
  <c r="F5620" i="16"/>
  <c r="F5607" i="16"/>
  <c r="F5608" i="16" s="1"/>
  <c r="F5603" i="16"/>
  <c r="F5590" i="16"/>
  <c r="F5591" i="16" s="1"/>
  <c r="F5586" i="16"/>
  <c r="F5573" i="16"/>
  <c r="F5574" i="16" s="1"/>
  <c r="F5569" i="16"/>
  <c r="F5570" i="16" s="1"/>
  <c r="F5556" i="16"/>
  <c r="F5557" i="16" s="1"/>
  <c r="F5552" i="16"/>
  <c r="F5553" i="16" s="1"/>
  <c r="F5539" i="16"/>
  <c r="F5540" i="16" s="1"/>
  <c r="F5535" i="16"/>
  <c r="F5534" i="16"/>
  <c r="F5521" i="16"/>
  <c r="F5522" i="16" s="1"/>
  <c r="F5517" i="16"/>
  <c r="F5518" i="16" s="1"/>
  <c r="F5519" i="16" s="1"/>
  <c r="F5504" i="16"/>
  <c r="F5503" i="16"/>
  <c r="F5502" i="16"/>
  <c r="F5498" i="16"/>
  <c r="F5499" i="16" s="1"/>
  <c r="F5500" i="16" s="1"/>
  <c r="F5486" i="16"/>
  <c r="F5485" i="16"/>
  <c r="F5484" i="16"/>
  <c r="F5480" i="16"/>
  <c r="F5481" i="16" s="1"/>
  <c r="F5482" i="16" s="1"/>
  <c r="F5468" i="16"/>
  <c r="F5467" i="16"/>
  <c r="F5466" i="16"/>
  <c r="F5462" i="16"/>
  <c r="F5463" i="16" s="1"/>
  <c r="F5449" i="16"/>
  <c r="F5448" i="16"/>
  <c r="F5447" i="16"/>
  <c r="F5443" i="16"/>
  <c r="F5444" i="16" s="1"/>
  <c r="F5445" i="16" s="1"/>
  <c r="F5431" i="16"/>
  <c r="F5430" i="16"/>
  <c r="F5429" i="16"/>
  <c r="F5425" i="16"/>
  <c r="F5426" i="16" s="1"/>
  <c r="F5427" i="16" s="1"/>
  <c r="F5412" i="16"/>
  <c r="F5413" i="16" s="1"/>
  <c r="F5408" i="16"/>
  <c r="F5395" i="16"/>
  <c r="F5394" i="16"/>
  <c r="F5393" i="16"/>
  <c r="F5392" i="16"/>
  <c r="F5388" i="16"/>
  <c r="F5375" i="16"/>
  <c r="F5374" i="16"/>
  <c r="F5373" i="16"/>
  <c r="F5372" i="16"/>
  <c r="F5368" i="16"/>
  <c r="F5369" i="16" s="1"/>
  <c r="F5370" i="16" s="1"/>
  <c r="F5355" i="16"/>
  <c r="F5354" i="16"/>
  <c r="F5350" i="16"/>
  <c r="F5337" i="16"/>
  <c r="F5336" i="16"/>
  <c r="F5332" i="16"/>
  <c r="F5333" i="16" s="1"/>
  <c r="F5319" i="16"/>
  <c r="F5318" i="16"/>
  <c r="F5314" i="16"/>
  <c r="F5315" i="16" s="1"/>
  <c r="F5316" i="16" s="1"/>
  <c r="F5301" i="16"/>
  <c r="F5300" i="16"/>
  <c r="F5296" i="16"/>
  <c r="F5297" i="16" s="1"/>
  <c r="F5298" i="16" s="1"/>
  <c r="F5283" i="16"/>
  <c r="F5282" i="16"/>
  <c r="F5278" i="16"/>
  <c r="F5265" i="16"/>
  <c r="F5264" i="16"/>
  <c r="F5260" i="16"/>
  <c r="F5261" i="16" s="1"/>
  <c r="F5247" i="16"/>
  <c r="F5246" i="16"/>
  <c r="F5242" i="16"/>
  <c r="F5243" i="16" s="1"/>
  <c r="F5244" i="16" s="1"/>
  <c r="F5229" i="16"/>
  <c r="F5228" i="16"/>
  <c r="F5224" i="16"/>
  <c r="F5211" i="16"/>
  <c r="F5210" i="16"/>
  <c r="F5206" i="16"/>
  <c r="F5193" i="16"/>
  <c r="F5192" i="16"/>
  <c r="F5188" i="16"/>
  <c r="F5189" i="16" s="1"/>
  <c r="F5190" i="16" s="1"/>
  <c r="F5175" i="16"/>
  <c r="F5174" i="16"/>
  <c r="F5170" i="16"/>
  <c r="F5158" i="16"/>
  <c r="F5157" i="16"/>
  <c r="F5153" i="16"/>
  <c r="F5154" i="16" s="1"/>
  <c r="F5141" i="16"/>
  <c r="F5140" i="16"/>
  <c r="F5136" i="16"/>
  <c r="F5124" i="16"/>
  <c r="F5123" i="16"/>
  <c r="F5119" i="16"/>
  <c r="F5107" i="16"/>
  <c r="F5106" i="16"/>
  <c r="F5102" i="16"/>
  <c r="F5103" i="16" s="1"/>
  <c r="F5104" i="16" s="1"/>
  <c r="F5090" i="16"/>
  <c r="F5089" i="16"/>
  <c r="F5085" i="16"/>
  <c r="F5073" i="16"/>
  <c r="F5072" i="16"/>
  <c r="F5068" i="16"/>
  <c r="F5056" i="16"/>
  <c r="F5055" i="16"/>
  <c r="F5051" i="16"/>
  <c r="F5052" i="16" s="1"/>
  <c r="F5053" i="16" s="1"/>
  <c r="F5039" i="16"/>
  <c r="F5038" i="16"/>
  <c r="E5034" i="16"/>
  <c r="F5034" i="16" s="1"/>
  <c r="F5035" i="16" s="1"/>
  <c r="F5022" i="16"/>
  <c r="F5021" i="16"/>
  <c r="E5017" i="16"/>
  <c r="F5017" i="16" s="1"/>
  <c r="F5005" i="16"/>
  <c r="F5004" i="16"/>
  <c r="E5000" i="16"/>
  <c r="F5000" i="16" s="1"/>
  <c r="F5001" i="16" s="1"/>
  <c r="F4988" i="16"/>
  <c r="F4987" i="16"/>
  <c r="E4983" i="16"/>
  <c r="F4983" i="16" s="1"/>
  <c r="F4984" i="16" s="1"/>
  <c r="F4969" i="16"/>
  <c r="F4968" i="16"/>
  <c r="F4964" i="16"/>
  <c r="F4950" i="16"/>
  <c r="F4949" i="16"/>
  <c r="F4945" i="16"/>
  <c r="F4946" i="16" s="1"/>
  <c r="F4931" i="16"/>
  <c r="F4930" i="16"/>
  <c r="F4926" i="16"/>
  <c r="F4914" i="16"/>
  <c r="F4913" i="16"/>
  <c r="E4909" i="16"/>
  <c r="F4909" i="16" s="1"/>
  <c r="F4897" i="16"/>
  <c r="F4896" i="16"/>
  <c r="E4892" i="16"/>
  <c r="F4892" i="16" s="1"/>
  <c r="F4880" i="16"/>
  <c r="F4879" i="16"/>
  <c r="E4875" i="16"/>
  <c r="F4875" i="16" s="1"/>
  <c r="F4876" i="16" s="1"/>
  <c r="F4863" i="16"/>
  <c r="F4862" i="16"/>
  <c r="E4858" i="16"/>
  <c r="F4858" i="16" s="1"/>
  <c r="F4859" i="16" s="1"/>
  <c r="F4846" i="16"/>
  <c r="F4845" i="16"/>
  <c r="F4841" i="16"/>
  <c r="F4827" i="16"/>
  <c r="F4826" i="16"/>
  <c r="F4822" i="16"/>
  <c r="F4808" i="16"/>
  <c r="F4807" i="16"/>
  <c r="F4806" i="16"/>
  <c r="D4803" i="16"/>
  <c r="E4802" i="16"/>
  <c r="D4802" i="16"/>
  <c r="D4801" i="16"/>
  <c r="D4800" i="16"/>
  <c r="D4799" i="16"/>
  <c r="F4799" i="16" s="1"/>
  <c r="F4787" i="16"/>
  <c r="F4788" i="16" s="1"/>
  <c r="F4783" i="16"/>
  <c r="F4782" i="16"/>
  <c r="F4770" i="16"/>
  <c r="F4771" i="16" s="1"/>
  <c r="E4766" i="16"/>
  <c r="F4766" i="16" s="1"/>
  <c r="E4765" i="16"/>
  <c r="E4801" i="16" s="1"/>
  <c r="F4753" i="16"/>
  <c r="F4754" i="16" s="1"/>
  <c r="E4749" i="16"/>
  <c r="F4749" i="16" s="1"/>
  <c r="E4748" i="16"/>
  <c r="F4748" i="16" s="1"/>
  <c r="F4734" i="16"/>
  <c r="F4735" i="16" s="1"/>
  <c r="E4730" i="16"/>
  <c r="F4730" i="16" s="1"/>
  <c r="E4729" i="16"/>
  <c r="D4729" i="16"/>
  <c r="F4717" i="16"/>
  <c r="F4718" i="16" s="1"/>
  <c r="E4713" i="16"/>
  <c r="F4713" i="16" s="1"/>
  <c r="E4712" i="16"/>
  <c r="F4712" i="16" s="1"/>
  <c r="F4700" i="16"/>
  <c r="F4701" i="16" s="1"/>
  <c r="E4696" i="16"/>
  <c r="F4696" i="16" s="1"/>
  <c r="E4695" i="16"/>
  <c r="F4695" i="16" s="1"/>
  <c r="E4694" i="16"/>
  <c r="F4694" i="16" s="1"/>
  <c r="F4682" i="16"/>
  <c r="F4681" i="16"/>
  <c r="F4680" i="16"/>
  <c r="E4676" i="16"/>
  <c r="F4676" i="16" s="1"/>
  <c r="E4675" i="16"/>
  <c r="F4675" i="16" s="1"/>
  <c r="E4674" i="16"/>
  <c r="F4674" i="16" s="1"/>
  <c r="E4673" i="16"/>
  <c r="F4673" i="16" s="1"/>
  <c r="E4672" i="16"/>
  <c r="F4672" i="16" s="1"/>
  <c r="F4660" i="16"/>
  <c r="F4659" i="16"/>
  <c r="F4658" i="16"/>
  <c r="E4654" i="16"/>
  <c r="F4654" i="16" s="1"/>
  <c r="E4653" i="16"/>
  <c r="F4653" i="16" s="1"/>
  <c r="E4652" i="16"/>
  <c r="F4652" i="16" s="1"/>
  <c r="F4640" i="16"/>
  <c r="F4639" i="16"/>
  <c r="F4638" i="16"/>
  <c r="F4637" i="16"/>
  <c r="F4636" i="16"/>
  <c r="F4635" i="16"/>
  <c r="E4631" i="16"/>
  <c r="D4631" i="16"/>
  <c r="E4630" i="16"/>
  <c r="D4630" i="16"/>
  <c r="E4629" i="16"/>
  <c r="D4629" i="16"/>
  <c r="E4628" i="16"/>
  <c r="D4628" i="16"/>
  <c r="E4627" i="16"/>
  <c r="F4627" i="16" s="1"/>
  <c r="E4626" i="16"/>
  <c r="D4626" i="16"/>
  <c r="E4625" i="16"/>
  <c r="D4625" i="16"/>
  <c r="E4624" i="16"/>
  <c r="D4624" i="16"/>
  <c r="F4611" i="16"/>
  <c r="F4610" i="16"/>
  <c r="F4609" i="16"/>
  <c r="F4608" i="16"/>
  <c r="F4607" i="16"/>
  <c r="F4606" i="16"/>
  <c r="E4602" i="16"/>
  <c r="D4602" i="16"/>
  <c r="E4601" i="16"/>
  <c r="D4601" i="16"/>
  <c r="E4600" i="16"/>
  <c r="D4600" i="16"/>
  <c r="E4599" i="16"/>
  <c r="D4599" i="16"/>
  <c r="E4598" i="16"/>
  <c r="F4598" i="16" s="1"/>
  <c r="E4597" i="16"/>
  <c r="D4597" i="16"/>
  <c r="E4596" i="16"/>
  <c r="D4596" i="16"/>
  <c r="E4595" i="16"/>
  <c r="D4595" i="16"/>
  <c r="F4582" i="16"/>
  <c r="F4581" i="16"/>
  <c r="F4580" i="16"/>
  <c r="F4579" i="16"/>
  <c r="F4578" i="16"/>
  <c r="F4577" i="16"/>
  <c r="E4573" i="16"/>
  <c r="D4573" i="16"/>
  <c r="E4572" i="16"/>
  <c r="D4572" i="16"/>
  <c r="E4571" i="16"/>
  <c r="D4571" i="16"/>
  <c r="E4570" i="16"/>
  <c r="D4570" i="16"/>
  <c r="E4569" i="16"/>
  <c r="F4569" i="16" s="1"/>
  <c r="E4568" i="16"/>
  <c r="D4568" i="16"/>
  <c r="E4567" i="16"/>
  <c r="D4567" i="16"/>
  <c r="E4566" i="16"/>
  <c r="D4566" i="16"/>
  <c r="F4553" i="16"/>
  <c r="F4552" i="16"/>
  <c r="F4551" i="16"/>
  <c r="F4550" i="16"/>
  <c r="F4549" i="16"/>
  <c r="F4548" i="16"/>
  <c r="E4544" i="16"/>
  <c r="D4544" i="16"/>
  <c r="E4543" i="16"/>
  <c r="D4543" i="16"/>
  <c r="E4542" i="16"/>
  <c r="D4542" i="16"/>
  <c r="E4541" i="16"/>
  <c r="D4541" i="16"/>
  <c r="E4540" i="16"/>
  <c r="F4540" i="16" s="1"/>
  <c r="E4539" i="16"/>
  <c r="D4539" i="16"/>
  <c r="E4538" i="16"/>
  <c r="D4538" i="16"/>
  <c r="E4537" i="16"/>
  <c r="D4537" i="16"/>
  <c r="F4524" i="16"/>
  <c r="F4523" i="16"/>
  <c r="F4522" i="16"/>
  <c r="F4521" i="16"/>
  <c r="F4520" i="16"/>
  <c r="F4519" i="16"/>
  <c r="E4515" i="16"/>
  <c r="D4515" i="16"/>
  <c r="E4514" i="16"/>
  <c r="D4514" i="16"/>
  <c r="E4513" i="16"/>
  <c r="F4513" i="16" s="1"/>
  <c r="E4512" i="16"/>
  <c r="D4512" i="16"/>
  <c r="E4511" i="16"/>
  <c r="F4511" i="16" s="1"/>
  <c r="E4510" i="16"/>
  <c r="D4510" i="16"/>
  <c r="E4509" i="16"/>
  <c r="D4509" i="16"/>
  <c r="E4508" i="16"/>
  <c r="D4508" i="16"/>
  <c r="F4495" i="16"/>
  <c r="F4494" i="16"/>
  <c r="F4493" i="16"/>
  <c r="F4492" i="16"/>
  <c r="F4491" i="16"/>
  <c r="F4490" i="16"/>
  <c r="E4486" i="16"/>
  <c r="D4486" i="16"/>
  <c r="E4485" i="16"/>
  <c r="D4485" i="16"/>
  <c r="E4484" i="16"/>
  <c r="F4484" i="16" s="1"/>
  <c r="E4483" i="16"/>
  <c r="D4483" i="16"/>
  <c r="E4482" i="16"/>
  <c r="F4482" i="16" s="1"/>
  <c r="E4481" i="16"/>
  <c r="D4481" i="16"/>
  <c r="E4480" i="16"/>
  <c r="D4480" i="16"/>
  <c r="E4479" i="16"/>
  <c r="D4479" i="16"/>
  <c r="F4466" i="16"/>
  <c r="F4465" i="16"/>
  <c r="F4464" i="16"/>
  <c r="F4463" i="16"/>
  <c r="F4462" i="16"/>
  <c r="F4461" i="16"/>
  <c r="E4457" i="16"/>
  <c r="D4457" i="16"/>
  <c r="E4456" i="16"/>
  <c r="D4456" i="16"/>
  <c r="E4455" i="16"/>
  <c r="F4455" i="16" s="1"/>
  <c r="E4454" i="16"/>
  <c r="D4454" i="16"/>
  <c r="E4453" i="16"/>
  <c r="F4453" i="16" s="1"/>
  <c r="E4452" i="16"/>
  <c r="D4452" i="16"/>
  <c r="E4451" i="16"/>
  <c r="D4451" i="16"/>
  <c r="E4450" i="16"/>
  <c r="D4450" i="16"/>
  <c r="F4437" i="16"/>
  <c r="F4436" i="16"/>
  <c r="F4435" i="16"/>
  <c r="F4434" i="16"/>
  <c r="F4433" i="16"/>
  <c r="F4432" i="16"/>
  <c r="F4428" i="16"/>
  <c r="E4427" i="16"/>
  <c r="D4427" i="16"/>
  <c r="E4426" i="16"/>
  <c r="D4426" i="16"/>
  <c r="F4413" i="16"/>
  <c r="F4412" i="16"/>
  <c r="F4411" i="16"/>
  <c r="F4410" i="16"/>
  <c r="F4409" i="16"/>
  <c r="F4408" i="16"/>
  <c r="F4404" i="16"/>
  <c r="E4403" i="16"/>
  <c r="D4403" i="16"/>
  <c r="E4402" i="16"/>
  <c r="D4402" i="16"/>
  <c r="F4389" i="16"/>
  <c r="F4388" i="16"/>
  <c r="F4387" i="16"/>
  <c r="F4386" i="16"/>
  <c r="F4385" i="16"/>
  <c r="F4384" i="16"/>
  <c r="F4380" i="16"/>
  <c r="E4379" i="16"/>
  <c r="D4379" i="16"/>
  <c r="E4378" i="16"/>
  <c r="D4378" i="16"/>
  <c r="F4365" i="16"/>
  <c r="F4364" i="16"/>
  <c r="F4363" i="16"/>
  <c r="F4362" i="16"/>
  <c r="F4361" i="16"/>
  <c r="F4360" i="16"/>
  <c r="F4356" i="16"/>
  <c r="E4355" i="16"/>
  <c r="D4355" i="16"/>
  <c r="E4354" i="16"/>
  <c r="D4354" i="16"/>
  <c r="F4341" i="16"/>
  <c r="F4340" i="16"/>
  <c r="F4339" i="16"/>
  <c r="F4338" i="16"/>
  <c r="F4337" i="16"/>
  <c r="F4336" i="16"/>
  <c r="F4332" i="16"/>
  <c r="E4331" i="16"/>
  <c r="D4331" i="16"/>
  <c r="E4330" i="16"/>
  <c r="D4330" i="16"/>
  <c r="F4287" i="16"/>
  <c r="F4286" i="16"/>
  <c r="F4285" i="16"/>
  <c r="F4284" i="16"/>
  <c r="F4283" i="16"/>
  <c r="F4282" i="16"/>
  <c r="E4278" i="16"/>
  <c r="E4277" i="16"/>
  <c r="D4277" i="16"/>
  <c r="E4276" i="16"/>
  <c r="F4276" i="16" s="1"/>
  <c r="E4275" i="16"/>
  <c r="F4275" i="16" s="1"/>
  <c r="E4274" i="16"/>
  <c r="D4274" i="16"/>
  <c r="E4273" i="16"/>
  <c r="F4273" i="16" s="1"/>
  <c r="E4272" i="16"/>
  <c r="D4272" i="16"/>
  <c r="E4271" i="16"/>
  <c r="D4271" i="16"/>
  <c r="E4270" i="16"/>
  <c r="D4270" i="16"/>
  <c r="F4257" i="16"/>
  <c r="F4256" i="16"/>
  <c r="F4255" i="16"/>
  <c r="F4254" i="16"/>
  <c r="F4253" i="16"/>
  <c r="F4252" i="16"/>
  <c r="E4248" i="16"/>
  <c r="D4248" i="16"/>
  <c r="E4247" i="16"/>
  <c r="D4247" i="16"/>
  <c r="E4246" i="16"/>
  <c r="D4246" i="16"/>
  <c r="E4245" i="16"/>
  <c r="F4245" i="16" s="1"/>
  <c r="E4244" i="16"/>
  <c r="D4244" i="16"/>
  <c r="E4243" i="16"/>
  <c r="D4243" i="16"/>
  <c r="E4242" i="16"/>
  <c r="D4242" i="16"/>
  <c r="E4241" i="16"/>
  <c r="D4241" i="16"/>
  <c r="E4240" i="16"/>
  <c r="D4240" i="16"/>
  <c r="F4227" i="16"/>
  <c r="F4226" i="16"/>
  <c r="F4225" i="16"/>
  <c r="F4224" i="16"/>
  <c r="F4223" i="16"/>
  <c r="F4222" i="16"/>
  <c r="E4218" i="16"/>
  <c r="D4218" i="16"/>
  <c r="E4217" i="16"/>
  <c r="D4217" i="16"/>
  <c r="E4216" i="16"/>
  <c r="D4216" i="16"/>
  <c r="E4215" i="16"/>
  <c r="F4215" i="16" s="1"/>
  <c r="E4214" i="16"/>
  <c r="D4214" i="16"/>
  <c r="E4213" i="16"/>
  <c r="D4213" i="16"/>
  <c r="E4212" i="16"/>
  <c r="D4212" i="16"/>
  <c r="E4211" i="16"/>
  <c r="D4211" i="16"/>
  <c r="E4210" i="16"/>
  <c r="D4210" i="16"/>
  <c r="F4197" i="16"/>
  <c r="F4196" i="16"/>
  <c r="F4195" i="16"/>
  <c r="F4194" i="16"/>
  <c r="F4193" i="16"/>
  <c r="F4192" i="16"/>
  <c r="E4188" i="16"/>
  <c r="D4188" i="16"/>
  <c r="E4187" i="16"/>
  <c r="D4187" i="16"/>
  <c r="E4186" i="16"/>
  <c r="D4186" i="16"/>
  <c r="E4185" i="16"/>
  <c r="F4185" i="16" s="1"/>
  <c r="E4184" i="16"/>
  <c r="D4184" i="16"/>
  <c r="E4183" i="16"/>
  <c r="D4183" i="16"/>
  <c r="E4182" i="16"/>
  <c r="D4182" i="16"/>
  <c r="E4181" i="16"/>
  <c r="D4181" i="16"/>
  <c r="E4180" i="16"/>
  <c r="D4180" i="16"/>
  <c r="F4167" i="16"/>
  <c r="F4166" i="16"/>
  <c r="F4165" i="16"/>
  <c r="F4164" i="16"/>
  <c r="F4163" i="16"/>
  <c r="F4162" i="16"/>
  <c r="E4158" i="16"/>
  <c r="D4158" i="16"/>
  <c r="E4157" i="16"/>
  <c r="D4157" i="16"/>
  <c r="E4156" i="16"/>
  <c r="D4156" i="16"/>
  <c r="E4155" i="16"/>
  <c r="F4155" i="16" s="1"/>
  <c r="E4154" i="16"/>
  <c r="D4154" i="16"/>
  <c r="E4153" i="16"/>
  <c r="D4153" i="16"/>
  <c r="E4152" i="16"/>
  <c r="D4152" i="16"/>
  <c r="E4151" i="16"/>
  <c r="D4151" i="16"/>
  <c r="E4150" i="16"/>
  <c r="D4150" i="16"/>
  <c r="F4137" i="16"/>
  <c r="F4136" i="16"/>
  <c r="F4135" i="16"/>
  <c r="F4134" i="16"/>
  <c r="F4133" i="16"/>
  <c r="F4132" i="16"/>
  <c r="E4128" i="16"/>
  <c r="D4128" i="16"/>
  <c r="E4127" i="16"/>
  <c r="D4127" i="16"/>
  <c r="E4126" i="16"/>
  <c r="D4126" i="16"/>
  <c r="E4125" i="16"/>
  <c r="F4125" i="16" s="1"/>
  <c r="E4124" i="16"/>
  <c r="D4124" i="16"/>
  <c r="E4123" i="16"/>
  <c r="D4123" i="16"/>
  <c r="E4122" i="16"/>
  <c r="D4122" i="16"/>
  <c r="E4121" i="16"/>
  <c r="D4121" i="16"/>
  <c r="E4120" i="16"/>
  <c r="D4120" i="16"/>
  <c r="F4107" i="16"/>
  <c r="F4106" i="16"/>
  <c r="F4105" i="16"/>
  <c r="F4104" i="16"/>
  <c r="F4103" i="16"/>
  <c r="F4102" i="16"/>
  <c r="F4098" i="16"/>
  <c r="E4097" i="16"/>
  <c r="D4097" i="16"/>
  <c r="E4096" i="16"/>
  <c r="F4096" i="16" s="1"/>
  <c r="E4095" i="16"/>
  <c r="D4095" i="16"/>
  <c r="E4094" i="16"/>
  <c r="D4094" i="16"/>
  <c r="F4081" i="16"/>
  <c r="F4080" i="16"/>
  <c r="F4079" i="16"/>
  <c r="F4078" i="16"/>
  <c r="F4077" i="16"/>
  <c r="F4076" i="16"/>
  <c r="F4072" i="16"/>
  <c r="E4071" i="16"/>
  <c r="D4071" i="16"/>
  <c r="E4070" i="16"/>
  <c r="F4070" i="16" s="1"/>
  <c r="E4069" i="16"/>
  <c r="D4069" i="16"/>
  <c r="E4068" i="16"/>
  <c r="D4068" i="16"/>
  <c r="F4055" i="16"/>
  <c r="F4054" i="16"/>
  <c r="F4053" i="16"/>
  <c r="F4052" i="16"/>
  <c r="F4051" i="16"/>
  <c r="F4050" i="16"/>
  <c r="F4046" i="16"/>
  <c r="E4045" i="16"/>
  <c r="D4045" i="16"/>
  <c r="E4044" i="16"/>
  <c r="F4044" i="16" s="1"/>
  <c r="E4043" i="16"/>
  <c r="D4043" i="16"/>
  <c r="E4042" i="16"/>
  <c r="D4042" i="16"/>
  <c r="F4029" i="16"/>
  <c r="F4028" i="16"/>
  <c r="F4027" i="16"/>
  <c r="F4026" i="16"/>
  <c r="F4025" i="16"/>
  <c r="F4024" i="16"/>
  <c r="F4020" i="16"/>
  <c r="E4019" i="16"/>
  <c r="D4019" i="16"/>
  <c r="E4018" i="16"/>
  <c r="F4018" i="16" s="1"/>
  <c r="E4017" i="16"/>
  <c r="D4017" i="16"/>
  <c r="E4016" i="16"/>
  <c r="D4016" i="16"/>
  <c r="F4003" i="16"/>
  <c r="F4002" i="16"/>
  <c r="F4001" i="16"/>
  <c r="F4000" i="16"/>
  <c r="F3999" i="16"/>
  <c r="F3998" i="16"/>
  <c r="F3994" i="16"/>
  <c r="E3993" i="16"/>
  <c r="D3993" i="16"/>
  <c r="E3992" i="16"/>
  <c r="F3992" i="16" s="1"/>
  <c r="E3991" i="16"/>
  <c r="D3991" i="16"/>
  <c r="E3990" i="16"/>
  <c r="D3990" i="16"/>
  <c r="F3977" i="16"/>
  <c r="F3976" i="16"/>
  <c r="F3975" i="16"/>
  <c r="F3974" i="16"/>
  <c r="F3973" i="16"/>
  <c r="F3972" i="16"/>
  <c r="E3968" i="16"/>
  <c r="F3968" i="16" s="1"/>
  <c r="F3967" i="16"/>
  <c r="E3966" i="16"/>
  <c r="D3966" i="16"/>
  <c r="E3965" i="16"/>
  <c r="D3965" i="16"/>
  <c r="E3964" i="16"/>
  <c r="D3964" i="16"/>
  <c r="F3951" i="16"/>
  <c r="F3950" i="16"/>
  <c r="F3949" i="16"/>
  <c r="F3948" i="16"/>
  <c r="F3947" i="16"/>
  <c r="F3946" i="16"/>
  <c r="E3942" i="16"/>
  <c r="F3942" i="16" s="1"/>
  <c r="F3941" i="16"/>
  <c r="E3940" i="16"/>
  <c r="D3940" i="16"/>
  <c r="E3939" i="16"/>
  <c r="D3939" i="16"/>
  <c r="E3938" i="16"/>
  <c r="D3938" i="16"/>
  <c r="F3925" i="16"/>
  <c r="F3924" i="16"/>
  <c r="F3923" i="16"/>
  <c r="F3922" i="16"/>
  <c r="F3921" i="16"/>
  <c r="F3920" i="16"/>
  <c r="E3916" i="16"/>
  <c r="F3916" i="16" s="1"/>
  <c r="F3915" i="16"/>
  <c r="E3914" i="16"/>
  <c r="D3914" i="16"/>
  <c r="E3913" i="16"/>
  <c r="D3913" i="16"/>
  <c r="E3912" i="16"/>
  <c r="D3912" i="16"/>
  <c r="F3899" i="16"/>
  <c r="F3898" i="16"/>
  <c r="F3897" i="16"/>
  <c r="F3896" i="16"/>
  <c r="F3895" i="16"/>
  <c r="F3894" i="16"/>
  <c r="E3890" i="16"/>
  <c r="F3890" i="16" s="1"/>
  <c r="F3889" i="16"/>
  <c r="E3888" i="16"/>
  <c r="D3888" i="16"/>
  <c r="E3887" i="16"/>
  <c r="D3887" i="16"/>
  <c r="E3886" i="16"/>
  <c r="D3886" i="16"/>
  <c r="F3873" i="16"/>
  <c r="F3872" i="16"/>
  <c r="F3871" i="16"/>
  <c r="F3870" i="16"/>
  <c r="F3869" i="16"/>
  <c r="F3868" i="16"/>
  <c r="E3864" i="16"/>
  <c r="F3864" i="16" s="1"/>
  <c r="F3863" i="16"/>
  <c r="E3862" i="16"/>
  <c r="D3862" i="16"/>
  <c r="E3861" i="16"/>
  <c r="F3861" i="16" s="1"/>
  <c r="E3860" i="16"/>
  <c r="D3860" i="16"/>
  <c r="F3847" i="16"/>
  <c r="F3846" i="16"/>
  <c r="F3845" i="16"/>
  <c r="F3844" i="16"/>
  <c r="F3843" i="16"/>
  <c r="F3842" i="16"/>
  <c r="E3838" i="16"/>
  <c r="F3838" i="16" s="1"/>
  <c r="F3837" i="16"/>
  <c r="E3836" i="16"/>
  <c r="D3836" i="16"/>
  <c r="E3835" i="16"/>
  <c r="D3835" i="16"/>
  <c r="E3834" i="16"/>
  <c r="D3834" i="16"/>
  <c r="IV3763" i="16"/>
  <c r="F3759" i="16"/>
  <c r="IV3759" i="16" s="1"/>
  <c r="F3758" i="16"/>
  <c r="IV3758" i="16" s="1"/>
  <c r="F3757" i="16"/>
  <c r="IV3757" i="16" s="1"/>
  <c r="F3756" i="16"/>
  <c r="IV3756" i="16" s="1"/>
  <c r="F3755" i="16"/>
  <c r="IV3755" i="16" s="1"/>
  <c r="F3754" i="16"/>
  <c r="F3753" i="16"/>
  <c r="IV3753" i="16" s="1"/>
  <c r="F3749" i="16"/>
  <c r="IV3749" i="16" s="1"/>
  <c r="F3748" i="16"/>
  <c r="IV3748" i="16" s="1"/>
  <c r="E3747" i="16"/>
  <c r="F3747" i="16" s="1"/>
  <c r="IV3747" i="16" s="1"/>
  <c r="E3746" i="16"/>
  <c r="F3745" i="16"/>
  <c r="IV3745" i="16" s="1"/>
  <c r="E3744" i="16"/>
  <c r="D3744" i="16"/>
  <c r="E3743" i="16"/>
  <c r="D3743" i="16"/>
  <c r="E3742" i="16"/>
  <c r="D3742" i="16"/>
  <c r="E3741" i="16"/>
  <c r="D3741" i="16"/>
  <c r="F3728" i="16"/>
  <c r="F3727" i="16"/>
  <c r="F3726" i="16"/>
  <c r="F3725" i="16"/>
  <c r="F3724" i="16"/>
  <c r="F3723" i="16"/>
  <c r="F3722" i="16"/>
  <c r="F3718" i="16"/>
  <c r="F3717" i="16"/>
  <c r="E3716" i="16"/>
  <c r="F3716" i="16" s="1"/>
  <c r="E3715" i="16"/>
  <c r="F3715" i="16" s="1"/>
  <c r="F3714" i="16"/>
  <c r="E3713" i="16"/>
  <c r="D3713" i="16"/>
  <c r="E3712" i="16"/>
  <c r="D3712" i="16"/>
  <c r="E3711" i="16"/>
  <c r="D3711" i="16"/>
  <c r="E3710" i="16"/>
  <c r="D3710" i="16"/>
  <c r="F3697" i="16"/>
  <c r="F3696" i="16"/>
  <c r="F3695" i="16"/>
  <c r="F3694" i="16"/>
  <c r="F3693" i="16"/>
  <c r="F3692" i="16"/>
  <c r="F3691" i="16"/>
  <c r="F3687" i="16"/>
  <c r="F3686" i="16"/>
  <c r="E3685" i="16"/>
  <c r="F3685" i="16" s="1"/>
  <c r="E3684" i="16"/>
  <c r="F3684" i="16" s="1"/>
  <c r="F3683" i="16"/>
  <c r="E3682" i="16"/>
  <c r="D3682" i="16"/>
  <c r="E3681" i="16"/>
  <c r="D3681" i="16"/>
  <c r="E3680" i="16"/>
  <c r="D3680" i="16"/>
  <c r="E3679" i="16"/>
  <c r="D3679" i="16"/>
  <c r="F3666" i="16"/>
  <c r="F3665" i="16"/>
  <c r="F3664" i="16"/>
  <c r="F3663" i="16"/>
  <c r="F3662" i="16"/>
  <c r="F3661" i="16"/>
  <c r="F3660" i="16"/>
  <c r="F3656" i="16"/>
  <c r="F3655" i="16"/>
  <c r="E3654" i="16"/>
  <c r="F3654" i="16" s="1"/>
  <c r="E3653" i="16"/>
  <c r="F3653" i="16" s="1"/>
  <c r="F3652" i="16"/>
  <c r="E3651" i="16"/>
  <c r="D3651" i="16"/>
  <c r="E3650" i="16"/>
  <c r="D3650" i="16"/>
  <c r="E3649" i="16"/>
  <c r="D3649" i="16"/>
  <c r="E3648" i="16"/>
  <c r="D3648" i="16"/>
  <c r="F3635" i="16"/>
  <c r="F3634" i="16"/>
  <c r="F3633" i="16"/>
  <c r="F3632" i="16"/>
  <c r="F3631" i="16"/>
  <c r="F3630" i="16"/>
  <c r="F3629" i="16"/>
  <c r="F3625" i="16"/>
  <c r="F3624" i="16"/>
  <c r="E3623" i="16"/>
  <c r="F3623" i="16" s="1"/>
  <c r="E3622" i="16"/>
  <c r="F3622" i="16" s="1"/>
  <c r="F3621" i="16"/>
  <c r="E3620" i="16"/>
  <c r="D3620" i="16"/>
  <c r="E3619" i="16"/>
  <c r="D3619" i="16"/>
  <c r="E3618" i="16"/>
  <c r="D3618" i="16"/>
  <c r="E3617" i="16"/>
  <c r="D3617" i="16"/>
  <c r="F3604" i="16"/>
  <c r="F3603" i="16"/>
  <c r="F3602" i="16"/>
  <c r="F3601" i="16"/>
  <c r="F3600" i="16"/>
  <c r="F3599" i="16"/>
  <c r="F3598" i="16"/>
  <c r="F3594" i="16"/>
  <c r="F3593" i="16"/>
  <c r="E3592" i="16"/>
  <c r="F3592" i="16" s="1"/>
  <c r="E3591" i="16"/>
  <c r="F3591" i="16" s="1"/>
  <c r="F3590" i="16"/>
  <c r="E3589" i="16"/>
  <c r="D3589" i="16"/>
  <c r="E3588" i="16"/>
  <c r="D3588" i="16"/>
  <c r="E3587" i="16"/>
  <c r="D3587" i="16"/>
  <c r="E3586" i="16"/>
  <c r="D3586" i="16"/>
  <c r="F3573" i="16"/>
  <c r="F3572" i="16"/>
  <c r="F3571" i="16"/>
  <c r="F3570" i="16"/>
  <c r="F3569" i="16"/>
  <c r="F3568" i="16"/>
  <c r="F3567" i="16"/>
  <c r="F3563" i="16"/>
  <c r="F3562" i="16"/>
  <c r="E3561" i="16"/>
  <c r="F3561" i="16" s="1"/>
  <c r="E3560" i="16"/>
  <c r="F3560" i="16" s="1"/>
  <c r="F3559" i="16"/>
  <c r="E3558" i="16"/>
  <c r="D3558" i="16"/>
  <c r="E3557" i="16"/>
  <c r="D3557" i="16"/>
  <c r="E3556" i="16"/>
  <c r="D3556" i="16"/>
  <c r="E3555" i="16"/>
  <c r="D3555" i="16"/>
  <c r="F3542" i="16"/>
  <c r="F3541" i="16"/>
  <c r="F3540" i="16"/>
  <c r="F3539" i="16"/>
  <c r="F3538" i="16"/>
  <c r="F3537" i="16"/>
  <c r="F3536" i="16"/>
  <c r="F3532" i="16"/>
  <c r="F3531" i="16"/>
  <c r="E3530" i="16"/>
  <c r="F3530" i="16" s="1"/>
  <c r="E3529" i="16"/>
  <c r="F3529" i="16" s="1"/>
  <c r="F3528" i="16"/>
  <c r="E3527" i="16"/>
  <c r="D3527" i="16"/>
  <c r="E3526" i="16"/>
  <c r="D3526" i="16"/>
  <c r="E3525" i="16"/>
  <c r="D3525" i="16"/>
  <c r="E3524" i="16"/>
  <c r="D3524" i="16"/>
  <c r="F3511" i="16"/>
  <c r="F3510" i="16"/>
  <c r="F3509" i="16"/>
  <c r="F3508" i="16"/>
  <c r="F3507" i="16"/>
  <c r="F3506" i="16"/>
  <c r="F3505" i="16"/>
  <c r="F3501" i="16"/>
  <c r="F3500" i="16"/>
  <c r="E3499" i="16"/>
  <c r="F3499" i="16" s="1"/>
  <c r="E3498" i="16"/>
  <c r="F3498" i="16" s="1"/>
  <c r="F3497" i="16"/>
  <c r="E3496" i="16"/>
  <c r="D3496" i="16"/>
  <c r="E3495" i="16"/>
  <c r="D3495" i="16"/>
  <c r="E3494" i="16"/>
  <c r="D3494" i="16"/>
  <c r="E3493" i="16"/>
  <c r="D3493" i="16"/>
  <c r="F3480" i="16"/>
  <c r="F3479" i="16"/>
  <c r="F3478" i="16"/>
  <c r="F3477" i="16"/>
  <c r="F3476" i="16"/>
  <c r="F3475" i="16"/>
  <c r="F3474" i="16"/>
  <c r="F3470" i="16"/>
  <c r="F3469" i="16"/>
  <c r="E3468" i="16"/>
  <c r="F3468" i="16" s="1"/>
  <c r="E3467" i="16"/>
  <c r="F3467" i="16" s="1"/>
  <c r="F3466" i="16"/>
  <c r="E3465" i="16"/>
  <c r="D3465" i="16"/>
  <c r="E3464" i="16"/>
  <c r="D3464" i="16"/>
  <c r="E3463" i="16"/>
  <c r="D3463" i="16"/>
  <c r="E3462" i="16"/>
  <c r="D3462" i="16"/>
  <c r="F3448" i="16"/>
  <c r="F3447" i="16"/>
  <c r="F3446" i="16"/>
  <c r="F3445" i="16"/>
  <c r="F3444" i="16"/>
  <c r="F3443" i="16"/>
  <c r="F3442" i="16"/>
  <c r="F3438" i="16"/>
  <c r="F3437" i="16"/>
  <c r="E3436" i="16"/>
  <c r="F3436" i="16" s="1"/>
  <c r="E3435" i="16"/>
  <c r="F3435" i="16" s="1"/>
  <c r="F3434" i="16"/>
  <c r="E3433" i="16"/>
  <c r="D3433" i="16"/>
  <c r="E3432" i="16"/>
  <c r="D3432" i="16"/>
  <c r="E3431" i="16"/>
  <c r="D3431" i="16"/>
  <c r="E3430" i="16"/>
  <c r="D3430" i="16"/>
  <c r="F3417" i="16"/>
  <c r="F3416" i="16"/>
  <c r="F3415" i="16"/>
  <c r="F3414" i="16"/>
  <c r="F3413" i="16"/>
  <c r="F3412" i="16"/>
  <c r="F3411" i="16"/>
  <c r="F3407" i="16"/>
  <c r="F3406" i="16"/>
  <c r="E3405" i="16"/>
  <c r="F3405" i="16" s="1"/>
  <c r="E3404" i="16"/>
  <c r="F3404" i="16" s="1"/>
  <c r="F3403" i="16"/>
  <c r="E3402" i="16"/>
  <c r="D3402" i="16"/>
  <c r="E3401" i="16"/>
  <c r="D3401" i="16"/>
  <c r="E3400" i="16"/>
  <c r="D3400" i="16"/>
  <c r="E3399" i="16"/>
  <c r="D3399" i="16"/>
  <c r="F3386" i="16"/>
  <c r="F3385" i="16"/>
  <c r="F3384" i="16"/>
  <c r="F3383" i="16"/>
  <c r="F3382" i="16"/>
  <c r="F3381" i="16"/>
  <c r="F3380" i="16"/>
  <c r="F3376" i="16"/>
  <c r="F3375" i="16"/>
  <c r="E3374" i="16"/>
  <c r="F3374" i="16" s="1"/>
  <c r="E3373" i="16"/>
  <c r="F3373" i="16" s="1"/>
  <c r="F3372" i="16"/>
  <c r="E3371" i="16"/>
  <c r="D3371" i="16"/>
  <c r="E3370" i="16"/>
  <c r="D3370" i="16"/>
  <c r="E3369" i="16"/>
  <c r="D3369" i="16"/>
  <c r="E3368" i="16"/>
  <c r="D3368" i="16"/>
  <c r="F3354" i="16"/>
  <c r="F3353" i="16"/>
  <c r="F3352" i="16"/>
  <c r="F3351" i="16"/>
  <c r="F3350" i="16"/>
  <c r="F3349" i="16"/>
  <c r="F3348" i="16"/>
  <c r="F3344" i="16"/>
  <c r="F3343" i="16"/>
  <c r="E3342" i="16"/>
  <c r="F3342" i="16" s="1"/>
  <c r="E3341" i="16"/>
  <c r="F3341" i="16" s="1"/>
  <c r="F3340" i="16"/>
  <c r="E3339" i="16"/>
  <c r="D3339" i="16"/>
  <c r="E3338" i="16"/>
  <c r="D3338" i="16"/>
  <c r="E3337" i="16"/>
  <c r="D3337" i="16"/>
  <c r="E3336" i="16"/>
  <c r="D3336" i="16"/>
  <c r="F3323" i="16"/>
  <c r="F3322" i="16"/>
  <c r="F3321" i="16"/>
  <c r="F3320" i="16"/>
  <c r="F3319" i="16"/>
  <c r="F3318" i="16"/>
  <c r="F3317" i="16"/>
  <c r="F3313" i="16"/>
  <c r="F3312" i="16"/>
  <c r="E3311" i="16"/>
  <c r="F3311" i="16" s="1"/>
  <c r="E3310" i="16"/>
  <c r="F3310" i="16" s="1"/>
  <c r="F3309" i="16"/>
  <c r="E3308" i="16"/>
  <c r="D3308" i="16"/>
  <c r="E3307" i="16"/>
  <c r="D3307" i="16"/>
  <c r="E3306" i="16"/>
  <c r="D3306" i="16"/>
  <c r="E3305" i="16"/>
  <c r="D3305" i="16"/>
  <c r="F3292" i="16"/>
  <c r="F3291" i="16"/>
  <c r="F3290" i="16"/>
  <c r="F3289" i="16"/>
  <c r="F3288" i="16"/>
  <c r="F3287" i="16"/>
  <c r="F3286" i="16"/>
  <c r="F3282" i="16"/>
  <c r="F3281" i="16"/>
  <c r="E3280" i="16"/>
  <c r="F3280" i="16" s="1"/>
  <c r="E3279" i="16"/>
  <c r="F3279" i="16" s="1"/>
  <c r="F3278" i="16"/>
  <c r="E3277" i="16"/>
  <c r="D3277" i="16"/>
  <c r="E3276" i="16"/>
  <c r="D3276" i="16"/>
  <c r="E3275" i="16"/>
  <c r="D3275" i="16"/>
  <c r="E3274" i="16"/>
  <c r="D3274" i="16"/>
  <c r="F3261" i="16"/>
  <c r="F3260" i="16"/>
  <c r="F3259" i="16"/>
  <c r="F3258" i="16"/>
  <c r="F3257" i="16"/>
  <c r="F3256" i="16"/>
  <c r="F3255" i="16"/>
  <c r="F3251" i="16"/>
  <c r="F3250" i="16"/>
  <c r="E3249" i="16"/>
  <c r="F3249" i="16" s="1"/>
  <c r="E3248" i="16"/>
  <c r="F3248" i="16" s="1"/>
  <c r="F3247" i="16"/>
  <c r="E3246" i="16"/>
  <c r="D3246" i="16"/>
  <c r="E3245" i="16"/>
  <c r="D3245" i="16"/>
  <c r="E3244" i="16"/>
  <c r="D3244" i="16"/>
  <c r="E3243" i="16"/>
  <c r="D3243" i="16"/>
  <c r="F3230" i="16"/>
  <c r="F3229" i="16"/>
  <c r="F3228" i="16"/>
  <c r="F3227" i="16"/>
  <c r="F3226" i="16"/>
  <c r="F3225" i="16"/>
  <c r="F3224" i="16"/>
  <c r="F3220" i="16"/>
  <c r="F3219" i="16"/>
  <c r="E3218" i="16"/>
  <c r="F3218" i="16" s="1"/>
  <c r="E3217" i="16"/>
  <c r="F3217" i="16" s="1"/>
  <c r="F3216" i="16"/>
  <c r="E3215" i="16"/>
  <c r="D3215" i="16"/>
  <c r="E3214" i="16"/>
  <c r="D3214" i="16"/>
  <c r="E3213" i="16"/>
  <c r="F3213" i="16" s="1"/>
  <c r="E3212" i="16"/>
  <c r="D3212" i="16"/>
  <c r="F3198" i="16"/>
  <c r="F3197" i="16"/>
  <c r="F3196" i="16"/>
  <c r="F3195" i="16"/>
  <c r="F3194" i="16"/>
  <c r="F3193" i="16"/>
  <c r="F3192" i="16"/>
  <c r="F3188" i="16"/>
  <c r="F3187" i="16"/>
  <c r="E3186" i="16"/>
  <c r="F3186" i="16" s="1"/>
  <c r="E3185" i="16"/>
  <c r="F3185" i="16" s="1"/>
  <c r="F3184" i="16"/>
  <c r="E3183" i="16"/>
  <c r="D3183" i="16"/>
  <c r="E3182" i="16"/>
  <c r="D3182" i="16"/>
  <c r="E3181" i="16"/>
  <c r="D3181" i="16"/>
  <c r="E3180" i="16"/>
  <c r="D3180" i="16"/>
  <c r="F3167" i="16"/>
  <c r="F3166" i="16"/>
  <c r="F3165" i="16"/>
  <c r="F3164" i="16"/>
  <c r="F3163" i="16"/>
  <c r="F3162" i="16"/>
  <c r="F3161" i="16"/>
  <c r="F3157" i="16"/>
  <c r="F3156" i="16"/>
  <c r="E3155" i="16"/>
  <c r="F3155" i="16" s="1"/>
  <c r="E3154" i="16"/>
  <c r="F3154" i="16" s="1"/>
  <c r="F3153" i="16"/>
  <c r="E3152" i="16"/>
  <c r="D3152" i="16"/>
  <c r="E3151" i="16"/>
  <c r="D3151" i="16"/>
  <c r="E3150" i="16"/>
  <c r="D3150" i="16"/>
  <c r="E3149" i="16"/>
  <c r="D3149" i="16"/>
  <c r="F3136" i="16"/>
  <c r="F3135" i="16"/>
  <c r="F3134" i="16"/>
  <c r="F3133" i="16"/>
  <c r="F3132" i="16"/>
  <c r="F3131" i="16"/>
  <c r="F3130" i="16"/>
  <c r="F3126" i="16"/>
  <c r="F3125" i="16"/>
  <c r="E3124" i="16"/>
  <c r="F3124" i="16" s="1"/>
  <c r="E3123" i="16"/>
  <c r="F3123" i="16" s="1"/>
  <c r="F3122" i="16"/>
  <c r="E3121" i="16"/>
  <c r="D3121" i="16"/>
  <c r="E3120" i="16"/>
  <c r="D3120" i="16"/>
  <c r="E3119" i="16"/>
  <c r="D3119" i="16"/>
  <c r="E3118" i="16"/>
  <c r="D3118" i="16"/>
  <c r="F3105" i="16"/>
  <c r="F3104" i="16"/>
  <c r="F3103" i="16"/>
  <c r="F3102" i="16"/>
  <c r="F3101" i="16"/>
  <c r="F3100" i="16"/>
  <c r="F3099" i="16"/>
  <c r="F3095" i="16"/>
  <c r="F3094" i="16"/>
  <c r="E3093" i="16"/>
  <c r="F3093" i="16" s="1"/>
  <c r="E3092" i="16"/>
  <c r="F3092" i="16" s="1"/>
  <c r="F3091" i="16"/>
  <c r="E3090" i="16"/>
  <c r="D3090" i="16"/>
  <c r="E3089" i="16"/>
  <c r="D3089" i="16"/>
  <c r="E3088" i="16"/>
  <c r="F3088" i="16" s="1"/>
  <c r="E3087" i="16"/>
  <c r="D3087" i="16"/>
  <c r="F3074" i="16"/>
  <c r="F3073" i="16"/>
  <c r="F3072" i="16"/>
  <c r="F3071" i="16"/>
  <c r="F3070" i="16"/>
  <c r="F3069" i="16"/>
  <c r="F3068" i="16"/>
  <c r="F3064" i="16"/>
  <c r="F3063" i="16"/>
  <c r="E3062" i="16"/>
  <c r="F3062" i="16" s="1"/>
  <c r="E3061" i="16"/>
  <c r="F3061" i="16" s="1"/>
  <c r="F3060" i="16"/>
  <c r="E3059" i="16"/>
  <c r="D3059" i="16"/>
  <c r="E3058" i="16"/>
  <c r="D3058" i="16"/>
  <c r="E3057" i="16"/>
  <c r="D3057" i="16"/>
  <c r="E3056" i="16"/>
  <c r="D3056" i="16"/>
  <c r="F3043" i="16"/>
  <c r="F3042" i="16"/>
  <c r="F3041" i="16"/>
  <c r="F3040" i="16"/>
  <c r="F3039" i="16"/>
  <c r="F3038" i="16"/>
  <c r="F3037" i="16"/>
  <c r="F3033" i="16"/>
  <c r="F3032" i="16"/>
  <c r="E3031" i="16"/>
  <c r="F3031" i="16" s="1"/>
  <c r="E3030" i="16"/>
  <c r="F3030" i="16" s="1"/>
  <c r="F3029" i="16"/>
  <c r="E3028" i="16"/>
  <c r="D3028" i="16"/>
  <c r="E3027" i="16"/>
  <c r="D3027" i="16"/>
  <c r="E3026" i="16"/>
  <c r="F3026" i="16" s="1"/>
  <c r="E3025" i="16"/>
  <c r="D3025" i="16"/>
  <c r="F3012" i="16"/>
  <c r="F3011" i="16"/>
  <c r="F3010" i="16"/>
  <c r="F3009" i="16"/>
  <c r="F3008" i="16"/>
  <c r="F3007" i="16"/>
  <c r="F3006" i="16"/>
  <c r="F3002" i="16"/>
  <c r="F3001" i="16"/>
  <c r="E3000" i="16"/>
  <c r="F3000" i="16" s="1"/>
  <c r="E2999" i="16"/>
  <c r="F2999" i="16" s="1"/>
  <c r="F2998" i="16"/>
  <c r="E2997" i="16"/>
  <c r="D2997" i="16"/>
  <c r="E2996" i="16"/>
  <c r="D2996" i="16"/>
  <c r="E2995" i="16"/>
  <c r="F2995" i="16" s="1"/>
  <c r="E2994" i="16"/>
  <c r="D2994" i="16"/>
  <c r="F2981" i="16"/>
  <c r="F2980" i="16"/>
  <c r="F2979" i="16"/>
  <c r="F2978" i="16"/>
  <c r="F2977" i="16"/>
  <c r="F2976" i="16"/>
  <c r="F2975" i="16"/>
  <c r="F2971" i="16"/>
  <c r="F2970" i="16"/>
  <c r="E2969" i="16"/>
  <c r="F2969" i="16" s="1"/>
  <c r="E2968" i="16"/>
  <c r="F2968" i="16" s="1"/>
  <c r="F2967" i="16"/>
  <c r="E2966" i="16"/>
  <c r="D2966" i="16"/>
  <c r="E2965" i="16"/>
  <c r="D2965" i="16"/>
  <c r="E2964" i="16"/>
  <c r="D2964" i="16"/>
  <c r="E2963" i="16"/>
  <c r="D2963" i="16"/>
  <c r="F2886" i="16"/>
  <c r="F2885" i="16"/>
  <c r="F2884" i="16"/>
  <c r="F2883" i="16"/>
  <c r="F2882" i="16"/>
  <c r="F2881" i="16"/>
  <c r="F2880" i="16"/>
  <c r="F2876" i="16"/>
  <c r="F2875" i="16"/>
  <c r="E2874" i="16"/>
  <c r="F2874" i="16" s="1"/>
  <c r="E2873" i="16"/>
  <c r="F2873" i="16" s="1"/>
  <c r="F2872" i="16"/>
  <c r="E2871" i="16"/>
  <c r="D2871" i="16"/>
  <c r="E2870" i="16"/>
  <c r="D2870" i="16"/>
  <c r="E2869" i="16"/>
  <c r="D2869" i="16"/>
  <c r="E2868" i="16"/>
  <c r="D2868" i="16"/>
  <c r="F2855" i="16"/>
  <c r="F2854" i="16"/>
  <c r="F2853" i="16"/>
  <c r="F2852" i="16"/>
  <c r="F2851" i="16"/>
  <c r="F2850" i="16"/>
  <c r="F2849" i="16"/>
  <c r="F2845" i="16"/>
  <c r="F2844" i="16"/>
  <c r="E2843" i="16"/>
  <c r="F2843" i="16" s="1"/>
  <c r="E2842" i="16"/>
  <c r="F2842" i="16" s="1"/>
  <c r="F2841" i="16"/>
  <c r="E2840" i="16"/>
  <c r="D2840" i="16"/>
  <c r="E2839" i="16"/>
  <c r="D2839" i="16"/>
  <c r="E2838" i="16"/>
  <c r="F2838" i="16" s="1"/>
  <c r="E2837" i="16"/>
  <c r="D2837" i="16"/>
  <c r="F2824" i="16"/>
  <c r="F2823" i="16"/>
  <c r="F2822" i="16"/>
  <c r="F2821" i="16"/>
  <c r="F2820" i="16"/>
  <c r="F2819" i="16"/>
  <c r="F2818" i="16"/>
  <c r="F2814" i="16"/>
  <c r="F2813" i="16"/>
  <c r="E2812" i="16"/>
  <c r="F2812" i="16" s="1"/>
  <c r="E2811" i="16"/>
  <c r="D2811" i="16"/>
  <c r="F2810" i="16"/>
  <c r="E2809" i="16"/>
  <c r="D2809" i="16"/>
  <c r="E2808" i="16"/>
  <c r="D2808" i="16"/>
  <c r="E2807" i="16"/>
  <c r="F2807" i="16" s="1"/>
  <c r="E2806" i="16"/>
  <c r="D2806" i="16"/>
  <c r="F2793" i="16"/>
  <c r="F2792" i="16"/>
  <c r="F2791" i="16"/>
  <c r="F2790" i="16"/>
  <c r="F2789" i="16"/>
  <c r="F2788" i="16"/>
  <c r="F2787" i="16"/>
  <c r="F2783" i="16"/>
  <c r="F2782" i="16"/>
  <c r="E2781" i="16"/>
  <c r="F2781" i="16" s="1"/>
  <c r="E2780" i="16"/>
  <c r="F2780" i="16" s="1"/>
  <c r="F2779" i="16"/>
  <c r="E2778" i="16"/>
  <c r="D2778" i="16"/>
  <c r="E2777" i="16"/>
  <c r="D2777" i="16"/>
  <c r="E2776" i="16"/>
  <c r="F2776" i="16" s="1"/>
  <c r="E2775" i="16"/>
  <c r="D2775" i="16"/>
  <c r="F2762" i="16"/>
  <c r="F2761" i="16"/>
  <c r="F2760" i="16"/>
  <c r="F2759" i="16"/>
  <c r="F2758" i="16"/>
  <c r="F2757" i="16"/>
  <c r="F2756" i="16"/>
  <c r="F2752" i="16"/>
  <c r="F2751" i="16"/>
  <c r="E2750" i="16"/>
  <c r="F2750" i="16" s="1"/>
  <c r="E2749" i="16"/>
  <c r="F2749" i="16" s="1"/>
  <c r="F2748" i="16"/>
  <c r="E2747" i="16"/>
  <c r="D2747" i="16"/>
  <c r="E2746" i="16"/>
  <c r="D2746" i="16"/>
  <c r="E2745" i="16"/>
  <c r="F2745" i="16" s="1"/>
  <c r="E2744" i="16"/>
  <c r="D2744" i="16"/>
  <c r="F2731" i="16"/>
  <c r="F2730" i="16"/>
  <c r="F2729" i="16"/>
  <c r="F2728" i="16"/>
  <c r="F2727" i="16"/>
  <c r="F2726" i="16"/>
  <c r="F2725" i="16"/>
  <c r="F2721" i="16"/>
  <c r="F2720" i="16"/>
  <c r="E2719" i="16"/>
  <c r="F2719" i="16" s="1"/>
  <c r="E2718" i="16"/>
  <c r="F2718" i="16" s="1"/>
  <c r="F2717" i="16"/>
  <c r="E2716" i="16"/>
  <c r="D2716" i="16"/>
  <c r="E2715" i="16"/>
  <c r="D2715" i="16"/>
  <c r="E2714" i="16"/>
  <c r="F2714" i="16" s="1"/>
  <c r="E2713" i="16"/>
  <c r="D2713" i="16"/>
  <c r="F2700" i="16"/>
  <c r="F2699" i="16"/>
  <c r="F2695" i="16"/>
  <c r="F2683" i="16"/>
  <c r="F2682" i="16"/>
  <c r="F2679" i="16"/>
  <c r="F2678" i="16"/>
  <c r="F2677" i="16"/>
  <c r="F2665" i="16"/>
  <c r="F2664" i="16"/>
  <c r="F2660" i="16"/>
  <c r="F2661" i="16" s="1"/>
  <c r="F2662" i="16" s="1"/>
  <c r="F2647" i="16"/>
  <c r="F2646" i="16"/>
  <c r="F2642" i="16"/>
  <c r="F2629" i="16"/>
  <c r="F2628" i="16"/>
  <c r="E2625" i="16"/>
  <c r="F2625" i="16" s="1"/>
  <c r="F2626" i="16" s="1"/>
  <c r="F2612" i="16"/>
  <c r="F2611" i="16"/>
  <c r="F2610" i="16"/>
  <c r="F2607" i="16"/>
  <c r="F2606" i="16"/>
  <c r="F2605" i="16"/>
  <c r="F2603" i="16"/>
  <c r="F2602" i="16"/>
  <c r="F2601" i="16"/>
  <c r="F2599" i="16"/>
  <c r="F2598" i="16"/>
  <c r="F2597" i="16"/>
  <c r="F2595" i="16"/>
  <c r="F2594" i="16"/>
  <c r="F2593" i="16"/>
  <c r="F2592" i="16"/>
  <c r="F2590" i="16"/>
  <c r="F2589" i="16"/>
  <c r="F2588" i="16"/>
  <c r="F2587" i="16"/>
  <c r="F2573" i="16"/>
  <c r="F2572" i="16"/>
  <c r="F2571" i="16"/>
  <c r="F2570" i="16"/>
  <c r="F2567" i="16"/>
  <c r="F2566" i="16"/>
  <c r="F2565" i="16"/>
  <c r="F2563" i="16"/>
  <c r="F2561" i="16"/>
  <c r="F2559" i="16"/>
  <c r="F2558" i="16"/>
  <c r="F2557" i="16"/>
  <c r="F2555" i="16"/>
  <c r="F2554" i="16"/>
  <c r="F2553" i="16"/>
  <c r="F2552" i="16"/>
  <c r="F2550" i="16"/>
  <c r="F2549" i="16"/>
  <c r="F2548" i="16"/>
  <c r="F2547" i="16"/>
  <c r="F2533" i="16"/>
  <c r="F2532" i="16"/>
  <c r="F2531" i="16"/>
  <c r="F2528" i="16"/>
  <c r="F2527" i="16"/>
  <c r="F2526" i="16"/>
  <c r="F2524" i="16"/>
  <c r="F2522" i="16"/>
  <c r="F2520" i="16"/>
  <c r="F2519" i="16"/>
  <c r="F2518" i="16"/>
  <c r="F2516" i="16"/>
  <c r="F2515" i="16"/>
  <c r="F2514" i="16"/>
  <c r="F2513" i="16"/>
  <c r="F2511" i="16"/>
  <c r="F2510" i="16"/>
  <c r="F2509" i="16"/>
  <c r="F2508" i="16"/>
  <c r="F2494" i="16"/>
  <c r="F2493" i="16"/>
  <c r="F2492" i="16"/>
  <c r="F2489" i="16"/>
  <c r="F2488" i="16"/>
  <c r="F2487" i="16"/>
  <c r="F2485" i="16"/>
  <c r="F2484" i="16"/>
  <c r="F2483" i="16"/>
  <c r="F2481" i="16"/>
  <c r="F2480" i="16"/>
  <c r="F2479" i="16"/>
  <c r="F2477" i="16"/>
  <c r="F2476" i="16"/>
  <c r="F2475" i="16"/>
  <c r="F2474" i="16"/>
  <c r="F2472" i="16"/>
  <c r="F2471" i="16"/>
  <c r="F2470" i="16"/>
  <c r="F2469" i="16"/>
  <c r="F2455" i="16"/>
  <c r="F2454" i="16"/>
  <c r="F2453" i="16"/>
  <c r="F2450" i="16"/>
  <c r="F2449" i="16"/>
  <c r="F2448" i="16"/>
  <c r="F2446" i="16"/>
  <c r="F2444" i="16"/>
  <c r="F2442" i="16"/>
  <c r="F2440" i="16"/>
  <c r="F2438" i="16"/>
  <c r="F2437" i="16"/>
  <c r="F2436" i="16"/>
  <c r="F2435" i="16"/>
  <c r="F2433" i="16"/>
  <c r="F2432" i="16"/>
  <c r="F2431" i="16"/>
  <c r="F2430" i="16"/>
  <c r="F2416" i="16"/>
  <c r="F2417" i="16" s="1"/>
  <c r="F2412" i="16"/>
  <c r="F2413" i="16" s="1"/>
  <c r="F2414" i="16" s="1"/>
  <c r="F2399" i="16"/>
  <c r="F2400" i="16" s="1"/>
  <c r="F2395" i="16"/>
  <c r="F2382" i="16"/>
  <c r="F2381" i="16"/>
  <c r="F2378" i="16"/>
  <c r="F2379" i="16" s="1"/>
  <c r="F2365" i="16"/>
  <c r="F2364" i="16"/>
  <c r="F2361" i="16"/>
  <c r="F2360" i="16"/>
  <c r="F2347" i="16"/>
  <c r="F2346" i="16"/>
  <c r="E2342" i="16"/>
  <c r="F2342" i="16" s="1"/>
  <c r="F2329" i="16"/>
  <c r="F2328" i="16"/>
  <c r="F2327" i="16"/>
  <c r="F2324" i="16"/>
  <c r="F2323" i="16"/>
  <c r="F2310" i="16"/>
  <c r="F2309" i="16"/>
  <c r="F2308" i="16"/>
  <c r="F2305" i="16"/>
  <c r="E2304" i="16"/>
  <c r="F2304" i="16" s="1"/>
  <c r="F2291" i="16"/>
  <c r="F2290" i="16"/>
  <c r="F2287" i="16"/>
  <c r="F2288" i="16" s="1"/>
  <c r="F2275" i="16"/>
  <c r="F2274" i="16"/>
  <c r="F2271" i="16"/>
  <c r="F2272" i="16" s="1"/>
  <c r="F2258" i="16"/>
  <c r="F2257" i="16"/>
  <c r="F2254" i="16"/>
  <c r="F2255" i="16" s="1"/>
  <c r="F2241" i="16"/>
  <c r="F2240" i="16"/>
  <c r="F2237" i="16"/>
  <c r="F2238" i="16" s="1"/>
  <c r="F2224" i="16"/>
  <c r="F2223" i="16"/>
  <c r="E2219" i="16"/>
  <c r="F2219" i="16" s="1"/>
  <c r="F2220" i="16" s="1"/>
  <c r="F2206" i="16"/>
  <c r="F2205" i="16"/>
  <c r="E2201" i="16"/>
  <c r="F2201" i="16" s="1"/>
  <c r="F2202" i="16" s="1"/>
  <c r="F2188" i="16"/>
  <c r="F2187" i="16"/>
  <c r="F2183" i="16"/>
  <c r="F2184" i="16" s="1"/>
  <c r="F2170" i="16"/>
  <c r="F2169" i="16"/>
  <c r="F2165" i="16"/>
  <c r="F2152" i="16"/>
  <c r="F2151" i="16"/>
  <c r="F2147" i="16"/>
  <c r="F2134" i="16"/>
  <c r="F2133" i="16"/>
  <c r="F2129" i="16"/>
  <c r="F2130" i="16" s="1"/>
  <c r="F2131" i="16" s="1"/>
  <c r="F2116" i="16"/>
  <c r="F2115" i="16"/>
  <c r="F2111" i="16"/>
  <c r="F2112" i="16" s="1"/>
  <c r="F2098" i="16"/>
  <c r="F2097" i="16"/>
  <c r="F2093" i="16"/>
  <c r="F2080" i="16"/>
  <c r="F2079" i="16"/>
  <c r="F2075" i="16"/>
  <c r="F2076" i="16" s="1"/>
  <c r="F2077" i="16" s="1"/>
  <c r="F2062" i="16"/>
  <c r="F2061" i="16"/>
  <c r="F2057" i="16"/>
  <c r="F2058" i="16" s="1"/>
  <c r="F2059" i="16" s="1"/>
  <c r="F2044" i="16"/>
  <c r="F2043" i="16"/>
  <c r="F2039" i="16"/>
  <c r="F2026" i="16"/>
  <c r="F2025" i="16"/>
  <c r="F2021" i="16"/>
  <c r="F2008" i="16"/>
  <c r="F2007" i="16"/>
  <c r="F2003" i="16"/>
  <c r="F1990" i="16"/>
  <c r="F1989" i="16"/>
  <c r="F1985" i="16"/>
  <c r="F1986" i="16" s="1"/>
  <c r="F1987" i="16" s="1"/>
  <c r="F1972" i="16"/>
  <c r="F1971" i="16"/>
  <c r="F1967" i="16"/>
  <c r="F1968" i="16" s="1"/>
  <c r="F1954" i="16"/>
  <c r="F1953" i="16"/>
  <c r="F1949" i="16"/>
  <c r="F1936" i="16"/>
  <c r="F1935" i="16"/>
  <c r="F1931" i="16"/>
  <c r="F1932" i="16" s="1"/>
  <c r="F1933" i="16" s="1"/>
  <c r="F1918" i="16"/>
  <c r="F1917" i="16"/>
  <c r="F1913" i="16"/>
  <c r="F1914" i="16" s="1"/>
  <c r="F1900" i="16"/>
  <c r="F1899" i="16"/>
  <c r="F1895" i="16"/>
  <c r="F1896" i="16" s="1"/>
  <c r="F1882" i="16"/>
  <c r="F1881" i="16"/>
  <c r="F1877" i="16"/>
  <c r="F1864" i="16"/>
  <c r="F1863" i="16"/>
  <c r="F1859" i="16"/>
  <c r="F1846" i="16"/>
  <c r="F1845" i="16"/>
  <c r="F1841" i="16"/>
  <c r="F1842" i="16" s="1"/>
  <c r="F1843" i="16" s="1"/>
  <c r="F1828" i="16"/>
  <c r="F1827" i="16"/>
  <c r="F1823" i="16"/>
  <c r="F1824" i="16" s="1"/>
  <c r="F1810" i="16"/>
  <c r="F1809" i="16"/>
  <c r="F1805" i="16"/>
  <c r="F1792" i="16"/>
  <c r="F1791" i="16"/>
  <c r="F1787" i="16"/>
  <c r="F1788" i="16" s="1"/>
  <c r="F1789" i="16" s="1"/>
  <c r="F1774" i="16"/>
  <c r="F1773" i="16"/>
  <c r="F1769" i="16"/>
  <c r="F1770" i="16" s="1"/>
  <c r="F1771" i="16" s="1"/>
  <c r="F1756" i="16"/>
  <c r="F1755" i="16"/>
  <c r="F1751" i="16"/>
  <c r="F1738" i="16"/>
  <c r="F1737" i="16"/>
  <c r="F1733" i="16"/>
  <c r="F1720" i="16"/>
  <c r="F1719" i="16"/>
  <c r="F1715" i="16"/>
  <c r="F1716" i="16" s="1"/>
  <c r="F1702" i="16"/>
  <c r="F1701" i="16"/>
  <c r="F1700" i="16"/>
  <c r="F1697" i="16"/>
  <c r="F1696" i="16"/>
  <c r="F1695" i="16"/>
  <c r="F1694" i="16"/>
  <c r="F1682" i="16"/>
  <c r="F1681" i="16"/>
  <c r="F1680" i="16"/>
  <c r="F1677" i="16"/>
  <c r="F1676" i="16"/>
  <c r="F1675" i="16"/>
  <c r="F1674" i="16"/>
  <c r="F1661" i="16"/>
  <c r="F1660" i="16"/>
  <c r="F1659" i="16"/>
  <c r="F1656" i="16"/>
  <c r="F1655" i="16"/>
  <c r="F1654" i="16"/>
  <c r="F1641" i="16"/>
  <c r="F1640" i="16"/>
  <c r="F1639" i="16"/>
  <c r="F1636" i="16"/>
  <c r="F1635" i="16"/>
  <c r="F1634" i="16"/>
  <c r="F1633" i="16"/>
  <c r="F1619" i="16"/>
  <c r="F1618" i="16"/>
  <c r="F1617" i="16"/>
  <c r="F1614" i="16"/>
  <c r="F1613" i="16"/>
  <c r="F1612" i="16"/>
  <c r="F1611" i="16"/>
  <c r="F1598" i="16"/>
  <c r="F1597" i="16"/>
  <c r="F1596" i="16"/>
  <c r="F1593" i="16"/>
  <c r="F1592" i="16"/>
  <c r="F1591" i="16"/>
  <c r="F1578" i="16"/>
  <c r="F1577" i="16"/>
  <c r="F1576" i="16"/>
  <c r="F1573" i="16"/>
  <c r="E1572" i="16"/>
  <c r="F1572" i="16" s="1"/>
  <c r="F1571" i="16"/>
  <c r="F1570" i="16"/>
  <c r="F1557" i="16"/>
  <c r="F1556" i="16"/>
  <c r="F1555" i="16"/>
  <c r="F1552" i="16"/>
  <c r="E1551" i="16"/>
  <c r="F1551" i="16" s="1"/>
  <c r="F1550" i="16"/>
  <c r="F1549" i="16"/>
  <c r="F1535" i="16"/>
  <c r="F1536" i="16" s="1"/>
  <c r="F1532" i="16"/>
  <c r="F1533" i="16" s="1"/>
  <c r="F1519" i="16"/>
  <c r="F1520" i="16" s="1"/>
  <c r="F1516" i="16"/>
  <c r="F1517" i="16" s="1"/>
  <c r="F1503" i="16"/>
  <c r="F1502" i="16"/>
  <c r="F1501" i="16"/>
  <c r="F1498" i="16"/>
  <c r="F1497" i="16"/>
  <c r="F1496" i="16"/>
  <c r="F1495" i="16"/>
  <c r="F1483" i="16"/>
  <c r="F1482" i="16"/>
  <c r="F1481" i="16"/>
  <c r="F1478" i="16"/>
  <c r="F1477" i="16"/>
  <c r="F1476" i="16"/>
  <c r="F1464" i="16"/>
  <c r="F1463" i="16"/>
  <c r="F1462" i="16"/>
  <c r="F1459" i="16"/>
  <c r="F1458" i="16"/>
  <c r="F1457" i="16"/>
  <c r="F1443" i="16"/>
  <c r="F1442" i="16"/>
  <c r="F1439" i="16"/>
  <c r="F1438" i="16"/>
  <c r="F1437" i="16"/>
  <c r="F1424" i="16"/>
  <c r="F1423" i="16"/>
  <c r="F1422" i="16"/>
  <c r="F1419" i="16"/>
  <c r="F1418" i="16"/>
  <c r="F1417" i="16"/>
  <c r="F1416" i="16"/>
  <c r="F1402" i="16"/>
  <c r="F1401" i="16"/>
  <c r="F1400" i="16"/>
  <c r="F1397" i="16"/>
  <c r="F1396" i="16"/>
  <c r="F1395" i="16"/>
  <c r="F1394" i="16"/>
  <c r="F1382" i="16"/>
  <c r="F1381" i="16"/>
  <c r="F1380" i="16"/>
  <c r="F1377" i="16"/>
  <c r="F1376" i="16"/>
  <c r="F1375" i="16"/>
  <c r="F1374" i="16"/>
  <c r="F1361" i="16"/>
  <c r="F1360" i="16"/>
  <c r="F1359" i="16"/>
  <c r="F1356" i="16"/>
  <c r="F1355" i="16"/>
  <c r="F1354" i="16"/>
  <c r="F1353" i="16"/>
  <c r="F1340" i="16"/>
  <c r="F1339" i="16"/>
  <c r="F1338" i="16"/>
  <c r="F1335" i="16"/>
  <c r="F1334" i="16"/>
  <c r="F1333" i="16"/>
  <c r="F1332" i="16"/>
  <c r="F1319" i="16"/>
  <c r="F1318" i="16"/>
  <c r="F1317" i="16"/>
  <c r="F1314" i="16"/>
  <c r="F1313" i="16"/>
  <c r="F1312" i="16"/>
  <c r="F1311" i="16"/>
  <c r="F1298" i="16"/>
  <c r="F1297" i="16"/>
  <c r="F1296" i="16"/>
  <c r="F1293" i="16"/>
  <c r="F1292" i="16"/>
  <c r="F1291" i="16"/>
  <c r="F1290" i="16"/>
  <c r="F1277" i="16"/>
  <c r="F1278" i="16" s="1"/>
  <c r="F1274" i="16"/>
  <c r="F1275" i="16" s="1"/>
  <c r="F1262" i="16"/>
  <c r="F1263" i="16" s="1"/>
  <c r="F1259" i="16"/>
  <c r="F1260" i="16" s="1"/>
  <c r="F1247" i="16"/>
  <c r="F1246" i="16"/>
  <c r="F1243" i="16"/>
  <c r="F1244" i="16" s="1"/>
  <c r="F1231" i="16"/>
  <c r="F1232" i="16" s="1"/>
  <c r="F1228" i="16"/>
  <c r="F1229" i="16" s="1"/>
  <c r="F1187" i="16"/>
  <c r="F1186" i="16"/>
  <c r="F1185" i="16"/>
  <c r="F1184" i="16"/>
  <c r="F1183" i="16"/>
  <c r="F1180" i="16"/>
  <c r="F1179" i="16"/>
  <c r="F1178" i="16"/>
  <c r="F1177" i="16"/>
  <c r="F1176" i="16"/>
  <c r="F1175" i="16"/>
  <c r="F1174" i="16"/>
  <c r="F1173" i="16"/>
  <c r="F1172" i="16"/>
  <c r="F1158" i="16"/>
  <c r="F1157" i="16"/>
  <c r="F1156" i="16"/>
  <c r="F1155" i="16"/>
  <c r="F1154" i="16"/>
  <c r="F1151" i="16"/>
  <c r="F1150" i="16"/>
  <c r="F1149" i="16"/>
  <c r="F1148" i="16"/>
  <c r="F1147" i="16"/>
  <c r="F1146" i="16"/>
  <c r="F1145" i="16"/>
  <c r="F1144" i="16"/>
  <c r="F1143" i="16"/>
  <c r="F1142" i="16"/>
  <c r="F1128" i="16"/>
  <c r="F1127" i="16"/>
  <c r="F1126" i="16"/>
  <c r="F1125" i="16"/>
  <c r="F1124" i="16"/>
  <c r="F1121" i="16"/>
  <c r="F1120" i="16"/>
  <c r="F1119" i="16"/>
  <c r="F1118" i="16"/>
  <c r="F1117" i="16"/>
  <c r="F1116" i="16"/>
  <c r="F1115" i="16"/>
  <c r="F1114" i="16"/>
  <c r="F1113" i="16"/>
  <c r="F1112" i="16"/>
  <c r="F1098" i="16"/>
  <c r="F1097" i="16"/>
  <c r="F1096" i="16"/>
  <c r="F1095" i="16"/>
  <c r="F1094" i="16"/>
  <c r="F1091" i="16"/>
  <c r="F1090" i="16"/>
  <c r="F1089" i="16"/>
  <c r="F1088" i="16"/>
  <c r="F1087" i="16"/>
  <c r="F1086" i="16"/>
  <c r="F1085" i="16"/>
  <c r="F1084" i="16"/>
  <c r="F1083" i="16"/>
  <c r="F1082" i="16"/>
  <c r="F1068" i="16"/>
  <c r="F1067" i="16"/>
  <c r="F1066" i="16"/>
  <c r="F1065" i="16"/>
  <c r="F1064" i="16"/>
  <c r="F1061" i="16"/>
  <c r="F1060" i="16"/>
  <c r="F1059" i="16"/>
  <c r="F1058" i="16"/>
  <c r="F1057" i="16"/>
  <c r="F1056" i="16"/>
  <c r="F1055" i="16"/>
  <c r="F1054" i="16"/>
  <c r="F1053" i="16"/>
  <c r="F1052" i="16"/>
  <c r="F1051" i="16"/>
  <c r="F1037" i="16"/>
  <c r="F1036" i="16"/>
  <c r="F1033" i="16"/>
  <c r="F1034" i="16" s="1"/>
  <c r="F1019" i="16"/>
  <c r="F1018" i="16"/>
  <c r="F1015" i="16"/>
  <c r="F1016" i="16" s="1"/>
  <c r="F1001" i="16"/>
  <c r="F1000" i="16"/>
  <c r="F999" i="16"/>
  <c r="F998" i="16"/>
  <c r="F997" i="16"/>
  <c r="F994" i="16"/>
  <c r="F993" i="16"/>
  <c r="F992" i="16"/>
  <c r="F991" i="16"/>
  <c r="F990" i="16"/>
  <c r="F989" i="16"/>
  <c r="F988" i="16"/>
  <c r="F987" i="16"/>
  <c r="F986" i="16"/>
  <c r="F985" i="16"/>
  <c r="F971" i="16"/>
  <c r="F970" i="16"/>
  <c r="F969" i="16"/>
  <c r="F968" i="16"/>
  <c r="F967" i="16"/>
  <c r="F964" i="16"/>
  <c r="F963" i="16"/>
  <c r="F962" i="16"/>
  <c r="F961" i="16"/>
  <c r="F960" i="16"/>
  <c r="F959" i="16"/>
  <c r="F958" i="16"/>
  <c r="F957" i="16"/>
  <c r="F956" i="16"/>
  <c r="F955" i="16"/>
  <c r="F941" i="16"/>
  <c r="F940" i="16"/>
  <c r="F939" i="16"/>
  <c r="F938" i="16"/>
  <c r="F937" i="16"/>
  <c r="F934" i="16"/>
  <c r="F933" i="16"/>
  <c r="F932" i="16"/>
  <c r="F931" i="16"/>
  <c r="F930" i="16"/>
  <c r="F929" i="16"/>
  <c r="F928" i="16"/>
  <c r="F927" i="16"/>
  <c r="F926" i="16"/>
  <c r="F925" i="16"/>
  <c r="F924" i="16"/>
  <c r="F910" i="16"/>
  <c r="F909" i="16"/>
  <c r="F908" i="16"/>
  <c r="F907" i="16"/>
  <c r="F906" i="16"/>
  <c r="F903" i="16"/>
  <c r="F902" i="16"/>
  <c r="F901" i="16"/>
  <c r="F900" i="16"/>
  <c r="F899" i="16"/>
  <c r="F898" i="16"/>
  <c r="F897" i="16"/>
  <c r="F896" i="16"/>
  <c r="F895" i="16"/>
  <c r="F894" i="16"/>
  <c r="F880" i="16"/>
  <c r="F879" i="16"/>
  <c r="F878" i="16"/>
  <c r="F877" i="16"/>
  <c r="F876" i="16"/>
  <c r="F873" i="16"/>
  <c r="F872" i="16"/>
  <c r="F871" i="16"/>
  <c r="F870" i="16"/>
  <c r="F869" i="16"/>
  <c r="F868" i="16"/>
  <c r="F867" i="16"/>
  <c r="F866" i="16"/>
  <c r="F865" i="16"/>
  <c r="F864" i="16"/>
  <c r="F850" i="16"/>
  <c r="F849" i="16"/>
  <c r="F848" i="16"/>
  <c r="F847" i="16"/>
  <c r="F846" i="16"/>
  <c r="F843" i="16"/>
  <c r="F842" i="16"/>
  <c r="F841" i="16"/>
  <c r="F840" i="16"/>
  <c r="F839" i="16"/>
  <c r="F838" i="16"/>
  <c r="F837" i="16"/>
  <c r="F836" i="16"/>
  <c r="F835" i="16"/>
  <c r="F834" i="16"/>
  <c r="F820" i="16"/>
  <c r="F819" i="16"/>
  <c r="F818" i="16"/>
  <c r="F817" i="16"/>
  <c r="F816" i="16"/>
  <c r="F813" i="16"/>
  <c r="F812" i="16"/>
  <c r="F811" i="16"/>
  <c r="F810" i="16"/>
  <c r="F809" i="16"/>
  <c r="F808" i="16"/>
  <c r="F807" i="16"/>
  <c r="F806" i="16"/>
  <c r="F805" i="16"/>
  <c r="F804" i="16"/>
  <c r="F790" i="16"/>
  <c r="F789" i="16"/>
  <c r="F788" i="16"/>
  <c r="F787" i="16"/>
  <c r="F784" i="16"/>
  <c r="F783" i="16"/>
  <c r="F782" i="16"/>
  <c r="F781" i="16"/>
  <c r="F780" i="16"/>
  <c r="F779" i="16"/>
  <c r="F765" i="16"/>
  <c r="F764" i="16"/>
  <c r="F763" i="16"/>
  <c r="F762" i="16"/>
  <c r="F761" i="16"/>
  <c r="F758" i="16"/>
  <c r="F757" i="16"/>
  <c r="F756" i="16"/>
  <c r="F755" i="16"/>
  <c r="F754" i="16"/>
  <c r="F753" i="16"/>
  <c r="F752" i="16"/>
  <c r="F751" i="16"/>
  <c r="F750" i="16"/>
  <c r="F749" i="16"/>
  <c r="F735" i="16"/>
  <c r="F734" i="16"/>
  <c r="F733" i="16"/>
  <c r="F732" i="16"/>
  <c r="F731" i="16"/>
  <c r="F728" i="16"/>
  <c r="F727" i="16"/>
  <c r="F726" i="16"/>
  <c r="F725" i="16"/>
  <c r="F724" i="16"/>
  <c r="F723" i="16"/>
  <c r="F722" i="16"/>
  <c r="F721" i="16"/>
  <c r="F720" i="16"/>
  <c r="F706" i="16"/>
  <c r="F705" i="16"/>
  <c r="F704" i="16"/>
  <c r="F703" i="16"/>
  <c r="F702" i="16"/>
  <c r="F699" i="16"/>
  <c r="F698" i="16"/>
  <c r="F697" i="16"/>
  <c r="F696" i="16"/>
  <c r="F695" i="16"/>
  <c r="F694" i="16"/>
  <c r="F693" i="16"/>
  <c r="F692" i="16"/>
  <c r="F678" i="16"/>
  <c r="F677" i="16"/>
  <c r="F676" i="16"/>
  <c r="F673" i="16"/>
  <c r="F672" i="16"/>
  <c r="F671" i="16"/>
  <c r="F670" i="16"/>
  <c r="F656" i="16"/>
  <c r="F655" i="16"/>
  <c r="E7394" i="16" s="1"/>
  <c r="F7394" i="16" s="1"/>
  <c r="F654" i="16"/>
  <c r="F653" i="16"/>
  <c r="F650" i="16"/>
  <c r="F649" i="16"/>
  <c r="F648" i="16"/>
  <c r="F647" i="16"/>
  <c r="F646" i="16"/>
  <c r="F632" i="16"/>
  <c r="F631" i="16"/>
  <c r="F630" i="16"/>
  <c r="F627" i="16"/>
  <c r="F626" i="16"/>
  <c r="F625" i="16"/>
  <c r="F624" i="16"/>
  <c r="F623" i="16"/>
  <c r="F608" i="16"/>
  <c r="F607" i="16"/>
  <c r="F606" i="16"/>
  <c r="F603" i="16"/>
  <c r="F602" i="16"/>
  <c r="F601" i="16"/>
  <c r="F600" i="16"/>
  <c r="F585" i="16"/>
  <c r="F586" i="16" s="1"/>
  <c r="F582" i="16"/>
  <c r="F583" i="16" s="1"/>
  <c r="F570" i="16"/>
  <c r="F571" i="16" s="1"/>
  <c r="F567" i="16"/>
  <c r="F568" i="16" s="1"/>
  <c r="F555" i="16"/>
  <c r="F556" i="16" s="1"/>
  <c r="F552" i="16"/>
  <c r="F553" i="16" s="1"/>
  <c r="F540" i="16"/>
  <c r="F541" i="16" s="1"/>
  <c r="F537" i="16"/>
  <c r="F538" i="16" s="1"/>
  <c r="F525" i="16"/>
  <c r="F526" i="16" s="1"/>
  <c r="F522" i="16"/>
  <c r="F523" i="16" s="1"/>
  <c r="F510" i="16"/>
  <c r="F511" i="16" s="1"/>
  <c r="F507" i="16"/>
  <c r="F508" i="16" s="1"/>
  <c r="F495" i="16"/>
  <c r="F496" i="16" s="1"/>
  <c r="F492" i="16"/>
  <c r="F493" i="16" s="1"/>
  <c r="F480" i="16"/>
  <c r="F481" i="16" s="1"/>
  <c r="F477" i="16"/>
  <c r="F478" i="16" s="1"/>
  <c r="F466" i="16"/>
  <c r="F467" i="16" s="1"/>
  <c r="F463" i="16"/>
  <c r="F464" i="16" s="1"/>
  <c r="F452" i="16"/>
  <c r="F453" i="16" s="1"/>
  <c r="F449" i="16"/>
  <c r="F450" i="16" s="1"/>
  <c r="F438" i="16"/>
  <c r="F439" i="16" s="1"/>
  <c r="F435" i="16"/>
  <c r="F436" i="16" s="1"/>
  <c r="F424" i="16"/>
  <c r="F423" i="16"/>
  <c r="F420" i="16"/>
  <c r="F421" i="16" s="1"/>
  <c r="F409" i="16"/>
  <c r="F408" i="16"/>
  <c r="F405" i="16"/>
  <c r="F406" i="16" s="1"/>
  <c r="F394" i="16"/>
  <c r="F393" i="16"/>
  <c r="F390" i="16"/>
  <c r="F391" i="16" s="1"/>
  <c r="F379" i="16"/>
  <c r="F378" i="16"/>
  <c r="F375" i="16"/>
  <c r="F376" i="16" s="1"/>
  <c r="F363" i="16"/>
  <c r="F362" i="16"/>
  <c r="F359" i="16"/>
  <c r="F360" i="16" s="1"/>
  <c r="F348" i="16"/>
  <c r="F347" i="16"/>
  <c r="F344" i="16"/>
  <c r="F345" i="16" s="1"/>
  <c r="F333" i="16"/>
  <c r="F334" i="16" s="1"/>
  <c r="F330" i="16"/>
  <c r="F331" i="16" s="1"/>
  <c r="F319" i="16"/>
  <c r="F320" i="16" s="1"/>
  <c r="F316" i="16"/>
  <c r="F317" i="16" s="1"/>
  <c r="F305" i="16"/>
  <c r="F306" i="16" s="1"/>
  <c r="F302" i="16"/>
  <c r="F303" i="16" s="1"/>
  <c r="F291" i="16"/>
  <c r="F292" i="16" s="1"/>
  <c r="F288" i="16"/>
  <c r="F289" i="16" s="1"/>
  <c r="F277" i="16"/>
  <c r="F278" i="16" s="1"/>
  <c r="F274" i="16"/>
  <c r="F275" i="16" s="1"/>
  <c r="F263" i="16"/>
  <c r="F264" i="16" s="1"/>
  <c r="F260" i="16"/>
  <c r="F261" i="16" s="1"/>
  <c r="F249" i="16"/>
  <c r="F250" i="16" s="1"/>
  <c r="F246" i="16"/>
  <c r="F247" i="16" s="1"/>
  <c r="F235" i="16"/>
  <c r="F234" i="16"/>
  <c r="F231" i="16"/>
  <c r="F232" i="16" s="1"/>
  <c r="F220" i="16"/>
  <c r="F219" i="16"/>
  <c r="F216" i="16"/>
  <c r="F217" i="16" s="1"/>
  <c r="F205" i="16"/>
  <c r="F206" i="16" s="1"/>
  <c r="F202" i="16"/>
  <c r="F203" i="16" s="1"/>
  <c r="F191" i="16"/>
  <c r="F192" i="16" s="1"/>
  <c r="F188" i="16"/>
  <c r="F189" i="16" s="1"/>
  <c r="F177" i="16"/>
  <c r="F178" i="16" s="1"/>
  <c r="F174" i="16"/>
  <c r="F175" i="16" s="1"/>
  <c r="F163" i="16"/>
  <c r="F164" i="16" s="1"/>
  <c r="F160" i="16"/>
  <c r="F161" i="16" s="1"/>
  <c r="F149" i="16"/>
  <c r="F150" i="16" s="1"/>
  <c r="F146" i="16"/>
  <c r="F147" i="16" s="1"/>
  <c r="F135" i="16"/>
  <c r="F136" i="16" s="1"/>
  <c r="F132" i="16"/>
  <c r="F133" i="16" s="1"/>
  <c r="F121" i="16"/>
  <c r="F122" i="16" s="1"/>
  <c r="F118" i="16"/>
  <c r="F119" i="16" s="1"/>
  <c r="F109" i="16"/>
  <c r="F108" i="16"/>
  <c r="F105" i="16"/>
  <c r="F106" i="16" s="1"/>
  <c r="F94" i="16"/>
  <c r="F95" i="16" s="1"/>
  <c r="F91" i="16"/>
  <c r="F92" i="16" s="1"/>
  <c r="F80" i="16"/>
  <c r="F81" i="16" s="1"/>
  <c r="F77" i="16"/>
  <c r="F78" i="16" s="1"/>
  <c r="F66" i="16"/>
  <c r="F67" i="16" s="1"/>
  <c r="F63" i="16"/>
  <c r="F64" i="16" s="1"/>
  <c r="F53" i="16"/>
  <c r="F54" i="16" s="1"/>
  <c r="F50" i="16"/>
  <c r="F51" i="16" s="1"/>
  <c r="F39" i="16"/>
  <c r="F40" i="16" s="1"/>
  <c r="F36" i="16"/>
  <c r="F37" i="16" s="1"/>
  <c r="E32" i="16"/>
  <c r="E46" i="16" s="1"/>
  <c r="E59" i="16" s="1"/>
  <c r="E73" i="16" s="1"/>
  <c r="E87" i="16" s="1"/>
  <c r="E101" i="16" s="1"/>
  <c r="E115" i="16" s="1"/>
  <c r="E128" i="16" s="1"/>
  <c r="E142" i="16" s="1"/>
  <c r="E156" i="16" s="1"/>
  <c r="E170" i="16" s="1"/>
  <c r="E184" i="16" s="1"/>
  <c r="E198" i="16" s="1"/>
  <c r="E212" i="16" s="1"/>
  <c r="E227" i="16" s="1"/>
  <c r="E242" i="16" s="1"/>
  <c r="E256" i="16" s="1"/>
  <c r="E270" i="16" s="1"/>
  <c r="E284" i="16" s="1"/>
  <c r="E298" i="16" s="1"/>
  <c r="E312" i="16" s="1"/>
  <c r="E326" i="16" s="1"/>
  <c r="E340" i="16" s="1"/>
  <c r="E355" i="16" s="1"/>
  <c r="E370" i="16" s="1"/>
  <c r="E386" i="16" s="1"/>
  <c r="E401" i="16" s="1"/>
  <c r="E416" i="16" s="1"/>
  <c r="E431" i="16" s="1"/>
  <c r="E445" i="16" s="1"/>
  <c r="E459" i="16" s="1"/>
  <c r="E473" i="16" s="1"/>
  <c r="E487" i="16" s="1"/>
  <c r="E502" i="16" s="1"/>
  <c r="E517" i="16" s="1"/>
  <c r="E532" i="16" s="1"/>
  <c r="E547" i="16" s="1"/>
  <c r="E562" i="16" s="1"/>
  <c r="E577" i="16" s="1"/>
  <c r="E592" i="16" s="1"/>
  <c r="E615" i="16" s="1"/>
  <c r="E638" i="16" s="1"/>
  <c r="E662" i="16" s="1"/>
  <c r="E684" i="16" s="1"/>
  <c r="E712" i="16" s="1"/>
  <c r="E741" i="16" s="1"/>
  <c r="E771" i="16" s="1"/>
  <c r="E796" i="16" s="1"/>
  <c r="E826" i="16" s="1"/>
  <c r="E856" i="16" s="1"/>
  <c r="E886" i="16" s="1"/>
  <c r="E916" i="16" s="1"/>
  <c r="E947" i="16" s="1"/>
  <c r="E977" i="16" s="1"/>
  <c r="E1007" i="16" s="1"/>
  <c r="E1025" i="16" s="1"/>
  <c r="E1043" i="16" s="1"/>
  <c r="E1074" i="16" s="1"/>
  <c r="E1104" i="16" s="1"/>
  <c r="E1134" i="16" s="1"/>
  <c r="E1164" i="16" s="1"/>
  <c r="E1193" i="16" s="1"/>
  <c r="F26" i="16"/>
  <c r="F27" i="16" s="1"/>
  <c r="F23" i="16"/>
  <c r="F24" i="16" s="1"/>
  <c r="F11" i="16"/>
  <c r="F10" i="16"/>
  <c r="F7" i="16"/>
  <c r="F8" i="16" s="1"/>
  <c r="F3402" i="16" l="1"/>
  <c r="F3431" i="16"/>
  <c r="F3433" i="16"/>
  <c r="F4150" i="16"/>
  <c r="F4152" i="16"/>
  <c r="F4154" i="16"/>
  <c r="F4187" i="16"/>
  <c r="F4181" i="16"/>
  <c r="F4244" i="16"/>
  <c r="F6427" i="16"/>
  <c r="F6428" i="16" s="1"/>
  <c r="F6430" i="16" s="1"/>
  <c r="F6750" i="16"/>
  <c r="F6751" i="16" s="1"/>
  <c r="F6753" i="16" s="1"/>
  <c r="F4270" i="16"/>
  <c r="F4354" i="16"/>
  <c r="F6887" i="16"/>
  <c r="F6888" i="16" s="1"/>
  <c r="F6890" i="16" s="1"/>
  <c r="F2418" i="16"/>
  <c r="F2419" i="16" s="1"/>
  <c r="F2421" i="16" s="1"/>
  <c r="F2630" i="16"/>
  <c r="F2631" i="16" s="1"/>
  <c r="F2632" i="16" s="1"/>
  <c r="F2634" i="16" s="1"/>
  <c r="F2808" i="16"/>
  <c r="F2868" i="16"/>
  <c r="F3214" i="16"/>
  <c r="F3835" i="16"/>
  <c r="F4454" i="16"/>
  <c r="F4847" i="16"/>
  <c r="F4989" i="16"/>
  <c r="F165" i="16"/>
  <c r="F166" i="16" s="1"/>
  <c r="F169" i="16" s="1"/>
  <c r="F170" i="16" s="1"/>
  <c r="F293" i="16"/>
  <c r="F294" i="16" s="1"/>
  <c r="F297" i="16" s="1"/>
  <c r="F512" i="16"/>
  <c r="F513" i="16" s="1"/>
  <c r="F516" i="16" s="1"/>
  <c r="F517" i="16" s="1"/>
  <c r="F1847" i="16"/>
  <c r="F1848" i="16" s="1"/>
  <c r="F1849" i="16" s="1"/>
  <c r="F1851" i="16" s="1"/>
  <c r="F1919" i="16"/>
  <c r="F2135" i="16"/>
  <c r="F2207" i="16"/>
  <c r="F3212" i="16"/>
  <c r="F3493" i="16"/>
  <c r="F3588" i="16"/>
  <c r="F3617" i="16"/>
  <c r="F3712" i="16"/>
  <c r="F4019" i="16"/>
  <c r="F4069" i="16"/>
  <c r="F4121" i="16"/>
  <c r="F4127" i="16"/>
  <c r="F4180" i="16"/>
  <c r="F4241" i="16"/>
  <c r="F4274" i="16"/>
  <c r="F4277" i="16"/>
  <c r="F5639" i="16"/>
  <c r="F5643" i="16" s="1"/>
  <c r="F5644" i="16" s="1"/>
  <c r="F5646" i="16" s="1"/>
  <c r="F497" i="16"/>
  <c r="F498" i="16" s="1"/>
  <c r="F501" i="16" s="1"/>
  <c r="F502" i="16" s="1"/>
  <c r="F2684" i="16"/>
  <c r="F2715" i="16"/>
  <c r="F3964" i="16"/>
  <c r="F4043" i="16"/>
  <c r="F4485" i="16"/>
  <c r="F4538" i="16"/>
  <c r="F4750" i="16"/>
  <c r="F4751" i="16" s="1"/>
  <c r="F4755" i="16" s="1"/>
  <c r="F4756" i="16" s="1"/>
  <c r="F4758" i="16" s="1"/>
  <c r="F5006" i="16"/>
  <c r="F5536" i="16"/>
  <c r="F7233" i="16"/>
  <c r="F7497" i="16"/>
  <c r="F2778" i="16"/>
  <c r="F651" i="16"/>
  <c r="F881" i="16"/>
  <c r="F1620" i="16"/>
  <c r="F2777" i="16"/>
  <c r="F4157" i="16"/>
  <c r="F4508" i="16"/>
  <c r="F4543" i="16"/>
  <c r="F4596" i="16"/>
  <c r="F5284" i="16"/>
  <c r="F5707" i="16"/>
  <c r="F5711" i="16" s="1"/>
  <c r="F5712" i="16" s="1"/>
  <c r="F5714" i="16" s="1"/>
  <c r="F3368" i="16"/>
  <c r="F3649" i="16"/>
  <c r="F3888" i="16"/>
  <c r="F3965" i="16"/>
  <c r="F609" i="16"/>
  <c r="F657" i="16"/>
  <c r="F679" i="16"/>
  <c r="F965" i="16"/>
  <c r="F1002" i="16"/>
  <c r="F96" i="16"/>
  <c r="F97" i="16" s="1"/>
  <c r="F100" i="16" s="1"/>
  <c r="F101" i="16" s="1"/>
  <c r="F1901" i="16"/>
  <c r="F1973" i="16"/>
  <c r="F2259" i="16"/>
  <c r="F2746" i="16"/>
  <c r="F2840" i="16"/>
  <c r="F2965" i="16"/>
  <c r="F3090" i="16"/>
  <c r="F3246" i="16"/>
  <c r="F3339" i="16"/>
  <c r="F4186" i="16"/>
  <c r="D4278" i="16"/>
  <c r="F4278" i="16" s="1"/>
  <c r="F4330" i="16"/>
  <c r="F4379" i="16"/>
  <c r="F4426" i="16"/>
  <c r="F4544" i="16"/>
  <c r="F4566" i="16"/>
  <c r="F4601" i="16"/>
  <c r="F5194" i="16"/>
  <c r="F5195" i="16" s="1"/>
  <c r="F5196" i="16" s="1"/>
  <c r="F5198" i="16" s="1"/>
  <c r="F5917" i="16"/>
  <c r="F5918" i="16" s="1"/>
  <c r="F5920" i="16" s="1"/>
  <c r="F7419" i="16"/>
  <c r="F844" i="16"/>
  <c r="F542" i="16"/>
  <c r="F543" i="16" s="1"/>
  <c r="F546" i="16" s="1"/>
  <c r="F547" i="16" s="1"/>
  <c r="F2747" i="16"/>
  <c r="F4802" i="16"/>
  <c r="F7637" i="16"/>
  <c r="F2966" i="16"/>
  <c r="F3120" i="16"/>
  <c r="F3650" i="16"/>
  <c r="F3744" i="16"/>
  <c r="IV3744" i="16" s="1"/>
  <c r="F4030" i="16"/>
  <c r="F4128" i="16"/>
  <c r="F4271" i="16"/>
  <c r="F5673" i="16"/>
  <c r="F5677" i="16" s="1"/>
  <c r="F5678" i="16" s="1"/>
  <c r="F5680" i="16" s="1"/>
  <c r="F7279" i="16"/>
  <c r="F7283" i="16" s="1"/>
  <c r="F7284" i="16" s="1"/>
  <c r="F7286" i="16" s="1"/>
  <c r="F7343" i="16"/>
  <c r="F7380" i="16"/>
  <c r="F7384" i="16" s="1"/>
  <c r="F7385" i="16" s="1"/>
  <c r="F7387" i="16" s="1"/>
  <c r="F1991" i="16"/>
  <c r="F1992" i="16" s="1"/>
  <c r="F1993" i="16" s="1"/>
  <c r="F1995" i="16" s="1"/>
  <c r="F4188" i="16"/>
  <c r="F4537" i="16"/>
  <c r="F5159" i="16"/>
  <c r="F7654" i="16"/>
  <c r="F7658" i="16" s="1"/>
  <c r="F7659" i="16" s="1"/>
  <c r="F7661" i="16" s="1"/>
  <c r="F1038" i="16"/>
  <c r="F1039" i="16" s="1"/>
  <c r="F1040" i="16" s="1"/>
  <c r="F1042" i="16" s="1"/>
  <c r="F1043" i="16" s="1"/>
  <c r="F2189" i="16"/>
  <c r="F2260" i="16"/>
  <c r="F2261" i="16" s="1"/>
  <c r="F2263" i="16" s="1"/>
  <c r="F41" i="16"/>
  <c r="F42" i="16" s="1"/>
  <c r="F45" i="16" s="1"/>
  <c r="F46" i="16" s="1"/>
  <c r="F1479" i="16"/>
  <c r="F1703" i="16"/>
  <c r="F1721" i="16"/>
  <c r="F1937" i="16"/>
  <c r="F1938" i="16" s="1"/>
  <c r="F1939" i="16" s="1"/>
  <c r="F1941" i="16" s="1"/>
  <c r="F2009" i="16"/>
  <c r="F2225" i="16"/>
  <c r="F2306" i="16"/>
  <c r="F2744" i="16"/>
  <c r="F2837" i="16"/>
  <c r="F3277" i="16"/>
  <c r="F3306" i="16"/>
  <c r="F3308" i="16"/>
  <c r="F3337" i="16"/>
  <c r="F3371" i="16"/>
  <c r="F3526" i="16"/>
  <c r="F3741" i="16"/>
  <c r="IV3741" i="16" s="1"/>
  <c r="F3743" i="16"/>
  <c r="IV3743" i="16" s="1"/>
  <c r="F3913" i="16"/>
  <c r="F4512" i="16"/>
  <c r="F4514" i="16"/>
  <c r="F4567" i="16"/>
  <c r="F4600" i="16"/>
  <c r="F4765" i="16"/>
  <c r="F4970" i="16"/>
  <c r="F5074" i="16"/>
  <c r="F5176" i="16"/>
  <c r="F5248" i="16"/>
  <c r="F5338" i="16"/>
  <c r="F7266" i="16"/>
  <c r="F7515" i="16"/>
  <c r="F7583" i="16"/>
  <c r="F6048" i="16"/>
  <c r="F6049" i="16" s="1"/>
  <c r="F6053" i="16" s="1"/>
  <c r="F6054" i="16" s="1"/>
  <c r="F6056" i="16" s="1"/>
  <c r="F6116" i="16"/>
  <c r="F6117" i="16" s="1"/>
  <c r="F6121" i="16" s="1"/>
  <c r="F6122" i="16" s="1"/>
  <c r="F6124" i="16" s="1"/>
  <c r="F7052" i="16"/>
  <c r="F7053" i="16" s="1"/>
  <c r="F7057" i="16" s="1"/>
  <c r="F7058" i="16" s="1"/>
  <c r="F7060" i="16" s="1"/>
  <c r="F110" i="16"/>
  <c r="F179" i="16"/>
  <c r="F180" i="16" s="1"/>
  <c r="F183" i="16" s="1"/>
  <c r="F184" i="16" s="1"/>
  <c r="F335" i="16"/>
  <c r="F336" i="16" s="1"/>
  <c r="F339" i="16" s="1"/>
  <c r="F340" i="16" s="1"/>
  <c r="F364" i="16"/>
  <c r="F633" i="16"/>
  <c r="F1092" i="16"/>
  <c r="F1129" i="16"/>
  <c r="F1739" i="16"/>
  <c r="F1757" i="16"/>
  <c r="F1775" i="16"/>
  <c r="F1776" i="16" s="1"/>
  <c r="F1777" i="16" s="1"/>
  <c r="F1779" i="16" s="1"/>
  <c r="F1955" i="16"/>
  <c r="F2529" i="16"/>
  <c r="F2648" i="16"/>
  <c r="F2666" i="16"/>
  <c r="F2667" i="16" s="1"/>
  <c r="F2668" i="16" s="1"/>
  <c r="F2670" i="16" s="1"/>
  <c r="F2696" i="16"/>
  <c r="F2697" i="16" s="1"/>
  <c r="F5604" i="16"/>
  <c r="F5605" i="16" s="1"/>
  <c r="F5609" i="16" s="1"/>
  <c r="F5610" i="16" s="1"/>
  <c r="F5612" i="16" s="1"/>
  <c r="F1717" i="16"/>
  <c r="F1915" i="16"/>
  <c r="F4985" i="16"/>
  <c r="F12" i="16"/>
  <c r="F123" i="16"/>
  <c r="F124" i="16" s="1"/>
  <c r="F127" i="16" s="1"/>
  <c r="F128" i="16" s="1"/>
  <c r="F395" i="16"/>
  <c r="F396" i="16" s="1"/>
  <c r="F397" i="16" s="1"/>
  <c r="F400" i="16" s="1"/>
  <c r="F401" i="16" s="1"/>
  <c r="F425" i="16"/>
  <c r="F426" i="16" s="1"/>
  <c r="F427" i="16" s="1"/>
  <c r="F430" i="16" s="1"/>
  <c r="F431" i="16" s="1"/>
  <c r="F482" i="16"/>
  <c r="F483" i="16" s="1"/>
  <c r="F486" i="16" s="1"/>
  <c r="F487" i="16" s="1"/>
  <c r="F527" i="16"/>
  <c r="F528" i="16" s="1"/>
  <c r="F531" i="16" s="1"/>
  <c r="F1233" i="16"/>
  <c r="F1234" i="16" s="1"/>
  <c r="F1236" i="16" s="1"/>
  <c r="F1320" i="16"/>
  <c r="F1579" i="16"/>
  <c r="F1657" i="16"/>
  <c r="F2004" i="16"/>
  <c r="F2005" i="16" s="1"/>
  <c r="F2027" i="16"/>
  <c r="F2045" i="16"/>
  <c r="F2063" i="16"/>
  <c r="F2325" i="16"/>
  <c r="F2366" i="16"/>
  <c r="F2680" i="16"/>
  <c r="F2685" i="16" s="1"/>
  <c r="F2686" i="16" s="1"/>
  <c r="F2688" i="16" s="1"/>
  <c r="F2701" i="16"/>
  <c r="F2825" i="16"/>
  <c r="F3465" i="16"/>
  <c r="F4809" i="16"/>
  <c r="F5981" i="16"/>
  <c r="F5985" i="16" s="1"/>
  <c r="F5986" i="16" s="1"/>
  <c r="F5988" i="16" s="1"/>
  <c r="F2870" i="16"/>
  <c r="F3059" i="16"/>
  <c r="F3119" i="16"/>
  <c r="F3121" i="16"/>
  <c r="F3150" i="16"/>
  <c r="F3152" i="16"/>
  <c r="F3276" i="16"/>
  <c r="F3401" i="16"/>
  <c r="F3430" i="16"/>
  <c r="F3555" i="16"/>
  <c r="F3587" i="16"/>
  <c r="F3679" i="16"/>
  <c r="F3711" i="16"/>
  <c r="F3834" i="16"/>
  <c r="F3966" i="16"/>
  <c r="F4017" i="16"/>
  <c r="F4068" i="16"/>
  <c r="F4071" i="16"/>
  <c r="F4108" i="16"/>
  <c r="F4151" i="16"/>
  <c r="F4156" i="16"/>
  <c r="F4211" i="16"/>
  <c r="F4217" i="16"/>
  <c r="F4247" i="16"/>
  <c r="F4355" i="16"/>
  <c r="F4357" i="16" s="1"/>
  <c r="F4358" i="16" s="1"/>
  <c r="F4402" i="16"/>
  <c r="F4451" i="16"/>
  <c r="F4456" i="16"/>
  <c r="F4573" i="16"/>
  <c r="F4630" i="16"/>
  <c r="F4864" i="16"/>
  <c r="F4951" i="16"/>
  <c r="F5023" i="16"/>
  <c r="F5057" i="16"/>
  <c r="F5058" i="16" s="1"/>
  <c r="F5059" i="16" s="1"/>
  <c r="F5061" i="16" s="1"/>
  <c r="F5266" i="16"/>
  <c r="F5356" i="16"/>
  <c r="F5396" i="16"/>
  <c r="F6784" i="16"/>
  <c r="F6785" i="16" s="1"/>
  <c r="F6787" i="16" s="1"/>
  <c r="F7209" i="16"/>
  <c r="F7551" i="16"/>
  <c r="F7641" i="16"/>
  <c r="F4228" i="16"/>
  <c r="F5505" i="16"/>
  <c r="F5506" i="16" s="1"/>
  <c r="F5507" i="16" s="1"/>
  <c r="F5509" i="16" s="1"/>
  <c r="F7457" i="16"/>
  <c r="F7458" i="16" s="1"/>
  <c r="F7459" i="16" s="1"/>
  <c r="F2763" i="16"/>
  <c r="F2806" i="16"/>
  <c r="F2869" i="16"/>
  <c r="F2871" i="16"/>
  <c r="F2994" i="16"/>
  <c r="F3056" i="16"/>
  <c r="F3087" i="16"/>
  <c r="F3149" i="16"/>
  <c r="F3151" i="16"/>
  <c r="F3180" i="16"/>
  <c r="F3182" i="16"/>
  <c r="F3231" i="16"/>
  <c r="F3243" i="16"/>
  <c r="F3463" i="16"/>
  <c r="F3496" i="16"/>
  <c r="F3556" i="16"/>
  <c r="F3620" i="16"/>
  <c r="F3651" i="16"/>
  <c r="F3680" i="16"/>
  <c r="F3900" i="16"/>
  <c r="F3940" i="16"/>
  <c r="F3991" i="16"/>
  <c r="F4124" i="16"/>
  <c r="F4158" i="16"/>
  <c r="F4182" i="16"/>
  <c r="F4184" i="16"/>
  <c r="F4214" i="16"/>
  <c r="F4218" i="16"/>
  <c r="F4248" i="16"/>
  <c r="F4272" i="16"/>
  <c r="F4403" i="16"/>
  <c r="F4438" i="16"/>
  <c r="F4450" i="16"/>
  <c r="F4452" i="16"/>
  <c r="F4481" i="16"/>
  <c r="F4483" i="16"/>
  <c r="F4509" i="16"/>
  <c r="F4542" i="16"/>
  <c r="F4568" i="16"/>
  <c r="F4626" i="16"/>
  <c r="F4629" i="16"/>
  <c r="F5040" i="16"/>
  <c r="F5091" i="16"/>
  <c r="F5108" i="16"/>
  <c r="F5109" i="16" s="1"/>
  <c r="F5110" i="16" s="1"/>
  <c r="F5112" i="16" s="1"/>
  <c r="F5230" i="16"/>
  <c r="F5302" i="16"/>
  <c r="F5303" i="16" s="1"/>
  <c r="F5304" i="16" s="1"/>
  <c r="F5306" i="16" s="1"/>
  <c r="F5320" i="16"/>
  <c r="F5523" i="16"/>
  <c r="F5524" i="16" s="1"/>
  <c r="F5526" i="16" s="1"/>
  <c r="F6015" i="16"/>
  <c r="F6019" i="16" s="1"/>
  <c r="F6020" i="16" s="1"/>
  <c r="F6022" i="16" s="1"/>
  <c r="F6083" i="16"/>
  <c r="F6648" i="16"/>
  <c r="F6649" i="16" s="1"/>
  <c r="F6651" i="16" s="1"/>
  <c r="F6921" i="16"/>
  <c r="F6922" i="16" s="1"/>
  <c r="F6924" i="16" s="1"/>
  <c r="F7415" i="16"/>
  <c r="F7420" i="16" s="1"/>
  <c r="F7421" i="16" s="1"/>
  <c r="F7423" i="16" s="1"/>
  <c r="F7480" i="16"/>
  <c r="F7587" i="16"/>
  <c r="F7588" i="16" s="1"/>
  <c r="F7589" i="16" s="1"/>
  <c r="F7591" i="16" s="1"/>
  <c r="F1264" i="16"/>
  <c r="F1265" i="16" s="1"/>
  <c r="F1267" i="16" s="1"/>
  <c r="F2136" i="16"/>
  <c r="F2137" i="16" s="1"/>
  <c r="F2139" i="16" s="1"/>
  <c r="F6218" i="16"/>
  <c r="F6219" i="16" s="1"/>
  <c r="F6223" i="16" s="1"/>
  <c r="F6224" i="16" s="1"/>
  <c r="F6226" i="16" s="1"/>
  <c r="F4910" i="16"/>
  <c r="F4911" i="16" s="1"/>
  <c r="E1237" i="16"/>
  <c r="E1253" i="16" s="1"/>
  <c r="E1268" i="16" s="1"/>
  <c r="E1283" i="16" s="1"/>
  <c r="E1304" i="16" s="1"/>
  <c r="E1325" i="16" s="1"/>
  <c r="E1346" i="16" s="1"/>
  <c r="E1367" i="16" s="1"/>
  <c r="E1388" i="16" s="1"/>
  <c r="E1408" i="16" s="1"/>
  <c r="E1430" i="16" s="1"/>
  <c r="E1449" i="16" s="1"/>
  <c r="E1470" i="16" s="1"/>
  <c r="E1489" i="16" s="1"/>
  <c r="E1509" i="16" s="1"/>
  <c r="E1525" i="16" s="1"/>
  <c r="E1541" i="16" s="1"/>
  <c r="E1563" i="16" s="1"/>
  <c r="E1584" i="16" s="1"/>
  <c r="E1604" i="16" s="1"/>
  <c r="E1625" i="16" s="1"/>
  <c r="E1647" i="16" s="1"/>
  <c r="E1667" i="16" s="1"/>
  <c r="E1688" i="16" s="1"/>
  <c r="E1708" i="16" s="1"/>
  <c r="E1726" i="16" s="1"/>
  <c r="E1744" i="16" s="1"/>
  <c r="E1762" i="16" s="1"/>
  <c r="E1780" i="16" s="1"/>
  <c r="E1798" i="16" s="1"/>
  <c r="E1816" i="16" s="1"/>
  <c r="E1834" i="16" s="1"/>
  <c r="E1852" i="16" s="1"/>
  <c r="E1870" i="16" s="1"/>
  <c r="E1888" i="16" s="1"/>
  <c r="E1906" i="16" s="1"/>
  <c r="E1924" i="16" s="1"/>
  <c r="E1942" i="16" s="1"/>
  <c r="E1960" i="16" s="1"/>
  <c r="E1978" i="16" s="1"/>
  <c r="E1996" i="16" s="1"/>
  <c r="E2014" i="16" s="1"/>
  <c r="E2032" i="16" s="1"/>
  <c r="E2050" i="16" s="1"/>
  <c r="E2068" i="16" s="1"/>
  <c r="E2086" i="16" s="1"/>
  <c r="E2104" i="16" s="1"/>
  <c r="E2122" i="16" s="1"/>
  <c r="E2140" i="16" s="1"/>
  <c r="E2158" i="16" s="1"/>
  <c r="E2176" i="16" s="1"/>
  <c r="E2194" i="16" s="1"/>
  <c r="E2212" i="16" s="1"/>
  <c r="E2230" i="16" s="1"/>
  <c r="E2247" i="16" s="1"/>
  <c r="E2264" i="16" s="1"/>
  <c r="E2281" i="16" s="1"/>
  <c r="E2297" i="16" s="1"/>
  <c r="E2316" i="16" s="1"/>
  <c r="E2335" i="16" s="1"/>
  <c r="E2353" i="16" s="1"/>
  <c r="E2371" i="16" s="1"/>
  <c r="E2388" i="16" s="1"/>
  <c r="E2405" i="16" s="1"/>
  <c r="E2422" i="16" s="1"/>
  <c r="E2461" i="16" s="1"/>
  <c r="E2500" i="16" s="1"/>
  <c r="E2539" i="16" s="1"/>
  <c r="E2579" i="16" s="1"/>
  <c r="E2618" i="16" s="1"/>
  <c r="E2635" i="16" s="1"/>
  <c r="E2653" i="16" s="1"/>
  <c r="E2671" i="16" s="1"/>
  <c r="E2689" i="16" s="1"/>
  <c r="E2706" i="16" s="1"/>
  <c r="E2737" i="16" s="1"/>
  <c r="E2768" i="16" s="1"/>
  <c r="E2799" i="16" s="1"/>
  <c r="E2830" i="16" s="1"/>
  <c r="E2861" i="16" s="1"/>
  <c r="E2892" i="16" s="1"/>
  <c r="E1222" i="16"/>
  <c r="F1222" i="16" s="1"/>
  <c r="F572" i="16"/>
  <c r="F573" i="16" s="1"/>
  <c r="F576" i="16" s="1"/>
  <c r="F729" i="16"/>
  <c r="F766" i="16"/>
  <c r="F874" i="16"/>
  <c r="F882" i="16" s="1"/>
  <c r="F883" i="16" s="1"/>
  <c r="F885" i="16" s="1"/>
  <c r="F886" i="16" s="1"/>
  <c r="F1122" i="16"/>
  <c r="F1188" i="16"/>
  <c r="F1357" i="16"/>
  <c r="F1362" i="16"/>
  <c r="F1440" i="16"/>
  <c r="F1521" i="16"/>
  <c r="F1522" i="16" s="1"/>
  <c r="F1524" i="16" s="1"/>
  <c r="F1615" i="16"/>
  <c r="F1698" i="16"/>
  <c r="F1704" i="16" s="1"/>
  <c r="F1705" i="16" s="1"/>
  <c r="F1707" i="16" s="1"/>
  <c r="F1793" i="16"/>
  <c r="F1794" i="16" s="1"/>
  <c r="F1795" i="16" s="1"/>
  <c r="F1797" i="16" s="1"/>
  <c r="F1829" i="16"/>
  <c r="F1860" i="16"/>
  <c r="F1861" i="16" s="1"/>
  <c r="F2081" i="16"/>
  <c r="F2082" i="16" s="1"/>
  <c r="F2083" i="16" s="1"/>
  <c r="F2085" i="16" s="1"/>
  <c r="F2117" i="16"/>
  <c r="F2148" i="16"/>
  <c r="F2149" i="16" s="1"/>
  <c r="F2348" i="16"/>
  <c r="F2383" i="16"/>
  <c r="F2384" i="16" s="1"/>
  <c r="F2385" i="16" s="1"/>
  <c r="F2387" i="16" s="1"/>
  <c r="F2456" i="16"/>
  <c r="F2490" i="16"/>
  <c r="F2495" i="16"/>
  <c r="F2716" i="16"/>
  <c r="F2732" i="16"/>
  <c r="F2775" i="16"/>
  <c r="F2784" i="16" s="1"/>
  <c r="F2785" i="16" s="1"/>
  <c r="F2839" i="16"/>
  <c r="F2856" i="16"/>
  <c r="F2963" i="16"/>
  <c r="F3027" i="16"/>
  <c r="F3168" i="16"/>
  <c r="F3215" i="16"/>
  <c r="F3221" i="16" s="1"/>
  <c r="F3222" i="16" s="1"/>
  <c r="F7492" i="16"/>
  <c r="F7493" i="16" s="1"/>
  <c r="F7498" i="16" s="1"/>
  <c r="F7499" i="16" s="1"/>
  <c r="F7501" i="16" s="1"/>
  <c r="F5225" i="16"/>
  <c r="F5226" i="16" s="1"/>
  <c r="F13" i="16"/>
  <c r="F15" i="16" s="1"/>
  <c r="F17" i="16" s="1"/>
  <c r="F18" i="16" s="1"/>
  <c r="F28" i="16"/>
  <c r="F29" i="16" s="1"/>
  <c r="F31" i="16" s="1"/>
  <c r="F32" i="16" s="1"/>
  <c r="F82" i="16"/>
  <c r="F83" i="16" s="1"/>
  <c r="F86" i="16" s="1"/>
  <c r="F87" i="16" s="1"/>
  <c r="F279" i="16"/>
  <c r="F280" i="16" s="1"/>
  <c r="F283" i="16" s="1"/>
  <c r="F284" i="16" s="1"/>
  <c r="F298" i="16"/>
  <c r="F365" i="16"/>
  <c r="F366" i="16" s="1"/>
  <c r="F369" i="16" s="1"/>
  <c r="F370" i="16" s="1"/>
  <c r="F454" i="16"/>
  <c r="F455" i="16" s="1"/>
  <c r="F458" i="16" s="1"/>
  <c r="F459" i="16" s="1"/>
  <c r="F604" i="16"/>
  <c r="F736" i="16"/>
  <c r="F759" i="16"/>
  <c r="F821" i="16"/>
  <c r="F904" i="16"/>
  <c r="F995" i="16"/>
  <c r="F1003" i="16" s="1"/>
  <c r="F1004" i="16" s="1"/>
  <c r="F1006" i="16" s="1"/>
  <c r="F1007" i="16" s="1"/>
  <c r="F3355" i="16"/>
  <c r="F6813" i="16"/>
  <c r="F6814" i="16" s="1"/>
  <c r="F6818" i="16" s="1"/>
  <c r="F6819" i="16" s="1"/>
  <c r="F6821" i="16" s="1"/>
  <c r="F6848" i="16"/>
  <c r="F6849" i="16" s="1"/>
  <c r="F6853" i="16" s="1"/>
  <c r="F6854" i="16" s="1"/>
  <c r="F6856" i="16" s="1"/>
  <c r="F7023" i="16"/>
  <c r="F7024" i="16" s="1"/>
  <c r="F7026" i="16" s="1"/>
  <c r="F658" i="16"/>
  <c r="F659" i="16" s="1"/>
  <c r="F661" i="16" s="1"/>
  <c r="F662" i="16" s="1"/>
  <c r="F942" i="16"/>
  <c r="F972" i="16"/>
  <c r="F1069" i="16"/>
  <c r="F1152" i="16"/>
  <c r="F1279" i="16"/>
  <c r="F1280" i="16" s="1"/>
  <c r="F1282" i="16" s="1"/>
  <c r="F1315" i="16"/>
  <c r="F1341" i="16"/>
  <c r="F1537" i="16"/>
  <c r="F1538" i="16" s="1"/>
  <c r="F1540" i="16" s="1"/>
  <c r="F1599" i="16"/>
  <c r="F2451" i="16"/>
  <c r="F2534" i="16"/>
  <c r="F2535" i="16" s="1"/>
  <c r="F2536" i="16" s="1"/>
  <c r="F2538" i="16" s="1"/>
  <c r="F2982" i="16"/>
  <c r="F3137" i="16"/>
  <c r="F3199" i="16"/>
  <c r="F68" i="16"/>
  <c r="F69" i="16" s="1"/>
  <c r="F72" i="16" s="1"/>
  <c r="F73" i="16" s="1"/>
  <c r="F137" i="16"/>
  <c r="F138" i="16" s="1"/>
  <c r="F141" i="16" s="1"/>
  <c r="F142" i="16" s="1"/>
  <c r="F193" i="16"/>
  <c r="F194" i="16" s="1"/>
  <c r="F197" i="16" s="1"/>
  <c r="F221" i="16"/>
  <c r="F222" i="16" s="1"/>
  <c r="F223" i="16" s="1"/>
  <c r="F226" i="16" s="1"/>
  <c r="F227" i="16" s="1"/>
  <c r="F236" i="16"/>
  <c r="F237" i="16" s="1"/>
  <c r="F238" i="16" s="1"/>
  <c r="F241" i="16" s="1"/>
  <c r="F242" i="16" s="1"/>
  <c r="F265" i="16"/>
  <c r="F266" i="16" s="1"/>
  <c r="F269" i="16" s="1"/>
  <c r="F270" i="16" s="1"/>
  <c r="F321" i="16"/>
  <c r="F322" i="16" s="1"/>
  <c r="F325" i="16" s="1"/>
  <c r="F410" i="16"/>
  <c r="F411" i="16" s="1"/>
  <c r="F412" i="16" s="1"/>
  <c r="F415" i="16" s="1"/>
  <c r="F416" i="16" s="1"/>
  <c r="F468" i="16"/>
  <c r="F469" i="16" s="1"/>
  <c r="F472" i="16" s="1"/>
  <c r="F473" i="16" s="1"/>
  <c r="F587" i="16"/>
  <c r="F588" i="16" s="1"/>
  <c r="F591" i="16" s="1"/>
  <c r="E7330" i="16" s="1"/>
  <c r="F628" i="16"/>
  <c r="F634" i="16" s="1"/>
  <c r="F635" i="16" s="1"/>
  <c r="F637" i="16" s="1"/>
  <c r="F638" i="16" s="1"/>
  <c r="F700" i="16"/>
  <c r="F707" i="16"/>
  <c r="F785" i="16"/>
  <c r="F935" i="16"/>
  <c r="F1020" i="16"/>
  <c r="F1021" i="16" s="1"/>
  <c r="F1022" i="16" s="1"/>
  <c r="F1024" i="16" s="1"/>
  <c r="F1025" i="16" s="1"/>
  <c r="F1181" i="16"/>
  <c r="F1189" i="16" s="1"/>
  <c r="F1190" i="16" s="1"/>
  <c r="F1192" i="16" s="1"/>
  <c r="F1193" i="16" s="1"/>
  <c r="F1294" i="16"/>
  <c r="F1299" i="16"/>
  <c r="F1398" i="16"/>
  <c r="F1403" i="16"/>
  <c r="F1484" i="16"/>
  <c r="F1485" i="16" s="1"/>
  <c r="F1486" i="16" s="1"/>
  <c r="F1488" i="16" s="1"/>
  <c r="F1574" i="16"/>
  <c r="F1662" i="16"/>
  <c r="F1865" i="16"/>
  <c r="F2153" i="16"/>
  <c r="F2242" i="16"/>
  <c r="F2243" i="16" s="1"/>
  <c r="F2244" i="16" s="1"/>
  <c r="F2246" i="16" s="1"/>
  <c r="F2276" i="16"/>
  <c r="F2277" i="16" s="1"/>
  <c r="F2278" i="16" s="1"/>
  <c r="F2280" i="16" s="1"/>
  <c r="F2292" i="16"/>
  <c r="F2293" i="16" s="1"/>
  <c r="F2294" i="16" s="1"/>
  <c r="F2296" i="16" s="1"/>
  <c r="F2362" i="16"/>
  <c r="F2367" i="16" s="1"/>
  <c r="F2368" i="16" s="1"/>
  <c r="F2370" i="16" s="1"/>
  <c r="F2568" i="16"/>
  <c r="F2574" i="16"/>
  <c r="F2713" i="16"/>
  <c r="F2794" i="16"/>
  <c r="F2997" i="16"/>
  <c r="F3028" i="16"/>
  <c r="F3058" i="16"/>
  <c r="F3075" i="16"/>
  <c r="F3305" i="16"/>
  <c r="F3481" i="16"/>
  <c r="F3527" i="16"/>
  <c r="F3742" i="16"/>
  <c r="IV3742" i="16" s="1"/>
  <c r="F5018" i="16"/>
  <c r="F5019" i="16" s="1"/>
  <c r="F5844" i="16"/>
  <c r="F5845" i="16" s="1"/>
  <c r="F5849" i="16" s="1"/>
  <c r="F5850" i="16" s="1"/>
  <c r="F5852" i="16" s="1"/>
  <c r="F5878" i="16"/>
  <c r="F5879" i="16" s="1"/>
  <c r="F5883" i="16" s="1"/>
  <c r="F5884" i="16" s="1"/>
  <c r="F5886" i="16" s="1"/>
  <c r="F3181" i="16"/>
  <c r="F3183" i="16"/>
  <c r="F3275" i="16"/>
  <c r="F3293" i="16"/>
  <c r="F3338" i="16"/>
  <c r="F3369" i="16"/>
  <c r="F3525" i="16"/>
  <c r="F3543" i="16"/>
  <c r="F3558" i="16"/>
  <c r="F3618" i="16"/>
  <c r="F3648" i="16"/>
  <c r="F3713" i="16"/>
  <c r="F3729" i="16"/>
  <c r="F3848" i="16"/>
  <c r="F3886" i="16"/>
  <c r="F3912" i="16"/>
  <c r="F3914" i="16"/>
  <c r="F3939" i="16"/>
  <c r="F3952" i="16"/>
  <c r="F3993" i="16"/>
  <c r="F4056" i="16"/>
  <c r="F4094" i="16"/>
  <c r="F4120" i="16"/>
  <c r="F4122" i="16"/>
  <c r="F4126" i="16"/>
  <c r="F4240" i="16"/>
  <c r="F4242" i="16"/>
  <c r="F4246" i="16"/>
  <c r="F4390" i="16"/>
  <c r="F4427" i="16"/>
  <c r="F4510" i="16"/>
  <c r="F4597" i="16"/>
  <c r="F4599" i="16"/>
  <c r="F4612" i="16"/>
  <c r="F4677" i="16"/>
  <c r="F4678" i="16" s="1"/>
  <c r="F4828" i="16"/>
  <c r="F5464" i="16"/>
  <c r="F5571" i="16"/>
  <c r="F5575" i="16" s="1"/>
  <c r="F5576" i="16" s="1"/>
  <c r="F5578" i="16" s="1"/>
  <c r="F5774" i="16"/>
  <c r="F5775" i="16" s="1"/>
  <c r="F5779" i="16" s="1"/>
  <c r="F5780" i="16" s="1"/>
  <c r="F5782" i="16" s="1"/>
  <c r="F6150" i="16"/>
  <c r="F6151" i="16" s="1"/>
  <c r="F6155" i="16" s="1"/>
  <c r="F6156" i="16" s="1"/>
  <c r="F6158" i="16" s="1"/>
  <c r="F6252" i="16"/>
  <c r="F6253" i="16" s="1"/>
  <c r="F6257" i="16" s="1"/>
  <c r="F6258" i="16" s="1"/>
  <c r="F6260" i="16" s="1"/>
  <c r="F6287" i="16"/>
  <c r="F6372" i="16"/>
  <c r="F6376" i="16" s="1"/>
  <c r="F6377" i="16" s="1"/>
  <c r="F6379" i="16" s="1"/>
  <c r="F7173" i="16"/>
  <c r="F7177" i="16" s="1"/>
  <c r="F7178" i="16" s="1"/>
  <c r="F7180" i="16" s="1"/>
  <c r="F3760" i="16"/>
  <c r="IV3760" i="16" s="1"/>
  <c r="F4138" i="16"/>
  <c r="F4168" i="16"/>
  <c r="F4198" i="16"/>
  <c r="F4258" i="16"/>
  <c r="F4288" i="16"/>
  <c r="F6184" i="16"/>
  <c r="F6185" i="16" s="1"/>
  <c r="F6189" i="16" s="1"/>
  <c r="F6190" i="16" s="1"/>
  <c r="F6192" i="16" s="1"/>
  <c r="F6677" i="16"/>
  <c r="F6678" i="16" s="1"/>
  <c r="F6682" i="16" s="1"/>
  <c r="F6683" i="16" s="1"/>
  <c r="F6685" i="16" s="1"/>
  <c r="F6950" i="16"/>
  <c r="F6951" i="16" s="1"/>
  <c r="F6955" i="16" s="1"/>
  <c r="F6956" i="16" s="1"/>
  <c r="F6958" i="16" s="1"/>
  <c r="F7564" i="16"/>
  <c r="F7565" i="16" s="1"/>
  <c r="F7623" i="16"/>
  <c r="F7750" i="16"/>
  <c r="F7751" i="16" s="1"/>
  <c r="F7755" i="16" s="1"/>
  <c r="F7756" i="16" s="1"/>
  <c r="F7758" i="16" s="1"/>
  <c r="F3244" i="16"/>
  <c r="F3400" i="16"/>
  <c r="F3418" i="16"/>
  <c r="F3464" i="16"/>
  <c r="F3494" i="16"/>
  <c r="F3589" i="16"/>
  <c r="F3605" i="16"/>
  <c r="F3667" i="16"/>
  <c r="F3682" i="16"/>
  <c r="IV3754" i="16"/>
  <c r="F3860" i="16"/>
  <c r="F3862" i="16"/>
  <c r="F3887" i="16"/>
  <c r="F3990" i="16"/>
  <c r="F4016" i="16"/>
  <c r="F4082" i="16"/>
  <c r="F4097" i="16"/>
  <c r="F4210" i="16"/>
  <c r="F4212" i="16"/>
  <c r="F4216" i="16"/>
  <c r="F4342" i="16"/>
  <c r="F4366" i="16"/>
  <c r="F4457" i="16"/>
  <c r="F4479" i="16"/>
  <c r="F4570" i="16"/>
  <c r="F4583" i="16"/>
  <c r="F4881" i="16"/>
  <c r="F4965" i="16"/>
  <c r="F4966" i="16" s="1"/>
  <c r="F5002" i="16"/>
  <c r="F5007" i="16" s="1"/>
  <c r="F5008" i="16" s="1"/>
  <c r="F5010" i="16" s="1"/>
  <c r="F5036" i="16"/>
  <c r="F5120" i="16"/>
  <c r="F5121" i="16" s="1"/>
  <c r="F5469" i="16"/>
  <c r="F5470" i="16" s="1"/>
  <c r="F5471" i="16" s="1"/>
  <c r="F5473" i="16" s="1"/>
  <c r="F5740" i="16"/>
  <c r="F5741" i="16" s="1"/>
  <c r="F5745" i="16" s="1"/>
  <c r="F5746" i="16" s="1"/>
  <c r="F5748" i="16" s="1"/>
  <c r="F5808" i="16"/>
  <c r="F5809" i="16" s="1"/>
  <c r="F5813" i="16" s="1"/>
  <c r="F5814" i="16" s="1"/>
  <c r="F5816" i="16" s="1"/>
  <c r="F6321" i="16"/>
  <c r="F6325" i="16" s="1"/>
  <c r="F6326" i="16" s="1"/>
  <c r="F6328" i="16" s="1"/>
  <c r="F6711" i="16"/>
  <c r="F6712" i="16" s="1"/>
  <c r="F6716" i="16" s="1"/>
  <c r="F6717" i="16" s="1"/>
  <c r="F6719" i="16" s="1"/>
  <c r="F6984" i="16"/>
  <c r="F6985" i="16" s="1"/>
  <c r="F6989" i="16" s="1"/>
  <c r="F6990" i="16" s="1"/>
  <c r="F6992" i="16" s="1"/>
  <c r="F7086" i="16"/>
  <c r="F7087" i="16" s="1"/>
  <c r="F7091" i="16" s="1"/>
  <c r="F7092" i="16" s="1"/>
  <c r="F7094" i="16" s="1"/>
  <c r="F7569" i="16"/>
  <c r="F4515" i="16"/>
  <c r="F4525" i="16"/>
  <c r="F4554" i="16"/>
  <c r="F4661" i="16"/>
  <c r="F5432" i="16"/>
  <c r="F5433" i="16" s="1"/>
  <c r="F5434" i="16" s="1"/>
  <c r="F5436" i="16" s="1"/>
  <c r="F7314" i="16"/>
  <c r="F7315" i="16" s="1"/>
  <c r="F7319" i="16" s="1"/>
  <c r="F7320" i="16" s="1"/>
  <c r="F7322" i="16" s="1"/>
  <c r="F7719" i="16"/>
  <c r="F7723" i="16" s="1"/>
  <c r="F7724" i="16" s="1"/>
  <c r="F7726" i="16" s="1"/>
  <c r="F4378" i="16"/>
  <c r="F4480" i="16"/>
  <c r="F4486" i="16"/>
  <c r="F4496" i="16"/>
  <c r="F4539" i="16"/>
  <c r="F4541" i="16"/>
  <c r="F4571" i="16"/>
  <c r="F4595" i="16"/>
  <c r="F4624" i="16"/>
  <c r="F4628" i="16"/>
  <c r="F4631" i="16"/>
  <c r="F4641" i="16"/>
  <c r="F4877" i="16"/>
  <c r="F4898" i="16"/>
  <c r="F4915" i="16"/>
  <c r="F5125" i="16"/>
  <c r="F5450" i="16"/>
  <c r="F5451" i="16" s="1"/>
  <c r="F5452" i="16" s="1"/>
  <c r="F5454" i="16" s="1"/>
  <c r="F5487" i="16"/>
  <c r="F5488" i="16" s="1"/>
  <c r="F5489" i="16" s="1"/>
  <c r="F5491" i="16" s="1"/>
  <c r="F7246" i="16"/>
  <c r="F7250" i="16" s="1"/>
  <c r="F7251" i="16" s="1"/>
  <c r="F7253" i="16" s="1"/>
  <c r="F7367" i="16"/>
  <c r="F7511" i="16"/>
  <c r="F7516" i="16" s="1"/>
  <c r="F7517" i="16" s="1"/>
  <c r="F7519" i="16" s="1"/>
  <c r="F7687" i="16"/>
  <c r="F7691" i="16" s="1"/>
  <c r="F7692" i="16" s="1"/>
  <c r="F7694" i="16" s="1"/>
  <c r="F4697" i="16"/>
  <c r="F4698" i="16" s="1"/>
  <c r="F4702" i="16" s="1"/>
  <c r="F4703" i="16" s="1"/>
  <c r="F4705" i="16" s="1"/>
  <c r="F151" i="16"/>
  <c r="F152" i="16" s="1"/>
  <c r="F155" i="16" s="1"/>
  <c r="F156" i="16" s="1"/>
  <c r="F198" i="16"/>
  <c r="F207" i="16"/>
  <c r="F208" i="16" s="1"/>
  <c r="F211" i="16" s="1"/>
  <c r="F212" i="16" s="1"/>
  <c r="F326" i="16"/>
  <c r="F532" i="16"/>
  <c r="F55" i="16"/>
  <c r="F56" i="16" s="1"/>
  <c r="F58" i="16" s="1"/>
  <c r="F59" i="16" s="1"/>
  <c r="F111" i="16"/>
  <c r="F113" i="16" s="1"/>
  <c r="F115" i="16" s="1"/>
  <c r="F251" i="16"/>
  <c r="F252" i="16" s="1"/>
  <c r="F255" i="16" s="1"/>
  <c r="F256" i="16" s="1"/>
  <c r="F307" i="16"/>
  <c r="F308" i="16" s="1"/>
  <c r="F311" i="16" s="1"/>
  <c r="F312" i="16" s="1"/>
  <c r="F577" i="16"/>
  <c r="F2064" i="16"/>
  <c r="F2065" i="16" s="1"/>
  <c r="F2067" i="16" s="1"/>
  <c r="F2022" i="16"/>
  <c r="F2023" i="16" s="1"/>
  <c r="F2343" i="16"/>
  <c r="F2344" i="16" s="1"/>
  <c r="F674" i="16"/>
  <c r="F791" i="16"/>
  <c r="F851" i="16"/>
  <c r="F1099" i="16"/>
  <c r="F1336" i="16"/>
  <c r="F1806" i="16"/>
  <c r="F1807" i="16" s="1"/>
  <c r="F2094" i="16"/>
  <c r="F2095" i="16" s="1"/>
  <c r="F349" i="16"/>
  <c r="F350" i="16" s="1"/>
  <c r="F351" i="16" s="1"/>
  <c r="F354" i="16" s="1"/>
  <c r="F355" i="16" s="1"/>
  <c r="F557" i="16"/>
  <c r="F558" i="16" s="1"/>
  <c r="F561" i="16" s="1"/>
  <c r="F562" i="16" s="1"/>
  <c r="F911" i="16"/>
  <c r="F1062" i="16"/>
  <c r="F1159" i="16"/>
  <c r="F1160" i="16" s="1"/>
  <c r="F1161" i="16" s="1"/>
  <c r="F1163" i="16" s="1"/>
  <c r="F1378" i="16"/>
  <c r="F1383" i="16"/>
  <c r="F1465" i="16"/>
  <c r="F1553" i="16"/>
  <c r="F1558" i="16"/>
  <c r="F1594" i="16"/>
  <c r="F1637" i="16"/>
  <c r="F1642" i="16"/>
  <c r="F1752" i="16"/>
  <c r="F1753" i="16" s="1"/>
  <c r="F1811" i="16"/>
  <c r="F1825" i="16"/>
  <c r="F1830" i="16" s="1"/>
  <c r="F1831" i="16" s="1"/>
  <c r="F1833" i="16" s="1"/>
  <c r="F1878" i="16"/>
  <c r="F1879" i="16" s="1"/>
  <c r="F2040" i="16"/>
  <c r="F2041" i="16" s="1"/>
  <c r="F2099" i="16"/>
  <c r="F2113" i="16"/>
  <c r="F2166" i="16"/>
  <c r="F2167" i="16" s="1"/>
  <c r="F2330" i="16"/>
  <c r="F2608" i="16"/>
  <c r="F2613" i="16"/>
  <c r="F2643" i="16"/>
  <c r="F2644" i="16" s="1"/>
  <c r="F2649" i="16" s="1"/>
  <c r="F2650" i="16" s="1"/>
  <c r="F2652" i="16" s="1"/>
  <c r="F2811" i="16"/>
  <c r="F2887" i="16"/>
  <c r="F2964" i="16"/>
  <c r="F2996" i="16"/>
  <c r="F3013" i="16"/>
  <c r="F3044" i="16"/>
  <c r="F3057" i="16"/>
  <c r="F3089" i="16"/>
  <c r="F3096" i="16" s="1"/>
  <c r="F3106" i="16"/>
  <c r="F3262" i="16"/>
  <c r="F3324" i="16"/>
  <c r="F3387" i="16"/>
  <c r="F3449" i="16"/>
  <c r="F3512" i="16"/>
  <c r="F3636" i="16"/>
  <c r="F440" i="16"/>
  <c r="F441" i="16" s="1"/>
  <c r="F444" i="16" s="1"/>
  <c r="F445" i="16" s="1"/>
  <c r="F610" i="16"/>
  <c r="F611" i="16" s="1"/>
  <c r="F614" i="16" s="1"/>
  <c r="F615" i="16" s="1"/>
  <c r="F1734" i="16"/>
  <c r="F1735" i="16" s="1"/>
  <c r="F1740" i="16" s="1"/>
  <c r="F1741" i="16" s="1"/>
  <c r="F1743" i="16" s="1"/>
  <c r="F1969" i="16"/>
  <c r="F380" i="16"/>
  <c r="F381" i="16" s="1"/>
  <c r="F382" i="16" s="1"/>
  <c r="F385" i="16" s="1"/>
  <c r="F386" i="16" s="1"/>
  <c r="F814" i="16"/>
  <c r="F822" i="16" s="1"/>
  <c r="F823" i="16" s="1"/>
  <c r="F825" i="16" s="1"/>
  <c r="F826" i="16" s="1"/>
  <c r="F1248" i="16"/>
  <c r="F1249" i="16" s="1"/>
  <c r="F1250" i="16" s="1"/>
  <c r="F1252" i="16" s="1"/>
  <c r="F1420" i="16"/>
  <c r="F1425" i="16"/>
  <c r="F1444" i="16"/>
  <c r="F1460" i="16"/>
  <c r="F1499" i="16"/>
  <c r="F1504" i="16"/>
  <c r="F1678" i="16"/>
  <c r="F1683" i="16"/>
  <c r="F1883" i="16"/>
  <c r="F1897" i="16"/>
  <c r="F1950" i="16"/>
  <c r="F1951" i="16" s="1"/>
  <c r="F2171" i="16"/>
  <c r="F2185" i="16"/>
  <c r="F2190" i="16" s="1"/>
  <c r="F2191" i="16" s="1"/>
  <c r="F2193" i="16" s="1"/>
  <c r="F2203" i="16"/>
  <c r="F2208" i="16" s="1"/>
  <c r="F2209" i="16" s="1"/>
  <c r="F2211" i="16" s="1"/>
  <c r="F2221" i="16"/>
  <c r="F2226" i="16" s="1"/>
  <c r="F2227" i="16" s="1"/>
  <c r="F2229" i="16" s="1"/>
  <c r="F2311" i="16"/>
  <c r="F2312" i="16" s="1"/>
  <c r="F2313" i="16" s="1"/>
  <c r="F2315" i="16" s="1"/>
  <c r="F2396" i="16"/>
  <c r="F2397" i="16" s="1"/>
  <c r="F2401" i="16" s="1"/>
  <c r="F2402" i="16" s="1"/>
  <c r="F2404" i="16" s="1"/>
  <c r="F2809" i="16"/>
  <c r="F3025" i="16"/>
  <c r="F3118" i="16"/>
  <c r="F3245" i="16"/>
  <c r="F3307" i="16"/>
  <c r="F3370" i="16"/>
  <c r="F3432" i="16"/>
  <c r="F3495" i="16"/>
  <c r="F3619" i="16"/>
  <c r="F3746" i="16"/>
  <c r="IV3746" i="16" s="1"/>
  <c r="F3836" i="16"/>
  <c r="F4714" i="16"/>
  <c r="F4715" i="16" s="1"/>
  <c r="F4719" i="16" s="1"/>
  <c r="F4720" i="16" s="1"/>
  <c r="F4722" i="16" s="1"/>
  <c r="F5137" i="16"/>
  <c r="F5138" i="16" s="1"/>
  <c r="F7395" i="16"/>
  <c r="F7396" i="16" s="1"/>
  <c r="F3557" i="16"/>
  <c r="F3574" i="16"/>
  <c r="F3681" i="16"/>
  <c r="F3698" i="16"/>
  <c r="F3874" i="16"/>
  <c r="F3926" i="16"/>
  <c r="F4893" i="16"/>
  <c r="F4894" i="16" s="1"/>
  <c r="F3274" i="16"/>
  <c r="F3336" i="16"/>
  <c r="F3399" i="16"/>
  <c r="F3462" i="16"/>
  <c r="F3524" i="16"/>
  <c r="F3586" i="16"/>
  <c r="F3710" i="16"/>
  <c r="F4004" i="16"/>
  <c r="F4467" i="16"/>
  <c r="F4655" i="16"/>
  <c r="F4656" i="16" s="1"/>
  <c r="F5086" i="16"/>
  <c r="F5087" i="16" s="1"/>
  <c r="F4045" i="16"/>
  <c r="F4095" i="16"/>
  <c r="F4602" i="16"/>
  <c r="F4729" i="16"/>
  <c r="F4767" i="16"/>
  <c r="F4768" i="16" s="1"/>
  <c r="F4772" i="16" s="1"/>
  <c r="F4773" i="16" s="1"/>
  <c r="F4775" i="16" s="1"/>
  <c r="F5142" i="16"/>
  <c r="F5155" i="16"/>
  <c r="F5160" i="16" s="1"/>
  <c r="F5161" i="16" s="1"/>
  <c r="F5163" i="16" s="1"/>
  <c r="F3938" i="16"/>
  <c r="F3978" i="16"/>
  <c r="F4042" i="16"/>
  <c r="F4123" i="16"/>
  <c r="F4153" i="16"/>
  <c r="F4183" i="16"/>
  <c r="F4213" i="16"/>
  <c r="F4243" i="16"/>
  <c r="F4331" i="16"/>
  <c r="F4333" i="16" s="1"/>
  <c r="F4927" i="16"/>
  <c r="F4928" i="16" s="1"/>
  <c r="F5723" i="16"/>
  <c r="F5724" i="16" s="1"/>
  <c r="F5728" i="16" s="1"/>
  <c r="F5729" i="16" s="1"/>
  <c r="F5731" i="16" s="1"/>
  <c r="F5997" i="16"/>
  <c r="F5998" i="16" s="1"/>
  <c r="F6002" i="16" s="1"/>
  <c r="F6003" i="16" s="1"/>
  <c r="F6005" i="16" s="1"/>
  <c r="F4414" i="16"/>
  <c r="F4572" i="16"/>
  <c r="F4625" i="16"/>
  <c r="F4683" i="16"/>
  <c r="F4784" i="16"/>
  <c r="F4785" i="16" s="1"/>
  <c r="F4789" i="16" s="1"/>
  <c r="F4790" i="16" s="1"/>
  <c r="F4792" i="16" s="1"/>
  <c r="F4801" i="16"/>
  <c r="F4823" i="16"/>
  <c r="F4824" i="16" s="1"/>
  <c r="F4842" i="16"/>
  <c r="F4843" i="16" s="1"/>
  <c r="F4848" i="16" s="1"/>
  <c r="F4849" i="16" s="1"/>
  <c r="F4851" i="16" s="1"/>
  <c r="F4860" i="16"/>
  <c r="F4932" i="16"/>
  <c r="F4947" i="16"/>
  <c r="F4952" i="16" s="1"/>
  <c r="F4953" i="16" s="1"/>
  <c r="F4955" i="16" s="1"/>
  <c r="F5069" i="16"/>
  <c r="F5070" i="16" s="1"/>
  <c r="F5075" i="16" s="1"/>
  <c r="F5076" i="16" s="1"/>
  <c r="F5078" i="16" s="1"/>
  <c r="F5171" i="16"/>
  <c r="F5172" i="16" s="1"/>
  <c r="F5177" i="16" s="1"/>
  <c r="F5178" i="16" s="1"/>
  <c r="F5180" i="16" s="1"/>
  <c r="F5212" i="16"/>
  <c r="F6269" i="16"/>
  <c r="F6270" i="16" s="1"/>
  <c r="F6274" i="16" s="1"/>
  <c r="F6275" i="16" s="1"/>
  <c r="F6277" i="16" s="1"/>
  <c r="F5249" i="16"/>
  <c r="F5250" i="16" s="1"/>
  <c r="F5252" i="16" s="1"/>
  <c r="F5321" i="16"/>
  <c r="F5322" i="16" s="1"/>
  <c r="F5324" i="16" s="1"/>
  <c r="F5587" i="16"/>
  <c r="F5588" i="16" s="1"/>
  <c r="F5592" i="16" s="1"/>
  <c r="F5593" i="16" s="1"/>
  <c r="F5595" i="16" s="1"/>
  <c r="F5861" i="16"/>
  <c r="F5862" i="16" s="1"/>
  <c r="F5866" i="16" s="1"/>
  <c r="F5867" i="16" s="1"/>
  <c r="F5869" i="16" s="1"/>
  <c r="F6133" i="16"/>
  <c r="F6134" i="16" s="1"/>
  <c r="F6138" i="16" s="1"/>
  <c r="F6139" i="16" s="1"/>
  <c r="F6141" i="16" s="1"/>
  <c r="F5376" i="16"/>
  <c r="F5377" i="16" s="1"/>
  <c r="F5378" i="16" s="1"/>
  <c r="F5380" i="16" s="1"/>
  <c r="F6168" i="16"/>
  <c r="F6172" i="16" s="1"/>
  <c r="F6173" i="16" s="1"/>
  <c r="F6175" i="16" s="1"/>
  <c r="F6291" i="16"/>
  <c r="F6292" i="16" s="1"/>
  <c r="F6294" i="16" s="1"/>
  <c r="F6304" i="16"/>
  <c r="F6308" i="16" s="1"/>
  <c r="F6309" i="16" s="1"/>
  <c r="F6311" i="16" s="1"/>
  <c r="F6405" i="16"/>
  <c r="F6406" i="16" s="1"/>
  <c r="F6410" i="16" s="1"/>
  <c r="F6411" i="16" s="1"/>
  <c r="F6413" i="16" s="1"/>
  <c r="F6660" i="16"/>
  <c r="F6661" i="16" s="1"/>
  <c r="F6665" i="16" s="1"/>
  <c r="F6666" i="16" s="1"/>
  <c r="F6668" i="16" s="1"/>
  <c r="F6728" i="16"/>
  <c r="F6729" i="16" s="1"/>
  <c r="F6733" i="16" s="1"/>
  <c r="F6734" i="16" s="1"/>
  <c r="F6736" i="16" s="1"/>
  <c r="F6796" i="16"/>
  <c r="F6797" i="16" s="1"/>
  <c r="F6801" i="16" s="1"/>
  <c r="F6802" i="16" s="1"/>
  <c r="F6804" i="16" s="1"/>
  <c r="F6865" i="16"/>
  <c r="F6866" i="16" s="1"/>
  <c r="F6870" i="16" s="1"/>
  <c r="F6871" i="16" s="1"/>
  <c r="F6873" i="16" s="1"/>
  <c r="F6933" i="16"/>
  <c r="F6934" i="16" s="1"/>
  <c r="F6938" i="16" s="1"/>
  <c r="F6939" i="16" s="1"/>
  <c r="F6941" i="16" s="1"/>
  <c r="F5389" i="16"/>
  <c r="F5390" i="16" s="1"/>
  <c r="F5621" i="16"/>
  <c r="F5622" i="16" s="1"/>
  <c r="F5626" i="16" s="1"/>
  <c r="F5627" i="16" s="1"/>
  <c r="F5629" i="16" s="1"/>
  <c r="F5757" i="16"/>
  <c r="F5758" i="16" s="1"/>
  <c r="F5762" i="16" s="1"/>
  <c r="F5763" i="16" s="1"/>
  <c r="F5765" i="16" s="1"/>
  <c r="F5895" i="16"/>
  <c r="F5896" i="16" s="1"/>
  <c r="F5900" i="16" s="1"/>
  <c r="F5901" i="16" s="1"/>
  <c r="F5903" i="16" s="1"/>
  <c r="F6031" i="16"/>
  <c r="F6032" i="16" s="1"/>
  <c r="F6036" i="16" s="1"/>
  <c r="F6037" i="16" s="1"/>
  <c r="F6039" i="16" s="1"/>
  <c r="F7670" i="16"/>
  <c r="F7671" i="16" s="1"/>
  <c r="F7675" i="16" s="1"/>
  <c r="F7676" i="16" s="1"/>
  <c r="F7678" i="16" s="1"/>
  <c r="F5207" i="16"/>
  <c r="F5208" i="16" s="1"/>
  <c r="F5262" i="16"/>
  <c r="F5279" i="16"/>
  <c r="F5280" i="16" s="1"/>
  <c r="F5285" i="16" s="1"/>
  <c r="F5286" i="16" s="1"/>
  <c r="F5288" i="16" s="1"/>
  <c r="F5334" i="16"/>
  <c r="F5351" i="16"/>
  <c r="F5352" i="16" s="1"/>
  <c r="F5409" i="16"/>
  <c r="F5410" i="16" s="1"/>
  <c r="F5414" i="16" s="1"/>
  <c r="F5415" i="16" s="1"/>
  <c r="F5417" i="16" s="1"/>
  <c r="F5537" i="16"/>
  <c r="F5541" i="16" s="1"/>
  <c r="F5542" i="16" s="1"/>
  <c r="F5544" i="16" s="1"/>
  <c r="F5554" i="16"/>
  <c r="F5558" i="16" s="1"/>
  <c r="F5559" i="16" s="1"/>
  <c r="F5561" i="16" s="1"/>
  <c r="F5655" i="16"/>
  <c r="F5656" i="16" s="1"/>
  <c r="F5660" i="16" s="1"/>
  <c r="F5661" i="16" s="1"/>
  <c r="F5663" i="16" s="1"/>
  <c r="F5690" i="16"/>
  <c r="F5694" i="16" s="1"/>
  <c r="F5695" i="16" s="1"/>
  <c r="F5697" i="16" s="1"/>
  <c r="F5791" i="16"/>
  <c r="F5792" i="16" s="1"/>
  <c r="F5796" i="16" s="1"/>
  <c r="F5797" i="16" s="1"/>
  <c r="F5799" i="16" s="1"/>
  <c r="F5827" i="16"/>
  <c r="F5831" i="16" s="1"/>
  <c r="F5832" i="16" s="1"/>
  <c r="F5834" i="16" s="1"/>
  <c r="F5929" i="16"/>
  <c r="F5930" i="16" s="1"/>
  <c r="F5934" i="16" s="1"/>
  <c r="F5935" i="16" s="1"/>
  <c r="F5937" i="16" s="1"/>
  <c r="F5951" i="16"/>
  <c r="F5952" i="16" s="1"/>
  <c r="F5954" i="16" s="1"/>
  <c r="F5964" i="16"/>
  <c r="F5968" i="16" s="1"/>
  <c r="F5969" i="16" s="1"/>
  <c r="F5971" i="16" s="1"/>
  <c r="F6065" i="16"/>
  <c r="F6066" i="16" s="1"/>
  <c r="F6070" i="16" s="1"/>
  <c r="F6071" i="16" s="1"/>
  <c r="F6073" i="16" s="1"/>
  <c r="F6087" i="16"/>
  <c r="F6088" i="16" s="1"/>
  <c r="F6090" i="16" s="1"/>
  <c r="F6100" i="16"/>
  <c r="F6104" i="16" s="1"/>
  <c r="F6105" i="16" s="1"/>
  <c r="F6107" i="16" s="1"/>
  <c r="F6201" i="16"/>
  <c r="F6202" i="16" s="1"/>
  <c r="F6206" i="16" s="1"/>
  <c r="F6207" i="16" s="1"/>
  <c r="F6209" i="16" s="1"/>
  <c r="F6236" i="16"/>
  <c r="F6240" i="16" s="1"/>
  <c r="F6241" i="16" s="1"/>
  <c r="F6243" i="16" s="1"/>
  <c r="F6337" i="16"/>
  <c r="F6338" i="16" s="1"/>
  <c r="F6342" i="16" s="1"/>
  <c r="F6343" i="16" s="1"/>
  <c r="F6345" i="16" s="1"/>
  <c r="F6389" i="16"/>
  <c r="F6393" i="16" s="1"/>
  <c r="F6394" i="16" s="1"/>
  <c r="F6396" i="16" s="1"/>
  <c r="F6626" i="16"/>
  <c r="F6627" i="16" s="1"/>
  <c r="F6631" i="16" s="1"/>
  <c r="F6632" i="16" s="1"/>
  <c r="F6634" i="16" s="1"/>
  <c r="F6694" i="16"/>
  <c r="F6695" i="16" s="1"/>
  <c r="F6699" i="16" s="1"/>
  <c r="F6700" i="16" s="1"/>
  <c r="F6702" i="16" s="1"/>
  <c r="F6762" i="16"/>
  <c r="F6763" i="16" s="1"/>
  <c r="F6767" i="16" s="1"/>
  <c r="F6768" i="16" s="1"/>
  <c r="F6770" i="16" s="1"/>
  <c r="F6830" i="16"/>
  <c r="F6831" i="16" s="1"/>
  <c r="F6835" i="16" s="1"/>
  <c r="F6836" i="16" s="1"/>
  <c r="F6838" i="16" s="1"/>
  <c r="F6899" i="16"/>
  <c r="F6900" i="16" s="1"/>
  <c r="F6904" i="16" s="1"/>
  <c r="F6905" i="16" s="1"/>
  <c r="F6907" i="16" s="1"/>
  <c r="F6967" i="16"/>
  <c r="F6968" i="16" s="1"/>
  <c r="F6972" i="16" s="1"/>
  <c r="F6973" i="16" s="1"/>
  <c r="F6975" i="16" s="1"/>
  <c r="F7001" i="16"/>
  <c r="F7002" i="16" s="1"/>
  <c r="F7006" i="16" s="1"/>
  <c r="F7007" i="16" s="1"/>
  <c r="F7009" i="16" s="1"/>
  <c r="F7434" i="16"/>
  <c r="F7435" i="16" s="1"/>
  <c r="F7703" i="16"/>
  <c r="F7707" i="16" s="1"/>
  <c r="F7708" i="16" s="1"/>
  <c r="F7710" i="16" s="1"/>
  <c r="F7402" i="16"/>
  <c r="F7443" i="16"/>
  <c r="F7735" i="16"/>
  <c r="F7739" i="16" s="1"/>
  <c r="F7740" i="16" s="1"/>
  <c r="F7742" i="16" s="1"/>
  <c r="F7213" i="16"/>
  <c r="F7214" i="16" s="1"/>
  <c r="F7216" i="16" s="1"/>
  <c r="F7296" i="16"/>
  <c r="F7297" i="16" s="1"/>
  <c r="F7301" i="16" s="1"/>
  <c r="F7302" i="16" s="1"/>
  <c r="F7304" i="16" s="1"/>
  <c r="F7528" i="16"/>
  <c r="F7529" i="16" s="1"/>
  <c r="F7600" i="16"/>
  <c r="F7601" i="16" s="1"/>
  <c r="F7036" i="16"/>
  <c r="F7040" i="16" s="1"/>
  <c r="F7041" i="16" s="1"/>
  <c r="F7043" i="16" s="1"/>
  <c r="F7070" i="16"/>
  <c r="F7074" i="16" s="1"/>
  <c r="F7075" i="16" s="1"/>
  <c r="F7077" i="16" s="1"/>
  <c r="F7104" i="16"/>
  <c r="F7108" i="16" s="1"/>
  <c r="F7109" i="16" s="1"/>
  <c r="F7111" i="16" s="1"/>
  <c r="F7262" i="16"/>
  <c r="F7463" i="16"/>
  <c r="F7476" i="16"/>
  <c r="F7481" i="16" s="1"/>
  <c r="F7482" i="16" s="1"/>
  <c r="F7484" i="16" s="1"/>
  <c r="F7533" i="16"/>
  <c r="F7547" i="16"/>
  <c r="F7605" i="16"/>
  <c r="F7619" i="16"/>
  <c r="F4405" i="16" l="1"/>
  <c r="F4406" i="16" s="1"/>
  <c r="F2753" i="16"/>
  <c r="F2754" i="16" s="1"/>
  <c r="F2010" i="16"/>
  <c r="F2011" i="16" s="1"/>
  <c r="F2013" i="16" s="1"/>
  <c r="F1920" i="16"/>
  <c r="F1921" i="16" s="1"/>
  <c r="F1923" i="16" s="1"/>
  <c r="F5397" i="16"/>
  <c r="F5398" i="16" s="1"/>
  <c r="F5400" i="16" s="1"/>
  <c r="F4189" i="16"/>
  <c r="F4190" i="16" s="1"/>
  <c r="F4199" i="16" s="1"/>
  <c r="F4200" i="16" s="1"/>
  <c r="F4202" i="16" s="1"/>
  <c r="F1956" i="16"/>
  <c r="F1957" i="16" s="1"/>
  <c r="F1959" i="16" s="1"/>
  <c r="F1445" i="16"/>
  <c r="F1446" i="16" s="1"/>
  <c r="F1448" i="16" s="1"/>
  <c r="F2028" i="16"/>
  <c r="F2029" i="16" s="1"/>
  <c r="F2031" i="16" s="1"/>
  <c r="F2457" i="16"/>
  <c r="F2458" i="16" s="1"/>
  <c r="F2460" i="16" s="1"/>
  <c r="F973" i="16"/>
  <c r="F974" i="16" s="1"/>
  <c r="F976" i="16" s="1"/>
  <c r="F977" i="16" s="1"/>
  <c r="F1621" i="16"/>
  <c r="F1622" i="16" s="1"/>
  <c r="F1624" i="16" s="1"/>
  <c r="F3839" i="16"/>
  <c r="F1974" i="16"/>
  <c r="F1975" i="16" s="1"/>
  <c r="F1977" i="16" s="1"/>
  <c r="F2118" i="16"/>
  <c r="F2119" i="16" s="1"/>
  <c r="F2121" i="16" s="1"/>
  <c r="F4073" i="16"/>
  <c r="F4074" i="16" s="1"/>
  <c r="F3969" i="16"/>
  <c r="F3970" i="16" s="1"/>
  <c r="F3979" i="16" s="1"/>
  <c r="F3980" i="16" s="1"/>
  <c r="F3982" i="16" s="1"/>
  <c r="F7267" i="16"/>
  <c r="F7268" i="16" s="1"/>
  <c r="F7270" i="16" s="1"/>
  <c r="F4899" i="16"/>
  <c r="F4900" i="16" s="1"/>
  <c r="F4902" i="16" s="1"/>
  <c r="F4429" i="16"/>
  <c r="F1902" i="16"/>
  <c r="F1903" i="16" s="1"/>
  <c r="F1905" i="16" s="1"/>
  <c r="F1906" i="16" s="1"/>
  <c r="F4458" i="16"/>
  <c r="F4459" i="16" s="1"/>
  <c r="F4468" i="16" s="1"/>
  <c r="F4469" i="16" s="1"/>
  <c r="F4471" i="16" s="1"/>
  <c r="E2987" i="16"/>
  <c r="E3018" i="16" s="1"/>
  <c r="E3049" i="16" s="1"/>
  <c r="E3080" i="16" s="1"/>
  <c r="E3111" i="16" s="1"/>
  <c r="E3142" i="16" s="1"/>
  <c r="E3173" i="16" s="1"/>
  <c r="E3204" i="16" s="1"/>
  <c r="E3236" i="16" s="1"/>
  <c r="E3267" i="16" s="1"/>
  <c r="E3298" i="16" s="1"/>
  <c r="E3329" i="16" s="1"/>
  <c r="E3360" i="16" s="1"/>
  <c r="E3392" i="16" s="1"/>
  <c r="E3423" i="16" s="1"/>
  <c r="E3454" i="16" s="1"/>
  <c r="E3486" i="16" s="1"/>
  <c r="E3517" i="16" s="1"/>
  <c r="E3548" i="16" s="1"/>
  <c r="E3579" i="16" s="1"/>
  <c r="E3610" i="16" s="1"/>
  <c r="E3641" i="16" s="1"/>
  <c r="E3672" i="16" s="1"/>
  <c r="E3703" i="16" s="1"/>
  <c r="E3734" i="16" s="1"/>
  <c r="E3765" i="16" s="1"/>
  <c r="E3796" i="16" s="1"/>
  <c r="E3827" i="16" s="1"/>
  <c r="E3853" i="16" s="1"/>
  <c r="E3879" i="16" s="1"/>
  <c r="E3905" i="16" s="1"/>
  <c r="E3931" i="16" s="1"/>
  <c r="E3957" i="16" s="1"/>
  <c r="E3983" i="16" s="1"/>
  <c r="E4009" i="16" s="1"/>
  <c r="E4035" i="16" s="1"/>
  <c r="E4061" i="16" s="1"/>
  <c r="E4087" i="16" s="1"/>
  <c r="E4113" i="16" s="1"/>
  <c r="E4143" i="16" s="1"/>
  <c r="E4173" i="16" s="1"/>
  <c r="E4203" i="16" s="1"/>
  <c r="E4233" i="16" s="1"/>
  <c r="E4263" i="16" s="1"/>
  <c r="E4293" i="16" s="1"/>
  <c r="E2924" i="16"/>
  <c r="F2247" i="16"/>
  <c r="F2212" i="16"/>
  <c r="F4021" i="16"/>
  <c r="F4022" i="16" s="1"/>
  <c r="F4031" i="16" s="1"/>
  <c r="F4032" i="16" s="1"/>
  <c r="F4034" i="16" s="1"/>
  <c r="F3158" i="16"/>
  <c r="F3159" i="16" s="1"/>
  <c r="F3169" i="16" s="1"/>
  <c r="F3170" i="16" s="1"/>
  <c r="F3172" i="16" s="1"/>
  <c r="F4381" i="16"/>
  <c r="F4382" i="16" s="1"/>
  <c r="F4391" i="16" s="1"/>
  <c r="F4392" i="16" s="1"/>
  <c r="F4394" i="16" s="1"/>
  <c r="F4279" i="16"/>
  <c r="F3439" i="16"/>
  <c r="F3440" i="16" s="1"/>
  <c r="F2331" i="16"/>
  <c r="F2332" i="16" s="1"/>
  <c r="F2334" i="16" s="1"/>
  <c r="F852" i="16"/>
  <c r="F853" i="16" s="1"/>
  <c r="F855" i="16" s="1"/>
  <c r="F856" i="16" s="1"/>
  <c r="F4516" i="16"/>
  <c r="F4517" i="16" s="1"/>
  <c r="F2764" i="16"/>
  <c r="F2765" i="16" s="1"/>
  <c r="F2767" i="16" s="1"/>
  <c r="F3003" i="16"/>
  <c r="F3004" i="16" s="1"/>
  <c r="F3014" i="16" s="1"/>
  <c r="F3015" i="16" s="1"/>
  <c r="F3017" i="16" s="1"/>
  <c r="F3018" i="16" s="1"/>
  <c r="F3891" i="16"/>
  <c r="F5339" i="16"/>
  <c r="F5340" i="16" s="1"/>
  <c r="F5342" i="16" s="1"/>
  <c r="F680" i="16"/>
  <c r="F681" i="16" s="1"/>
  <c r="F683" i="16" s="1"/>
  <c r="F684" i="16" s="1"/>
  <c r="F3189" i="16"/>
  <c r="F4545" i="16"/>
  <c r="F4546" i="16" s="1"/>
  <c r="F4555" i="16" s="1"/>
  <c r="F4556" i="16" s="1"/>
  <c r="F4558" i="16" s="1"/>
  <c r="F4990" i="16"/>
  <c r="F4991" i="16" s="1"/>
  <c r="F4993" i="16" s="1"/>
  <c r="F7624" i="16"/>
  <c r="F7625" i="16" s="1"/>
  <c r="F7627" i="16" s="1"/>
  <c r="F592" i="16"/>
  <c r="F5041" i="16"/>
  <c r="F5042" i="16" s="1"/>
  <c r="F5044" i="16" s="1"/>
  <c r="F7642" i="16"/>
  <c r="F7643" i="16" s="1"/>
  <c r="F7645" i="16" s="1"/>
  <c r="E7152" i="16"/>
  <c r="F7152" i="16" s="1"/>
  <c r="F7155" i="16" s="1"/>
  <c r="F7159" i="16" s="1"/>
  <c r="F7160" i="16" s="1"/>
  <c r="F7162" i="16" s="1"/>
  <c r="F3657" i="16"/>
  <c r="F3658" i="16" s="1"/>
  <c r="F3668" i="16" s="1"/>
  <c r="F3669" i="16" s="1"/>
  <c r="F3671" i="16" s="1"/>
  <c r="F3672" i="16" s="1"/>
  <c r="F4662" i="16"/>
  <c r="F4663" i="16" s="1"/>
  <c r="F4665" i="16" s="1"/>
  <c r="F4280" i="16"/>
  <c r="F4289" i="16" s="1"/>
  <c r="F4290" i="16" s="1"/>
  <c r="F4292" i="16" s="1"/>
  <c r="F4971" i="16"/>
  <c r="F4972" i="16" s="1"/>
  <c r="F4974" i="16" s="1"/>
  <c r="F1321" i="16"/>
  <c r="F1322" i="16" s="1"/>
  <c r="F1324" i="16" s="1"/>
  <c r="E4800" i="16" s="1"/>
  <c r="F4800" i="16" s="1"/>
  <c r="F4804" i="16" s="1"/>
  <c r="F4810" i="16" s="1"/>
  <c r="F4811" i="16" s="1"/>
  <c r="F4813" i="16" s="1"/>
  <c r="F1130" i="16"/>
  <c r="F1131" i="16" s="1"/>
  <c r="F1133" i="16" s="1"/>
  <c r="F1134" i="16" s="1"/>
  <c r="F5024" i="16"/>
  <c r="F5025" i="16" s="1"/>
  <c r="F5027" i="16" s="1"/>
  <c r="F1722" i="16"/>
  <c r="F1723" i="16" s="1"/>
  <c r="F1725" i="16" s="1"/>
  <c r="F3995" i="16"/>
  <c r="F3996" i="16" s="1"/>
  <c r="F4005" i="16" s="1"/>
  <c r="F4006" i="16" s="1"/>
  <c r="F4008" i="16" s="1"/>
  <c r="F4009" i="16" s="1"/>
  <c r="F2496" i="16"/>
  <c r="F2497" i="16" s="1"/>
  <c r="F2499" i="16" s="1"/>
  <c r="F2500" i="16" s="1"/>
  <c r="F1363" i="16"/>
  <c r="F1364" i="16" s="1"/>
  <c r="F1366" i="16" s="1"/>
  <c r="F1367" i="16" s="1"/>
  <c r="F4916" i="16"/>
  <c r="F4917" i="16" s="1"/>
  <c r="F4919" i="16" s="1"/>
  <c r="F3865" i="16"/>
  <c r="F3866" i="16" s="1"/>
  <c r="F3875" i="16" s="1"/>
  <c r="F3876" i="16" s="1"/>
  <c r="F3878" i="16" s="1"/>
  <c r="F3879" i="16" s="1"/>
  <c r="F4129" i="16"/>
  <c r="F4130" i="16" s="1"/>
  <c r="F4139" i="16" s="1"/>
  <c r="F4140" i="16" s="1"/>
  <c r="F4142" i="16" s="1"/>
  <c r="F3917" i="16"/>
  <c r="F3918" i="16" s="1"/>
  <c r="F3927" i="16" s="1"/>
  <c r="F3928" i="16" s="1"/>
  <c r="F3930" i="16" s="1"/>
  <c r="F7534" i="16"/>
  <c r="F7535" i="16" s="1"/>
  <c r="F7537" i="16" s="1"/>
  <c r="F2877" i="16"/>
  <c r="F2878" i="16" s="1"/>
  <c r="F2888" i="16" s="1"/>
  <c r="F2889" i="16" s="1"/>
  <c r="F2891" i="16" s="1"/>
  <c r="F2892" i="16" s="1"/>
  <c r="F4829" i="16"/>
  <c r="F4830" i="16" s="1"/>
  <c r="F4832" i="16" s="1"/>
  <c r="E7188" i="16"/>
  <c r="F7188" i="16" s="1"/>
  <c r="F7192" i="16" s="1"/>
  <c r="F7196" i="16" s="1"/>
  <c r="F7197" i="16" s="1"/>
  <c r="F7199" i="16" s="1"/>
  <c r="F2722" i="16"/>
  <c r="F2723" i="16" s="1"/>
  <c r="F2733" i="16" s="1"/>
  <c r="F2734" i="16" s="1"/>
  <c r="F2736" i="16" s="1"/>
  <c r="F2795" i="16"/>
  <c r="F2796" i="16" s="1"/>
  <c r="F2798" i="16" s="1"/>
  <c r="F2799" i="16" s="1"/>
  <c r="F1525" i="16"/>
  <c r="F1580" i="16"/>
  <c r="F1581" i="16" s="1"/>
  <c r="F1583" i="16" s="1"/>
  <c r="F1584" i="16" s="1"/>
  <c r="F7444" i="16"/>
  <c r="F7445" i="16" s="1"/>
  <c r="F7447" i="16" s="1"/>
  <c r="F4367" i="16"/>
  <c r="F4368" i="16" s="1"/>
  <c r="F4370" i="16" s="1"/>
  <c r="F1600" i="16"/>
  <c r="F1601" i="16" s="1"/>
  <c r="F1603" i="16" s="1"/>
  <c r="F1604" i="16" s="1"/>
  <c r="F1384" i="16"/>
  <c r="F1385" i="16" s="1"/>
  <c r="F1387" i="16" s="1"/>
  <c r="F1388" i="16" s="1"/>
  <c r="F912" i="16"/>
  <c r="F913" i="16" s="1"/>
  <c r="F915" i="16" s="1"/>
  <c r="F916" i="16" s="1"/>
  <c r="F792" i="16"/>
  <c r="F793" i="16" s="1"/>
  <c r="F795" i="16" s="1"/>
  <c r="F796" i="16" s="1"/>
  <c r="F2575" i="16"/>
  <c r="F2576" i="16" s="1"/>
  <c r="F2578" i="16" s="1"/>
  <c r="F2579" i="16" s="1"/>
  <c r="F1663" i="16"/>
  <c r="F1664" i="16" s="1"/>
  <c r="F1666" i="16" s="1"/>
  <c r="F1667" i="16" s="1"/>
  <c r="F708" i="16"/>
  <c r="F709" i="16" s="1"/>
  <c r="F711" i="16" s="1"/>
  <c r="F712" i="16" s="1"/>
  <c r="F1342" i="16"/>
  <c r="F1343" i="16" s="1"/>
  <c r="F1345" i="16" s="1"/>
  <c r="F1346" i="16" s="1"/>
  <c r="F737" i="16"/>
  <c r="F738" i="16" s="1"/>
  <c r="F740" i="16" s="1"/>
  <c r="F741" i="16" s="1"/>
  <c r="F5231" i="16"/>
  <c r="F5232" i="16" s="1"/>
  <c r="F5234" i="16" s="1"/>
  <c r="F2702" i="16"/>
  <c r="F2703" i="16" s="1"/>
  <c r="F2705" i="16" s="1"/>
  <c r="F1070" i="16"/>
  <c r="F1071" i="16" s="1"/>
  <c r="F1073" i="16" s="1"/>
  <c r="F1074" i="16" s="1"/>
  <c r="F2671" i="16"/>
  <c r="F5267" i="16"/>
  <c r="F5268" i="16" s="1"/>
  <c r="F5270" i="16" s="1"/>
  <c r="F4865" i="16"/>
  <c r="F4866" i="16" s="1"/>
  <c r="F4868" i="16" s="1"/>
  <c r="F4574" i="16"/>
  <c r="F4575" i="16" s="1"/>
  <c r="F4584" i="16" s="1"/>
  <c r="F4585" i="16" s="1"/>
  <c r="F4587" i="16" s="1"/>
  <c r="F3943" i="16"/>
  <c r="F4083" i="16"/>
  <c r="F4084" i="16" s="1"/>
  <c r="F4086" i="16" s="1"/>
  <c r="F4087" i="16" s="1"/>
  <c r="F1978" i="16"/>
  <c r="F3232" i="16"/>
  <c r="F3233" i="16" s="1"/>
  <c r="F3235" i="16" s="1"/>
  <c r="F3236" i="16" s="1"/>
  <c r="F1812" i="16"/>
  <c r="F1813" i="16" s="1"/>
  <c r="F1815" i="16" s="1"/>
  <c r="F1816" i="16" s="1"/>
  <c r="F1996" i="16"/>
  <c r="F2768" i="16"/>
  <c r="F7570" i="16"/>
  <c r="F7571" i="16" s="1"/>
  <c r="F7573" i="16" s="1"/>
  <c r="F2371" i="16"/>
  <c r="F1283" i="16"/>
  <c r="F943" i="16"/>
  <c r="F944" i="16" s="1"/>
  <c r="F946" i="16" s="1"/>
  <c r="F947" i="16" s="1"/>
  <c r="F1625" i="16"/>
  <c r="F7464" i="16"/>
  <c r="F7465" i="16" s="1"/>
  <c r="F7467" i="16" s="1"/>
  <c r="F2122" i="16"/>
  <c r="F1100" i="16"/>
  <c r="F1101" i="16" s="1"/>
  <c r="F1103" i="16" s="1"/>
  <c r="F1104" i="16" s="1"/>
  <c r="F4487" i="16"/>
  <c r="F4488" i="16" s="1"/>
  <c r="F4497" i="16" s="1"/>
  <c r="F4498" i="16" s="1"/>
  <c r="F4500" i="16" s="1"/>
  <c r="F5126" i="16"/>
  <c r="F5127" i="16" s="1"/>
  <c r="F5129" i="16" s="1"/>
  <c r="F3190" i="16"/>
  <c r="F3200" i="16" s="1"/>
  <c r="F3201" i="16" s="1"/>
  <c r="F3203" i="16" s="1"/>
  <c r="F3204" i="16" s="1"/>
  <c r="F7552" i="16"/>
  <c r="F7553" i="16" s="1"/>
  <c r="F7555" i="16" s="1"/>
  <c r="F5357" i="16"/>
  <c r="F5358" i="16" s="1"/>
  <c r="F5360" i="16" s="1"/>
  <c r="F5092" i="16"/>
  <c r="F5093" i="16" s="1"/>
  <c r="F5095" i="16" s="1"/>
  <c r="F4430" i="16"/>
  <c r="F4439" i="16" s="1"/>
  <c r="F4440" i="16" s="1"/>
  <c r="F4442" i="16" s="1"/>
  <c r="F2230" i="16"/>
  <c r="F1960" i="16"/>
  <c r="F1253" i="16"/>
  <c r="F2815" i="16"/>
  <c r="F2816" i="16" s="1"/>
  <c r="F2826" i="16" s="1"/>
  <c r="F2827" i="16" s="1"/>
  <c r="F2829" i="16" s="1"/>
  <c r="F2830" i="16" s="1"/>
  <c r="F2335" i="16"/>
  <c r="F2046" i="16"/>
  <c r="F2047" i="16" s="1"/>
  <c r="F2049" i="16" s="1"/>
  <c r="F2050" i="16" s="1"/>
  <c r="F1758" i="16"/>
  <c r="F1759" i="16" s="1"/>
  <c r="F1761" i="16" s="1"/>
  <c r="F1762" i="16" s="1"/>
  <c r="F2086" i="16"/>
  <c r="F2422" i="16"/>
  <c r="F1237" i="16"/>
  <c r="F4882" i="16"/>
  <c r="F4883" i="16" s="1"/>
  <c r="F4885" i="16" s="1"/>
  <c r="F4099" i="16"/>
  <c r="F4100" i="16" s="1"/>
  <c r="F4109" i="16" s="1"/>
  <c r="F4110" i="16" s="1"/>
  <c r="F4112" i="16" s="1"/>
  <c r="F4113" i="16" s="1"/>
  <c r="F2737" i="16"/>
  <c r="F2297" i="16"/>
  <c r="F1404" i="16"/>
  <c r="F1405" i="16" s="1"/>
  <c r="F1407" i="16" s="1"/>
  <c r="F1408" i="16" s="1"/>
  <c r="F4293" i="16"/>
  <c r="F1866" i="16"/>
  <c r="F1867" i="16" s="1"/>
  <c r="F1869" i="16" s="1"/>
  <c r="F1870" i="16" s="1"/>
  <c r="F767" i="16"/>
  <c r="F768" i="16" s="1"/>
  <c r="F770" i="16" s="1"/>
  <c r="F771" i="16" s="1"/>
  <c r="F1726" i="16"/>
  <c r="F4603" i="16"/>
  <c r="F4604" i="16" s="1"/>
  <c r="F4613" i="16" s="1"/>
  <c r="F4614" i="16" s="1"/>
  <c r="F4616" i="16" s="1"/>
  <c r="F2653" i="16"/>
  <c r="F2349" i="16"/>
  <c r="F2350" i="16" s="1"/>
  <c r="F2352" i="16" s="1"/>
  <c r="F2353" i="16" s="1"/>
  <c r="F2068" i="16"/>
  <c r="F1942" i="16"/>
  <c r="F2388" i="16"/>
  <c r="F1489" i="16"/>
  <c r="F2539" i="16"/>
  <c r="F1541" i="16"/>
  <c r="F2846" i="16"/>
  <c r="F2847" i="16" s="1"/>
  <c r="F2857" i="16" s="1"/>
  <c r="F2858" i="16" s="1"/>
  <c r="F2860" i="16" s="1"/>
  <c r="F2861" i="16" s="1"/>
  <c r="F2014" i="16"/>
  <c r="F2706" i="16"/>
  <c r="F4035" i="16"/>
  <c r="F5143" i="16"/>
  <c r="F5144" i="16" s="1"/>
  <c r="F5146" i="16" s="1"/>
  <c r="F3564" i="16"/>
  <c r="F3565" i="16" s="1"/>
  <c r="F3575" i="16" s="1"/>
  <c r="F3576" i="16" s="1"/>
  <c r="F3578" i="16" s="1"/>
  <c r="F3579" i="16" s="1"/>
  <c r="F3097" i="16"/>
  <c r="F3107" i="16" s="1"/>
  <c r="F3108" i="16" s="1"/>
  <c r="F3110" i="16" s="1"/>
  <c r="F3111" i="16" s="1"/>
  <c r="F2405" i="16"/>
  <c r="F2194" i="16"/>
  <c r="F1449" i="16"/>
  <c r="F1643" i="16"/>
  <c r="F1644" i="16" s="1"/>
  <c r="F1646" i="16" s="1"/>
  <c r="F1647" i="16" s="1"/>
  <c r="F2032" i="16"/>
  <c r="F2461" i="16"/>
  <c r="F1798" i="16"/>
  <c r="F2264" i="16"/>
  <c r="F1852" i="16"/>
  <c r="F1924" i="16"/>
  <c r="F1300" i="16"/>
  <c r="F1301" i="16" s="1"/>
  <c r="F1303" i="16" s="1"/>
  <c r="F1304" i="16" s="1"/>
  <c r="F1708" i="16"/>
  <c r="F7606" i="16"/>
  <c r="F7607" i="16" s="1"/>
  <c r="F7609" i="16" s="1"/>
  <c r="F4632" i="16"/>
  <c r="F4633" i="16" s="1"/>
  <c r="F4642" i="16" s="1"/>
  <c r="F4643" i="16" s="1"/>
  <c r="F4645" i="16" s="1"/>
  <c r="F4526" i="16"/>
  <c r="F4527" i="16" s="1"/>
  <c r="F4529" i="16" s="1"/>
  <c r="F3892" i="16"/>
  <c r="F3901" i="16" s="1"/>
  <c r="F3902" i="16" s="1"/>
  <c r="F3904" i="16" s="1"/>
  <c r="F3905" i="16" s="1"/>
  <c r="F7403" i="16"/>
  <c r="F7404" i="16" s="1"/>
  <c r="F7406" i="16" s="1"/>
  <c r="F3252" i="16"/>
  <c r="F3253" i="16" s="1"/>
  <c r="F3263" i="16" s="1"/>
  <c r="F3264" i="16" s="1"/>
  <c r="F3266" i="16" s="1"/>
  <c r="F3267" i="16" s="1"/>
  <c r="F2316" i="16"/>
  <c r="F1884" i="16"/>
  <c r="F1885" i="16" s="1"/>
  <c r="F1887" i="16" s="1"/>
  <c r="F1888" i="16" s="1"/>
  <c r="F1505" i="16"/>
  <c r="F1506" i="16" s="1"/>
  <c r="F1508" i="16" s="1"/>
  <c r="F1509" i="16" s="1"/>
  <c r="F1426" i="16"/>
  <c r="F1427" i="16" s="1"/>
  <c r="F1429" i="16" s="1"/>
  <c r="F1430" i="16" s="1"/>
  <c r="F3840" i="16"/>
  <c r="F3849" i="16" s="1"/>
  <c r="F3850" i="16" s="1"/>
  <c r="F3852" i="16" s="1"/>
  <c r="F3853" i="16" s="1"/>
  <c r="F1744" i="16"/>
  <c r="F1834" i="16"/>
  <c r="F2635" i="16"/>
  <c r="F2689" i="16"/>
  <c r="F1780" i="16"/>
  <c r="F1268" i="16"/>
  <c r="F2140" i="16"/>
  <c r="F2281" i="16"/>
  <c r="F2154" i="16"/>
  <c r="F2155" i="16" s="1"/>
  <c r="F2157" i="16" s="1"/>
  <c r="F2158" i="16" s="1"/>
  <c r="F3502" i="16"/>
  <c r="F3503" i="16" s="1"/>
  <c r="F3513" i="16" s="1"/>
  <c r="F3514" i="16" s="1"/>
  <c r="F3516" i="16" s="1"/>
  <c r="F3517" i="16" s="1"/>
  <c r="F3034" i="16"/>
  <c r="F3035" i="16" s="1"/>
  <c r="F3045" i="16" s="1"/>
  <c r="F3046" i="16" s="1"/>
  <c r="F3048" i="16" s="1"/>
  <c r="F3049" i="16" s="1"/>
  <c r="F3408" i="16"/>
  <c r="F3409" i="16" s="1"/>
  <c r="F3419" i="16" s="1"/>
  <c r="F3420" i="16" s="1"/>
  <c r="F3422" i="16" s="1"/>
  <c r="F3423" i="16" s="1"/>
  <c r="F3065" i="16"/>
  <c r="F3066" i="16" s="1"/>
  <c r="F3076" i="16" s="1"/>
  <c r="F3077" i="16" s="1"/>
  <c r="F3079" i="16" s="1"/>
  <c r="F3080" i="16" s="1"/>
  <c r="F4219" i="16"/>
  <c r="F4220" i="16" s="1"/>
  <c r="F4229" i="16" s="1"/>
  <c r="F4230" i="16" s="1"/>
  <c r="F4232" i="16" s="1"/>
  <c r="F4233" i="16" s="1"/>
  <c r="F3595" i="16"/>
  <c r="F3596" i="16" s="1"/>
  <c r="F3606" i="16" s="1"/>
  <c r="F3607" i="16" s="1"/>
  <c r="F3609" i="16" s="1"/>
  <c r="F3610" i="16" s="1"/>
  <c r="E7332" i="16"/>
  <c r="F7332" i="16" s="1"/>
  <c r="F2972" i="16"/>
  <c r="F2973" i="16" s="1"/>
  <c r="F2983" i="16" s="1"/>
  <c r="F2984" i="16" s="1"/>
  <c r="F2986" i="16" s="1"/>
  <c r="F2987" i="16" s="1"/>
  <c r="F4047" i="16"/>
  <c r="F4048" i="16" s="1"/>
  <c r="F4057" i="16" s="1"/>
  <c r="F4058" i="16" s="1"/>
  <c r="F4060" i="16" s="1"/>
  <c r="F4061" i="16" s="1"/>
  <c r="F5213" i="16"/>
  <c r="F5214" i="16" s="1"/>
  <c r="F5216" i="16" s="1"/>
  <c r="F4684" i="16"/>
  <c r="F4685" i="16" s="1"/>
  <c r="F4687" i="16" s="1"/>
  <c r="F4415" i="16"/>
  <c r="F4416" i="16" s="1"/>
  <c r="F4418" i="16" s="1"/>
  <c r="F3345" i="16"/>
  <c r="F3346" i="16" s="1"/>
  <c r="F3356" i="16" s="1"/>
  <c r="F3357" i="16" s="1"/>
  <c r="F3359" i="16" s="1"/>
  <c r="F3360" i="16" s="1"/>
  <c r="F4249" i="16"/>
  <c r="F4250" i="16" s="1"/>
  <c r="F4259" i="16" s="1"/>
  <c r="F4260" i="16" s="1"/>
  <c r="F4262" i="16" s="1"/>
  <c r="F4263" i="16" s="1"/>
  <c r="F2172" i="16"/>
  <c r="F2173" i="16" s="1"/>
  <c r="F2175" i="16" s="1"/>
  <c r="F2176" i="16" s="1"/>
  <c r="F3377" i="16"/>
  <c r="F3378" i="16" s="1"/>
  <c r="F3388" i="16" s="1"/>
  <c r="F3389" i="16" s="1"/>
  <c r="F3391" i="16" s="1"/>
  <c r="F3392" i="16" s="1"/>
  <c r="F3450" i="16"/>
  <c r="F3451" i="16" s="1"/>
  <c r="F3453" i="16" s="1"/>
  <c r="F3454" i="16" s="1"/>
  <c r="F2614" i="16"/>
  <c r="F2615" i="16" s="1"/>
  <c r="F2617" i="16" s="1"/>
  <c r="F2618" i="16" s="1"/>
  <c r="F1559" i="16"/>
  <c r="F1560" i="16" s="1"/>
  <c r="F1562" i="16" s="1"/>
  <c r="F1563" i="16" s="1"/>
  <c r="F3314" i="16"/>
  <c r="F3315" i="16" s="1"/>
  <c r="F3325" i="16" s="1"/>
  <c r="F3326" i="16" s="1"/>
  <c r="F3328" i="16" s="1"/>
  <c r="F3329" i="16" s="1"/>
  <c r="F3688" i="16"/>
  <c r="F3689" i="16" s="1"/>
  <c r="F3699" i="16" s="1"/>
  <c r="F3700" i="16" s="1"/>
  <c r="F3702" i="16" s="1"/>
  <c r="F3703" i="16" s="1"/>
  <c r="F4159" i="16"/>
  <c r="F4160" i="16" s="1"/>
  <c r="F4169" i="16" s="1"/>
  <c r="F4170" i="16" s="1"/>
  <c r="F4172" i="16" s="1"/>
  <c r="F4173" i="16" s="1"/>
  <c r="F4731" i="16"/>
  <c r="F4732" i="16" s="1"/>
  <c r="F4736" i="16" s="1"/>
  <c r="F4737" i="16" s="1"/>
  <c r="F4739" i="16" s="1"/>
  <c r="F3719" i="16"/>
  <c r="F3720" i="16" s="1"/>
  <c r="F3730" i="16" s="1"/>
  <c r="F3731" i="16" s="1"/>
  <c r="F3733" i="16" s="1"/>
  <c r="F3734" i="16" s="1"/>
  <c r="F3533" i="16"/>
  <c r="F3534" i="16" s="1"/>
  <c r="F3544" i="16" s="1"/>
  <c r="F3545" i="16" s="1"/>
  <c r="F3547" i="16" s="1"/>
  <c r="F3548" i="16" s="1"/>
  <c r="F3283" i="16"/>
  <c r="F3284" i="16" s="1"/>
  <c r="F3294" i="16" s="1"/>
  <c r="F3295" i="16" s="1"/>
  <c r="F3297" i="16" s="1"/>
  <c r="F3298" i="16" s="1"/>
  <c r="F3750" i="16"/>
  <c r="IV3750" i="16" s="1"/>
  <c r="F3127" i="16"/>
  <c r="F3128" i="16" s="1"/>
  <c r="F3138" i="16" s="1"/>
  <c r="F3139" i="16" s="1"/>
  <c r="F3141" i="16" s="1"/>
  <c r="F3142" i="16" s="1"/>
  <c r="E4803" i="16"/>
  <c r="F4803" i="16" s="1"/>
  <c r="F1164" i="16"/>
  <c r="F3626" i="16"/>
  <c r="F3627" i="16" s="1"/>
  <c r="F3637" i="16" s="1"/>
  <c r="F3638" i="16" s="1"/>
  <c r="F3640" i="16" s="1"/>
  <c r="F3641" i="16" s="1"/>
  <c r="F4933" i="16"/>
  <c r="F4934" i="16" s="1"/>
  <c r="F4936" i="16" s="1"/>
  <c r="F3944" i="16"/>
  <c r="F3953" i="16" s="1"/>
  <c r="F3954" i="16" s="1"/>
  <c r="F3956" i="16" s="1"/>
  <c r="F3957" i="16" s="1"/>
  <c r="F3471" i="16"/>
  <c r="F3472" i="16" s="1"/>
  <c r="F3482" i="16" s="1"/>
  <c r="F3483" i="16" s="1"/>
  <c r="F3485" i="16" s="1"/>
  <c r="F3486" i="16" s="1"/>
  <c r="F4334" i="16"/>
  <c r="F4343" i="16" s="1"/>
  <c r="F4344" i="16" s="1"/>
  <c r="F4346" i="16" s="1"/>
  <c r="F1684" i="16"/>
  <c r="F1685" i="16" s="1"/>
  <c r="F1687" i="16" s="1"/>
  <c r="F1688" i="16" s="1"/>
  <c r="F2100" i="16"/>
  <c r="F2101" i="16" s="1"/>
  <c r="F2103" i="16" s="1"/>
  <c r="F2104" i="16" s="1"/>
  <c r="F1466" i="16"/>
  <c r="F1467" i="16" s="1"/>
  <c r="F1469" i="16" s="1"/>
  <c r="E7224" i="16"/>
  <c r="F7224" i="16" s="1"/>
  <c r="E7355" i="16"/>
  <c r="F7355" i="16" s="1"/>
  <c r="F7330" i="16"/>
  <c r="F3931" i="16" l="1"/>
  <c r="F3983" i="16"/>
  <c r="F4143" i="16"/>
  <c r="F4203" i="16"/>
  <c r="F3173" i="16"/>
  <c r="F4419" i="16"/>
  <c r="F1325" i="16"/>
  <c r="F4501" i="16"/>
  <c r="E4347" i="16"/>
  <c r="E4371" i="16" s="1"/>
  <c r="E4395" i="16" s="1"/>
  <c r="E4419" i="16" s="1"/>
  <c r="E4443" i="16" s="1"/>
  <c r="E4472" i="16" s="1"/>
  <c r="E4501" i="16" s="1"/>
  <c r="E4530" i="16" s="1"/>
  <c r="E4559" i="16" s="1"/>
  <c r="E4588" i="16" s="1"/>
  <c r="E4617" i="16" s="1"/>
  <c r="E4323" i="16"/>
  <c r="F4323" i="16" s="1"/>
  <c r="E2956" i="16"/>
  <c r="F2956" i="16" s="1"/>
  <c r="F2924" i="16"/>
  <c r="E7225" i="16"/>
  <c r="F7225" i="16" s="1"/>
  <c r="E7226" i="16"/>
  <c r="F7226" i="16" s="1"/>
  <c r="F1470" i="16"/>
  <c r="F7360" i="16"/>
  <c r="F7361" i="16" s="1"/>
  <c r="F7368" i="16" s="1"/>
  <c r="F7369" i="16" s="1"/>
  <c r="F7371" i="16" s="1"/>
  <c r="F3751" i="16"/>
  <c r="E7331" i="16" l="1"/>
  <c r="F7331" i="16" s="1"/>
  <c r="F7337" i="16" s="1"/>
  <c r="F4588" i="16"/>
  <c r="F4371" i="16"/>
  <c r="F4395" i="16"/>
  <c r="E4666" i="16"/>
  <c r="E4646" i="16"/>
  <c r="F4646" i="16" s="1"/>
  <c r="F4617" i="16"/>
  <c r="F4443" i="16"/>
  <c r="F4530" i="16"/>
  <c r="F4347" i="16"/>
  <c r="F4559" i="16"/>
  <c r="F4472" i="16"/>
  <c r="F7228" i="16"/>
  <c r="F7229" i="16" s="1"/>
  <c r="F7234" i="16" s="1"/>
  <c r="F7235" i="16" s="1"/>
  <c r="F7237" i="16" s="1"/>
  <c r="IV3751" i="16"/>
  <c r="F3761" i="16"/>
  <c r="F7338" i="16" l="1"/>
  <c r="F7344" i="16" s="1"/>
  <c r="F7345" i="16" s="1"/>
  <c r="F7347" i="16" s="1"/>
  <c r="E4688" i="16"/>
  <c r="F4666" i="16"/>
  <c r="IV3761" i="16"/>
  <c r="F3762" i="16"/>
  <c r="E4706" i="16" l="1"/>
  <c r="F4688" i="16"/>
  <c r="F3764" i="16"/>
  <c r="IV3762" i="16"/>
  <c r="E4723" i="16" l="1"/>
  <c r="F4706" i="16"/>
  <c r="F3765" i="16"/>
  <c r="IV3764" i="16"/>
  <c r="E4740" i="16" l="1"/>
  <c r="F4723" i="16"/>
  <c r="IV3765" i="16"/>
  <c r="E4759" i="16" l="1"/>
  <c r="F4740" i="16"/>
  <c r="E4776" i="16" l="1"/>
  <c r="F4759" i="16"/>
  <c r="E4793" i="16" l="1"/>
  <c r="F4776" i="16"/>
  <c r="G140" i="5"/>
  <c r="G139" i="5"/>
  <c r="G138" i="5"/>
  <c r="G135" i="5"/>
  <c r="G133" i="5"/>
  <c r="G132" i="5"/>
  <c r="G131" i="5"/>
  <c r="G128" i="5"/>
  <c r="G127" i="5"/>
  <c r="G120" i="5"/>
  <c r="G119" i="5"/>
  <c r="G118" i="5"/>
  <c r="G121" i="5" s="1"/>
  <c r="G113" i="5"/>
  <c r="G112" i="5"/>
  <c r="G88" i="5"/>
  <c r="G89" i="5" s="1"/>
  <c r="G84" i="5"/>
  <c r="G85" i="5" s="1"/>
  <c r="G79" i="5"/>
  <c r="G78" i="5"/>
  <c r="G77" i="5"/>
  <c r="G76" i="5"/>
  <c r="G75" i="5"/>
  <c r="G72" i="5"/>
  <c r="G71" i="5"/>
  <c r="G70" i="5"/>
  <c r="G65" i="5"/>
  <c r="G62" i="5"/>
  <c r="G61" i="5"/>
  <c r="G60" i="5"/>
  <c r="G57" i="5"/>
  <c r="G53" i="5"/>
  <c r="G48" i="5"/>
  <c r="G45" i="5"/>
  <c r="G44" i="5"/>
  <c r="G41" i="5"/>
  <c r="G37" i="5"/>
  <c r="G36" i="5"/>
  <c r="G35" i="5"/>
  <c r="G38" i="5" s="1"/>
  <c r="G31" i="5"/>
  <c r="G28" i="5"/>
  <c r="G27" i="5"/>
  <c r="G26" i="5"/>
  <c r="G25" i="5"/>
  <c r="G24" i="5"/>
  <c r="G20" i="5"/>
  <c r="G19" i="5"/>
  <c r="G18" i="5"/>
  <c r="G17" i="5"/>
  <c r="G12" i="5"/>
  <c r="G9" i="5"/>
  <c r="G13" i="5" l="1"/>
  <c r="G32" i="5"/>
  <c r="G66" i="5"/>
  <c r="G114" i="5"/>
  <c r="G49" i="5"/>
  <c r="G141" i="5"/>
  <c r="G80" i="5"/>
  <c r="E4814" i="16"/>
  <c r="F4793" i="16"/>
  <c r="G183" i="5" l="1"/>
  <c r="G184" i="5" s="1"/>
  <c r="G185" i="5" s="1"/>
  <c r="E4833" i="16"/>
  <c r="F4814" i="16"/>
  <c r="E4852" i="16" l="1"/>
  <c r="F4833" i="16"/>
  <c r="E4869" i="16" l="1"/>
  <c r="F4852" i="16"/>
  <c r="E4886" i="16" l="1"/>
  <c r="F4869" i="16"/>
  <c r="F4886" i="16" l="1"/>
  <c r="E4903" i="16"/>
  <c r="E4920" i="16" l="1"/>
  <c r="F4903" i="16"/>
  <c r="E4937" i="16" l="1"/>
  <c r="F4920" i="16"/>
  <c r="E4956" i="16" l="1"/>
  <c r="F4937" i="16"/>
  <c r="E4975" i="16" l="1"/>
  <c r="F4956" i="16"/>
  <c r="F4975" i="16" l="1"/>
  <c r="E4994" i="16"/>
  <c r="E5011" i="16" l="1"/>
  <c r="F4994" i="16"/>
  <c r="E5028" i="16" l="1"/>
  <c r="F5011" i="16"/>
  <c r="E5045" i="16" l="1"/>
  <c r="F5028" i="16"/>
  <c r="E5062" i="16" l="1"/>
  <c r="F5045" i="16"/>
  <c r="E5079" i="16" l="1"/>
  <c r="F5062" i="16"/>
  <c r="E5096" i="16" l="1"/>
  <c r="F5079" i="16"/>
  <c r="F5096" i="16" l="1"/>
  <c r="E5113" i="16"/>
  <c r="E5130" i="16" l="1"/>
  <c r="F5113" i="16"/>
  <c r="E5147" i="16" l="1"/>
  <c r="F5130" i="16"/>
  <c r="E5164" i="16" l="1"/>
  <c r="F5147" i="16"/>
  <c r="E5181" i="16" l="1"/>
  <c r="F5164" i="16"/>
  <c r="F5181" i="16" l="1"/>
  <c r="E5199" i="16"/>
  <c r="E5217" i="16" l="1"/>
  <c r="F5199" i="16"/>
  <c r="E5235" i="16" l="1"/>
  <c r="F5217" i="16"/>
  <c r="F5235" i="16" l="1"/>
  <c r="E5253" i="16"/>
  <c r="E5271" i="16" l="1"/>
  <c r="F5253" i="16"/>
  <c r="E5289" i="16" l="1"/>
  <c r="F5271" i="16"/>
  <c r="E5307" i="16" l="1"/>
  <c r="F5289" i="16"/>
  <c r="E5325" i="16" l="1"/>
  <c r="F5307" i="16"/>
  <c r="E5343" i="16" l="1"/>
  <c r="F5325" i="16"/>
  <c r="E5361" i="16" l="1"/>
  <c r="F5343" i="16"/>
  <c r="F5361" i="16" l="1"/>
  <c r="E5381" i="16"/>
  <c r="E5401" i="16" l="1"/>
  <c r="F5381" i="16"/>
  <c r="E5418" i="16" l="1"/>
  <c r="F5401" i="16"/>
  <c r="E5437" i="16" l="1"/>
  <c r="F5418" i="16"/>
  <c r="E5455" i="16" l="1"/>
  <c r="F5437" i="16"/>
  <c r="F5455" i="16" l="1"/>
  <c r="E5474" i="16"/>
  <c r="E5492" i="16" l="1"/>
  <c r="F5474" i="16"/>
  <c r="E5510" i="16" l="1"/>
  <c r="F5492" i="16"/>
  <c r="F5510" i="16" l="1"/>
  <c r="E5527" i="16"/>
  <c r="E5545" i="16" l="1"/>
  <c r="F5527" i="16"/>
  <c r="E5562" i="16" l="1"/>
  <c r="F5545" i="16"/>
  <c r="E5579" i="16" l="1"/>
  <c r="F5562" i="16"/>
  <c r="E5596" i="16" l="1"/>
  <c r="F5579" i="16"/>
  <c r="E5613" i="16" l="1"/>
  <c r="F5596" i="16"/>
  <c r="E5630" i="16" l="1"/>
  <c r="F5613" i="16"/>
  <c r="E5647" i="16" l="1"/>
  <c r="F5630" i="16"/>
  <c r="F5647" i="16" l="1"/>
  <c r="E5664" i="16"/>
  <c r="E5681" i="16" l="1"/>
  <c r="F5664" i="16"/>
  <c r="E5698" i="16" l="1"/>
  <c r="F5681" i="16"/>
  <c r="E5715" i="16" l="1"/>
  <c r="F5698" i="16"/>
  <c r="E5732" i="16" l="1"/>
  <c r="F5715" i="16"/>
  <c r="E5749" i="16" l="1"/>
  <c r="F5732" i="16"/>
  <c r="F5749" i="16" l="1"/>
  <c r="E5766" i="16"/>
  <c r="E5783" i="16" l="1"/>
  <c r="F5766" i="16"/>
  <c r="E5800" i="16" l="1"/>
  <c r="F5783" i="16"/>
  <c r="F5800" i="16" l="1"/>
  <c r="E5817" i="16"/>
  <c r="E5835" i="16" l="1"/>
  <c r="F5817" i="16"/>
  <c r="E5853" i="16" l="1"/>
  <c r="F5835" i="16"/>
  <c r="E5870" i="16" l="1"/>
  <c r="F5853" i="16"/>
  <c r="F5870" i="16" l="1"/>
  <c r="E5887" i="16"/>
  <c r="F5887" i="16" l="1"/>
  <c r="E5904" i="16"/>
  <c r="E5921" i="16" l="1"/>
  <c r="F5904" i="16"/>
  <c r="F5921" i="16" l="1"/>
  <c r="E5938" i="16"/>
  <c r="F5938" i="16" l="1"/>
  <c r="E5955" i="16"/>
  <c r="E5972" i="16" l="1"/>
  <c r="F5955" i="16"/>
  <c r="E5989" i="16" l="1"/>
  <c r="F5972" i="16"/>
  <c r="E6006" i="16" l="1"/>
  <c r="F5989" i="16"/>
  <c r="F6006" i="16" l="1"/>
  <c r="E6023" i="16"/>
  <c r="E6040" i="16" l="1"/>
  <c r="F6023" i="16"/>
  <c r="F6040" i="16" l="1"/>
  <c r="E6057" i="16"/>
  <c r="F6057" i="16" l="1"/>
  <c r="E6074" i="16"/>
  <c r="E6091" i="16" l="1"/>
  <c r="F6074" i="16"/>
  <c r="E6108" i="16" l="1"/>
  <c r="F6091" i="16"/>
  <c r="E6125" i="16" l="1"/>
  <c r="F6108" i="16"/>
  <c r="F6125" i="16" l="1"/>
  <c r="E6142" i="16"/>
  <c r="F6142" i="16" l="1"/>
  <c r="E6159" i="16"/>
  <c r="E6176" i="16" l="1"/>
  <c r="F6159" i="16"/>
  <c r="E6193" i="16" l="1"/>
  <c r="F6176" i="16"/>
  <c r="E6210" i="16" l="1"/>
  <c r="F6193" i="16"/>
  <c r="E6227" i="16" l="1"/>
  <c r="F6210" i="16"/>
  <c r="F6227" i="16" l="1"/>
  <c r="E6244" i="16"/>
  <c r="E6261" i="16" l="1"/>
  <c r="F6244" i="16"/>
  <c r="F6261" i="16" l="1"/>
  <c r="E6278" i="16"/>
  <c r="E6295" i="16" l="1"/>
  <c r="F6278" i="16"/>
  <c r="F6295" i="16" l="1"/>
  <c r="E6312" i="16"/>
  <c r="E6329" i="16" l="1"/>
  <c r="F6312" i="16"/>
  <c r="E6346" i="16" l="1"/>
  <c r="F6329" i="16"/>
  <c r="E6363" i="16" l="1"/>
  <c r="F6363" i="16" s="1"/>
  <c r="F6346" i="16"/>
  <c r="E6380" i="16"/>
  <c r="E6397" i="16" l="1"/>
  <c r="F6380" i="16"/>
  <c r="E6414" i="16" l="1"/>
  <c r="F6397" i="16"/>
  <c r="E6431" i="16" l="1"/>
  <c r="F6414" i="16"/>
  <c r="E6448" i="16" l="1"/>
  <c r="E6635" i="16"/>
  <c r="F6431" i="16"/>
  <c r="E6652" i="16" l="1"/>
  <c r="F6635" i="16"/>
  <c r="E6465" i="16"/>
  <c r="F6448" i="16"/>
  <c r="F6465" i="16" l="1"/>
  <c r="E6482" i="16"/>
  <c r="E6669" i="16"/>
  <c r="F6652" i="16"/>
  <c r="E6499" i="16" l="1"/>
  <c r="F6482" i="16"/>
  <c r="E6686" i="16"/>
  <c r="F6669" i="16"/>
  <c r="E6703" i="16" l="1"/>
  <c r="F6686" i="16"/>
  <c r="F6499" i="16"/>
  <c r="E6516" i="16"/>
  <c r="E6720" i="16" l="1"/>
  <c r="F6703" i="16"/>
  <c r="F6516" i="16"/>
  <c r="E6533" i="16"/>
  <c r="E6737" i="16" l="1"/>
  <c r="F6720" i="16"/>
  <c r="E6550" i="16"/>
  <c r="F6533" i="16"/>
  <c r="E6567" i="16" l="1"/>
  <c r="F6550" i="16"/>
  <c r="E6754" i="16"/>
  <c r="F6737" i="16"/>
  <c r="E6584" i="16" l="1"/>
  <c r="F6567" i="16"/>
  <c r="E6771" i="16"/>
  <c r="F6754" i="16"/>
  <c r="E6788" i="16" l="1"/>
  <c r="F6771" i="16"/>
  <c r="F6584" i="16"/>
  <c r="E6601" i="16"/>
  <c r="E6618" i="16" s="1"/>
  <c r="F6618" i="16" s="1"/>
  <c r="E6805" i="16" l="1"/>
  <c r="F6788" i="16"/>
  <c r="F6805" i="16" l="1"/>
  <c r="E6822" i="16"/>
  <c r="E6839" i="16" l="1"/>
  <c r="F6822" i="16"/>
  <c r="F6839" i="16" l="1"/>
  <c r="E6857" i="16"/>
  <c r="E6874" i="16" l="1"/>
  <c r="F6857" i="16"/>
  <c r="E6891" i="16" l="1"/>
  <c r="F6874" i="16"/>
  <c r="E6908" i="16" l="1"/>
  <c r="F6891" i="16"/>
  <c r="F6908" i="16" l="1"/>
  <c r="E6925" i="16"/>
  <c r="E6942" i="16" l="1"/>
  <c r="F6925" i="16"/>
  <c r="E6959" i="16" l="1"/>
  <c r="F6942" i="16"/>
  <c r="F6959" i="16" l="1"/>
  <c r="E6976" i="16"/>
  <c r="F6976" i="16" l="1"/>
  <c r="E6993" i="16"/>
  <c r="F6993" i="16" l="1"/>
  <c r="E7010" i="16"/>
  <c r="E7027" i="16" l="1"/>
  <c r="F7010" i="16"/>
  <c r="E7044" i="16" l="1"/>
  <c r="F7027" i="16"/>
  <c r="F7044" i="16" l="1"/>
  <c r="E7061" i="16"/>
  <c r="E7078" i="16" l="1"/>
  <c r="F7061" i="16"/>
  <c r="F7078" i="16" l="1"/>
  <c r="E7095" i="16"/>
  <c r="E7112" i="16" l="1"/>
  <c r="F7095" i="16"/>
  <c r="E7129" i="16" l="1"/>
  <c r="E7163" i="16"/>
  <c r="F7112" i="16"/>
  <c r="E7181" i="16" l="1"/>
  <c r="F7181" i="16" s="1"/>
  <c r="E7200" i="16"/>
  <c r="F7163" i="16"/>
  <c r="E7146" i="16"/>
  <c r="F7146" i="16" s="1"/>
  <c r="F7129" i="16"/>
  <c r="F7200" i="16" l="1"/>
  <c r="E7217" i="16"/>
  <c r="F7217" i="16" s="1"/>
  <c r="E7238" i="16"/>
  <c r="E7254" i="16" l="1"/>
  <c r="F7238" i="16"/>
  <c r="E7271" i="16" l="1"/>
  <c r="F7254" i="16"/>
  <c r="E7287" i="16" l="1"/>
  <c r="F7271" i="16"/>
  <c r="E7305" i="16" l="1"/>
  <c r="F7287" i="16"/>
  <c r="E7323" i="16" l="1"/>
  <c r="F7305" i="16"/>
  <c r="F7323" i="16" l="1"/>
  <c r="E7348" i="16"/>
  <c r="E7372" i="16" l="1"/>
  <c r="F7348" i="16"/>
  <c r="E7388" i="16" l="1"/>
  <c r="F7372" i="16"/>
  <c r="E7407" i="16" l="1"/>
  <c r="F7388" i="16"/>
  <c r="E7424" i="16" l="1"/>
  <c r="F7407" i="16"/>
  <c r="E7448" i="16" l="1"/>
  <c r="F7424" i="16"/>
  <c r="E7468" i="16" l="1"/>
  <c r="F7448" i="16"/>
  <c r="F7468" i="16" l="1"/>
  <c r="E7485" i="16"/>
  <c r="E7502" i="16" l="1"/>
  <c r="F7485" i="16"/>
  <c r="E7520" i="16" l="1"/>
  <c r="F7502" i="16"/>
  <c r="F7520" i="16" l="1"/>
  <c r="E7538" i="16"/>
  <c r="E7556" i="16" l="1"/>
  <c r="F7538" i="16"/>
  <c r="E7574" i="16" l="1"/>
  <c r="F7556" i="16"/>
  <c r="E7592" i="16" l="1"/>
  <c r="F7574" i="16"/>
  <c r="F7592" i="16" l="1"/>
  <c r="E7610" i="16"/>
  <c r="E7628" i="16" l="1"/>
  <c r="F7610" i="16"/>
  <c r="E7646" i="16" l="1"/>
  <c r="F7628" i="16"/>
  <c r="E7662" i="16" l="1"/>
  <c r="F7646" i="16"/>
  <c r="E7679" i="16" l="1"/>
  <c r="F7662" i="16"/>
  <c r="E7695" i="16" l="1"/>
  <c r="F7679" i="16"/>
  <c r="F7695" i="16" l="1"/>
  <c r="E7711" i="16"/>
  <c r="F7711" i="16" l="1"/>
  <c r="E7727" i="16"/>
  <c r="E7743" i="16" l="1"/>
  <c r="F7727" i="16"/>
  <c r="E7759" i="16" l="1"/>
  <c r="F7759" i="16" s="1"/>
  <c r="F7743" i="16"/>
</calcChain>
</file>

<file path=xl/sharedStrings.xml><?xml version="1.0" encoding="utf-8"?>
<sst xmlns="http://schemas.openxmlformats.org/spreadsheetml/2006/main" count="13154" uniqueCount="1369">
  <si>
    <t>POSTE</t>
  </si>
  <si>
    <t>DESIGNATION</t>
  </si>
  <si>
    <t>Unité</t>
  </si>
  <si>
    <t>P.U. en chiffres 
(en Euros)</t>
  </si>
  <si>
    <t>P.U. en lettres 
(en Euros)</t>
  </si>
  <si>
    <t>0.00</t>
  </si>
  <si>
    <t>0.01</t>
  </si>
  <si>
    <t>fft</t>
  </si>
  <si>
    <t xml:space="preserve"> </t>
  </si>
  <si>
    <t>1.00</t>
  </si>
  <si>
    <t>1.01</t>
  </si>
  <si>
    <t>1.01.1</t>
  </si>
  <si>
    <t>1.01.2</t>
  </si>
  <si>
    <t>pc</t>
  </si>
  <si>
    <t>1.01.3</t>
  </si>
  <si>
    <t>1.01.4</t>
  </si>
  <si>
    <t>1.01.5</t>
  </si>
  <si>
    <t>1.01.6</t>
  </si>
  <si>
    <t>1.01.7</t>
  </si>
  <si>
    <t>1.01.8</t>
  </si>
  <si>
    <t>Démilition  des chambres de visite se  trouvant sur le site  servant  le  système d'evacuation des eaux usées et vannes</t>
  </si>
  <si>
    <t>1.01.9</t>
  </si>
  <si>
    <t>Démolition des fosses septiques existants et de puits  perdus y  compris  remblayage avec des latérites  +compactage</t>
  </si>
  <si>
    <t>1.01.10</t>
  </si>
  <si>
    <t>1.01.11</t>
  </si>
  <si>
    <t>Démolition du système d'évacuation d'eaux pluviales  : caniveaux , puisards, bac d'inflitration</t>
  </si>
  <si>
    <t>1.01.12</t>
  </si>
  <si>
    <t>ml</t>
  </si>
  <si>
    <t>1.01.13</t>
  </si>
  <si>
    <t>ff</t>
  </si>
  <si>
    <t>1.01.14</t>
  </si>
  <si>
    <t>Démolition de bac ou bassin d'infiltration</t>
  </si>
  <si>
    <t>1.01.15</t>
  </si>
  <si>
    <t>1.01.16</t>
  </si>
  <si>
    <t>1.01.17</t>
  </si>
  <si>
    <t>m2</t>
  </si>
  <si>
    <t>1.01.18</t>
  </si>
  <si>
    <t>Démolition du chaînage haut en BA</t>
  </si>
  <si>
    <t>m3</t>
  </si>
  <si>
    <t>1.01.19</t>
  </si>
  <si>
    <t>1.01.20</t>
  </si>
  <si>
    <t>Démolition du pavement et sous pavement  existant( chape lissé, béton de forme et hérisson intérieur bâtiment et  espace d'attente devant bâtiment)</t>
  </si>
  <si>
    <t>1.01.21</t>
  </si>
  <si>
    <t>1.01.22</t>
  </si>
  <si>
    <t>1.01.23</t>
  </si>
  <si>
    <t>Démolition de la clôture en briques existante</t>
  </si>
  <si>
    <t>1.01.24</t>
  </si>
  <si>
    <t>1.01.25</t>
  </si>
  <si>
    <t>1.01.26</t>
  </si>
  <si>
    <t>1.01.27</t>
  </si>
  <si>
    <t>Dépose des huisseries métalliques et en bois ( toutes les portes , fenetres et portes fenetres)</t>
  </si>
  <si>
    <t>1.01.28</t>
  </si>
  <si>
    <t>Démolition des installations sanitaires et Dépose des appareils sanitaires ( WC, lavabo, douche)</t>
  </si>
  <si>
    <t>1.01.29</t>
  </si>
  <si>
    <t>Démolition des installations électriques et Dépose des appareils électriques</t>
  </si>
  <si>
    <t>1.01.30</t>
  </si>
  <si>
    <t>1.01.31</t>
  </si>
  <si>
    <t>Démolition de  poteaux  métalliques de la   charpente  métallique et  dépose de la couverture  de l'ancien hall</t>
  </si>
  <si>
    <t>1.01.32</t>
  </si>
  <si>
    <t>pce</t>
  </si>
  <si>
    <t>1.01.33</t>
  </si>
  <si>
    <t>2.00</t>
  </si>
  <si>
    <t xml:space="preserve">TERRASSEMENTS  </t>
  </si>
  <si>
    <t>2.01</t>
  </si>
  <si>
    <t>Décapage de la terre végétale + déblais des plateformes des bâtiments et des passages couverts</t>
  </si>
  <si>
    <t>2.02</t>
  </si>
  <si>
    <t>Terrassement en deblais et remblais</t>
  </si>
  <si>
    <t>2.02.1</t>
  </si>
  <si>
    <t>Terrassement en deblais y compris déssouchage des arbres</t>
  </si>
  <si>
    <t>3.00</t>
  </si>
  <si>
    <t>BETONS</t>
  </si>
  <si>
    <t>3.01</t>
  </si>
  <si>
    <t>BETON NON ARME</t>
  </si>
  <si>
    <t>3.01.1</t>
  </si>
  <si>
    <t>Béton de propreté</t>
  </si>
  <si>
    <t>3.01.2</t>
  </si>
  <si>
    <t>Béton cyclopéen</t>
  </si>
  <si>
    <t>3.01.3</t>
  </si>
  <si>
    <t>3.01.4</t>
  </si>
  <si>
    <t xml:space="preserve"> BETON ARME.</t>
  </si>
  <si>
    <t>FONDATION</t>
  </si>
  <si>
    <t>3.02.1</t>
  </si>
  <si>
    <t>3.02.2</t>
  </si>
  <si>
    <t>Béton armé pour Fût de colonnes de fondation</t>
  </si>
  <si>
    <t>3.02.3</t>
  </si>
  <si>
    <t>3.02.4</t>
  </si>
  <si>
    <t>Béton armé de dalle de sol</t>
  </si>
  <si>
    <t>3.02.5</t>
  </si>
  <si>
    <t>3.02.6</t>
  </si>
  <si>
    <t>3.02.6.1</t>
  </si>
  <si>
    <t xml:space="preserve">Béton armé de linteau </t>
  </si>
  <si>
    <t>3.02.6.2</t>
  </si>
  <si>
    <t>Béton armé de chainage supérieur</t>
  </si>
  <si>
    <t>3.02.7</t>
  </si>
  <si>
    <t>Béton armé de dalle haute</t>
  </si>
  <si>
    <t>3.02.7.1</t>
  </si>
  <si>
    <t>Béton armé de dalle haute ( dalle coulée  sur  place)</t>
  </si>
  <si>
    <t>3.02.7.2</t>
  </si>
  <si>
    <t>Béton armé de dalle haute  en houdris et poutrelles + béton coulé sur place</t>
  </si>
  <si>
    <t>3.02.7.3</t>
  </si>
  <si>
    <t>3.02.7.4</t>
  </si>
  <si>
    <t>Poutrelles en béton armé</t>
  </si>
  <si>
    <t>3.02.7.5</t>
  </si>
  <si>
    <t>3.02.7.6</t>
  </si>
  <si>
    <t>Auvent : Béton armé de dalle  auvent  en houdris et poutrelles + béton coulé sur place</t>
  </si>
  <si>
    <t>3.02.8</t>
  </si>
  <si>
    <t>3.02.9</t>
  </si>
  <si>
    <t>Bétons divers</t>
  </si>
  <si>
    <t>Béton armé de paillasse</t>
  </si>
  <si>
    <t>Béton armé d'escalier</t>
  </si>
  <si>
    <t>4.00</t>
  </si>
  <si>
    <t>PAVEMENT</t>
  </si>
  <si>
    <t>4.01</t>
  </si>
  <si>
    <t>Lit de sable sous pavement épaisseur  5 cm</t>
  </si>
  <si>
    <t>4.02</t>
  </si>
  <si>
    <t>4.03</t>
  </si>
  <si>
    <t>Protection contre la remontée des eaux dans les dalles ( Film polyane)</t>
  </si>
  <si>
    <t>5.00</t>
  </si>
  <si>
    <t>MACONNERIE</t>
  </si>
  <si>
    <t>5.01</t>
  </si>
  <si>
    <t>Roofing de Protection contre l'humidité ascencionnelle dans les murs</t>
  </si>
  <si>
    <t>5.02</t>
  </si>
  <si>
    <t xml:space="preserve">Maçonnerie en briques artisanales  </t>
  </si>
  <si>
    <t>5.02.1</t>
  </si>
  <si>
    <t>5.02.2</t>
  </si>
  <si>
    <t>5.02.3</t>
  </si>
  <si>
    <t>5.03</t>
  </si>
  <si>
    <t>Maçonnerie en briques semi industrielles</t>
  </si>
  <si>
    <t>5.03.1</t>
  </si>
  <si>
    <t>Maçonnerie en briques semi industrielles de 21cm d'épaisseur</t>
  </si>
  <si>
    <t>5.03.2</t>
  </si>
  <si>
    <t>5.03.3</t>
  </si>
  <si>
    <t>Maçonnerie des murs Ajourés</t>
  </si>
  <si>
    <t>5.04</t>
  </si>
  <si>
    <t>Maçonnerie en moellons de mur de soutènement</t>
  </si>
  <si>
    <t>6.00</t>
  </si>
  <si>
    <t>REVETEMENT</t>
  </si>
  <si>
    <t>6.01</t>
  </si>
  <si>
    <t>Revêtements  muraux</t>
  </si>
  <si>
    <t>6.01.1</t>
  </si>
  <si>
    <t>Rejointoyage des murs  exterieur</t>
  </si>
  <si>
    <t>6.01.2</t>
  </si>
  <si>
    <t>Enduit de ciment taloché fin</t>
  </si>
  <si>
    <t>6.01.2.1</t>
  </si>
  <si>
    <t>6.01.2.2</t>
  </si>
  <si>
    <t>Enduit de ciment tyrolien écrasé en sous face de dalle</t>
  </si>
  <si>
    <t>Revêtement en carreaux de faïence</t>
  </si>
  <si>
    <t>6.01.3</t>
  </si>
  <si>
    <t>6.02</t>
  </si>
  <si>
    <t xml:space="preserve">Revêtement de sol </t>
  </si>
  <si>
    <t>6.02.1</t>
  </si>
  <si>
    <t>Revêtement de sols en chape lissée ou teintée au rouge</t>
  </si>
  <si>
    <t>6.02.1.1</t>
  </si>
  <si>
    <t xml:space="preserve">Revêtement de sols en chape lissée  </t>
  </si>
  <si>
    <t>6.02.1.2</t>
  </si>
  <si>
    <t>Revêtement de sols en chape talôché</t>
  </si>
  <si>
    <t>6.02.2</t>
  </si>
  <si>
    <t>Revêtement de sol en carrelage</t>
  </si>
  <si>
    <t>6.02.3</t>
  </si>
  <si>
    <t xml:space="preserve">Plinthe  </t>
  </si>
  <si>
    <t>6.02.3.1</t>
  </si>
  <si>
    <t xml:space="preserve">Plinthe en ciment </t>
  </si>
  <si>
    <t>6.02.3.2</t>
  </si>
  <si>
    <t>Plinthe en carrelage</t>
  </si>
  <si>
    <t>7.00</t>
  </si>
  <si>
    <t>TOITURE: CHARPENTE , COUVERTURE et ETANCHEITE</t>
  </si>
  <si>
    <t>7.01</t>
  </si>
  <si>
    <t xml:space="preserve">Charpente </t>
  </si>
  <si>
    <t>7.01.1</t>
  </si>
  <si>
    <t>7.01.2</t>
  </si>
  <si>
    <t>7.01.3</t>
  </si>
  <si>
    <t>Demi-fermes en tubes métalliques de 4,75 m</t>
  </si>
  <si>
    <t>7.01.4</t>
  </si>
  <si>
    <t>7.01.5</t>
  </si>
  <si>
    <t>7.01.6</t>
  </si>
  <si>
    <t>7.01.7</t>
  </si>
  <si>
    <t>Demi fermes en tubes métalliques de 5,98m</t>
  </si>
  <si>
    <t>7.01.8</t>
  </si>
  <si>
    <t>7.01.9</t>
  </si>
  <si>
    <t>7.01.10</t>
  </si>
  <si>
    <t>7.01.11</t>
  </si>
  <si>
    <t>7.01.12</t>
  </si>
  <si>
    <t>7.01.13</t>
  </si>
  <si>
    <t>7.01.14</t>
  </si>
  <si>
    <t>Fermes en tubes métalliques de 7,20m</t>
  </si>
  <si>
    <t>7.01.15</t>
  </si>
  <si>
    <t>7.01.16</t>
  </si>
  <si>
    <t>7.01.17</t>
  </si>
  <si>
    <t>7.01.18</t>
  </si>
  <si>
    <t>Fermes en tubes métalliques de 11,8m</t>
  </si>
  <si>
    <t>Rampants en tubes  métalliques 60x40x1,5mm</t>
  </si>
  <si>
    <t>Pannes en tubes métalliques de 40x40x1,5mm ou 30x30x1,5</t>
  </si>
  <si>
    <t>Eléments de noue d'évacuations des eaux  pluviales sous forme de chéneau</t>
  </si>
  <si>
    <t>Poteaux en tubes métalliques diam 50 en forme deTé ( 20 pièces)</t>
  </si>
  <si>
    <t>Elements de contreventement pour poteaux en tubes métalliques diam 50 en forme deTé ( 10 pièces)</t>
  </si>
  <si>
    <t>7.02</t>
  </si>
  <si>
    <t xml:space="preserve">Couverture </t>
  </si>
  <si>
    <t>7.02.1</t>
  </si>
  <si>
    <t>Couverture en tôles ondulées bitumineuses ondulines</t>
  </si>
  <si>
    <t>7.02.2</t>
  </si>
  <si>
    <t xml:space="preserve">Faîtières et arrêtiers pour tôles ondulées bitumineuses </t>
  </si>
  <si>
    <t>7.02.3</t>
  </si>
  <si>
    <t>Planche de rive en  profilé C150</t>
  </si>
  <si>
    <t>7.02.4</t>
  </si>
  <si>
    <t>Solin</t>
  </si>
  <si>
    <t>7.02.5</t>
  </si>
  <si>
    <t>Gouttières en en alu zinc prélaqué Utema</t>
  </si>
  <si>
    <t>8.00</t>
  </si>
  <si>
    <t>RESEAU  D'EVACUATION DES EAUX PLUVIALES</t>
  </si>
  <si>
    <t>8.01</t>
  </si>
  <si>
    <t>Caniveaux  maçonnés d'EP</t>
  </si>
  <si>
    <t>8.01.1</t>
  </si>
  <si>
    <t xml:space="preserve">Caniveaux maçonnés en moellons ou en briques de dimensions intérieures 30x30cm, </t>
  </si>
  <si>
    <t>8.01.2</t>
  </si>
  <si>
    <t>8.01.3</t>
  </si>
  <si>
    <t>8.01.4</t>
  </si>
  <si>
    <t>8.01.5</t>
  </si>
  <si>
    <t>8.01.6</t>
  </si>
  <si>
    <t>8.01.7</t>
  </si>
  <si>
    <t>Puisard</t>
  </si>
  <si>
    <t>8.01.8</t>
  </si>
  <si>
    <t>Bassin d'infiltration</t>
  </si>
  <si>
    <t>9.00</t>
  </si>
  <si>
    <t>FAUX PLAFOND</t>
  </si>
  <si>
    <t>9.01</t>
  </si>
  <si>
    <t>Faux plafond en lamelles PVC sur gitage en bois</t>
  </si>
  <si>
    <t>9.02</t>
  </si>
  <si>
    <t>10.00</t>
  </si>
  <si>
    <t>HUISSERIE , MENUISERIE ET FERRONNERIE</t>
  </si>
  <si>
    <t>10.01</t>
  </si>
  <si>
    <t>Fenêtres métalliques à Lamelles NACO et les barres antivol</t>
  </si>
  <si>
    <t>10.01.1</t>
  </si>
  <si>
    <t>10.01.2</t>
  </si>
  <si>
    <t>10.01.3</t>
  </si>
  <si>
    <t>10.01.4</t>
  </si>
  <si>
    <t>10.01.5</t>
  </si>
  <si>
    <t>10.01.6</t>
  </si>
  <si>
    <t>10.01.7</t>
  </si>
  <si>
    <t>10.01.8</t>
  </si>
  <si>
    <t>10.01.9</t>
  </si>
  <si>
    <t>10.01.10</t>
  </si>
  <si>
    <t>10.01.11</t>
  </si>
  <si>
    <t>10.01.12</t>
  </si>
  <si>
    <t>10.01.13</t>
  </si>
  <si>
    <t>10.01.14</t>
  </si>
  <si>
    <t>10.01.15</t>
  </si>
  <si>
    <t>10.01.16</t>
  </si>
  <si>
    <t>10.01.17</t>
  </si>
  <si>
    <t>10.01.18</t>
  </si>
  <si>
    <t>10.01.19</t>
  </si>
  <si>
    <t>10.01.20</t>
  </si>
  <si>
    <t>10.01.21</t>
  </si>
  <si>
    <t>10.01.22</t>
  </si>
  <si>
    <t>10.01.23</t>
  </si>
  <si>
    <t>10.01.24</t>
  </si>
  <si>
    <t>10.01.25</t>
  </si>
  <si>
    <t>10.01.26</t>
  </si>
  <si>
    <t>10.01.27</t>
  </si>
  <si>
    <t>10.01.28</t>
  </si>
  <si>
    <t>10.01.29</t>
  </si>
  <si>
    <t>10.01.30</t>
  </si>
  <si>
    <t>10.01.31</t>
  </si>
  <si>
    <t>10.01.32</t>
  </si>
  <si>
    <t>10.01.33</t>
  </si>
  <si>
    <t>10.01.34</t>
  </si>
  <si>
    <t>10.02</t>
  </si>
  <si>
    <t>10.02.1</t>
  </si>
  <si>
    <t>PSB (80X286) cm</t>
  </si>
  <si>
    <t>10.02.2</t>
  </si>
  <si>
    <t>PSB (80X210) cm</t>
  </si>
  <si>
    <t>10.02.3</t>
  </si>
  <si>
    <t>PSB (80X253) cm</t>
  </si>
  <si>
    <t>10.02.4</t>
  </si>
  <si>
    <t>PSB (93X253) cm</t>
  </si>
  <si>
    <t>10.02.5</t>
  </si>
  <si>
    <t>PSB (93X286) cm</t>
  </si>
  <si>
    <t>10.02.6</t>
  </si>
  <si>
    <t>10.03</t>
  </si>
  <si>
    <t>10.03.1</t>
  </si>
  <si>
    <t>PDB (121,5X253) cm</t>
  </si>
  <si>
    <t>10.03.2</t>
  </si>
  <si>
    <t>PDB (150X286) cm</t>
  </si>
  <si>
    <t>10.03.3</t>
  </si>
  <si>
    <t>PDB (121.5X286) cm</t>
  </si>
  <si>
    <t>10.03.4</t>
  </si>
  <si>
    <t>PDB (150X264) cm</t>
  </si>
  <si>
    <t>10.03.5</t>
  </si>
  <si>
    <t>PDB (121.5X264) cm</t>
  </si>
  <si>
    <t>10.04</t>
  </si>
  <si>
    <t>10.04.1</t>
  </si>
  <si>
    <t>PSM (93X286) cm</t>
  </si>
  <si>
    <t>10.04.2</t>
  </si>
  <si>
    <t>PSM (80X286) cm</t>
  </si>
  <si>
    <t>10.04.3</t>
  </si>
  <si>
    <t>PSM (90X286) cm</t>
  </si>
  <si>
    <t>10.04.4</t>
  </si>
  <si>
    <t>PSM (80x264) cm</t>
  </si>
  <si>
    <t>10.04.5</t>
  </si>
  <si>
    <t>PSM (93X264) cm</t>
  </si>
  <si>
    <t>10.05</t>
  </si>
  <si>
    <t>Porte double métallique pleine</t>
  </si>
  <si>
    <t>10.05.1</t>
  </si>
  <si>
    <t>PDMP (178,5x209) cm</t>
  </si>
  <si>
    <t>10.06</t>
  </si>
  <si>
    <t>Porte métallique double grillagée</t>
  </si>
  <si>
    <t>10.06.1</t>
  </si>
  <si>
    <t>PMDG (286X286) cm</t>
  </si>
  <si>
    <t>10.06.2</t>
  </si>
  <si>
    <t>PMDG (264X286) cm</t>
  </si>
  <si>
    <t>10.06.3</t>
  </si>
  <si>
    <t>PMDG (286X253) cm</t>
  </si>
  <si>
    <t>10.06.4</t>
  </si>
  <si>
    <t xml:space="preserve">PMDG (150x264) cm </t>
  </si>
  <si>
    <t>10.06.5</t>
  </si>
  <si>
    <t>PMDG (235,5x264) cm</t>
  </si>
  <si>
    <t>10.07</t>
  </si>
  <si>
    <t>10.07.1</t>
  </si>
  <si>
    <t>PSMV (86,5X286) cm</t>
  </si>
  <si>
    <t>10.07.2</t>
  </si>
  <si>
    <t>10.07.3</t>
  </si>
  <si>
    <t>10.08</t>
  </si>
  <si>
    <t>Porte double métallique vitrée</t>
  </si>
  <si>
    <t>10.08.1</t>
  </si>
  <si>
    <t>PDMV (150X286) cm</t>
  </si>
  <si>
    <t>10.08.2</t>
  </si>
  <si>
    <t>PDMV (178,5x264) cm</t>
  </si>
  <si>
    <t>10.08.3</t>
  </si>
  <si>
    <t>PDMV (178.5X253) cm</t>
  </si>
  <si>
    <t>10.08.4</t>
  </si>
  <si>
    <t>PDMV (121.5X253) cm</t>
  </si>
  <si>
    <t xml:space="preserve">Garde corps </t>
  </si>
  <si>
    <t xml:space="preserve">Garde corps pour balcon </t>
  </si>
  <si>
    <t>Main courante en bois sur garde corps de l'escalier</t>
  </si>
  <si>
    <t xml:space="preserve">Support de rideaux en Tubes métalliques rond  </t>
  </si>
  <si>
    <t>Pictogramme et signalisation</t>
  </si>
  <si>
    <t>11.00</t>
  </si>
  <si>
    <t>PEINTURE</t>
  </si>
  <si>
    <t>11.01</t>
  </si>
  <si>
    <t xml:space="preserve">Peinture acrylique sur enduits </t>
  </si>
  <si>
    <t>11.02</t>
  </si>
  <si>
    <t>Peinture acrylique plafond et sous face de dalle</t>
  </si>
  <si>
    <t>11.03</t>
  </si>
  <si>
    <t>11.04</t>
  </si>
  <si>
    <t>12.00</t>
  </si>
  <si>
    <t>PLOMBERIE-SANITAIRE</t>
  </si>
  <si>
    <t>12.01</t>
  </si>
  <si>
    <t>Réseau d'Alimentation</t>
  </si>
  <si>
    <t>12.01.1</t>
  </si>
  <si>
    <t>Raccordement au réseau de la REGIDESO + compteur d'eau</t>
  </si>
  <si>
    <t>Chambre de vanne</t>
  </si>
  <si>
    <t>12.02</t>
  </si>
  <si>
    <t>Réseau d'Alimentation en tuyaux PPR à l'intérieur des bâtiments</t>
  </si>
  <si>
    <t>12.02.1</t>
  </si>
  <si>
    <t>12.03</t>
  </si>
  <si>
    <t>12.03.1</t>
  </si>
  <si>
    <t>Raccordement en eau avec tuyau PEHD Ø 50 PN 10</t>
  </si>
  <si>
    <t>Raccordement en eau avec tuyau PEHD Ø 40 PN 10</t>
  </si>
  <si>
    <t>Raccordement en eau avec tuyau PEHD Ø 32 PN 16</t>
  </si>
  <si>
    <t>Raccordement en eau avec tuyau PEHD Ø 25 PN 16</t>
  </si>
  <si>
    <t>Raccordement en eau avec tuyau PVC Ø 25 PN 16</t>
  </si>
  <si>
    <t>12.05</t>
  </si>
  <si>
    <t>Réseau d'Evacuation des eaux vannes et usées</t>
  </si>
  <si>
    <t>12.05.1</t>
  </si>
  <si>
    <t>diam 50mm</t>
  </si>
  <si>
    <t>12.05.2</t>
  </si>
  <si>
    <t>diam 75mm</t>
  </si>
  <si>
    <t>12.05.3</t>
  </si>
  <si>
    <t>diam 110mm</t>
  </si>
  <si>
    <t>12.05.4</t>
  </si>
  <si>
    <t>Chambre de visite E.U, E.V. et E.P.</t>
  </si>
  <si>
    <t>Puit perdu</t>
  </si>
  <si>
    <t>Bac de neutralisation</t>
  </si>
  <si>
    <t>Bac de décantation</t>
  </si>
  <si>
    <t>12.06</t>
  </si>
  <si>
    <t>Appareil sanitaire</t>
  </si>
  <si>
    <t>12.06.1</t>
  </si>
  <si>
    <t>W.C. type anglais</t>
  </si>
  <si>
    <t>12.06.2</t>
  </si>
  <si>
    <t>W.C. type anglais pour PMR</t>
  </si>
  <si>
    <t>Urinoir</t>
  </si>
  <si>
    <t>12.07</t>
  </si>
  <si>
    <t>Lavabo</t>
  </si>
  <si>
    <t>Lavabo ordinaire</t>
  </si>
  <si>
    <t>Lavabo  antiseptique</t>
  </si>
  <si>
    <t>12.08</t>
  </si>
  <si>
    <t>Evier</t>
  </si>
  <si>
    <t>Evier médical antiseptique</t>
  </si>
  <si>
    <t>Evier de cuisine double</t>
  </si>
  <si>
    <t>12.09</t>
  </si>
  <si>
    <t>Bac à laver</t>
  </si>
  <si>
    <t>Bac à laver simple</t>
  </si>
  <si>
    <t>Bac à laver carrelé  à un  compartiments long 120cm</t>
  </si>
  <si>
    <t>13.00</t>
  </si>
  <si>
    <t>ELECTRICITE</t>
  </si>
  <si>
    <t>13.01</t>
  </si>
  <si>
    <t>13.01.1</t>
  </si>
  <si>
    <t>Ligne MT 0,7 km sur poteaux en bois traité + Transformateur triphasé sur poteau  30/0,4 kV ;100 kVA ,réglage à vide par commutateur, couplage Dyn 11, montage extérieur haut de poteau + Accessoires de fixation + appareils de protection MT et BT</t>
  </si>
  <si>
    <t>13.01.2</t>
  </si>
  <si>
    <t>Ligne souterraine BT par câble rigide industriel armé U-10000 RVFV 4×70 mm2; Compteur semi-industriel 200A + Accessoires (pour Alimentation du TGBT)</t>
  </si>
  <si>
    <t>Tableau Général Basse Tension (TGBT) 250A triphasé  à 1 entrée-7 départs avec 30% de réserve de capacité + Accessoires de fixation équipé et précablé)</t>
  </si>
  <si>
    <t>Groupe électrogène insonorisé de secours 100kVA; 240/400V AC avec Inverseur automatique</t>
  </si>
  <si>
    <t>13.02</t>
  </si>
  <si>
    <t>13.02.1</t>
  </si>
  <si>
    <t>Paratonnerre PDA; Mât  et mise à la terre du système</t>
  </si>
  <si>
    <t>13.03</t>
  </si>
  <si>
    <t>ECLAIRAGE  SUR  LA CLOTURE</t>
  </si>
  <si>
    <t>13.03.1</t>
  </si>
  <si>
    <t xml:space="preserve">Lampe  d'éclairage posé sur la cloture ( 20 lampes) + câblage </t>
  </si>
  <si>
    <t>13.04</t>
  </si>
  <si>
    <t>Raccordement  du Bloc sur le réseau</t>
  </si>
  <si>
    <t>13.04.1</t>
  </si>
  <si>
    <t>13.04.2</t>
  </si>
  <si>
    <t>13.04.3</t>
  </si>
  <si>
    <t>13.04.4</t>
  </si>
  <si>
    <t>Câble industriel 4x35mm2 (3P+N) U-1000 R2V ou équivalent, pose souterraine dans gaine TPC rouge pour alimentation du TG4 (à partir du TGBT)</t>
  </si>
  <si>
    <t>13.04.5</t>
  </si>
  <si>
    <t>13.04.6</t>
  </si>
  <si>
    <t>Câble industriel  4x35mm2 (3P+N) U-1000 R2V ou équivalent, pose souterraine dans gaine TPC rouge  pour alimentation du TG6 (à partir du TGBT)</t>
  </si>
  <si>
    <t>13.04.7</t>
  </si>
  <si>
    <t xml:space="preserve">Tableau Général  TG1 en saillie équipé et précablé  </t>
  </si>
  <si>
    <t>13.04.8</t>
  </si>
  <si>
    <t>13.04.9</t>
  </si>
  <si>
    <t>13.04.10</t>
  </si>
  <si>
    <t>13.04.11</t>
  </si>
  <si>
    <t>13.05</t>
  </si>
  <si>
    <t>Raccordement des Tableaux Divisionnaires TDs (ou Cables d'alimentation des TDs)</t>
  </si>
  <si>
    <t>13.05.1</t>
  </si>
  <si>
    <t>13.05.3</t>
  </si>
  <si>
    <t>13.05.4</t>
  </si>
  <si>
    <t>13.05.5</t>
  </si>
  <si>
    <t>Câble industriel armé 4x35mm2 (3P+N+T) U-1000 RVFV ou équivalent pour alimentation du TD du RDC du Bloc Imagerie(à partir du TG2)</t>
  </si>
  <si>
    <t>13.05.6</t>
  </si>
  <si>
    <t>13.05.7</t>
  </si>
  <si>
    <t>13.05.8</t>
  </si>
  <si>
    <t>13.05.9</t>
  </si>
  <si>
    <t>Câble industriel armé 4x25mm2 (3P+N+T) U-1000 RVFV ou équivalent pour alimentation du TD pour Bloc Opératoire (à partir du TG4)</t>
  </si>
  <si>
    <t>13.05.10</t>
  </si>
  <si>
    <t>13.05.11</t>
  </si>
  <si>
    <t>13.05.12</t>
  </si>
  <si>
    <t>13.05.13</t>
  </si>
  <si>
    <t>13.05.14</t>
  </si>
  <si>
    <t>13.05.15</t>
  </si>
  <si>
    <t>13.05.16</t>
  </si>
  <si>
    <t>13.06</t>
  </si>
  <si>
    <t xml:space="preserve">Tableaux divisionnaires TDs </t>
  </si>
  <si>
    <t>13.06.1</t>
  </si>
  <si>
    <t>Tableau Divisionnaire équipé et câblé (TD pour RDC du Bloc Buanderie)</t>
  </si>
  <si>
    <t>13.06.2</t>
  </si>
  <si>
    <t>Tableau Divisionnaire équipé et câblé (TD pour Etage du Bloc Buanderie)</t>
  </si>
  <si>
    <t>13.06.3</t>
  </si>
  <si>
    <t>Tableau Divisionnaire équipé et câblé (TD du RDC du Bloc Imagerie)</t>
  </si>
  <si>
    <t>13.06.4</t>
  </si>
  <si>
    <t>13.06.5</t>
  </si>
  <si>
    <t>Tableau Divisionnaire équipé et câblé (TD du Bloc Maintenance)</t>
  </si>
  <si>
    <t>13.06.6</t>
  </si>
  <si>
    <t>Tableau Divisionnaire équipé et câblé (TD pour Bloc Opératoire)</t>
  </si>
  <si>
    <t>13.06.7</t>
  </si>
  <si>
    <t>Tableau Divisionnaire équipé et câblé (TD du RDC du Bloc Maternité et Administration)</t>
  </si>
  <si>
    <t>13.06.8</t>
  </si>
  <si>
    <t>13.06.9</t>
  </si>
  <si>
    <t>Tableau Divisionnaire équipé et câblé (TD pour RDC du Bloc Hospitalisation)</t>
  </si>
  <si>
    <t>13.06.10</t>
  </si>
  <si>
    <t>13.06.11</t>
  </si>
  <si>
    <t>Tableau Divisionnaire équipé et câblé (TD pour Bloc Morgue)</t>
  </si>
  <si>
    <t>13.06.12</t>
  </si>
  <si>
    <t>Tableau Divisionnaire équipé et câblé (TD pour Bloc Urgences)</t>
  </si>
  <si>
    <t>13.06.13</t>
  </si>
  <si>
    <t>Tableau Divisionnaire équipé et câblé (TD pour Bloc Pharmacie)</t>
  </si>
  <si>
    <t>13.06.14</t>
  </si>
  <si>
    <t>Tableau Divisionnaire équipé et câblé (TD pour Bloc Local Technique)</t>
  </si>
  <si>
    <t>13.06.15</t>
  </si>
  <si>
    <t>Tableau Divisionnaire équipé et câblé (TD pour Bloc Sanitaires)</t>
  </si>
  <si>
    <t>13.07</t>
  </si>
  <si>
    <t xml:space="preserve">Installations électriques intérieures </t>
  </si>
  <si>
    <t>13.07.1</t>
  </si>
  <si>
    <t>Fil VOB 1,5mm2 pour éclairage</t>
  </si>
  <si>
    <t>13.07.2</t>
  </si>
  <si>
    <t>Fil VOB 2,5 mm2 pour prises de courant 2P+T</t>
  </si>
  <si>
    <t>13.07.3</t>
  </si>
  <si>
    <t>Conduit flexile annelé ICTA 3422 (Gaine pour béton), diam 3/4''</t>
  </si>
  <si>
    <t>13.07.4</t>
  </si>
  <si>
    <t>Câble industriel armé U-1000 RVFV 5x4mm2 pour prises triphasées 3P+N+T</t>
  </si>
  <si>
    <t>13.07.5</t>
  </si>
  <si>
    <t>Raccordement+Accessoires de raccordement (boîte de dérivation, connexes)</t>
  </si>
  <si>
    <t>13.08</t>
  </si>
  <si>
    <t xml:space="preserve">Mise à la terre  </t>
  </si>
  <si>
    <t>13.08.1</t>
  </si>
  <si>
    <t>Mise à la terre de toute l'installation du bloc</t>
  </si>
  <si>
    <t>13.09</t>
  </si>
  <si>
    <t>13.09.1</t>
  </si>
  <si>
    <t>13.09.2</t>
  </si>
  <si>
    <t>13.09.3</t>
  </si>
  <si>
    <t>Conduit flexile annelé ICA 3321 ordinaire, diam 3/4''</t>
  </si>
  <si>
    <t>13.09.4</t>
  </si>
  <si>
    <t>13.09.5</t>
  </si>
  <si>
    <t>13.10</t>
  </si>
  <si>
    <t>13.10.1</t>
  </si>
  <si>
    <t>13.10.2</t>
  </si>
  <si>
    <t>13.10.3</t>
  </si>
  <si>
    <t>Conduit flexile annelé  ICA 3321 ordinaire, diam 3/4''</t>
  </si>
  <si>
    <t>13.10.4</t>
  </si>
  <si>
    <t>13.11</t>
  </si>
  <si>
    <t>13.11.1</t>
  </si>
  <si>
    <t>13.12</t>
  </si>
  <si>
    <t>13.12.1</t>
  </si>
  <si>
    <t>13.12.2</t>
  </si>
  <si>
    <t>13.12.3</t>
  </si>
  <si>
    <t>13.12.4</t>
  </si>
  <si>
    <t>Câble industriel armé U-1000 RVFV 5x16mm2 pour radiographie</t>
  </si>
  <si>
    <t>Câble industriel armé U-1000 RVFV 3x4mm2 pour prises 2P+T; 32A</t>
  </si>
  <si>
    <t>Câble industriel armé U-1000 RVFV 5x6mm2 pour chambre froide</t>
  </si>
  <si>
    <t>Luminaires</t>
  </si>
  <si>
    <t>Réglette étanche + Tube LED 120cm opale; 18W/240V AC; allumage instantané</t>
  </si>
  <si>
    <t>Réglette non étanche + Tube LED 120cm opale; 18W/240V AC; allumage instantané</t>
  </si>
  <si>
    <t>Réglette non étanche double tube 120 cm + tubes LED 18W/240V AC; opale; allumage instantané</t>
  </si>
  <si>
    <t>Ampoule LED culot E27-15W/240V + Socket à suspendre E27</t>
  </si>
  <si>
    <t>Ampoule LED culot E27-5W/240V + Socket mural E27</t>
  </si>
  <si>
    <t>Organes de commande</t>
  </si>
  <si>
    <t>Interrupteur simple allumage encastré 10/16A, 240V AC</t>
  </si>
  <si>
    <t>Interrupteur double direction encastré 10/16A, 240V AC</t>
  </si>
  <si>
    <t>Interrupteur simple allumage apparent étanche 10/16A, 240V AC</t>
  </si>
  <si>
    <t>Interrupteur double allumage encastré 10/16A, 240V AC</t>
  </si>
  <si>
    <t>Prises de courant</t>
  </si>
  <si>
    <t>Prise de courant encastrée 2P+T, 10/16A, 240V AC avec obturateurs</t>
  </si>
  <si>
    <t>Double Prise de courant encastrée 2P+T, 10/16A, 240V AC avec obturateurs</t>
  </si>
  <si>
    <t>Prises de courant murales 2P+T, 32A, 240V AC</t>
  </si>
  <si>
    <t xml:space="preserve">Prise de courant encastrée triphasée 3P+N+T, 32A, 240V/400V AC </t>
  </si>
  <si>
    <t>Sécurité et confort des usagers</t>
  </si>
  <si>
    <t>Détecteur Avertisseur Autonome de Fumée (DAAF)</t>
  </si>
  <si>
    <t>Bloc Autonome d’Eclairage de Sécurité à LED (BAES)</t>
  </si>
  <si>
    <t>Climatiseur split system, 240V AC; 9000 BTU</t>
  </si>
  <si>
    <t>Climatiseur split system, 240V AC; 18000 BTU</t>
  </si>
  <si>
    <t>Téléphonie et informatique</t>
  </si>
  <si>
    <t>13.36.1</t>
  </si>
  <si>
    <t>Câblage pour RJ45 Cat 6 multibrins FTP</t>
  </si>
  <si>
    <t>13.36.2</t>
  </si>
  <si>
    <t>Prise RJ 45 Cat 6 FTP</t>
  </si>
  <si>
    <t>14.00</t>
  </si>
  <si>
    <t>14.01</t>
  </si>
  <si>
    <t>m²</t>
  </si>
  <si>
    <t>14.02</t>
  </si>
  <si>
    <t>14.03</t>
  </si>
  <si>
    <t>Revêtement des circulations piétonnes en pavés</t>
  </si>
  <si>
    <t>14.04</t>
  </si>
  <si>
    <t>14.05</t>
  </si>
  <si>
    <t>Mât de drapeau</t>
  </si>
  <si>
    <t>14.06</t>
  </si>
  <si>
    <t>14.07</t>
  </si>
  <si>
    <t>Borne fontaine</t>
  </si>
  <si>
    <t>14.08</t>
  </si>
  <si>
    <t>Amenangents des espaces verts</t>
  </si>
  <si>
    <t>14.08.1</t>
  </si>
  <si>
    <t>Engazonnements</t>
  </si>
  <si>
    <t>14.08.2</t>
  </si>
  <si>
    <t>Arbres décoratifs</t>
  </si>
  <si>
    <t>14.09</t>
  </si>
  <si>
    <t xml:space="preserve">Réservoir </t>
  </si>
  <si>
    <t>Réservoir de stockage d'eau potable de 30m3  sur  stucture métallique</t>
  </si>
  <si>
    <t>14.10</t>
  </si>
  <si>
    <t xml:space="preserve">Pompe suppresseur </t>
  </si>
  <si>
    <t>14.11</t>
  </si>
  <si>
    <t>Passage  couvert</t>
  </si>
  <si>
    <t>14.12</t>
  </si>
  <si>
    <t>14.13</t>
  </si>
  <si>
    <t>14.14</t>
  </si>
  <si>
    <t>Rampe d'accès</t>
  </si>
  <si>
    <t>14.15</t>
  </si>
  <si>
    <t>Espace de gestion des déchets</t>
  </si>
  <si>
    <t>14.16</t>
  </si>
  <si>
    <t>Mur soutènement</t>
  </si>
  <si>
    <t>m³</t>
  </si>
  <si>
    <t>14.17</t>
  </si>
  <si>
    <t>Dalle  et  Dallette de passage</t>
  </si>
  <si>
    <t>14.17.1</t>
  </si>
  <si>
    <t>Dalle sur caniveau 30X30 pour piétons</t>
  </si>
  <si>
    <t>14.17.2</t>
  </si>
  <si>
    <t>Dalle sur caniveau 40X40 pour piétons</t>
  </si>
  <si>
    <t>14.17.3</t>
  </si>
  <si>
    <t>Dalle sur caniveau de 60X60 pour véhicules et piétons</t>
  </si>
  <si>
    <t>14.17.4</t>
  </si>
  <si>
    <t>Dalle sur caniveau de 60X100 pour véhicules et piétons</t>
  </si>
  <si>
    <t>14.17.5</t>
  </si>
  <si>
    <t xml:space="preserve">Dalle sur caniveau de 1m de large pour véhicules </t>
  </si>
  <si>
    <t>14.17.6</t>
  </si>
  <si>
    <t>Dalle sur caniveau de 1m de large pour piétons</t>
  </si>
  <si>
    <t>14.17.7</t>
  </si>
  <si>
    <t>14.17.8</t>
  </si>
  <si>
    <t>Muret de visbilité</t>
  </si>
  <si>
    <t>15.00</t>
  </si>
  <si>
    <t>EXIGENCES ENVIRONNEMENTALES SOCIALES,     HYGIENES    ET SECURITE (ESHS)</t>
  </si>
  <si>
    <t>15.01</t>
  </si>
  <si>
    <t>15.01.1</t>
  </si>
  <si>
    <t>15.01.2</t>
  </si>
  <si>
    <t>Equipement de protection des engins </t>
  </si>
  <si>
    <t>15.01.3</t>
  </si>
  <si>
    <t>15.02.</t>
  </si>
  <si>
    <t xml:space="preserve">MESURES DE SAUVEGARDE ENVIRONNEMENTALES </t>
  </si>
  <si>
    <t>15.02.1</t>
  </si>
  <si>
    <t xml:space="preserve"> Restauration des zones d’emprunt et des carrières </t>
  </si>
  <si>
    <t>15.02.2</t>
  </si>
  <si>
    <t xml:space="preserve">Aménagement anti érosif incluant le reboisement compensatoire </t>
  </si>
  <si>
    <t>MESURES DE SAUVEGARDE SOCIALES</t>
  </si>
  <si>
    <t>15.03.1</t>
  </si>
  <si>
    <t>Sensibilisation pour MST/VIH SIDA et problèmes connexes  + covid 19</t>
  </si>
  <si>
    <t>15.03.2</t>
  </si>
  <si>
    <t xml:space="preserve">Coûts des produits de prévention des MST </t>
  </si>
  <si>
    <t>15.03.3</t>
  </si>
  <si>
    <t xml:space="preserve">Maintien de la circulation des riverains </t>
  </si>
  <si>
    <r>
      <t>m</t>
    </r>
    <r>
      <rPr>
        <vertAlign val="superscript"/>
        <sz val="11"/>
        <color indexed="8"/>
        <rFont val="Arial"/>
        <family val="2"/>
      </rPr>
      <t>2</t>
    </r>
  </si>
  <si>
    <r>
      <t>m</t>
    </r>
    <r>
      <rPr>
        <vertAlign val="superscript"/>
        <sz val="11"/>
        <color indexed="8"/>
        <rFont val="Arial"/>
        <family val="2"/>
      </rPr>
      <t>3</t>
    </r>
  </si>
  <si>
    <r>
      <t>m</t>
    </r>
    <r>
      <rPr>
        <vertAlign val="superscript"/>
        <sz val="11"/>
        <color indexed="8"/>
        <rFont val="Arial"/>
        <family val="2"/>
      </rPr>
      <t>3</t>
    </r>
    <r>
      <rPr>
        <sz val="11"/>
        <color theme="1"/>
        <rFont val="Calibri"/>
        <family val="2"/>
        <scheme val="minor"/>
      </rPr>
      <t/>
    </r>
  </si>
  <si>
    <t>U</t>
  </si>
  <si>
    <t>Q</t>
  </si>
  <si>
    <t>P.U.  en Euros</t>
  </si>
  <si>
    <t>P.T en Euros</t>
  </si>
  <si>
    <t>INSTALLATION DE CHANTIER</t>
  </si>
  <si>
    <t>Installation et repli de chantier.</t>
  </si>
  <si>
    <t>Fouilles de fondations filantes en béton cyclopéen et des semelles isolées sous colonnes</t>
  </si>
  <si>
    <t>Terrassement en  remblais</t>
  </si>
  <si>
    <t>Remblais en matériaux d' extraction</t>
  </si>
  <si>
    <t>3.02</t>
  </si>
  <si>
    <t>Béton armé de chainage bas ou longrine  basse 21x25</t>
  </si>
  <si>
    <t>RDC</t>
  </si>
  <si>
    <t>sous-Total poste3:BETONS</t>
  </si>
  <si>
    <t xml:space="preserve">Hérisson en moellons épaisseur 25 cm  </t>
  </si>
  <si>
    <t>Protection contre la remontée des eaux dans les dalles  ( Film polyane)</t>
  </si>
  <si>
    <t>Total poste 4:PAVEMENT</t>
  </si>
  <si>
    <t>Roofing  de Protection contre l'humidité ascencionnelle dans les murs</t>
  </si>
  <si>
    <t>Total poste 5 :MACONNERIE</t>
  </si>
  <si>
    <t>Joint de dilatation et couvre joint de tasssement  vertical</t>
  </si>
  <si>
    <t>Couvre joint de Tassement vertical</t>
  </si>
  <si>
    <t>Revêtement de sols en carreaux antidérapant</t>
  </si>
  <si>
    <t>6.02.4</t>
  </si>
  <si>
    <t>6.02.4.1</t>
  </si>
  <si>
    <t>Total poste 6 :REVETEMENT</t>
  </si>
  <si>
    <t>Total poste 7 : COUVERTURE et ETANCHEITE</t>
  </si>
  <si>
    <t>Caniveaux maçonnés d'EP</t>
  </si>
  <si>
    <t>Total poste 8 RESEAU  D'EVACUATION DES EAUX PLUVIALES</t>
  </si>
  <si>
    <t>Total poste 9 : FAUX PLAFOND</t>
  </si>
  <si>
    <t>Portes simples en bois PSB</t>
  </si>
  <si>
    <t>Portes double en bois PDB</t>
  </si>
  <si>
    <t>Garde corps escalier en main courante</t>
  </si>
  <si>
    <t>10.05.2</t>
  </si>
  <si>
    <t>10.05.3</t>
  </si>
  <si>
    <t>Total poste 10:HUISSERIE et MENUISERIE</t>
  </si>
  <si>
    <t xml:space="preserve">Peinture acrylique sur enduits intérieurs </t>
  </si>
  <si>
    <t xml:space="preserve">Peinture glycérophtalique sur enduits intérieurs jusqu'à 2,10m et Vinylique au dessus </t>
  </si>
  <si>
    <t>Peinture acrylique sur enduits taloché  exterieurs des ouvrages en béton</t>
  </si>
  <si>
    <t>Peinture glycérophtalique sur enduits intérieurs jusqu'à 2,10  m</t>
  </si>
  <si>
    <t>Total poste 11: PEINTURE</t>
  </si>
  <si>
    <t>Réseau d'Evacuation en tuyaux PVC à l'intérieur des bâtiments</t>
  </si>
  <si>
    <t>Total poste 12 :PLOMBERIE-SANITAIRE</t>
  </si>
  <si>
    <t>Câble industriel  4x16mm2 (3P+N) U-1000 R2V ou équivalent, pose souterraine dans gaine TPC rouge  pour alimentation du TD du RDC (à partir du TG6)</t>
  </si>
  <si>
    <t>Fil VOB 2,5 mm2 pour prises de courant 2P+T 10/16A</t>
  </si>
  <si>
    <t>Total poste 13.00 :  ELECTRICITE</t>
  </si>
  <si>
    <t xml:space="preserve">sous-Total poste 2:TERRASSEMENTS </t>
  </si>
  <si>
    <t>Béton armé de linteau et chainage supérieur</t>
  </si>
  <si>
    <t>3.02.10</t>
  </si>
  <si>
    <t xml:space="preserve">Hourdis de 16 en briques cuites </t>
  </si>
  <si>
    <t>Maçonnerie  en  moellons  de  soubassement ou murs</t>
  </si>
  <si>
    <t xml:space="preserve">Revêtement de sols en carreaux antidérapant </t>
  </si>
  <si>
    <t>Descentes en tuyau PVC diam 110mm +colliers  de  fixation</t>
  </si>
  <si>
    <t xml:space="preserve">Caniveaux  maçonnés en moellons ou en briques de dimensions intérieures 30x30cm, </t>
  </si>
  <si>
    <t>PSB 80x210</t>
  </si>
  <si>
    <t>PSB 93x264</t>
  </si>
  <si>
    <t>10.11</t>
  </si>
  <si>
    <t>10.11.1</t>
  </si>
  <si>
    <t>10.12</t>
  </si>
  <si>
    <t>10.12.1</t>
  </si>
  <si>
    <t>Câble industriel 4x35mm2 (3P+N) U-1000 R2V ou équivalent, pose souterraine dans gaine TPC rouge pour alimentation du TG5 (à partir du TGBT)</t>
  </si>
  <si>
    <t>Câble industriel armé 4x25mm2 (3P+N+T) U-1000 RVFV ou équivalent pour alimentation du TD du RDC (à partir du TG5)</t>
  </si>
  <si>
    <t>13.08.2</t>
  </si>
  <si>
    <t>13.11.2</t>
  </si>
  <si>
    <t>13.11.3</t>
  </si>
  <si>
    <t>13.11.4</t>
  </si>
  <si>
    <t>13.13.2</t>
  </si>
  <si>
    <t>Béton armé de linteau   et chainage  supérieur</t>
  </si>
  <si>
    <t>5.05</t>
  </si>
  <si>
    <t>5.05.1</t>
  </si>
  <si>
    <t xml:space="preserve">Faîtières et arrêtiers pour  tôles ondulées bitumineuses </t>
  </si>
  <si>
    <t>FMV 172x165</t>
  </si>
  <si>
    <t>FMV 121,5x165</t>
  </si>
  <si>
    <t>FMV 58x120</t>
  </si>
  <si>
    <t>FMV 58x99</t>
  </si>
  <si>
    <t>PDMV 178,5x264</t>
  </si>
  <si>
    <t>Câble industriel  4x70mm2 (3P+N) U-1000 R2V ou équivalent, pose souterraine dans gaine TPC rouge  pour alimentation du TG2 (à partir du TGBT)</t>
  </si>
  <si>
    <t>Câble industriel armé 4x35mm2 (3P+N+T) U-1000 RVFV ou équivalent pour alimentation du TD du RDC (à partir du TG2)</t>
  </si>
  <si>
    <t xml:space="preserve">Câble industriel armé 5x35mm2 (3P+N) U-1000 RVFV ou équivalent pour alimentation du TD pour Etage (à partir du TG2) </t>
  </si>
  <si>
    <t>Béton pour appui de fenêtre seuil des fenêtres</t>
  </si>
  <si>
    <t>Béton de forme sur les passages couverts, trottoirs et caniveaux</t>
  </si>
  <si>
    <t>Béton armé de semelles</t>
  </si>
  <si>
    <t xml:space="preserve">Béton armé pour colonne  en élévation  </t>
  </si>
  <si>
    <t>3.2.6.1</t>
  </si>
  <si>
    <t xml:space="preserve">Maçonnerie en moellons   </t>
  </si>
  <si>
    <t>Maçonnerie  en moellons de soubassement ou murs</t>
  </si>
  <si>
    <t xml:space="preserve">FMV 58x77 </t>
  </si>
  <si>
    <t>FMV 229X88</t>
  </si>
  <si>
    <t>FMV 229X154</t>
  </si>
  <si>
    <t>FMV 150X154</t>
  </si>
  <si>
    <t>FMV 58x110</t>
  </si>
  <si>
    <t>FMV 115X154</t>
  </si>
  <si>
    <t>10.2.1</t>
  </si>
  <si>
    <t>PDB 121,5x264</t>
  </si>
  <si>
    <t>10.3.1</t>
  </si>
  <si>
    <t>10.3.2</t>
  </si>
  <si>
    <t>Porte simple métallique vitrée</t>
  </si>
  <si>
    <t>PSMV  93x264</t>
  </si>
  <si>
    <t>Peinture acrylique sur enduits taloché  exterieurs des ouvrages poutres,  colonnes  , etc</t>
  </si>
  <si>
    <t>12.05.2.1</t>
  </si>
  <si>
    <t>12.05.2.2</t>
  </si>
  <si>
    <t>12.05.2.3</t>
  </si>
  <si>
    <t>Evier double de cuisine</t>
  </si>
  <si>
    <t xml:space="preserve">Tableau Général  TG4 en saillie équipé et précablé selon le schéma unifilaire </t>
  </si>
  <si>
    <t>TOTAL GENERAL BLOC OPERATOIRE</t>
  </si>
  <si>
    <t xml:space="preserve">Hourdis de 13 en briques cuites </t>
  </si>
  <si>
    <t>Rejointoyage des murs extérieur</t>
  </si>
  <si>
    <t>6.02.4.3</t>
  </si>
  <si>
    <t>Lavabo antiseptique</t>
  </si>
  <si>
    <t>Câble industriel armé 4x35mm2 (3P+N+T) U-1000 RVFV ou équivalent pour alimentation du TD pour RDC (à partir du TG1)</t>
  </si>
  <si>
    <t>7.04</t>
  </si>
  <si>
    <t>7.04.1</t>
  </si>
  <si>
    <t>7.04.2</t>
  </si>
  <si>
    <t>7.04.3</t>
  </si>
  <si>
    <t>7.04.4</t>
  </si>
  <si>
    <t>7.04.5</t>
  </si>
  <si>
    <t>12.03.3</t>
  </si>
  <si>
    <t>Câble industriel  4x16mm2 (3P+N) U-1000 R2V ou équivalent, pose souterraine dans gaine TPC rouge  pour alimentation du TD (à partir du TG3)</t>
  </si>
  <si>
    <t>13.05.2</t>
  </si>
  <si>
    <t>FMV 150x154</t>
  </si>
  <si>
    <t>FMV 121,5x143</t>
  </si>
  <si>
    <t>6.01.4</t>
  </si>
  <si>
    <t>Bac à laver ( à lessiver) de 12,20 m de long avec 4  trous</t>
  </si>
  <si>
    <t>Démolition des ouvrages</t>
  </si>
  <si>
    <t>Démolition de la charpente métallique ou en bois (  ferme, rampants, pannes , planches de rive</t>
  </si>
  <si>
    <t>Travaux de décapage des murs: décapage  des enduits intérieurs du bâtiment  existant</t>
  </si>
  <si>
    <t>Câble industriel  4x16mm2 (3P+N) U-1000 R2V ou équivalent, pose souterraine dans gaine TPC rouge  pour alimentation du TD (à partir du TG4)</t>
  </si>
  <si>
    <t>Dépose  de la couverture en tôles galvanisées</t>
  </si>
  <si>
    <t>Câble industriel 4x35mm2 (3P+N) U-1000 R2V ou équivalent, pose souterraine dans gaine TPC rouge pour alimentation du TG3 (à partir du TGBT)</t>
  </si>
  <si>
    <t>Démolition  des murs et de murets  en  briques  cuites</t>
  </si>
  <si>
    <t>Démolition  des colonnes en béton armé</t>
  </si>
  <si>
    <t>Démolition de  faux  plafonds existants</t>
  </si>
  <si>
    <t>Câble industriel  4x10mm2 (3P+N) U-1000 R2V ou équivalent, pose souterraine dans gaine TPC rouge  pour alimentation du TD (à partir du TG5)</t>
  </si>
  <si>
    <t>2.03</t>
  </si>
  <si>
    <t>2.03.1</t>
  </si>
  <si>
    <t>Réseau d'Evacuation en tuyaux PVC à l'intérieur ou extérieur  des bâtiments</t>
  </si>
  <si>
    <t>Bordures</t>
  </si>
  <si>
    <t>7.03</t>
  </si>
  <si>
    <t>FF</t>
  </si>
  <si>
    <t xml:space="preserve"> TVA (18%)</t>
  </si>
  <si>
    <t>TOTAL GENERAL TVAC</t>
  </si>
  <si>
    <t>Revêtement de sol en chape lissée à base de résine</t>
  </si>
  <si>
    <t>diam 1/2 " avec vanne d'arret</t>
  </si>
  <si>
    <t>diam 3/4 " avec vanne d'arret</t>
  </si>
  <si>
    <t>Revêtement de sol en chape lissée avec Résine</t>
  </si>
  <si>
    <t>Plinthe en ciment teintée avec Résine</t>
  </si>
  <si>
    <t>Revêtement de sol en chape talochée</t>
  </si>
  <si>
    <t>Plinthe en ciment à base de résine</t>
  </si>
  <si>
    <t>13.37</t>
  </si>
  <si>
    <t>Source ondulée</t>
  </si>
  <si>
    <t>Onduleur 15 KW - TRIPHASE/TRIPHASE</t>
  </si>
  <si>
    <t>Enduit de ciment taloché fin sur ouvrages en béton colonnes , poutres, chainage</t>
  </si>
  <si>
    <t>Béton armé</t>
  </si>
  <si>
    <t>Lit de sable sous  pavement  épaisseur 5 cm</t>
  </si>
  <si>
    <t>TRAVAUX GENERAUX</t>
  </si>
  <si>
    <t>N°</t>
  </si>
  <si>
    <t>Qté</t>
  </si>
  <si>
    <t>P.U. HTVA</t>
  </si>
  <si>
    <t>P.T. HTVA</t>
  </si>
  <si>
    <t>Installation de chantier</t>
  </si>
  <si>
    <t>Total 1</t>
  </si>
  <si>
    <t xml:space="preserve">Main d'œuvre </t>
  </si>
  <si>
    <t xml:space="preserve"> Aides</t>
  </si>
  <si>
    <t>H/jour</t>
  </si>
  <si>
    <t>Charpentier</t>
  </si>
  <si>
    <t>Total 2</t>
  </si>
  <si>
    <t>Prix sec (1+2)</t>
  </si>
  <si>
    <t>Frais de chantier (25%)</t>
  </si>
  <si>
    <t xml:space="preserve">Coefficient FG + FF + A&amp;B  (25%) </t>
  </si>
  <si>
    <t>PU/fft</t>
  </si>
  <si>
    <t>TRAVAUX PREPARATOIRES</t>
  </si>
  <si>
    <t>Démolitions de bâtiment  et obstacles divers existant se  trouvant  sur  les  sites</t>
  </si>
  <si>
    <t>1.01.01</t>
  </si>
  <si>
    <t>Démolition  de l'abri  groupe</t>
  </si>
  <si>
    <t>Démilition des réservoirs d"eau  potable et  les  support en béton</t>
  </si>
  <si>
    <t>PU/ml</t>
  </si>
  <si>
    <t>PU/pce</t>
  </si>
  <si>
    <t>Déplacement  provisoire du poteau d'électricité</t>
  </si>
  <si>
    <t>Electricien</t>
  </si>
  <si>
    <t>Déplacement  du compteur d'eau existant</t>
  </si>
  <si>
    <t>PU/m2</t>
  </si>
  <si>
    <t>PU/m3</t>
  </si>
  <si>
    <t>Démolition de  trottoirs  existant</t>
  </si>
  <si>
    <t>Frais de chantier (5%)</t>
  </si>
  <si>
    <t xml:space="preserve">Coefficient FG + FF + A&amp;B  (5%) </t>
  </si>
  <si>
    <t>Plombier</t>
  </si>
  <si>
    <t>Démilition des closions en triplex</t>
  </si>
  <si>
    <t>Aides</t>
  </si>
  <si>
    <t>TERRASSEMENTS</t>
  </si>
  <si>
    <t>Désignation</t>
  </si>
  <si>
    <t>Remblais en matériaux d'apports</t>
  </si>
  <si>
    <t>Béton non armé</t>
  </si>
  <si>
    <t>Béton de propreté dosé à 150 Kg/m3</t>
  </si>
  <si>
    <t>Matériaux</t>
  </si>
  <si>
    <t>Ciment au KG</t>
  </si>
  <si>
    <t>sac</t>
  </si>
  <si>
    <t>Sable au M3</t>
  </si>
  <si>
    <t>Gravier au M3</t>
  </si>
  <si>
    <t>Eau</t>
  </si>
  <si>
    <t>Main d'œuvre</t>
  </si>
  <si>
    <t>Malaxage-aide2</t>
  </si>
  <si>
    <t>Transport-aider2</t>
  </si>
  <si>
    <t>Coulage-maçon</t>
  </si>
  <si>
    <t>Frais de chantier (15%)</t>
  </si>
  <si>
    <t>Coefficient FG + FF + A&amp;B (15%)</t>
  </si>
  <si>
    <t>Béton cyclopéen dosé à 300 Kg/m3</t>
  </si>
  <si>
    <t>Moellon</t>
  </si>
  <si>
    <t>Malaxage-aide 2</t>
  </si>
  <si>
    <t>Transport-aide 2</t>
  </si>
  <si>
    <t>Béton pour appui de fenêtre ou seuil de fenêtre dosé à 300 Kg/m3</t>
  </si>
  <si>
    <t>Planche pou coffrage</t>
  </si>
  <si>
    <t>Malaxage - aide 2</t>
  </si>
  <si>
    <t>Transport - aide 2</t>
  </si>
  <si>
    <t>Coffrage - Charpentier</t>
  </si>
  <si>
    <t>Coulage - Maçon</t>
  </si>
  <si>
    <t>Frais de chantier (10%)</t>
  </si>
  <si>
    <t>Coefficient FG + FF + A&amp;B (10%)</t>
  </si>
  <si>
    <t>Coefficient FG + FF + A&amp;B (20%)</t>
  </si>
  <si>
    <t>Béton de fondation (350 Kg/m3)</t>
  </si>
  <si>
    <t>Semelles</t>
  </si>
  <si>
    <t>Fer à béton Ø 12</t>
  </si>
  <si>
    <t>Planche pour coffrage</t>
  </si>
  <si>
    <t>Fil à ligaturer</t>
  </si>
  <si>
    <t>kg</t>
  </si>
  <si>
    <t>Clous</t>
  </si>
  <si>
    <t>Ferrailleur</t>
  </si>
  <si>
    <t>Coefficient FG + FF + A&amp;B (25%)</t>
  </si>
  <si>
    <t>Béton armé pour fût de colonnes de fondation</t>
  </si>
  <si>
    <t>Fer à béton Ø 6 pour étrier</t>
  </si>
  <si>
    <t>Perche</t>
  </si>
  <si>
    <t>3.02.1.4</t>
  </si>
  <si>
    <t xml:space="preserve">Béton armé  pour colonne  en élévation ( Raidisseur pour les batiments nouveaux) </t>
  </si>
  <si>
    <t xml:space="preserve">Fer à béton Ø 6 </t>
  </si>
  <si>
    <t>Fer à béton Ø 10</t>
  </si>
  <si>
    <t>Houdis (30x30x13)</t>
  </si>
  <si>
    <t>Béton armé  ép: 8 cm</t>
  </si>
  <si>
    <t xml:space="preserve">Béton armé de poutres haut </t>
  </si>
  <si>
    <t>Béton armé de dallettes de bancs</t>
  </si>
  <si>
    <t>Sable au M2</t>
  </si>
  <si>
    <t>Coefficient FG + FF + A&amp;B (5%)</t>
  </si>
  <si>
    <t>Hérisson de moellons épaisseur  25 cm</t>
  </si>
  <si>
    <t>Moellon de carrière au M3</t>
  </si>
  <si>
    <t>Maçon</t>
  </si>
  <si>
    <t>Film polyane</t>
  </si>
  <si>
    <t>KG</t>
  </si>
  <si>
    <t>Roofing</t>
  </si>
  <si>
    <t>Maçonnerie en briques artisanales ép: 10cm</t>
  </si>
  <si>
    <t>Sable</t>
  </si>
  <si>
    <t>Ciment</t>
  </si>
  <si>
    <t>Brique artisanale</t>
  </si>
  <si>
    <t>Maçonnerie en briques artisanales ép: 20cm</t>
  </si>
  <si>
    <t>Maçonnerie en briques artisanales ép: 30cm</t>
  </si>
  <si>
    <t>Maçonnerie en briques semi-industrielles</t>
  </si>
  <si>
    <t>Maçonnerie en briques semi-industriel ép: 21 cm</t>
  </si>
  <si>
    <t>Brique semi industrielle</t>
  </si>
  <si>
    <t>Maçonnerie en briques semi-industriel ép: 27,5 cm</t>
  </si>
  <si>
    <t>Claustras</t>
  </si>
  <si>
    <t>Maçonnerie de moellons</t>
  </si>
  <si>
    <t>5.05.2</t>
  </si>
  <si>
    <t>REVETEMENTS</t>
  </si>
  <si>
    <t>Sable fin</t>
  </si>
  <si>
    <t>6.01.1  6.01.1</t>
  </si>
  <si>
    <t>Enduit de ciment taloché fin sur murs intérieurs</t>
  </si>
  <si>
    <t>6.01.2.1  6.01.2.2</t>
  </si>
  <si>
    <t xml:space="preserve">Sable </t>
  </si>
  <si>
    <t>Carreau faïence</t>
  </si>
  <si>
    <t>6.01.5</t>
  </si>
  <si>
    <t>6.01.5.1</t>
  </si>
  <si>
    <t>Joint de dilatation de Tassement vertical</t>
  </si>
  <si>
    <t>Planche</t>
  </si>
  <si>
    <t>6.01.5.2</t>
  </si>
  <si>
    <t>Casse goutte</t>
  </si>
  <si>
    <t>Pigment rouge</t>
  </si>
  <si>
    <t>Sika-flow</t>
  </si>
  <si>
    <t xml:space="preserve">Revêtement de sols en carreaux ordinaires </t>
  </si>
  <si>
    <t>Carreau de sol ordinaire</t>
  </si>
  <si>
    <t xml:space="preserve">6.02.3.1  6.02.3.2  </t>
  </si>
  <si>
    <t>Revêtement en carreaux de sols</t>
  </si>
  <si>
    <t>Carreau de sol antidérapant</t>
  </si>
  <si>
    <t>Plinthe</t>
  </si>
  <si>
    <t xml:space="preserve">6.02.4.1 </t>
  </si>
  <si>
    <t>6.02.4.2</t>
  </si>
  <si>
    <t xml:space="preserve">Pigment </t>
  </si>
  <si>
    <t xml:space="preserve">Carreau de sol </t>
  </si>
  <si>
    <t>Tube de 60x40x1,5</t>
  </si>
  <si>
    <t>Baguettes , disques,peinture,antirouille, … etc ... : 15% des gros matériaux</t>
  </si>
  <si>
    <t>Soudeur</t>
  </si>
  <si>
    <t>Peintre</t>
  </si>
  <si>
    <t>Demi fermes en tubes métalliques de 7,15m</t>
  </si>
  <si>
    <t>Demi fermes en tubes métalliques de 10,5m</t>
  </si>
  <si>
    <t>Fermes en tubes métalliques de 10,15m</t>
  </si>
  <si>
    <t>Fermes en tubes métalliques de 12m</t>
  </si>
  <si>
    <t>Fermes en tubes métalliques de 12,8m</t>
  </si>
  <si>
    <t>Fermes en tubes métalliques de 15,4m</t>
  </si>
  <si>
    <t>Fermes en tubes métalliques de 16,4m</t>
  </si>
  <si>
    <t>Fermes en tubes métalliques de 16,60m</t>
  </si>
  <si>
    <t>Rampants en tubes métalliques de 60x40x1,5</t>
  </si>
  <si>
    <t>Pannes en tubes métalliques de 40x40x1,5</t>
  </si>
  <si>
    <t>Tube de 40x40x1,5</t>
  </si>
  <si>
    <t>Couverture</t>
  </si>
  <si>
    <t>Tôle</t>
  </si>
  <si>
    <t>Vis auto-taraudeuses</t>
  </si>
  <si>
    <t>Faitière</t>
  </si>
  <si>
    <t>Planche de rive</t>
  </si>
  <si>
    <t>Profilé C150x30x1,5</t>
  </si>
  <si>
    <t>Baguettes , disques,peinture,antirouille ….. Etc …. : 10% des gros matériaux</t>
  </si>
  <si>
    <t>Manœuvre</t>
  </si>
  <si>
    <t>Gouttière en en alu zinc prélaqué Utema</t>
  </si>
  <si>
    <t>Gouttière + Accessoires de support</t>
  </si>
  <si>
    <t>Tuyau PVC 110</t>
  </si>
  <si>
    <t>Elément de tête, coude, support, joint  : 20% des gros matériaux</t>
  </si>
  <si>
    <t>Plombien</t>
  </si>
  <si>
    <t xml:space="preserve">Poteau métallique et accessoires </t>
  </si>
  <si>
    <t>Matériaux/Matériels</t>
  </si>
  <si>
    <t>* Béton de propreté à 150Kg/m3</t>
  </si>
  <si>
    <t xml:space="preserve">  Sable de propreté</t>
  </si>
  <si>
    <t xml:space="preserve">  Gravier</t>
  </si>
  <si>
    <t xml:space="preserve">  Eau</t>
  </si>
  <si>
    <t xml:space="preserve">  Ciment</t>
  </si>
  <si>
    <t>* Maçonnerie en moellon à 300Kg/m3</t>
  </si>
  <si>
    <t xml:space="preserve">  Sable </t>
  </si>
  <si>
    <t xml:space="preserve">  Moellon</t>
  </si>
  <si>
    <t>* Mortier de radier à 400Kg/m3</t>
  </si>
  <si>
    <t>* Enduit dosé à 400Kg/m3</t>
  </si>
  <si>
    <t>* Mortier de tête à 450Kg/m3</t>
  </si>
  <si>
    <t xml:space="preserve">Caniveaux maçonnés en moellons ou en briques de dimensions intérieures 40x40cm, </t>
  </si>
  <si>
    <t xml:space="preserve">Caniveaux maçonnés en moellons ou en briques de dimensions intérieures 60x60cm, </t>
  </si>
  <si>
    <t>Frais de chantier (20%)</t>
  </si>
  <si>
    <t>Cunnette</t>
  </si>
  <si>
    <t>Tuyau PVC Ø 200 pour évacuation des eaux pluviales</t>
  </si>
  <si>
    <t>Tuyau PVC Ø 200 PN 16 et accessoires d'installation</t>
  </si>
  <si>
    <t>Lamelle PVC et accessoires de fixation</t>
  </si>
  <si>
    <t>Chevrons pour gitage</t>
  </si>
  <si>
    <t>1/2 HS</t>
  </si>
  <si>
    <t>Fer à béton lisse Ø12</t>
  </si>
  <si>
    <t>Moustiquaire</t>
  </si>
  <si>
    <t>Fer plat de 30mm</t>
  </si>
  <si>
    <t>Profilé C</t>
  </si>
  <si>
    <t>Minium</t>
  </si>
  <si>
    <t>litre</t>
  </si>
  <si>
    <t>Peinture à huile</t>
  </si>
  <si>
    <t>paire</t>
  </si>
  <si>
    <t>Vitre lamelle</t>
  </si>
  <si>
    <t>Baguettes , disques,élt de fixation : 10% des gros matériaux</t>
  </si>
  <si>
    <t>Vitrier</t>
  </si>
  <si>
    <t>Porte Naco de 1,2m</t>
  </si>
  <si>
    <t>Porte Naco</t>
  </si>
  <si>
    <t>Frais de chantier (2%)</t>
  </si>
  <si>
    <t>Profilé bouteille</t>
  </si>
  <si>
    <t>Fer à béton 10mm</t>
  </si>
  <si>
    <t>Fer Té 25mm</t>
  </si>
  <si>
    <t>Cornière</t>
  </si>
  <si>
    <t xml:space="preserve">Minium                                                     </t>
  </si>
  <si>
    <t xml:space="preserve">Peinture                                                    </t>
  </si>
  <si>
    <t>Tole plane 1,5 mm</t>
  </si>
  <si>
    <t>Serrure</t>
  </si>
  <si>
    <t>Baguettes , disques,… autres élt de fixation : 10% des gros matériaux</t>
  </si>
  <si>
    <t>Profilé HS</t>
  </si>
  <si>
    <t>Verre à vitre de 5 mm</t>
  </si>
  <si>
    <t>Fer à béton Ø10</t>
  </si>
  <si>
    <t>Tube de 20x20x1,5</t>
  </si>
  <si>
    <t>Porte cadenas +Verrou</t>
  </si>
  <si>
    <t>Tole plane</t>
  </si>
  <si>
    <t>Grissière</t>
  </si>
  <si>
    <t>10.11.2</t>
  </si>
  <si>
    <t>Tubes de 60x40</t>
  </si>
  <si>
    <t>Tubes de 40x40</t>
  </si>
  <si>
    <t>Tube rond de 50 mm</t>
  </si>
  <si>
    <t>10.12.2</t>
  </si>
  <si>
    <t>Main courante en bois</t>
  </si>
  <si>
    <t xml:space="preserve">Main courante en bois d'eucalyptus </t>
  </si>
  <si>
    <t>Vernis</t>
  </si>
  <si>
    <t>Eléments de fixation : 10% des gros matériaux</t>
  </si>
  <si>
    <t>Tube rond de 50 mm de diamètre</t>
  </si>
  <si>
    <t>Tôle plane</t>
  </si>
  <si>
    <t>Scrupteur</t>
  </si>
  <si>
    <t>Enduit</t>
  </si>
  <si>
    <t xml:space="preserve">Peinture à eau                                                    </t>
  </si>
  <si>
    <t>Brosse, Elts d'application : 10% des gros matériaux</t>
  </si>
  <si>
    <t>11.01    11.02     11.04</t>
  </si>
  <si>
    <t xml:space="preserve">Peinture à huile                                                  </t>
  </si>
  <si>
    <t xml:space="preserve">11.01    </t>
  </si>
  <si>
    <t>Raccordement au réseau + Compteur d'eau</t>
  </si>
  <si>
    <t>Compteur</t>
  </si>
  <si>
    <t>Accessoires et élément de fixation : 10% des gros matériaux</t>
  </si>
  <si>
    <t>Gravier tamisé</t>
  </si>
  <si>
    <t>Maçonnerie des parois 0,20 (profondeur 0,60)</t>
  </si>
  <si>
    <t>Cornière 40/40</t>
  </si>
  <si>
    <t>Dallette</t>
  </si>
  <si>
    <t>Tuyau PPR diam 1/2''</t>
  </si>
  <si>
    <t>Tuyau PPR diam 3/4''</t>
  </si>
  <si>
    <t>Réseau d'Alimentation en  tuyau  PEHD à l'extérieur des bâtiments</t>
  </si>
  <si>
    <t>Tuyau PEHD Ø 50 PN 10</t>
  </si>
  <si>
    <t>Tuyau PEHD Ø 40 PN 10</t>
  </si>
  <si>
    <t>Tuyau PEHD Ø 32 PN 16</t>
  </si>
  <si>
    <t>Tuyau PEHD Ø 25 PN 16</t>
  </si>
  <si>
    <t>Tuyau PVC Ø 25 PN 16</t>
  </si>
  <si>
    <t>Evacuation EU  PVC 50</t>
  </si>
  <si>
    <t>Tuyau PVC Ø 50</t>
  </si>
  <si>
    <t>Evacuation EU PVC 75</t>
  </si>
  <si>
    <t>Tuyau PVC Ø 75</t>
  </si>
  <si>
    <t>Evacuation EU PVC 110</t>
  </si>
  <si>
    <t>Tuyau PVC Ø 110</t>
  </si>
  <si>
    <t>Evacuation EU PVC 140</t>
  </si>
  <si>
    <t>Tuyau PVC Ø 140</t>
  </si>
  <si>
    <t>Evacuation EU PVC 160</t>
  </si>
  <si>
    <t>Tuyau PVC Ø 160</t>
  </si>
  <si>
    <t>Evacuation EU PVC 200</t>
  </si>
  <si>
    <t>Tuyau PVC Ø 200</t>
  </si>
  <si>
    <t>Frais de branchement aux réseaux unitaires d'évacuation des EU de la ville de BUJUMBURA ( réseau vers la station de Buterere)</t>
  </si>
  <si>
    <t>Branchement aux réseaux</t>
  </si>
  <si>
    <t>Accessoires et Elément de raccordement : 10% des gros matériaux</t>
  </si>
  <si>
    <t xml:space="preserve">Fosse septique </t>
  </si>
  <si>
    <t>Sika, bitume et autres élément de construction : 10% des gros matériaux</t>
  </si>
  <si>
    <t>Puits perdu</t>
  </si>
  <si>
    <t>Elément de construction et accessoires de raccordement : 10% des gros matériaux</t>
  </si>
  <si>
    <t>Accessoires fixation et de raccordement : 10% des gros matériaux</t>
  </si>
  <si>
    <t>Bac à laver (à lessive)</t>
  </si>
  <si>
    <t>Eléments de construction et de raccordement : 10% des gros matériaux</t>
  </si>
  <si>
    <t>12.10</t>
  </si>
  <si>
    <t xml:space="preserve">Bac à laver de 1,2 m de long avec 2 trous </t>
  </si>
  <si>
    <t>12.11</t>
  </si>
  <si>
    <t>12.12</t>
  </si>
  <si>
    <t>Douche carrelée  + colonne + siphon de  sol</t>
  </si>
  <si>
    <t>Douche carrelée</t>
  </si>
  <si>
    <t>Carrolaire</t>
  </si>
  <si>
    <t>12.13</t>
  </si>
  <si>
    <t>Siphon de  sol</t>
  </si>
  <si>
    <t>Siphon</t>
  </si>
  <si>
    <t xml:space="preserve">13.01. </t>
  </si>
  <si>
    <t>Alimentation du site en électricité</t>
  </si>
  <si>
    <t>13.01. 1</t>
  </si>
  <si>
    <t>Transformateur triphasé</t>
  </si>
  <si>
    <t xml:space="preserve">Accessoires de montage, fixation et protection (10%) </t>
  </si>
  <si>
    <t>Hj</t>
  </si>
  <si>
    <t>13.01. 2</t>
  </si>
  <si>
    <t>Câble rigide industriel armé U-10000 RVFV 4×70 mm2</t>
  </si>
  <si>
    <t>Compteur semi-industriel 200 A</t>
  </si>
  <si>
    <t xml:space="preserve">Accessoires de montage et fixation (10%) </t>
  </si>
  <si>
    <t>13.01. 3</t>
  </si>
  <si>
    <t xml:space="preserve">Tableau Général Basse Tension (TGBT) 250A triphasé  </t>
  </si>
  <si>
    <t>13.01. 4</t>
  </si>
  <si>
    <t>Groupe électrogène insonorisé de secours 100kVA</t>
  </si>
  <si>
    <t>19.00</t>
  </si>
  <si>
    <t xml:space="preserve">13.02 </t>
  </si>
  <si>
    <t>Protection du site contre les coups de foudre</t>
  </si>
  <si>
    <t xml:space="preserve">Paratonnerre PDA; Mât  </t>
  </si>
  <si>
    <t>Câble industriel  4x35mm2 (3P+N) U-1000 R2V ou équivalent</t>
  </si>
  <si>
    <t xml:space="preserve">Accessoires de pose et fixation (10%) </t>
  </si>
  <si>
    <t>Câble industriel  4x70mm2 (3P+N) U-1000 R2V ou équivalent</t>
  </si>
  <si>
    <t>Câble industriel 4x35mm2 (3P+N) U-1000 R2V ou équivalent, pose souterraine dans gaine TPC rouge pour alimentation du  TG1 (à partir du TGBT)</t>
  </si>
  <si>
    <t>Câble industriel armé 4x35mm2 (3P+N+T) U-1000 RVFV ou équivalent pour alimentation du TD (à partir du TG1)</t>
  </si>
  <si>
    <t>Câble industriel  4x35mm2 (3P+N) U-1000 RVFV ou équivalent</t>
  </si>
  <si>
    <t>Câble industriel armé 4x35mm2 (3P+N+T) U-1000 RVFV ou équivalent pour alimentation du TD (à partir du TG2)</t>
  </si>
  <si>
    <t xml:space="preserve">Tableau Général  TG2 en saillie équipé et précablé  </t>
  </si>
  <si>
    <t xml:space="preserve">Tableau Général  TG4 en saillie équipé et précablé  </t>
  </si>
  <si>
    <t>Câble industriel  4x10mm2 (3P+N) U-1000 R2V ou équivalent</t>
  </si>
  <si>
    <t>Câble industriel  4x16mm2 (3P+N) U-1000 R2V ou équivalent</t>
  </si>
  <si>
    <t>Câble industriel  4x16mm2 (3P+N) U-1000 R2V ou équivalent, pose souterraine dans gaine TPC rouge  pour alimentation du TD à partir du TG6</t>
  </si>
  <si>
    <t>Câble industriel armé 4x6mm2 (3P+N+T) U-1000 RVFV ou équivalent pour alimentation du TD (à partir du TGBT)</t>
  </si>
  <si>
    <t>Câble industriel  4x6mm2 (3P+N) U-1000 R2V ou équivalent</t>
  </si>
  <si>
    <t>Câble industriel armé 4x25mm2 (3P+N+T) U-1000 RVFV ou équivalent pour alimentation du TD (à partir du TG3)</t>
  </si>
  <si>
    <t>Câble industriel  4x25mm2 (3P+N) U-1000 RVFV ou équivalent</t>
  </si>
  <si>
    <t>Câble industriel armé 4x25mm2 (3P+N+T) U-1000 RVFV ou équivalent pour alimentation du TD (à partir du TG4)</t>
  </si>
  <si>
    <t>Câble industriel  3x2,5mm2 (P+N+T) U-1000 R2V ou équivalent, pose souterraine dans gaine TPC rouge  pour alimentation du TD (à partir du TG1)</t>
  </si>
  <si>
    <t>Câble industriel  4x2,5mm2 (3P+N) U-1000 R2V ou équivalent</t>
  </si>
  <si>
    <t>Câble industriel armé 5x16mm2 (3P+N) U-1000 RVFV ou équivalent pour alimentation du TD</t>
  </si>
  <si>
    <t>Câble industriel  5x16mm2 (3P+N) U-1000 RVFV ou équivalent</t>
  </si>
  <si>
    <t xml:space="preserve">Câble industriel  armé U-1000 RVFV 5x4mm2 </t>
  </si>
  <si>
    <t xml:space="preserve">Câble industriel armé U-1000 RVFV 5x6mm2 </t>
  </si>
  <si>
    <t xml:space="preserve">Câble industriel  armé U-1000 RVFV 5x6mm2 </t>
  </si>
  <si>
    <t xml:space="preserve">Câble industriel armé 5x35mm2 (3P+N) U-1000 RVFV ou équivalent pour alimentation du TD (à partir du TG2) </t>
  </si>
  <si>
    <t>Câble industriel  armé 5x35mm2 (3P+N) U-1000 RVFV ou équivalent</t>
  </si>
  <si>
    <t>Tableau Divisionnaire équipé et câblé TD</t>
  </si>
  <si>
    <t xml:space="preserve">Fil VOB 1,5mm2 </t>
  </si>
  <si>
    <t xml:space="preserve">Fil VOB 2,5mm2 </t>
  </si>
  <si>
    <t>Conduit flexile annelé ICA 3422 (Gaine pour béton), diam 3/4''</t>
  </si>
  <si>
    <t>Câble industriel armé U-1000 RVFV 5x16mm2</t>
  </si>
  <si>
    <t>Mise à terre</t>
  </si>
  <si>
    <t>Réglette étanche + Tube LED 120cm opale; 18W/240V AC</t>
  </si>
  <si>
    <t>Réglette non étanche + Tube LED 120cm opale; 18W/240V AC</t>
  </si>
  <si>
    <t>Réglette non étanche double tube 120 cm + Tubes LED 18W/240V AC; opale; allumage instantané</t>
  </si>
  <si>
    <t>Réglette non étanche double tube 120 cm + Tubes LED 18W/240V AC; opale</t>
  </si>
  <si>
    <t xml:space="preserve">Lampe inactinique rouge PF712E; E27-15W/240V </t>
  </si>
  <si>
    <t>Lampe inactinique rouge PF712E; E27-15W/240V</t>
  </si>
  <si>
    <t>TRAVAUX GENERAUX, PASSAGES COUVERTS ET DIVERS</t>
  </si>
  <si>
    <t xml:space="preserve">Robinet Armé Anti Incendie </t>
  </si>
  <si>
    <t xml:space="preserve">Fourniture et installation </t>
  </si>
  <si>
    <t xml:space="preserve">Extincteur ABC </t>
  </si>
  <si>
    <t>Socle en béton armé</t>
  </si>
  <si>
    <t>Echellle métallique en tubes 60x40x1,5</t>
  </si>
  <si>
    <t xml:space="preserve">Poteau IPE </t>
  </si>
  <si>
    <t>Fouille</t>
  </si>
  <si>
    <t>Mesures d'hygiène, de sécurité et de santé sur chantier</t>
  </si>
  <si>
    <t>Equipement de protection individuel (EPI)</t>
  </si>
  <si>
    <t>Démolition de toute installation de plomberie sanitaire hors batiment eaux usees et vannes - alimentation eau potable</t>
  </si>
  <si>
    <t>Démolition de passage  couvert  existant</t>
  </si>
  <si>
    <t>mL</t>
  </si>
  <si>
    <t>Démilition  des placards ( panneaux et étagère , maconnerie et dallette  de placard et socle)</t>
  </si>
  <si>
    <t>Rechargement de la route situé au Nord de l'HD pour accès à la Morgue</t>
  </si>
  <si>
    <t>2.03.1.</t>
  </si>
  <si>
    <t>2.03.2</t>
  </si>
  <si>
    <t>2.03.3</t>
  </si>
  <si>
    <t>2.03.4</t>
  </si>
  <si>
    <t>Evacuation des terres en dépôts</t>
  </si>
  <si>
    <t>2.03.5</t>
  </si>
  <si>
    <t>3.02.9.1</t>
  </si>
  <si>
    <t>Béton armé de poutres</t>
  </si>
  <si>
    <t>3.02.10.1</t>
  </si>
  <si>
    <t>3.02.10.2</t>
  </si>
  <si>
    <t>3.02.10.3</t>
  </si>
  <si>
    <t xml:space="preserve">Charpente  en tubes métalliques , fermes métalliques en tubes 60x40x1,5,pannes en tubes 40x40x1,5 ou 30x30x1,5 , rampants </t>
  </si>
  <si>
    <t>Demi-fermes en tubes métalliques de 4,5 m</t>
  </si>
  <si>
    <t>Demi fermes en tubes métalliques de 4,80m</t>
  </si>
  <si>
    <t>Demi fermes en tubes métalliques de 5,40m</t>
  </si>
  <si>
    <t>Demi fermes en tubes métalliques de 5,60m</t>
  </si>
  <si>
    <t>Demi fermes en tubes métalliques de 7,64m</t>
  </si>
  <si>
    <t>Demi fermes en tubes métalliques de 10,35m</t>
  </si>
  <si>
    <t>Fermes en tubes métalliques de 1,60m</t>
  </si>
  <si>
    <t>Fermes en tubes métalliques de 3m</t>
  </si>
  <si>
    <t>Fermes en tubes métalliques de 4,5m</t>
  </si>
  <si>
    <t>Demi- Fermes en tubes métalliques de 10,50m</t>
  </si>
  <si>
    <t>Fermes en tubes métalliques de 10,80m</t>
  </si>
  <si>
    <t>7.01.19</t>
  </si>
  <si>
    <t>7.01.20</t>
  </si>
  <si>
    <t>Fermes en tubes métalliques de 12,6m</t>
  </si>
  <si>
    <t>7.01.21</t>
  </si>
  <si>
    <t>7.01.22</t>
  </si>
  <si>
    <t>Fermes en tubes métalliques de 14,05m</t>
  </si>
  <si>
    <t>Fermes en tubes métalliques de 15m</t>
  </si>
  <si>
    <t>7.01.23</t>
  </si>
  <si>
    <t>7.01.24</t>
  </si>
  <si>
    <t>7.01.25</t>
  </si>
  <si>
    <t>7.01.26</t>
  </si>
  <si>
    <t>7.01.27</t>
  </si>
  <si>
    <t xml:space="preserve">Elements métallique de contreventement en tubes métalliques </t>
  </si>
  <si>
    <t>7.01.28</t>
  </si>
  <si>
    <t xml:space="preserve">Elémént de noue d'évacuation et accessoires </t>
  </si>
  <si>
    <t>7.02        7.03</t>
  </si>
  <si>
    <t>Etanchéité de la dalle dividoir salle d'accouchment</t>
  </si>
  <si>
    <t>Elémént d'étanchéité</t>
  </si>
  <si>
    <t>7.04.6</t>
  </si>
  <si>
    <t>7.04.7</t>
  </si>
  <si>
    <t>Chéneau</t>
  </si>
  <si>
    <t xml:space="preserve">Caniveaux maçonnés en moellons ou en briques de dimensions intérieures 60x100cm, </t>
  </si>
  <si>
    <t>Moellons, … autres éléments de fabrication (15%)</t>
  </si>
  <si>
    <t>Bassin</t>
  </si>
  <si>
    <t>Faux plafond spécial et support des vis sur poutre en BA</t>
  </si>
  <si>
    <t>Vis, …. Autres éléments de fixation (15%)</t>
  </si>
  <si>
    <t>Porte Naco de 0,58m</t>
  </si>
  <si>
    <t>FMV 115x165</t>
  </si>
  <si>
    <t>Porte Naco de 1,215m</t>
  </si>
  <si>
    <t>Porte Naco de 1,43m</t>
  </si>
  <si>
    <t>FMV 150x165</t>
  </si>
  <si>
    <t>Porte Naco de 1,65m</t>
  </si>
  <si>
    <t>FMV 194x165</t>
  </si>
  <si>
    <t>10.12.3</t>
  </si>
  <si>
    <t>12.05.5</t>
  </si>
  <si>
    <t>12.06.3</t>
  </si>
  <si>
    <t>Fosse septique pour 480 usagers</t>
  </si>
  <si>
    <t>12.14</t>
  </si>
  <si>
    <t>12.15</t>
  </si>
  <si>
    <t>12.16</t>
  </si>
  <si>
    <t>12.17</t>
  </si>
  <si>
    <t>12.18</t>
  </si>
  <si>
    <t>12.18.1</t>
  </si>
  <si>
    <t>12.18.2</t>
  </si>
  <si>
    <t>W.C. type PMR</t>
  </si>
  <si>
    <t>12.18.3</t>
  </si>
  <si>
    <t>W.C. turc</t>
  </si>
  <si>
    <t>12.18.4</t>
  </si>
  <si>
    <t>12.19</t>
  </si>
  <si>
    <t>12.19.1</t>
  </si>
  <si>
    <t>12.19.2</t>
  </si>
  <si>
    <t>12.19.3</t>
  </si>
  <si>
    <t>Bac à laver antiseptique</t>
  </si>
  <si>
    <t>12.20</t>
  </si>
  <si>
    <t>12.20.1</t>
  </si>
  <si>
    <t>Evier double de cuisine en inox</t>
  </si>
  <si>
    <t>12.20.2</t>
  </si>
  <si>
    <t>12.21</t>
  </si>
  <si>
    <t xml:space="preserve">Douche </t>
  </si>
  <si>
    <t>12.21.1</t>
  </si>
  <si>
    <t xml:space="preserve">Bac de douche émaillé + Colonne de douche </t>
  </si>
  <si>
    <t>12.21.2</t>
  </si>
  <si>
    <t>12.21.3</t>
  </si>
  <si>
    <t>12.22</t>
  </si>
  <si>
    <t>12.22.1</t>
  </si>
  <si>
    <t>12.22.2</t>
  </si>
  <si>
    <t>12.22.3</t>
  </si>
  <si>
    <t xml:space="preserve">Bac à laver carrelé  à deux  compartiments </t>
  </si>
  <si>
    <t>12.22.4</t>
  </si>
  <si>
    <t>Bac à laver ( à lessiver) de 4 m de long avec 2  trous</t>
  </si>
  <si>
    <t>12.22.3  12.22.4</t>
  </si>
  <si>
    <t>12.22.5</t>
  </si>
  <si>
    <t>12.22.6</t>
  </si>
  <si>
    <t xml:space="preserve">13.04 </t>
  </si>
  <si>
    <t>Raccordement du Bloc sur le réseau</t>
  </si>
  <si>
    <t>Câble industriel 4x50 mm2 (3P+N) U-1000 R2V ou équivalent, pose souterraine dans gaine TPC rouge pour alimentation du TG3 (à partir du TGBT)</t>
  </si>
  <si>
    <t xml:space="preserve">Tableau Général  TG3 en saillie équipé et précablé selon le schéma unifilaire </t>
  </si>
  <si>
    <t>13.04.9  13.04.10</t>
  </si>
  <si>
    <t xml:space="preserve">Tableau Général  TG6 en saillie équipé et précablé </t>
  </si>
  <si>
    <t xml:space="preserve">Tableau Général  TG6 en saillie équipé et précablé  </t>
  </si>
  <si>
    <t>Câble industriel 4x25mm2 (3P+N) U-1000 R2V ou équivalent, pose souterraine dans gaine TPC rouge pour alimentation du TG4 (à partir du TGBT)</t>
  </si>
  <si>
    <t>Câble industriel armé 5x16mm2 (3P+N) U-1000 RVFV ou équivalent pour alimentation du TD pour Etage (à partir du TG1)</t>
  </si>
  <si>
    <t>Câble industriel  4x10mm2 (3P+N) U-1000 R2V ou équivalent, pose souterraine dans gaine TPC rouge  pour alimentation du TD (à partir du TG4)</t>
  </si>
  <si>
    <t>Câble industriel  armé 4x10mm2 (3P+N) U-1000 RVFV ou équivalent</t>
  </si>
  <si>
    <t>Câble industriel  4x16mm2 (3P+N) U-1000 R2V ou équivalent, pose souterraine dans gaine TPC rouge  pour alimentation du TD (à partir du TG2)</t>
  </si>
  <si>
    <t>Tableau Divisionnaire équipé et câblé TD1 et TD2</t>
  </si>
  <si>
    <t>Tableau Divisionnaire équipé et câblé TD1</t>
  </si>
  <si>
    <t>13.07.6</t>
  </si>
  <si>
    <t>13.07.7</t>
  </si>
  <si>
    <t>13.07.8</t>
  </si>
  <si>
    <t>13.07.9</t>
  </si>
  <si>
    <t>13.09.4 13.09.5</t>
  </si>
  <si>
    <t>13.09.6</t>
  </si>
  <si>
    <t xml:space="preserve">13.13 </t>
  </si>
  <si>
    <t xml:space="preserve">13.13.1 </t>
  </si>
  <si>
    <t>13.13. 1</t>
  </si>
  <si>
    <t>13.13. 2</t>
  </si>
  <si>
    <t>Revêtement des parkings et pistes intérieures en latérite : Unité:m2</t>
  </si>
  <si>
    <t>Matériaux / Matériels</t>
  </si>
  <si>
    <t>Latérite</t>
  </si>
  <si>
    <t>Compactage mécanique</t>
  </si>
  <si>
    <t>Aide (2)</t>
  </si>
  <si>
    <t>Revêtement des parkings et route en pavés en béton</t>
  </si>
  <si>
    <t>Pavées en béton</t>
  </si>
  <si>
    <t>14.02    14.02</t>
  </si>
  <si>
    <t>Socle en maçonnerie</t>
  </si>
  <si>
    <t>Chape talochée</t>
  </si>
  <si>
    <t>Tube en acier galvanisé 3"</t>
  </si>
  <si>
    <t>Autres élément de fixation et de fonctionnement (10%)</t>
  </si>
  <si>
    <t>Autres élément de fixation et de raccordement (10%)</t>
  </si>
  <si>
    <t xml:space="preserve">Extinceurs portatifs de ABC de </t>
  </si>
  <si>
    <t>Terre végétale</t>
  </si>
  <si>
    <t>Plant du gazon</t>
  </si>
  <si>
    <t>Arbre décoratif</t>
  </si>
  <si>
    <t>14.09.1</t>
  </si>
  <si>
    <t>Maçonnerie de brique épaisseur de 20 cm</t>
  </si>
  <si>
    <t>Sable stabilisé</t>
  </si>
  <si>
    <t>Réservoir de 2 500 litres</t>
  </si>
  <si>
    <t>14.09.2</t>
  </si>
  <si>
    <t>Installation du réservoir métalliqque</t>
  </si>
  <si>
    <t>Pompe surpresseur</t>
  </si>
  <si>
    <t>Reconstruction de la cloture</t>
  </si>
  <si>
    <t>Cloture maçonnée</t>
  </si>
  <si>
    <t>Fer plat</t>
  </si>
  <si>
    <t xml:space="preserve">Espace de Gestion des déchets </t>
  </si>
  <si>
    <t>Mur de soutènement</t>
  </si>
  <si>
    <t>Dalle sur caniveau 30X30</t>
  </si>
  <si>
    <t>Dalle sur caniveau 40X40</t>
  </si>
  <si>
    <t>14.17.</t>
  </si>
  <si>
    <t>Dalle sur caniveau 60X60</t>
  </si>
  <si>
    <t>Dalle sur caniveau 60X100</t>
  </si>
  <si>
    <t xml:space="preserve">Dalle sur caniveau de 1m de large </t>
  </si>
  <si>
    <t>Espace d'acceuil couvert  devanr batiment Urgences et CDV</t>
  </si>
  <si>
    <t>EPI</t>
  </si>
  <si>
    <t xml:space="preserve">Produits (Trousses) de premiers soins </t>
  </si>
  <si>
    <t>Equipement</t>
  </si>
  <si>
    <t>15.01.2  15.01.2</t>
  </si>
  <si>
    <t>Restauration des zones</t>
  </si>
  <si>
    <t>Reboisement des anti-érosif</t>
  </si>
  <si>
    <t>15.03</t>
  </si>
  <si>
    <t>Formation pour sensibilisation</t>
  </si>
  <si>
    <t>DETAIL DES PRIX UNITAIRES HOPITAL DE BWIZA</t>
  </si>
  <si>
    <t>Démolitions  de  l'incinerateur</t>
  </si>
  <si>
    <t>Démiltion des abri en shitting y  compris  les plate  formes dallés</t>
  </si>
  <si>
    <t>Démolition  bâtiment  servant  de  cuisine  de mal nourris</t>
  </si>
  <si>
    <t>Démilition  des chambres de visite se  trouvant sur le site servant  le système d'evacuation des eaux usées et vannes</t>
  </si>
  <si>
    <t>Démolition  des caniveaux existant</t>
  </si>
  <si>
    <t>Démolition  des puisards</t>
  </si>
  <si>
    <t>FMV - 01 229x165</t>
  </si>
  <si>
    <t>FMV 178,5x77</t>
  </si>
  <si>
    <t>Porte Naco de 0,77m</t>
  </si>
  <si>
    <t>Porte Naco de 1,15m</t>
  </si>
  <si>
    <t>FMV 229x77</t>
  </si>
  <si>
    <t>FMV 86,5x77</t>
  </si>
  <si>
    <t>FMV 115x77</t>
  </si>
  <si>
    <t>FMV 178,5x55</t>
  </si>
  <si>
    <t>Porte Naco de 0,55m</t>
  </si>
  <si>
    <t>FMV 58x132</t>
  </si>
  <si>
    <t>FMV 194x77</t>
  </si>
  <si>
    <t>FMV 150x77</t>
  </si>
  <si>
    <t>FMV 58x77</t>
  </si>
  <si>
    <t>FMV 165,5x165</t>
  </si>
  <si>
    <t>FMV 150x143</t>
  </si>
  <si>
    <t>FMV 222,5x165</t>
  </si>
  <si>
    <t>Porte Naco de 1,5m</t>
  </si>
  <si>
    <t xml:space="preserve">10.01.21 </t>
  </si>
  <si>
    <t>FMV 229x109</t>
  </si>
  <si>
    <t>Porte Naco de 1,09m</t>
  </si>
  <si>
    <t xml:space="preserve">10.01.22 </t>
  </si>
  <si>
    <t>FMV 178,5x109</t>
  </si>
  <si>
    <t xml:space="preserve">10.01.23 </t>
  </si>
  <si>
    <t xml:space="preserve">10.01.24 </t>
  </si>
  <si>
    <t>FMV 165,5x88</t>
  </si>
  <si>
    <t>Porte Naco de 0,88m</t>
  </si>
  <si>
    <t xml:space="preserve">10.01.25 </t>
  </si>
  <si>
    <t>FMV 229x154</t>
  </si>
  <si>
    <t>Porte Naco de 1,54m</t>
  </si>
  <si>
    <t xml:space="preserve">10.01.26 </t>
  </si>
  <si>
    <t>FMV 229x88</t>
  </si>
  <si>
    <t xml:space="preserve">10.01.27 </t>
  </si>
  <si>
    <t xml:space="preserve">10.01.28 </t>
  </si>
  <si>
    <t>FMV 115x154</t>
  </si>
  <si>
    <t xml:space="preserve">10.01.29 </t>
  </si>
  <si>
    <t>FMV 58x176</t>
  </si>
  <si>
    <t>FMV 264x165</t>
  </si>
  <si>
    <t xml:space="preserve">10.01.31 </t>
  </si>
  <si>
    <t>FMV 209x77</t>
  </si>
  <si>
    <t>FMV 80x80</t>
  </si>
  <si>
    <t>Plaque en contreplaquée</t>
  </si>
  <si>
    <t>PSB (93X264) cm</t>
  </si>
  <si>
    <t xml:space="preserve">Porte métalliques vitrées </t>
  </si>
  <si>
    <t xml:space="preserve">Verre à vitre                                               </t>
  </si>
  <si>
    <t>Porte simple métalique vitrée</t>
  </si>
  <si>
    <t>Fer Té</t>
  </si>
  <si>
    <t>PSMV (90x286) cm</t>
  </si>
  <si>
    <t>PSMV  (93x264) cm</t>
  </si>
  <si>
    <t>Evier de cuisine</t>
  </si>
  <si>
    <t xml:space="preserve">Tableau Général  TG5 en saillie équipé et précablé selon le schéma unifilaire </t>
  </si>
  <si>
    <t>13.04.10 13.04.10</t>
  </si>
  <si>
    <t>Câble industriel  armé 4x25mm2 (3P+N) U-1000 RVFV ou équivalent</t>
  </si>
  <si>
    <t>Câble industriel  armé 4x10mm2 (3P+N) U-1000 R2V ou équivalent</t>
  </si>
  <si>
    <t>13.05.17</t>
  </si>
  <si>
    <t>Câble industriel  armé 4x16mm2 (3P+N) U-1000 R2V ou équivalent</t>
  </si>
  <si>
    <t>Câble industriel  armé 4x35mm2 (3P+N) U-1000 RVFV ou équivalent</t>
  </si>
  <si>
    <t>13.05.18</t>
  </si>
  <si>
    <t>13.05.19</t>
  </si>
  <si>
    <t>Câble industriel  armé 5x6mm2 (3P+N) U-1000 R2V ou équivalent</t>
  </si>
  <si>
    <t>Câble industriel  3x2,5mm2 (P+N+T) U-1000 R2V ou équivalent, pose souterraine dans gaine TPC rouge  pour alimentation du TD du Bloc Sanitaires (à partir du TG1)</t>
  </si>
  <si>
    <t>Câble industriel  armé 3x2,5mm2 (3P+N) U-1000 R2V ou équivalent</t>
  </si>
  <si>
    <t>Revêtement des parkings en pavés : Unité:m2</t>
  </si>
  <si>
    <t>Echellle métallique en tubes 40x40x1,5</t>
  </si>
  <si>
    <t>Portail métallique  coulissant (LARGEUR = 4m)</t>
  </si>
  <si>
    <t>Revetement en carreau de faïence dans les zones humides</t>
  </si>
  <si>
    <t>Béton armé pour rampe</t>
  </si>
  <si>
    <t>diam 3/4 " avec vanne d'arrêt</t>
  </si>
  <si>
    <t>diam 1/2 " avec vanne d'arrêt</t>
  </si>
  <si>
    <r>
      <t>Tableau Divisionnaire équipé et câblé</t>
    </r>
    <r>
      <rPr>
        <b/>
        <sz val="10"/>
        <rFont val="Arial"/>
        <family val="2"/>
      </rPr>
      <t xml:space="preserve"> (TD pour Etage du Bloc Imagerie)</t>
    </r>
  </si>
  <si>
    <t>Tableau Divisionnaire équipé et câblé (TD Etage du Bloc Maternité et Administration)</t>
  </si>
  <si>
    <t>Tableau Divisionnaire équipé et câblé (TD pour Etage du Bloc Hospitalisation)</t>
  </si>
  <si>
    <t>Ondulaire 15 KW</t>
  </si>
  <si>
    <t>Onduleur 5 KW - TRIPHASE/TRIPHASE</t>
  </si>
  <si>
    <t>Ondulaire 5 KW</t>
  </si>
  <si>
    <t>Réservoir métallique de 2500 litres sur socle en béton</t>
  </si>
  <si>
    <t>Béton armé de chainage bas ou longrine basse (21x25) cm</t>
  </si>
  <si>
    <t xml:space="preserve">Fermes en tubes métalliques de 15,4m </t>
  </si>
  <si>
    <t>Maçonnerie des murs ajourés ou claustras en Z</t>
  </si>
  <si>
    <t>FMV 100x95</t>
  </si>
  <si>
    <t>FMV 180x120</t>
  </si>
  <si>
    <t>FMV 100x120</t>
  </si>
  <si>
    <t>FMV 225x120</t>
  </si>
  <si>
    <t>FMV 50x55</t>
  </si>
  <si>
    <t>FMV 80x95</t>
  </si>
  <si>
    <t>PDMP (70x210) cm</t>
  </si>
  <si>
    <t>Enduit de ciment taloché fin  sur murs intérieurs, ouvrages en béton colonnes, poutres, chainage</t>
  </si>
  <si>
    <t>TOTAL GENERAL BLOC OPERATOIRE - HTVA</t>
  </si>
  <si>
    <t>BLOC OPERATOIRE DU CDS BUKINANYANA</t>
  </si>
  <si>
    <t>BLOC OPERATOIRE DE L'HD BUKINANYANA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</si>
</sst>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64" formatCode="_-* #,##0.00\ _€_-;\-* #,##0.00\ _€_-;_-* &quot;-&quot;??\ _€_-;_-@_-"/>
    <numFmt numFmtId="165" formatCode="#,##0.00\ &quot;€&quot;"/>
    <numFmt numFmtId="166" formatCode="#,##0.000"/>
    <numFmt numFmtId="167" formatCode="#,##0\ [$BIF]"/>
    <numFmt numFmtId="168" formatCode="_-* #,##0.00\ [$€-40C]_-;\-* #,##0.00\ [$€-40C]_-;_-* &quot;-&quot;??\ [$€-40C]_-;_-@_-"/>
    <numFmt numFmtId="169" formatCode="_-* #,##0\ _€_-;\-* #,##0\ _€_-;_-* &quot;-&quot;??\ _€_-;_-@_-"/>
    <numFmt numFmtId="170" formatCode="#,##0.00\ [$EUR];[Red]\-#,##0.00\ [$EUR]"/>
    <numFmt numFmtId="171" formatCode="#,##0\ [$BIF];[Red]\-#,##0\ [$BIF]"/>
    <numFmt numFmtId="172" formatCode="#,##0.0"/>
    <numFmt numFmtId="173" formatCode="#,##0.000_ ;\-#,##0.000\ "/>
    <numFmt numFmtId="174" formatCode="#,##0.00_ ;\-#,##0.00\ 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name val="Arial"/>
      <family val="2"/>
    </font>
    <font>
      <vertAlign val="superscript"/>
      <sz val="11"/>
      <color indexed="8"/>
      <name val="Arial"/>
      <family val="2"/>
    </font>
    <font>
      <sz val="10"/>
      <name val="Arial"/>
      <family val="2"/>
    </font>
    <font>
      <b/>
      <sz val="13"/>
      <color indexed="8"/>
      <name val="Arial"/>
      <family val="2"/>
    </font>
    <font>
      <b/>
      <sz val="10"/>
      <name val="Arial"/>
      <family val="2"/>
    </font>
    <font>
      <b/>
      <i/>
      <sz val="10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b/>
      <i/>
      <sz val="10"/>
      <color indexed="8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sz val="10"/>
      <color theme="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indexed="5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</fills>
  <borders count="40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 style="double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uble">
        <color indexed="64"/>
      </right>
      <top style="dotted">
        <color indexed="64"/>
      </top>
      <bottom style="dotted">
        <color indexed="64"/>
      </bottom>
      <diagonal/>
    </border>
    <border>
      <left style="double">
        <color indexed="64"/>
      </left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 style="dotted">
        <color indexed="64"/>
      </right>
      <top style="dotted">
        <color indexed="64"/>
      </top>
      <bottom/>
      <diagonal/>
    </border>
    <border>
      <left style="double">
        <color indexed="64"/>
      </left>
      <right/>
      <top style="dotted">
        <color indexed="64"/>
      </top>
      <bottom style="dotted">
        <color indexed="64"/>
      </bottom>
      <diagonal/>
    </border>
    <border>
      <left style="double">
        <color indexed="64"/>
      </left>
      <right style="dotted">
        <color indexed="64"/>
      </right>
      <top style="dotted">
        <color indexed="64"/>
      </top>
      <bottom style="double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uble">
        <color indexed="64"/>
      </bottom>
      <diagonal/>
    </border>
    <border>
      <left style="dotted">
        <color indexed="64"/>
      </left>
      <right style="double">
        <color indexed="64"/>
      </right>
      <top style="dotted">
        <color indexed="64"/>
      </top>
      <bottom style="double">
        <color indexed="64"/>
      </bottom>
      <diagonal/>
    </border>
    <border>
      <left style="double">
        <color indexed="64"/>
      </left>
      <right style="dotted">
        <color indexed="64"/>
      </right>
      <top style="double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uble">
        <color indexed="64"/>
      </top>
      <bottom style="dotted">
        <color indexed="64"/>
      </bottom>
      <diagonal/>
    </border>
    <border>
      <left style="dotted">
        <color indexed="64"/>
      </left>
      <right style="double">
        <color indexed="64"/>
      </right>
      <top style="double">
        <color indexed="64"/>
      </top>
      <bottom style="dotted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dotted">
        <color indexed="64"/>
      </top>
      <bottom style="dotted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ouble">
        <color indexed="64"/>
      </bottom>
      <diagonal/>
    </border>
    <border>
      <left style="dashed">
        <color indexed="64"/>
      </left>
      <right style="double">
        <color indexed="64"/>
      </right>
      <top style="dashed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dotted">
        <color indexed="64"/>
      </top>
      <bottom/>
      <diagonal/>
    </border>
    <border>
      <left style="double">
        <color indexed="64"/>
      </left>
      <right style="dashed">
        <color indexed="64"/>
      </right>
      <top style="double">
        <color indexed="64"/>
      </top>
      <bottom/>
      <diagonal/>
    </border>
    <border>
      <left style="double">
        <color indexed="64"/>
      </left>
      <right style="dashed">
        <color indexed="64"/>
      </right>
      <top/>
      <bottom style="double">
        <color indexed="64"/>
      </bottom>
      <diagonal/>
    </border>
    <border>
      <left style="double">
        <color indexed="64"/>
      </left>
      <right style="dotted">
        <color indexed="64"/>
      </right>
      <top style="double">
        <color indexed="64"/>
      </top>
      <bottom style="double">
        <color indexed="64"/>
      </bottom>
      <diagonal/>
    </border>
    <border>
      <left style="dotted">
        <color indexed="64"/>
      </left>
      <right style="dotted">
        <color indexed="64"/>
      </right>
      <top style="double">
        <color indexed="64"/>
      </top>
      <bottom style="double">
        <color indexed="64"/>
      </bottom>
      <diagonal/>
    </border>
  </borders>
  <cellStyleXfs count="6">
    <xf numFmtId="0" fontId="0" fillId="0" borderId="0"/>
    <xf numFmtId="164" fontId="1" fillId="0" borderId="0" applyFont="0" applyFill="0" applyBorder="0" applyAlignment="0" applyProtection="0"/>
    <xf numFmtId="0" fontId="8" fillId="0" borderId="0"/>
    <xf numFmtId="0" fontId="5" fillId="3" borderId="0" applyNumberFormat="0" applyBorder="0" applyAlignment="0" applyProtection="0"/>
    <xf numFmtId="164" fontId="8" fillId="0" borderId="0" applyFont="0" applyFill="0" applyBorder="0" applyAlignment="0" applyProtection="0"/>
    <xf numFmtId="164" fontId="5" fillId="0" borderId="0" applyFont="0" applyFill="0" applyBorder="0" applyAlignment="0" applyProtection="0"/>
  </cellStyleXfs>
  <cellXfs count="416">
    <xf numFmtId="0" fontId="0" fillId="0" borderId="0" xfId="0"/>
    <xf numFmtId="0" fontId="2" fillId="0" borderId="0" xfId="0" applyFont="1" applyFill="1"/>
    <xf numFmtId="0" fontId="2" fillId="0" borderId="0" xfId="0" applyFont="1" applyFill="1" applyAlignment="1">
      <alignment horizontal="left" vertical="center"/>
    </xf>
    <xf numFmtId="0" fontId="2" fillId="0" borderId="0" xfId="0" applyFont="1" applyFill="1" applyAlignment="1">
      <alignment vertical="top"/>
    </xf>
    <xf numFmtId="166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165" fontId="4" fillId="0" borderId="1" xfId="0" applyNumberFormat="1" applyFont="1" applyFill="1" applyBorder="1" applyAlignment="1">
      <alignment horizontal="center" vertical="center" wrapText="1"/>
    </xf>
    <xf numFmtId="164" fontId="2" fillId="0" borderId="6" xfId="1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left" vertical="center" wrapText="1"/>
    </xf>
    <xf numFmtId="0" fontId="2" fillId="0" borderId="6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left" vertical="center" wrapText="1"/>
    </xf>
    <xf numFmtId="0" fontId="2" fillId="0" borderId="5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6" fillId="0" borderId="6" xfId="2" applyFont="1" applyFill="1" applyBorder="1" applyAlignment="1">
      <alignment horizontal="center" vertical="center"/>
    </xf>
    <xf numFmtId="166" fontId="2" fillId="0" borderId="6" xfId="0" applyNumberFormat="1" applyFont="1" applyFill="1" applyBorder="1" applyAlignment="1">
      <alignment horizontal="center" vertical="center"/>
    </xf>
    <xf numFmtId="166" fontId="4" fillId="0" borderId="5" xfId="0" applyNumberFormat="1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165" fontId="2" fillId="0" borderId="0" xfId="0" applyNumberFormat="1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top"/>
    </xf>
    <xf numFmtId="0" fontId="3" fillId="0" borderId="0" xfId="0" applyFont="1" applyFill="1" applyAlignment="1">
      <alignment horizontal="center" vertical="center"/>
    </xf>
    <xf numFmtId="0" fontId="4" fillId="0" borderId="6" xfId="0" applyFont="1" applyFill="1" applyBorder="1" applyAlignment="1">
      <alignment vertical="top" wrapText="1"/>
    </xf>
    <xf numFmtId="165" fontId="2" fillId="0" borderId="7" xfId="1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left" vertical="center"/>
    </xf>
    <xf numFmtId="0" fontId="2" fillId="0" borderId="5" xfId="0" applyFont="1" applyFill="1" applyBorder="1" applyAlignment="1">
      <alignment horizontal="left"/>
    </xf>
    <xf numFmtId="0" fontId="4" fillId="0" borderId="6" xfId="0" applyFont="1" applyFill="1" applyBorder="1" applyAlignment="1">
      <alignment horizontal="right" vertical="top" wrapText="1"/>
    </xf>
    <xf numFmtId="0" fontId="3" fillId="0" borderId="5" xfId="0" applyFont="1" applyFill="1" applyBorder="1" applyAlignment="1">
      <alignment horizontal="left" vertical="top" wrapText="1"/>
    </xf>
    <xf numFmtId="0" fontId="2" fillId="0" borderId="6" xfId="0" applyFont="1" applyFill="1" applyBorder="1"/>
    <xf numFmtId="0" fontId="3" fillId="0" borderId="6" xfId="0" applyFont="1" applyFill="1" applyBorder="1" applyAlignment="1">
      <alignment horizontal="left" vertical="top" wrapText="1"/>
    </xf>
    <xf numFmtId="0" fontId="2" fillId="0" borderId="5" xfId="0" applyFont="1" applyFill="1" applyBorder="1" applyAlignment="1">
      <alignment vertical="top"/>
    </xf>
    <xf numFmtId="0" fontId="2" fillId="0" borderId="6" xfId="0" applyFont="1" applyFill="1" applyBorder="1" applyAlignment="1">
      <alignment horizontal="left" vertical="top" wrapText="1"/>
    </xf>
    <xf numFmtId="2" fontId="2" fillId="0" borderId="6" xfId="0" applyNumberFormat="1" applyFont="1" applyFill="1" applyBorder="1" applyAlignment="1">
      <alignment horizontal="center" vertical="center"/>
    </xf>
    <xf numFmtId="166" fontId="2" fillId="0" borderId="5" xfId="0" applyNumberFormat="1" applyFont="1" applyFill="1" applyBorder="1" applyAlignment="1">
      <alignment horizontal="left" vertical="top"/>
    </xf>
    <xf numFmtId="0" fontId="2" fillId="0" borderId="6" xfId="0" applyFont="1" applyFill="1" applyBorder="1" applyAlignment="1">
      <alignment vertical="top"/>
    </xf>
    <xf numFmtId="0" fontId="4" fillId="0" borderId="5" xfId="0" applyFont="1" applyFill="1" applyBorder="1" applyAlignment="1">
      <alignment vertical="top"/>
    </xf>
    <xf numFmtId="0" fontId="6" fillId="0" borderId="5" xfId="0" applyFont="1" applyFill="1" applyBorder="1" applyAlignment="1">
      <alignment vertical="top"/>
    </xf>
    <xf numFmtId="0" fontId="2" fillId="0" borderId="6" xfId="0" applyFont="1" applyFill="1" applyBorder="1" applyAlignment="1">
      <alignment wrapText="1"/>
    </xf>
    <xf numFmtId="0" fontId="2" fillId="0" borderId="6" xfId="0" applyFont="1" applyFill="1" applyBorder="1" applyAlignment="1">
      <alignment vertical="top" wrapText="1"/>
    </xf>
    <xf numFmtId="0" fontId="3" fillId="0" borderId="5" xfId="0" applyFont="1" applyFill="1" applyBorder="1"/>
    <xf numFmtId="0" fontId="3" fillId="0" borderId="6" xfId="0" applyFont="1" applyFill="1" applyBorder="1" applyAlignment="1">
      <alignment vertical="top" wrapText="1"/>
    </xf>
    <xf numFmtId="0" fontId="2" fillId="0" borderId="5" xfId="0" applyFont="1" applyFill="1" applyBorder="1"/>
    <xf numFmtId="0" fontId="3" fillId="0" borderId="6" xfId="0" applyFont="1" applyFill="1" applyBorder="1" applyAlignment="1">
      <alignment vertical="top"/>
    </xf>
    <xf numFmtId="0" fontId="3" fillId="0" borderId="6" xfId="0" applyFont="1" applyFill="1" applyBorder="1"/>
    <xf numFmtId="0" fontId="4" fillId="0" borderId="6" xfId="0" applyFont="1" applyFill="1" applyBorder="1"/>
    <xf numFmtId="166" fontId="2" fillId="0" borderId="6" xfId="0" applyNumberFormat="1" applyFont="1" applyFill="1" applyBorder="1" applyAlignment="1">
      <alignment horizontal="left" vertical="top"/>
    </xf>
    <xf numFmtId="0" fontId="2" fillId="0" borderId="6" xfId="0" applyFont="1" applyFill="1" applyBorder="1" applyAlignment="1">
      <alignment horizontal="left" wrapText="1"/>
    </xf>
    <xf numFmtId="0" fontId="3" fillId="0" borderId="6" xfId="0" applyFont="1" applyFill="1" applyBorder="1" applyAlignment="1">
      <alignment horizontal="right" vertical="top" wrapText="1"/>
    </xf>
    <xf numFmtId="0" fontId="3" fillId="0" borderId="5" xfId="0" applyFont="1" applyFill="1" applyBorder="1" applyAlignment="1">
      <alignment horizontal="left" vertical="top"/>
    </xf>
    <xf numFmtId="0" fontId="2" fillId="0" borderId="5" xfId="0" applyFont="1" applyFill="1" applyBorder="1" applyAlignment="1">
      <alignment horizontal="left" vertical="top"/>
    </xf>
    <xf numFmtId="4" fontId="2" fillId="0" borderId="6" xfId="0" applyNumberFormat="1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left" vertical="top"/>
    </xf>
    <xf numFmtId="166" fontId="4" fillId="0" borderId="5" xfId="0" applyNumberFormat="1" applyFont="1" applyFill="1" applyBorder="1" applyAlignment="1">
      <alignment horizontal="left" vertical="top"/>
    </xf>
    <xf numFmtId="166" fontId="3" fillId="0" borderId="5" xfId="0" applyNumberFormat="1" applyFont="1" applyFill="1" applyBorder="1" applyAlignment="1">
      <alignment horizontal="left" vertical="top"/>
    </xf>
    <xf numFmtId="166" fontId="2" fillId="0" borderId="5" xfId="0" applyNumberFormat="1" applyFont="1" applyFill="1" applyBorder="1" applyAlignment="1">
      <alignment horizontal="left" vertical="center"/>
    </xf>
    <xf numFmtId="0" fontId="6" fillId="0" borderId="6" xfId="0" applyFont="1" applyFill="1" applyBorder="1"/>
    <xf numFmtId="0" fontId="2" fillId="0" borderId="6" xfId="0" applyFont="1" applyFill="1" applyBorder="1" applyAlignment="1">
      <alignment horizontal="left"/>
    </xf>
    <xf numFmtId="0" fontId="4" fillId="0" borderId="6" xfId="0" applyFont="1" applyFill="1" applyBorder="1" applyAlignment="1">
      <alignment horizontal="right"/>
    </xf>
    <xf numFmtId="0" fontId="4" fillId="0" borderId="6" xfId="0" applyFont="1" applyFill="1" applyBorder="1" applyAlignment="1">
      <alignment horizontal="center"/>
    </xf>
    <xf numFmtId="0" fontId="6" fillId="0" borderId="6" xfId="0" applyFont="1" applyFill="1" applyBorder="1" applyAlignment="1">
      <alignment vertical="top" wrapText="1"/>
    </xf>
    <xf numFmtId="166" fontId="2" fillId="0" borderId="5" xfId="0" applyNumberFormat="1" applyFont="1" applyFill="1" applyBorder="1" applyAlignment="1">
      <alignment horizontal="center"/>
    </xf>
    <xf numFmtId="0" fontId="4" fillId="0" borderId="6" xfId="0" applyFont="1" applyFill="1" applyBorder="1" applyAlignment="1">
      <alignment horizontal="right" vertical="top"/>
    </xf>
    <xf numFmtId="166" fontId="2" fillId="0" borderId="6" xfId="0" applyNumberFormat="1" applyFont="1" applyFill="1" applyBorder="1" applyAlignment="1">
      <alignment horizontal="center"/>
    </xf>
    <xf numFmtId="0" fontId="3" fillId="0" borderId="6" xfId="0" applyFont="1" applyFill="1" applyBorder="1" applyAlignment="1">
      <alignment horizontal="left" wrapText="1"/>
    </xf>
    <xf numFmtId="166" fontId="2" fillId="0" borderId="5" xfId="0" applyNumberFormat="1" applyFont="1" applyFill="1" applyBorder="1" applyAlignment="1">
      <alignment horizontal="center" vertical="top"/>
    </xf>
    <xf numFmtId="0" fontId="2" fillId="0" borderId="6" xfId="0" applyFont="1" applyFill="1" applyBorder="1" applyAlignment="1">
      <alignment horizontal="right"/>
    </xf>
    <xf numFmtId="0" fontId="2" fillId="0" borderId="6" xfId="0" applyFont="1" applyFill="1" applyBorder="1" applyAlignment="1">
      <alignment horizontal="center" vertical="top" wrapText="1"/>
    </xf>
    <xf numFmtId="0" fontId="3" fillId="0" borderId="6" xfId="0" applyFont="1" applyFill="1" applyBorder="1" applyAlignment="1">
      <alignment wrapText="1"/>
    </xf>
    <xf numFmtId="166" fontId="6" fillId="0" borderId="11" xfId="0" applyNumberFormat="1" applyFont="1" applyFill="1" applyBorder="1" applyAlignment="1">
      <alignment horizontal="left" vertical="center"/>
    </xf>
    <xf numFmtId="0" fontId="4" fillId="0" borderId="4" xfId="0" applyFont="1" applyFill="1" applyBorder="1" applyAlignment="1">
      <alignment vertical="top" wrapText="1"/>
    </xf>
    <xf numFmtId="0" fontId="3" fillId="0" borderId="4" xfId="0" applyFont="1" applyFill="1" applyBorder="1" applyAlignment="1">
      <alignment horizontal="center" vertical="center"/>
    </xf>
    <xf numFmtId="168" fontId="2" fillId="0" borderId="6" xfId="1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>
      <alignment vertical="center"/>
    </xf>
    <xf numFmtId="165" fontId="2" fillId="0" borderId="6" xfId="1" applyNumberFormat="1" applyFont="1" applyFill="1" applyBorder="1" applyAlignment="1">
      <alignment horizontal="center" vertical="center"/>
    </xf>
    <xf numFmtId="0" fontId="3" fillId="0" borderId="5" xfId="0" applyFont="1" applyFill="1" applyBorder="1" applyAlignment="1">
      <alignment vertical="top"/>
    </xf>
    <xf numFmtId="168" fontId="2" fillId="0" borderId="0" xfId="0" applyNumberFormat="1" applyFont="1" applyFill="1" applyAlignment="1">
      <alignment horizontal="center" vertical="center"/>
    </xf>
    <xf numFmtId="0" fontId="9" fillId="2" borderId="18" xfId="0" applyFont="1" applyFill="1" applyBorder="1" applyAlignment="1">
      <alignment horizontal="left" vertical="center"/>
    </xf>
    <xf numFmtId="0" fontId="2" fillId="0" borderId="19" xfId="0" applyFont="1" applyFill="1" applyBorder="1" applyAlignment="1">
      <alignment vertical="top"/>
    </xf>
    <xf numFmtId="168" fontId="3" fillId="0" borderId="6" xfId="0" applyNumberFormat="1" applyFont="1" applyFill="1" applyBorder="1" applyAlignment="1">
      <alignment horizontal="center" vertical="center"/>
    </xf>
    <xf numFmtId="165" fontId="2" fillId="0" borderId="7" xfId="0" applyNumberFormat="1" applyFont="1" applyFill="1" applyBorder="1" applyAlignment="1">
      <alignment horizontal="center" vertical="center"/>
    </xf>
    <xf numFmtId="166" fontId="4" fillId="0" borderId="5" xfId="0" applyNumberFormat="1" applyFont="1" applyFill="1" applyBorder="1" applyAlignment="1">
      <alignment horizontal="left" vertical="center" wrapText="1"/>
    </xf>
    <xf numFmtId="0" fontId="4" fillId="0" borderId="6" xfId="0" applyFont="1" applyFill="1" applyBorder="1" applyAlignment="1">
      <alignment horizontal="center" vertical="center" wrapText="1"/>
    </xf>
    <xf numFmtId="168" fontId="4" fillId="0" borderId="6" xfId="0" applyNumberFormat="1" applyFont="1" applyFill="1" applyBorder="1" applyAlignment="1">
      <alignment horizontal="center" vertical="center" wrapText="1"/>
    </xf>
    <xf numFmtId="165" fontId="4" fillId="0" borderId="7" xfId="0" applyNumberFormat="1" applyFont="1" applyFill="1" applyBorder="1" applyAlignment="1">
      <alignment horizontal="center" vertical="center" wrapText="1"/>
    </xf>
    <xf numFmtId="165" fontId="3" fillId="0" borderId="7" xfId="0" applyNumberFormat="1" applyFont="1" applyFill="1" applyBorder="1" applyAlignment="1">
      <alignment horizontal="center" vertical="center"/>
    </xf>
    <xf numFmtId="164" fontId="2" fillId="0" borderId="6" xfId="1" applyFont="1" applyFill="1" applyBorder="1" applyAlignment="1">
      <alignment vertical="center"/>
    </xf>
    <xf numFmtId="1" fontId="2" fillId="0" borderId="6" xfId="0" applyNumberFormat="1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 wrapText="1"/>
    </xf>
    <xf numFmtId="3" fontId="2" fillId="0" borderId="6" xfId="0" applyNumberFormat="1" applyFont="1" applyFill="1" applyBorder="1" applyAlignment="1">
      <alignment horizontal="center" vertical="center"/>
    </xf>
    <xf numFmtId="165" fontId="3" fillId="0" borderId="13" xfId="0" applyNumberFormat="1" applyFont="1" applyFill="1" applyBorder="1" applyAlignment="1">
      <alignment horizontal="center" vertical="center"/>
    </xf>
    <xf numFmtId="0" fontId="2" fillId="0" borderId="6" xfId="0" applyFont="1" applyFill="1" applyBorder="1" applyAlignment="1">
      <alignment vertical="center" wrapText="1"/>
    </xf>
    <xf numFmtId="168" fontId="2" fillId="0" borderId="9" xfId="1" applyNumberFormat="1" applyFont="1" applyFill="1" applyBorder="1" applyAlignment="1">
      <alignment horizontal="center" vertical="center"/>
    </xf>
    <xf numFmtId="168" fontId="2" fillId="0" borderId="2" xfId="0" applyNumberFormat="1" applyFont="1" applyFill="1" applyBorder="1" applyAlignment="1">
      <alignment horizontal="center" vertical="center"/>
    </xf>
    <xf numFmtId="165" fontId="3" fillId="0" borderId="21" xfId="0" applyNumberFormat="1" applyFont="1" applyFill="1" applyBorder="1" applyAlignment="1">
      <alignment horizontal="center" vertical="center"/>
    </xf>
    <xf numFmtId="0" fontId="4" fillId="0" borderId="14" xfId="0" applyFont="1" applyFill="1" applyBorder="1" applyAlignment="1">
      <alignment horizontal="left" vertical="top" wrapText="1"/>
    </xf>
    <xf numFmtId="168" fontId="3" fillId="0" borderId="15" xfId="0" applyNumberFormat="1" applyFont="1" applyFill="1" applyBorder="1" applyAlignment="1">
      <alignment horizontal="center" vertical="center"/>
    </xf>
    <xf numFmtId="165" fontId="2" fillId="0" borderId="16" xfId="0" applyNumberFormat="1" applyFont="1" applyFill="1" applyBorder="1" applyAlignment="1">
      <alignment horizontal="center" vertical="center"/>
    </xf>
    <xf numFmtId="166" fontId="4" fillId="0" borderId="17" xfId="0" applyNumberFormat="1" applyFont="1" applyFill="1" applyBorder="1" applyAlignment="1">
      <alignment horizontal="left" vertical="center" wrapText="1"/>
    </xf>
    <xf numFmtId="0" fontId="10" fillId="0" borderId="0" xfId="0" applyFont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 wrapText="1"/>
    </xf>
    <xf numFmtId="3" fontId="10" fillId="0" borderId="0" xfId="0" applyNumberFormat="1" applyFont="1" applyFill="1" applyBorder="1" applyAlignment="1">
      <alignment horizontal="center" vertical="center" wrapText="1"/>
    </xf>
    <xf numFmtId="3" fontId="8" fillId="0" borderId="0" xfId="0" applyNumberFormat="1" applyFont="1" applyBorder="1" applyAlignment="1">
      <alignment horizontal="center" vertical="center"/>
    </xf>
    <xf numFmtId="0" fontId="8" fillId="0" borderId="0" xfId="0" applyFont="1" applyBorder="1" applyAlignment="1">
      <alignment vertical="top"/>
    </xf>
    <xf numFmtId="0" fontId="10" fillId="0" borderId="0" xfId="0" applyFont="1" applyFill="1" applyBorder="1" applyAlignment="1">
      <alignment horizontal="center" vertical="top"/>
    </xf>
    <xf numFmtId="0" fontId="10" fillId="0" borderId="0" xfId="0" applyFont="1" applyFill="1" applyBorder="1" applyAlignment="1">
      <alignment horizontal="left" vertical="top" wrapText="1"/>
    </xf>
    <xf numFmtId="0" fontId="10" fillId="0" borderId="20" xfId="0" applyFont="1" applyFill="1" applyBorder="1" applyAlignment="1">
      <alignment horizontal="center" vertical="top"/>
    </xf>
    <xf numFmtId="0" fontId="10" fillId="0" borderId="20" xfId="0" applyFont="1" applyFill="1" applyBorder="1" applyAlignment="1">
      <alignment horizontal="left" vertical="top" wrapText="1"/>
    </xf>
    <xf numFmtId="0" fontId="10" fillId="0" borderId="20" xfId="0" applyFont="1" applyFill="1" applyBorder="1" applyAlignment="1">
      <alignment horizontal="center" vertical="center" wrapText="1"/>
    </xf>
    <xf numFmtId="3" fontId="10" fillId="0" borderId="20" xfId="0" applyNumberFormat="1" applyFont="1" applyFill="1" applyBorder="1" applyAlignment="1">
      <alignment horizontal="center" vertical="center" wrapText="1"/>
    </xf>
    <xf numFmtId="0" fontId="10" fillId="0" borderId="20" xfId="0" applyFont="1" applyBorder="1" applyAlignment="1">
      <alignment horizontal="center" vertical="center" wrapText="1"/>
    </xf>
    <xf numFmtId="0" fontId="10" fillId="0" borderId="20" xfId="0" applyFont="1" applyBorder="1" applyAlignment="1">
      <alignment horizontal="left" vertical="top" wrapText="1"/>
    </xf>
    <xf numFmtId="2" fontId="10" fillId="0" borderId="20" xfId="0" applyNumberFormat="1" applyFont="1" applyBorder="1" applyAlignment="1">
      <alignment horizontal="center" vertical="center" wrapText="1"/>
    </xf>
    <xf numFmtId="3" fontId="10" fillId="0" borderId="20" xfId="0" applyNumberFormat="1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center" wrapText="1"/>
    </xf>
    <xf numFmtId="2" fontId="8" fillId="0" borderId="20" xfId="0" applyNumberFormat="1" applyFont="1" applyBorder="1" applyAlignment="1">
      <alignment horizontal="center" vertical="center" wrapText="1"/>
    </xf>
    <xf numFmtId="3" fontId="8" fillId="0" borderId="20" xfId="0" applyNumberFormat="1" applyFont="1" applyFill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top"/>
    </xf>
    <xf numFmtId="3" fontId="8" fillId="0" borderId="20" xfId="0" applyNumberFormat="1" applyFont="1" applyBorder="1" applyAlignment="1">
      <alignment horizontal="center" vertical="top"/>
    </xf>
    <xf numFmtId="0" fontId="8" fillId="0" borderId="20" xfId="0" applyFont="1" applyBorder="1" applyAlignment="1">
      <alignment horizontal="left" vertical="top" wrapText="1"/>
    </xf>
    <xf numFmtId="3" fontId="8" fillId="0" borderId="20" xfId="0" applyNumberFormat="1" applyFont="1" applyBorder="1" applyAlignment="1">
      <alignment horizontal="center" vertical="center" wrapText="1"/>
    </xf>
    <xf numFmtId="3" fontId="10" fillId="0" borderId="20" xfId="0" applyNumberFormat="1" applyFont="1" applyBorder="1" applyAlignment="1">
      <alignment horizontal="center" vertical="center"/>
    </xf>
    <xf numFmtId="0" fontId="8" fillId="0" borderId="20" xfId="0" applyFont="1" applyFill="1" applyBorder="1" applyAlignment="1">
      <alignment horizontal="left" vertical="top" wrapText="1"/>
    </xf>
    <xf numFmtId="0" fontId="8" fillId="0" borderId="20" xfId="0" applyFont="1" applyFill="1" applyBorder="1" applyAlignment="1">
      <alignment horizontal="center" vertical="center" wrapText="1"/>
    </xf>
    <xf numFmtId="2" fontId="8" fillId="0" borderId="20" xfId="0" applyNumberFormat="1" applyFont="1" applyBorder="1" applyAlignment="1">
      <alignment horizontal="center" vertical="center"/>
    </xf>
    <xf numFmtId="0" fontId="10" fillId="0" borderId="25" xfId="0" applyFont="1" applyFill="1" applyBorder="1" applyAlignment="1">
      <alignment horizontal="center" vertical="top"/>
    </xf>
    <xf numFmtId="0" fontId="10" fillId="0" borderId="25" xfId="0" applyFont="1" applyFill="1" applyBorder="1" applyAlignment="1">
      <alignment horizontal="left" vertical="top" wrapText="1"/>
    </xf>
    <xf numFmtId="0" fontId="10" fillId="0" borderId="25" xfId="0" applyFont="1" applyFill="1" applyBorder="1" applyAlignment="1">
      <alignment horizontal="center" vertical="center" wrapText="1"/>
    </xf>
    <xf numFmtId="3" fontId="10" fillId="0" borderId="25" xfId="0" applyNumberFormat="1" applyFont="1" applyFill="1" applyBorder="1" applyAlignment="1">
      <alignment horizontal="center" vertical="center" wrapText="1"/>
    </xf>
    <xf numFmtId="0" fontId="10" fillId="0" borderId="26" xfId="0" applyFont="1" applyFill="1" applyBorder="1" applyAlignment="1">
      <alignment horizontal="center" vertical="top"/>
    </xf>
    <xf numFmtId="0" fontId="10" fillId="0" borderId="26" xfId="0" applyFont="1" applyFill="1" applyBorder="1" applyAlignment="1">
      <alignment horizontal="left" vertical="top" wrapText="1"/>
    </xf>
    <xf numFmtId="0" fontId="10" fillId="0" borderId="26" xfId="0" applyFont="1" applyFill="1" applyBorder="1" applyAlignment="1">
      <alignment horizontal="center" vertical="center" wrapText="1"/>
    </xf>
    <xf numFmtId="3" fontId="10" fillId="0" borderId="26" xfId="0" applyNumberFormat="1" applyFont="1" applyFill="1" applyBorder="1" applyAlignment="1">
      <alignment horizontal="center" vertical="center" wrapText="1"/>
    </xf>
    <xf numFmtId="0" fontId="8" fillId="0" borderId="20" xfId="0" applyFont="1" applyBorder="1" applyAlignment="1">
      <alignment horizontal="left"/>
    </xf>
    <xf numFmtId="0" fontId="8" fillId="0" borderId="20" xfId="0" applyFont="1" applyBorder="1" applyAlignment="1">
      <alignment horizontal="center"/>
    </xf>
    <xf numFmtId="0" fontId="10" fillId="0" borderId="20" xfId="0" applyFont="1" applyBorder="1" applyAlignment="1">
      <alignment horizontal="left"/>
    </xf>
    <xf numFmtId="0" fontId="8" fillId="0" borderId="20" xfId="0" applyFont="1" applyFill="1" applyBorder="1" applyAlignment="1">
      <alignment horizontal="center"/>
    </xf>
    <xf numFmtId="3" fontId="8" fillId="0" borderId="0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vertical="top"/>
    </xf>
    <xf numFmtId="172" fontId="8" fillId="0" borderId="20" xfId="0" applyNumberFormat="1" applyFont="1" applyBorder="1" applyAlignment="1">
      <alignment horizontal="center" vertical="center" wrapText="1"/>
    </xf>
    <xf numFmtId="2" fontId="10" fillId="0" borderId="20" xfId="0" applyNumberFormat="1" applyFont="1" applyFill="1" applyBorder="1" applyAlignment="1">
      <alignment horizontal="center" vertical="center" wrapText="1"/>
    </xf>
    <xf numFmtId="3" fontId="8" fillId="0" borderId="20" xfId="0" applyNumberFormat="1" applyFont="1" applyBorder="1" applyAlignment="1">
      <alignment horizontal="center" vertical="center"/>
    </xf>
    <xf numFmtId="0" fontId="8" fillId="0" borderId="20" xfId="0" applyFont="1" applyBorder="1" applyAlignment="1">
      <alignment horizontal="left" vertical="top"/>
    </xf>
    <xf numFmtId="0" fontId="8" fillId="0" borderId="20" xfId="0" applyFont="1" applyBorder="1" applyAlignment="1">
      <alignment horizontal="center" vertical="center"/>
    </xf>
    <xf numFmtId="0" fontId="8" fillId="0" borderId="20" xfId="0" applyFont="1" applyFill="1" applyBorder="1" applyAlignment="1">
      <alignment horizontal="left" wrapText="1"/>
    </xf>
    <xf numFmtId="2" fontId="8" fillId="0" borderId="20" xfId="0" applyNumberFormat="1" applyFont="1" applyFill="1" applyBorder="1" applyAlignment="1">
      <alignment horizontal="center" vertical="center" wrapText="1"/>
    </xf>
    <xf numFmtId="3" fontId="8" fillId="0" borderId="20" xfId="0" applyNumberFormat="1" applyFont="1" applyFill="1" applyBorder="1" applyAlignment="1">
      <alignment horizontal="center" vertical="top"/>
    </xf>
    <xf numFmtId="0" fontId="10" fillId="0" borderId="20" xfId="0" applyFont="1" applyFill="1" applyBorder="1" applyAlignment="1">
      <alignment horizontal="left"/>
    </xf>
    <xf numFmtId="0" fontId="8" fillId="0" borderId="20" xfId="0" applyFont="1" applyFill="1" applyBorder="1" applyAlignment="1">
      <alignment horizontal="left"/>
    </xf>
    <xf numFmtId="3" fontId="8" fillId="0" borderId="20" xfId="0" applyNumberFormat="1" applyFont="1" applyFill="1" applyBorder="1" applyAlignment="1">
      <alignment horizontal="center" vertical="center"/>
    </xf>
    <xf numFmtId="0" fontId="8" fillId="0" borderId="0" xfId="0" applyFont="1" applyBorder="1" applyAlignment="1">
      <alignment horizontal="left" vertical="top" wrapText="1"/>
    </xf>
    <xf numFmtId="0" fontId="8" fillId="0" borderId="0" xfId="0" applyFont="1" applyBorder="1" applyAlignment="1">
      <alignment horizontal="center" vertical="center"/>
    </xf>
    <xf numFmtId="2" fontId="8" fillId="0" borderId="0" xfId="0" applyNumberFormat="1" applyFont="1" applyBorder="1" applyAlignment="1">
      <alignment horizontal="center" vertical="center"/>
    </xf>
    <xf numFmtId="2" fontId="8" fillId="0" borderId="20" xfId="0" applyNumberFormat="1" applyFont="1" applyBorder="1" applyAlignment="1">
      <alignment horizontal="center"/>
    </xf>
    <xf numFmtId="3" fontId="8" fillId="0" borderId="20" xfId="0" applyNumberFormat="1" applyFont="1" applyBorder="1" applyAlignment="1">
      <alignment horizontal="center"/>
    </xf>
    <xf numFmtId="0" fontId="8" fillId="0" borderId="20" xfId="0" applyFont="1" applyFill="1" applyBorder="1" applyAlignment="1">
      <alignment horizontal="center" vertical="top"/>
    </xf>
    <xf numFmtId="169" fontId="8" fillId="0" borderId="20" xfId="4" applyNumberFormat="1" applyFont="1" applyBorder="1" applyAlignment="1">
      <alignment horizontal="center"/>
    </xf>
    <xf numFmtId="169" fontId="8" fillId="0" borderId="20" xfId="4" applyNumberFormat="1" applyFont="1" applyBorder="1" applyAlignment="1">
      <alignment horizontal="center" vertical="center"/>
    </xf>
    <xf numFmtId="4" fontId="8" fillId="0" borderId="20" xfId="0" applyNumberFormat="1" applyFont="1" applyBorder="1" applyAlignment="1">
      <alignment horizontal="center"/>
    </xf>
    <xf numFmtId="169" fontId="8" fillId="0" borderId="20" xfId="4" applyNumberFormat="1" applyFont="1" applyFill="1" applyBorder="1" applyAlignment="1">
      <alignment horizontal="center" vertical="center"/>
    </xf>
    <xf numFmtId="168" fontId="10" fillId="0" borderId="0" xfId="0" applyNumberFormat="1" applyFont="1" applyFill="1" applyBorder="1" applyAlignment="1">
      <alignment horizontal="center" vertical="center" wrapText="1"/>
    </xf>
    <xf numFmtId="3" fontId="8" fillId="0" borderId="20" xfId="0" applyNumberFormat="1" applyFont="1" applyFill="1" applyBorder="1" applyAlignment="1">
      <alignment horizontal="left" vertical="center" wrapText="1"/>
    </xf>
    <xf numFmtId="2" fontId="8" fillId="0" borderId="0" xfId="0" applyNumberFormat="1" applyFont="1" applyFill="1" applyBorder="1" applyAlignment="1">
      <alignment horizontal="center" vertical="center" wrapText="1"/>
    </xf>
    <xf numFmtId="3" fontId="8" fillId="0" borderId="0" xfId="0" applyNumberFormat="1" applyFont="1" applyFill="1" applyBorder="1" applyAlignment="1">
      <alignment horizontal="left" vertical="center" wrapText="1"/>
    </xf>
    <xf numFmtId="0" fontId="8" fillId="0" borderId="0" xfId="0" applyFont="1" applyFill="1" applyBorder="1" applyAlignment="1">
      <alignment horizontal="center" vertical="center" wrapText="1"/>
    </xf>
    <xf numFmtId="3" fontId="8" fillId="0" borderId="0" xfId="0" applyNumberFormat="1" applyFont="1" applyFill="1" applyBorder="1" applyAlignment="1">
      <alignment horizontal="center" vertical="center" wrapText="1"/>
    </xf>
    <xf numFmtId="3" fontId="10" fillId="0" borderId="0" xfId="0" applyNumberFormat="1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vertical="top"/>
    </xf>
    <xf numFmtId="166" fontId="10" fillId="0" borderId="20" xfId="0" applyNumberFormat="1" applyFont="1" applyFill="1" applyBorder="1" applyAlignment="1">
      <alignment horizontal="center" vertical="center"/>
    </xf>
    <xf numFmtId="0" fontId="10" fillId="0" borderId="29" xfId="0" applyFont="1" applyBorder="1" applyAlignment="1">
      <alignment horizontal="left" vertical="center" wrapText="1"/>
    </xf>
    <xf numFmtId="0" fontId="8" fillId="0" borderId="29" xfId="0" applyFont="1" applyBorder="1" applyAlignment="1">
      <alignment horizontal="left" wrapText="1"/>
    </xf>
    <xf numFmtId="0" fontId="8" fillId="0" borderId="20" xfId="0" applyFont="1" applyBorder="1" applyAlignment="1">
      <alignment horizontal="left" vertical="center" wrapText="1"/>
    </xf>
    <xf numFmtId="0" fontId="8" fillId="0" borderId="20" xfId="0" applyFont="1" applyBorder="1" applyAlignment="1">
      <alignment vertical="top"/>
    </xf>
    <xf numFmtId="167" fontId="4" fillId="0" borderId="3" xfId="0" applyNumberFormat="1" applyFont="1" applyFill="1" applyBorder="1" applyAlignment="1">
      <alignment horizontal="left" vertical="center" wrapText="1"/>
    </xf>
    <xf numFmtId="3" fontId="8" fillId="0" borderId="0" xfId="0" applyNumberFormat="1" applyFont="1" applyBorder="1" applyAlignment="1">
      <alignment vertical="top"/>
    </xf>
    <xf numFmtId="168" fontId="10" fillId="0" borderId="25" xfId="0" applyNumberFormat="1" applyFont="1" applyFill="1" applyBorder="1" applyAlignment="1">
      <alignment horizontal="center" vertical="center" wrapText="1"/>
    </xf>
    <xf numFmtId="3" fontId="8" fillId="0" borderId="0" xfId="0" applyNumberFormat="1" applyFont="1" applyFill="1" applyBorder="1" applyAlignment="1">
      <alignment vertical="top"/>
    </xf>
    <xf numFmtId="0" fontId="8" fillId="0" borderId="0" xfId="0" applyFont="1" applyBorder="1" applyAlignment="1">
      <alignment horizontal="center" vertical="top"/>
    </xf>
    <xf numFmtId="168" fontId="10" fillId="0" borderId="26" xfId="0" applyNumberFormat="1" applyFont="1" applyFill="1" applyBorder="1" applyAlignment="1">
      <alignment horizontal="center" vertical="center" wrapText="1"/>
    </xf>
    <xf numFmtId="3" fontId="8" fillId="0" borderId="25" xfId="0" applyNumberFormat="1" applyFont="1" applyBorder="1" applyAlignment="1">
      <alignment horizontal="center" vertical="center"/>
    </xf>
    <xf numFmtId="0" fontId="8" fillId="0" borderId="25" xfId="0" applyFont="1" applyBorder="1" applyAlignment="1">
      <alignment vertical="top"/>
    </xf>
    <xf numFmtId="3" fontId="8" fillId="0" borderId="26" xfId="0" applyNumberFormat="1" applyFont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top"/>
    </xf>
    <xf numFmtId="4" fontId="8" fillId="0" borderId="20" xfId="0" applyNumberFormat="1" applyFont="1" applyBorder="1" applyAlignment="1">
      <alignment horizontal="center" vertical="top"/>
    </xf>
    <xf numFmtId="0" fontId="10" fillId="0" borderId="25" xfId="0" applyFont="1" applyBorder="1" applyAlignment="1">
      <alignment horizontal="center" vertical="center"/>
    </xf>
    <xf numFmtId="0" fontId="8" fillId="0" borderId="25" xfId="0" applyFont="1" applyBorder="1" applyAlignment="1">
      <alignment horizontal="left" vertical="top" wrapText="1"/>
    </xf>
    <xf numFmtId="0" fontId="8" fillId="0" borderId="25" xfId="0" applyFont="1" applyBorder="1" applyAlignment="1">
      <alignment horizontal="center" vertical="center"/>
    </xf>
    <xf numFmtId="2" fontId="8" fillId="0" borderId="25" xfId="0" applyNumberFormat="1" applyFont="1" applyBorder="1" applyAlignment="1">
      <alignment horizontal="center" vertical="center"/>
    </xf>
    <xf numFmtId="3" fontId="8" fillId="0" borderId="25" xfId="0" applyNumberFormat="1" applyFont="1" applyFill="1" applyBorder="1" applyAlignment="1">
      <alignment horizontal="center" vertical="center"/>
    </xf>
    <xf numFmtId="0" fontId="10" fillId="0" borderId="26" xfId="0" applyFont="1" applyBorder="1" applyAlignment="1">
      <alignment horizontal="center" vertical="center"/>
    </xf>
    <xf numFmtId="0" fontId="8" fillId="0" borderId="26" xfId="0" applyFont="1" applyBorder="1" applyAlignment="1">
      <alignment horizontal="left" vertical="top" wrapText="1"/>
    </xf>
    <xf numFmtId="0" fontId="8" fillId="0" borderId="26" xfId="0" applyFont="1" applyBorder="1" applyAlignment="1">
      <alignment horizontal="center" vertical="center"/>
    </xf>
    <xf numFmtId="2" fontId="8" fillId="0" borderId="26" xfId="0" applyNumberFormat="1" applyFont="1" applyBorder="1" applyAlignment="1">
      <alignment horizontal="center" vertical="center"/>
    </xf>
    <xf numFmtId="3" fontId="8" fillId="0" borderId="26" xfId="0" applyNumberFormat="1" applyFont="1" applyFill="1" applyBorder="1" applyAlignment="1">
      <alignment horizontal="center" vertical="center"/>
    </xf>
    <xf numFmtId="3" fontId="10" fillId="0" borderId="0" xfId="0" applyNumberFormat="1" applyFont="1" applyFill="1" applyBorder="1" applyAlignment="1">
      <alignment vertical="top"/>
    </xf>
    <xf numFmtId="0" fontId="10" fillId="0" borderId="20" xfId="0" applyFont="1" applyBorder="1" applyAlignment="1">
      <alignment horizontal="left" vertical="center" wrapText="1"/>
    </xf>
    <xf numFmtId="0" fontId="8" fillId="0" borderId="29" xfId="0" applyFont="1" applyBorder="1" applyAlignment="1">
      <alignment horizontal="left" vertical="center" wrapText="1"/>
    </xf>
    <xf numFmtId="2" fontId="10" fillId="0" borderId="0" xfId="0" applyNumberFormat="1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left" vertical="top"/>
    </xf>
    <xf numFmtId="0" fontId="10" fillId="5" borderId="20" xfId="0" applyFont="1" applyFill="1" applyBorder="1" applyAlignment="1">
      <alignment horizontal="center" vertical="center" wrapText="1"/>
    </xf>
    <xf numFmtId="0" fontId="10" fillId="5" borderId="20" xfId="0" applyFont="1" applyFill="1" applyBorder="1" applyAlignment="1">
      <alignment horizontal="left" vertical="top" wrapText="1"/>
    </xf>
    <xf numFmtId="2" fontId="10" fillId="5" borderId="20" xfId="0" applyNumberFormat="1" applyFont="1" applyFill="1" applyBorder="1" applyAlignment="1">
      <alignment horizontal="center" vertical="center" wrapText="1"/>
    </xf>
    <xf numFmtId="3" fontId="10" fillId="5" borderId="20" xfId="0" applyNumberFormat="1" applyFont="1" applyFill="1" applyBorder="1" applyAlignment="1">
      <alignment horizontal="center" vertical="center" wrapText="1"/>
    </xf>
    <xf numFmtId="0" fontId="10" fillId="6" borderId="20" xfId="0" applyFont="1" applyFill="1" applyBorder="1" applyAlignment="1">
      <alignment horizontal="center" vertical="center" wrapText="1"/>
    </xf>
    <xf numFmtId="0" fontId="10" fillId="6" borderId="20" xfId="0" applyFont="1" applyFill="1" applyBorder="1" applyAlignment="1">
      <alignment horizontal="left" vertical="top" wrapText="1"/>
    </xf>
    <xf numFmtId="0" fontId="10" fillId="7" borderId="20" xfId="0" applyFont="1" applyFill="1" applyBorder="1" applyAlignment="1">
      <alignment horizontal="center" vertical="top"/>
    </xf>
    <xf numFmtId="0" fontId="10" fillId="7" borderId="20" xfId="0" applyFont="1" applyFill="1" applyBorder="1" applyAlignment="1">
      <alignment horizontal="left" vertical="top" wrapText="1"/>
    </xf>
    <xf numFmtId="0" fontId="10" fillId="7" borderId="20" xfId="0" applyFont="1" applyFill="1" applyBorder="1" applyAlignment="1">
      <alignment horizontal="center" vertical="center" wrapText="1"/>
    </xf>
    <xf numFmtId="3" fontId="10" fillId="7" borderId="20" xfId="0" applyNumberFormat="1" applyFont="1" applyFill="1" applyBorder="1" applyAlignment="1">
      <alignment horizontal="center" vertical="center" wrapText="1"/>
    </xf>
    <xf numFmtId="168" fontId="10" fillId="7" borderId="20" xfId="0" applyNumberFormat="1" applyFont="1" applyFill="1" applyBorder="1" applyAlignment="1">
      <alignment horizontal="center" vertical="center" wrapText="1"/>
    </xf>
    <xf numFmtId="0" fontId="11" fillId="5" borderId="20" xfId="0" applyFont="1" applyFill="1" applyBorder="1" applyAlignment="1">
      <alignment horizontal="center" vertical="top"/>
    </xf>
    <xf numFmtId="0" fontId="11" fillId="5" borderId="20" xfId="0" applyFont="1" applyFill="1" applyBorder="1" applyAlignment="1">
      <alignment horizontal="left" vertical="top" wrapText="1"/>
    </xf>
    <xf numFmtId="0" fontId="10" fillId="6" borderId="20" xfId="0" applyFont="1" applyFill="1" applyBorder="1" applyAlignment="1">
      <alignment horizontal="center" vertical="top"/>
    </xf>
    <xf numFmtId="0" fontId="12" fillId="6" borderId="20" xfId="0" applyFont="1" applyFill="1" applyBorder="1" applyAlignment="1">
      <alignment horizontal="left" vertical="top" wrapText="1"/>
    </xf>
    <xf numFmtId="164" fontId="12" fillId="6" borderId="20" xfId="5" applyFont="1" applyFill="1" applyBorder="1" applyAlignment="1">
      <alignment horizontal="center" vertical="center"/>
    </xf>
    <xf numFmtId="164" fontId="12" fillId="6" borderId="20" xfId="5" applyFont="1" applyFill="1" applyBorder="1" applyAlignment="1">
      <alignment horizontal="left" vertical="top" wrapText="1"/>
    </xf>
    <xf numFmtId="0" fontId="8" fillId="7" borderId="20" xfId="0" applyFont="1" applyFill="1" applyBorder="1" applyAlignment="1">
      <alignment vertical="top"/>
    </xf>
    <xf numFmtId="0" fontId="10" fillId="6" borderId="20" xfId="0" applyFont="1" applyFill="1" applyBorder="1" applyAlignment="1">
      <alignment vertical="center" wrapText="1"/>
    </xf>
    <xf numFmtId="0" fontId="12" fillId="6" borderId="20" xfId="0" applyFont="1" applyFill="1" applyBorder="1" applyAlignment="1">
      <alignment horizontal="left" vertical="center" wrapText="1"/>
    </xf>
    <xf numFmtId="0" fontId="11" fillId="6" borderId="20" xfId="0" applyFont="1" applyFill="1" applyBorder="1" applyAlignment="1">
      <alignment horizontal="center" vertical="top"/>
    </xf>
    <xf numFmtId="0" fontId="10" fillId="5" borderId="20" xfId="0" applyFont="1" applyFill="1" applyBorder="1" applyAlignment="1">
      <alignment horizontal="center" vertical="top"/>
    </xf>
    <xf numFmtId="0" fontId="11" fillId="6" borderId="20" xfId="0" applyFont="1" applyFill="1" applyBorder="1" applyAlignment="1">
      <alignment horizontal="center" vertical="center"/>
    </xf>
    <xf numFmtId="164" fontId="11" fillId="6" borderId="20" xfId="5" applyFont="1" applyFill="1" applyBorder="1" applyAlignment="1">
      <alignment vertical="top" wrapText="1"/>
    </xf>
    <xf numFmtId="0" fontId="13" fillId="0" borderId="20" xfId="0" applyFont="1" applyFill="1" applyBorder="1" applyAlignment="1">
      <alignment horizontal="center" vertical="center"/>
    </xf>
    <xf numFmtId="0" fontId="10" fillId="6" borderId="20" xfId="0" applyFont="1" applyFill="1" applyBorder="1" applyAlignment="1">
      <alignment horizontal="center" vertical="center"/>
    </xf>
    <xf numFmtId="164" fontId="10" fillId="6" borderId="20" xfId="5" applyFont="1" applyFill="1" applyBorder="1" applyAlignment="1">
      <alignment vertical="top" wrapText="1"/>
    </xf>
    <xf numFmtId="0" fontId="14" fillId="6" borderId="20" xfId="0" applyFont="1" applyFill="1" applyBorder="1" applyAlignment="1">
      <alignment horizontal="left" vertical="top" wrapText="1"/>
    </xf>
    <xf numFmtId="0" fontId="13" fillId="0" borderId="20" xfId="0" applyFont="1" applyBorder="1" applyAlignment="1">
      <alignment horizontal="center"/>
    </xf>
    <xf numFmtId="0" fontId="11" fillId="7" borderId="20" xfId="0" applyFont="1" applyFill="1" applyBorder="1" applyAlignment="1">
      <alignment horizontal="center" vertical="top"/>
    </xf>
    <xf numFmtId="0" fontId="14" fillId="6" borderId="20" xfId="0" applyFont="1" applyFill="1" applyBorder="1" applyAlignment="1">
      <alignment horizontal="center" vertical="center"/>
    </xf>
    <xf numFmtId="0" fontId="14" fillId="6" borderId="20" xfId="0" applyFont="1" applyFill="1" applyBorder="1" applyAlignment="1">
      <alignment horizontal="left"/>
    </xf>
    <xf numFmtId="0" fontId="12" fillId="6" borderId="20" xfId="0" applyFont="1" applyFill="1" applyBorder="1" applyAlignment="1">
      <alignment horizontal="center" vertical="center"/>
    </xf>
    <xf numFmtId="0" fontId="12" fillId="7" borderId="20" xfId="0" applyFont="1" applyFill="1" applyBorder="1" applyAlignment="1">
      <alignment horizontal="center" vertical="center"/>
    </xf>
    <xf numFmtId="0" fontId="11" fillId="6" borderId="20" xfId="0" applyFont="1" applyFill="1" applyBorder="1" applyAlignment="1">
      <alignment horizontal="left"/>
    </xf>
    <xf numFmtId="0" fontId="12" fillId="6" borderId="20" xfId="0" applyFont="1" applyFill="1" applyBorder="1" applyAlignment="1">
      <alignment horizontal="left" wrapText="1"/>
    </xf>
    <xf numFmtId="0" fontId="10" fillId="5" borderId="20" xfId="0" applyFont="1" applyFill="1" applyBorder="1" applyAlignment="1">
      <alignment horizontal="center" vertical="center"/>
    </xf>
    <xf numFmtId="166" fontId="14" fillId="6" borderId="20" xfId="0" applyNumberFormat="1" applyFont="1" applyFill="1" applyBorder="1" applyAlignment="1">
      <alignment horizontal="center" vertical="center"/>
    </xf>
    <xf numFmtId="0" fontId="14" fillId="6" borderId="20" xfId="0" applyFont="1" applyFill="1" applyBorder="1" applyAlignment="1">
      <alignment horizontal="left" vertical="top"/>
    </xf>
    <xf numFmtId="166" fontId="12" fillId="6" borderId="20" xfId="0" applyNumberFormat="1" applyFont="1" applyFill="1" applyBorder="1" applyAlignment="1">
      <alignment horizontal="center" vertical="center"/>
    </xf>
    <xf numFmtId="0" fontId="12" fillId="6" borderId="20" xfId="0" applyFont="1" applyFill="1" applyBorder="1" applyAlignment="1">
      <alignment horizontal="left" vertical="top"/>
    </xf>
    <xf numFmtId="0" fontId="12" fillId="7" borderId="20" xfId="0" applyFont="1" applyFill="1" applyBorder="1" applyAlignment="1">
      <alignment horizontal="center" vertical="center" wrapText="1"/>
    </xf>
    <xf numFmtId="0" fontId="10" fillId="7" borderId="20" xfId="0" applyFont="1" applyFill="1" applyBorder="1" applyAlignment="1">
      <alignment horizontal="left" vertical="center" wrapText="1"/>
    </xf>
    <xf numFmtId="0" fontId="10" fillId="7" borderId="31" xfId="0" applyFont="1" applyFill="1" applyBorder="1" applyAlignment="1">
      <alignment horizontal="center" vertical="top"/>
    </xf>
    <xf numFmtId="0" fontId="10" fillId="7" borderId="31" xfId="0" applyFont="1" applyFill="1" applyBorder="1" applyAlignment="1">
      <alignment horizontal="left" vertical="top" wrapText="1"/>
    </xf>
    <xf numFmtId="0" fontId="10" fillId="7" borderId="31" xfId="0" applyFont="1" applyFill="1" applyBorder="1" applyAlignment="1">
      <alignment horizontal="center" vertical="center" wrapText="1"/>
    </xf>
    <xf numFmtId="168" fontId="10" fillId="7" borderId="31" xfId="0" applyNumberFormat="1" applyFont="1" applyFill="1" applyBorder="1" applyAlignment="1">
      <alignment horizontal="center" vertical="center" wrapText="1"/>
    </xf>
    <xf numFmtId="0" fontId="10" fillId="5" borderId="30" xfId="0" applyFont="1" applyFill="1" applyBorder="1" applyAlignment="1">
      <alignment horizontal="center" vertical="center"/>
    </xf>
    <xf numFmtId="0" fontId="10" fillId="5" borderId="30" xfId="0" applyFont="1" applyFill="1" applyBorder="1" applyAlignment="1">
      <alignment horizontal="left" vertical="top" wrapText="1"/>
    </xf>
    <xf numFmtId="0" fontId="10" fillId="5" borderId="30" xfId="0" applyFont="1" applyFill="1" applyBorder="1" applyAlignment="1">
      <alignment horizontal="center" vertical="center" wrapText="1"/>
    </xf>
    <xf numFmtId="2" fontId="10" fillId="5" borderId="30" xfId="0" applyNumberFormat="1" applyFont="1" applyFill="1" applyBorder="1" applyAlignment="1">
      <alignment horizontal="center" vertical="center" wrapText="1"/>
    </xf>
    <xf numFmtId="3" fontId="10" fillId="5" borderId="30" xfId="0" applyNumberFormat="1" applyFont="1" applyFill="1" applyBorder="1" applyAlignment="1">
      <alignment horizontal="center" vertical="center" wrapText="1"/>
    </xf>
    <xf numFmtId="0" fontId="8" fillId="0" borderId="20" xfId="0" applyFont="1" applyFill="1" applyBorder="1" applyAlignment="1">
      <alignment horizontal="center" vertical="center"/>
    </xf>
    <xf numFmtId="0" fontId="13" fillId="0" borderId="20" xfId="0" applyFont="1" applyFill="1" applyBorder="1" applyAlignment="1">
      <alignment horizontal="center"/>
    </xf>
    <xf numFmtId="0" fontId="12" fillId="6" borderId="20" xfId="0" applyFont="1" applyFill="1" applyBorder="1" applyAlignment="1">
      <alignment horizontal="left"/>
    </xf>
    <xf numFmtId="0" fontId="10" fillId="6" borderId="20" xfId="0" applyFont="1" applyFill="1" applyBorder="1" applyAlignment="1">
      <alignment horizontal="left"/>
    </xf>
    <xf numFmtId="0" fontId="12" fillId="0" borderId="20" xfId="0" applyFont="1" applyFill="1" applyBorder="1" applyAlignment="1">
      <alignment horizontal="center" vertical="center"/>
    </xf>
    <xf numFmtId="166" fontId="10" fillId="5" borderId="20" xfId="0" applyNumberFormat="1" applyFont="1" applyFill="1" applyBorder="1" applyAlignment="1">
      <alignment horizontal="center" vertical="center"/>
    </xf>
    <xf numFmtId="0" fontId="10" fillId="5" borderId="20" xfId="0" applyFont="1" applyFill="1" applyBorder="1" applyAlignment="1">
      <alignment horizontal="left"/>
    </xf>
    <xf numFmtId="166" fontId="12" fillId="0" borderId="20" xfId="0" applyNumberFormat="1" applyFont="1" applyFill="1" applyBorder="1" applyAlignment="1">
      <alignment horizontal="center" vertical="center"/>
    </xf>
    <xf numFmtId="0" fontId="12" fillId="0" borderId="20" xfId="0" applyFont="1" applyFill="1" applyBorder="1" applyAlignment="1">
      <alignment horizontal="left" vertical="top" wrapText="1"/>
    </xf>
    <xf numFmtId="166" fontId="12" fillId="7" borderId="20" xfId="0" applyNumberFormat="1" applyFont="1" applyFill="1" applyBorder="1" applyAlignment="1">
      <alignment horizontal="center" vertical="center"/>
    </xf>
    <xf numFmtId="166" fontId="10" fillId="6" borderId="20" xfId="0" applyNumberFormat="1" applyFont="1" applyFill="1" applyBorder="1" applyAlignment="1">
      <alignment horizontal="center" vertical="center"/>
    </xf>
    <xf numFmtId="0" fontId="13" fillId="0" borderId="20" xfId="0" applyFont="1" applyFill="1" applyBorder="1" applyAlignment="1">
      <alignment horizontal="left"/>
    </xf>
    <xf numFmtId="166" fontId="12" fillId="7" borderId="20" xfId="0" applyNumberFormat="1" applyFont="1" applyFill="1" applyBorder="1" applyAlignment="1">
      <alignment horizontal="center" vertical="center" wrapText="1"/>
    </xf>
    <xf numFmtId="0" fontId="11" fillId="6" borderId="20" xfId="0" applyFont="1" applyFill="1" applyBorder="1" applyAlignment="1">
      <alignment horizontal="left" vertical="top" wrapText="1"/>
    </xf>
    <xf numFmtId="0" fontId="14" fillId="6" borderId="20" xfId="0" applyFont="1" applyFill="1" applyBorder="1" applyAlignment="1">
      <alignment horizontal="left" wrapText="1"/>
    </xf>
    <xf numFmtId="0" fontId="10" fillId="0" borderId="25" xfId="0" applyFont="1" applyBorder="1" applyAlignment="1">
      <alignment horizontal="center" vertical="center" wrapText="1"/>
    </xf>
    <xf numFmtId="0" fontId="8" fillId="0" borderId="25" xfId="0" applyFont="1" applyBorder="1" applyAlignment="1">
      <alignment horizontal="center" vertical="center" wrapText="1"/>
    </xf>
    <xf numFmtId="2" fontId="8" fillId="0" borderId="25" xfId="0" applyNumberFormat="1" applyFont="1" applyBorder="1" applyAlignment="1">
      <alignment horizontal="center" vertical="center" wrapText="1"/>
    </xf>
    <xf numFmtId="3" fontId="8" fillId="0" borderId="25" xfId="0" applyNumberFormat="1" applyFont="1" applyFill="1" applyBorder="1" applyAlignment="1">
      <alignment horizontal="center" vertical="center" wrapText="1"/>
    </xf>
    <xf numFmtId="3" fontId="8" fillId="0" borderId="25" xfId="0" applyNumberFormat="1" applyFont="1" applyBorder="1" applyAlignment="1">
      <alignment horizontal="center" vertical="center" wrapText="1"/>
    </xf>
    <xf numFmtId="0" fontId="10" fillId="0" borderId="26" xfId="0" applyFont="1" applyBorder="1" applyAlignment="1">
      <alignment horizontal="center" vertical="center" wrapText="1"/>
    </xf>
    <xf numFmtId="0" fontId="8" fillId="0" borderId="26" xfId="0" applyFont="1" applyBorder="1" applyAlignment="1">
      <alignment horizontal="center" vertical="center" wrapText="1"/>
    </xf>
    <xf numFmtId="2" fontId="8" fillId="0" borderId="26" xfId="0" applyNumberFormat="1" applyFont="1" applyBorder="1" applyAlignment="1">
      <alignment horizontal="center" vertical="center" wrapText="1"/>
    </xf>
    <xf numFmtId="3" fontId="8" fillId="0" borderId="26" xfId="0" applyNumberFormat="1" applyFont="1" applyFill="1" applyBorder="1" applyAlignment="1">
      <alignment horizontal="center" vertical="center" wrapText="1"/>
    </xf>
    <xf numFmtId="3" fontId="8" fillId="0" borderId="26" xfId="0" applyNumberFormat="1" applyFont="1" applyBorder="1" applyAlignment="1">
      <alignment horizontal="center" vertical="center" wrapText="1"/>
    </xf>
    <xf numFmtId="172" fontId="8" fillId="0" borderId="20" xfId="0" applyNumberFormat="1" applyFont="1" applyBorder="1" applyAlignment="1">
      <alignment horizontal="center" vertical="top"/>
    </xf>
    <xf numFmtId="0" fontId="15" fillId="0" borderId="0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left" vertical="top" wrapText="1"/>
    </xf>
    <xf numFmtId="0" fontId="16" fillId="0" borderId="0" xfId="0" applyFont="1" applyFill="1" applyBorder="1" applyAlignment="1">
      <alignment horizontal="center" vertical="center"/>
    </xf>
    <xf numFmtId="2" fontId="16" fillId="0" borderId="0" xfId="0" applyNumberFormat="1" applyFont="1" applyFill="1" applyBorder="1" applyAlignment="1">
      <alignment horizontal="center" vertical="center"/>
    </xf>
    <xf numFmtId="3" fontId="16" fillId="0" borderId="0" xfId="0" applyNumberFormat="1" applyFont="1" applyFill="1" applyBorder="1" applyAlignment="1">
      <alignment horizontal="center" vertical="center"/>
    </xf>
    <xf numFmtId="3" fontId="16" fillId="0" borderId="0" xfId="0" applyNumberFormat="1" applyFont="1" applyFill="1" applyBorder="1" applyAlignment="1">
      <alignment vertical="top"/>
    </xf>
    <xf numFmtId="0" fontId="16" fillId="0" borderId="0" xfId="0" applyFont="1" applyFill="1" applyBorder="1" applyAlignment="1">
      <alignment vertical="top"/>
    </xf>
    <xf numFmtId="4" fontId="8" fillId="0" borderId="0" xfId="0" applyNumberFormat="1" applyFont="1" applyBorder="1" applyAlignment="1">
      <alignment vertical="top"/>
    </xf>
    <xf numFmtId="0" fontId="10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left" vertical="top" wrapText="1"/>
    </xf>
    <xf numFmtId="0" fontId="8" fillId="0" borderId="0" xfId="0" applyFont="1" applyFill="1" applyBorder="1" applyAlignment="1">
      <alignment horizontal="center" vertical="center"/>
    </xf>
    <xf numFmtId="2" fontId="8" fillId="0" borderId="0" xfId="0" applyNumberFormat="1" applyFont="1" applyFill="1" applyBorder="1" applyAlignment="1">
      <alignment horizontal="center" vertical="center"/>
    </xf>
    <xf numFmtId="0" fontId="10" fillId="5" borderId="27" xfId="0" applyFont="1" applyFill="1" applyBorder="1"/>
    <xf numFmtId="0" fontId="12" fillId="5" borderId="20" xfId="0" applyFont="1" applyFill="1" applyBorder="1" applyAlignment="1">
      <alignment horizontal="center" vertical="center"/>
    </xf>
    <xf numFmtId="0" fontId="14" fillId="6" borderId="27" xfId="0" applyFont="1" applyFill="1" applyBorder="1"/>
    <xf numFmtId="166" fontId="12" fillId="6" borderId="10" xfId="0" applyNumberFormat="1" applyFont="1" applyFill="1" applyBorder="1" applyAlignment="1">
      <alignment horizontal="center" vertical="center"/>
    </xf>
    <xf numFmtId="0" fontId="12" fillId="6" borderId="20" xfId="0" applyFont="1" applyFill="1" applyBorder="1"/>
    <xf numFmtId="4" fontId="13" fillId="0" borderId="20" xfId="0" applyNumberFormat="1" applyFont="1" applyBorder="1" applyAlignment="1">
      <alignment horizontal="center"/>
    </xf>
    <xf numFmtId="166" fontId="12" fillId="7" borderId="10" xfId="0" applyNumberFormat="1" applyFont="1" applyFill="1" applyBorder="1" applyAlignment="1">
      <alignment horizontal="center" vertical="center"/>
    </xf>
    <xf numFmtId="0" fontId="14" fillId="6" borderId="27" xfId="0" applyFont="1" applyFill="1" applyBorder="1" applyAlignment="1">
      <alignment horizontal="left"/>
    </xf>
    <xf numFmtId="0" fontId="12" fillId="6" borderId="6" xfId="0" applyFont="1" applyFill="1" applyBorder="1"/>
    <xf numFmtId="4" fontId="13" fillId="0" borderId="20" xfId="0" applyNumberFormat="1" applyFont="1" applyFill="1" applyBorder="1" applyAlignment="1">
      <alignment horizontal="center"/>
    </xf>
    <xf numFmtId="0" fontId="8" fillId="7" borderId="0" xfId="0" applyFont="1" applyFill="1" applyBorder="1" applyAlignment="1">
      <alignment vertical="top"/>
    </xf>
    <xf numFmtId="0" fontId="12" fillId="6" borderId="9" xfId="0" applyFont="1" applyFill="1" applyBorder="1"/>
    <xf numFmtId="0" fontId="12" fillId="6" borderId="9" xfId="0" applyFont="1" applyFill="1" applyBorder="1" applyAlignment="1">
      <alignment wrapText="1"/>
    </xf>
    <xf numFmtId="0" fontId="12" fillId="6" borderId="6" xfId="0" applyFont="1" applyFill="1" applyBorder="1" applyAlignment="1">
      <alignment vertical="top"/>
    </xf>
    <xf numFmtId="0" fontId="14" fillId="6" borderId="20" xfId="0" applyFont="1" applyFill="1" applyBorder="1"/>
    <xf numFmtId="166" fontId="14" fillId="6" borderId="32" xfId="0" applyNumberFormat="1" applyFont="1" applyFill="1" applyBorder="1" applyAlignment="1">
      <alignment horizontal="center" vertical="center"/>
    </xf>
    <xf numFmtId="166" fontId="12" fillId="6" borderId="32" xfId="0" applyNumberFormat="1" applyFont="1" applyFill="1" applyBorder="1" applyAlignment="1">
      <alignment horizontal="center" vertical="center"/>
    </xf>
    <xf numFmtId="166" fontId="12" fillId="7" borderId="32" xfId="0" applyNumberFormat="1" applyFont="1" applyFill="1" applyBorder="1" applyAlignment="1">
      <alignment horizontal="center" vertical="center"/>
    </xf>
    <xf numFmtId="0" fontId="12" fillId="6" borderId="6" xfId="0" applyFont="1" applyFill="1" applyBorder="1" applyAlignment="1">
      <alignment horizontal="left"/>
    </xf>
    <xf numFmtId="0" fontId="8" fillId="0" borderId="0" xfId="0" applyFont="1" applyFill="1" applyBorder="1" applyAlignment="1">
      <alignment horizontal="left"/>
    </xf>
    <xf numFmtId="0" fontId="12" fillId="6" borderId="6" xfId="0" applyFont="1" applyFill="1" applyBorder="1" applyAlignment="1">
      <alignment wrapText="1"/>
    </xf>
    <xf numFmtId="166" fontId="14" fillId="5" borderId="20" xfId="0" applyNumberFormat="1" applyFont="1" applyFill="1" applyBorder="1" applyAlignment="1">
      <alignment horizontal="center" vertical="center"/>
    </xf>
    <xf numFmtId="0" fontId="14" fillId="5" borderId="20" xfId="0" applyFont="1" applyFill="1" applyBorder="1" applyAlignment="1">
      <alignment horizontal="left"/>
    </xf>
    <xf numFmtId="169" fontId="13" fillId="0" borderId="20" xfId="4" applyNumberFormat="1" applyFont="1" applyFill="1" applyBorder="1" applyAlignment="1">
      <alignment horizontal="center"/>
    </xf>
    <xf numFmtId="169" fontId="13" fillId="0" borderId="20" xfId="4" applyNumberFormat="1" applyFont="1" applyFill="1" applyBorder="1" applyAlignment="1">
      <alignment horizontal="center" vertical="center"/>
    </xf>
    <xf numFmtId="2" fontId="13" fillId="0" borderId="20" xfId="0" applyNumberFormat="1" applyFont="1" applyBorder="1" applyAlignment="1">
      <alignment horizontal="center"/>
    </xf>
    <xf numFmtId="173" fontId="13" fillId="0" borderId="20" xfId="5" applyNumberFormat="1" applyFont="1" applyBorder="1" applyAlignment="1">
      <alignment horizontal="center" vertical="center"/>
    </xf>
    <xf numFmtId="2" fontId="13" fillId="0" borderId="20" xfId="0" applyNumberFormat="1" applyFont="1" applyBorder="1" applyAlignment="1">
      <alignment horizontal="center" vertical="center"/>
    </xf>
    <xf numFmtId="1" fontId="13" fillId="0" borderId="20" xfId="0" applyNumberFormat="1" applyFont="1" applyBorder="1" applyAlignment="1">
      <alignment horizontal="center" vertical="center"/>
    </xf>
    <xf numFmtId="174" fontId="13" fillId="0" borderId="20" xfId="5" applyNumberFormat="1" applyFont="1" applyBorder="1" applyAlignment="1">
      <alignment horizontal="center" vertical="center"/>
    </xf>
    <xf numFmtId="166" fontId="10" fillId="7" borderId="20" xfId="0" applyNumberFormat="1" applyFont="1" applyFill="1" applyBorder="1" applyAlignment="1">
      <alignment horizontal="center" vertical="center"/>
    </xf>
    <xf numFmtId="166" fontId="13" fillId="6" borderId="20" xfId="0" applyNumberFormat="1" applyFont="1" applyFill="1" applyBorder="1" applyAlignment="1">
      <alignment horizontal="center" vertical="center"/>
    </xf>
    <xf numFmtId="166" fontId="14" fillId="7" borderId="20" xfId="0" applyNumberFormat="1" applyFont="1" applyFill="1" applyBorder="1" applyAlignment="1">
      <alignment horizontal="center" vertical="center"/>
    </xf>
    <xf numFmtId="0" fontId="12" fillId="6" borderId="20" xfId="0" applyFont="1" applyFill="1" applyBorder="1" applyAlignment="1">
      <alignment horizontal="left" vertical="center"/>
    </xf>
    <xf numFmtId="0" fontId="13" fillId="0" borderId="20" xfId="0" applyFont="1" applyFill="1" applyBorder="1" applyAlignment="1">
      <alignment horizontal="left" vertical="center"/>
    </xf>
    <xf numFmtId="2" fontId="13" fillId="0" borderId="20" xfId="0" applyNumberFormat="1" applyFont="1" applyFill="1" applyBorder="1" applyAlignment="1">
      <alignment horizontal="center"/>
    </xf>
    <xf numFmtId="173" fontId="13" fillId="0" borderId="20" xfId="5" applyNumberFormat="1" applyFont="1" applyFill="1" applyBorder="1" applyAlignment="1">
      <alignment horizontal="center" vertical="center"/>
    </xf>
    <xf numFmtId="2" fontId="13" fillId="0" borderId="20" xfId="0" applyNumberFormat="1" applyFont="1" applyFill="1" applyBorder="1" applyAlignment="1">
      <alignment horizontal="center" vertical="center"/>
    </xf>
    <xf numFmtId="0" fontId="12" fillId="0" borderId="20" xfId="0" applyFont="1" applyFill="1" applyBorder="1" applyAlignment="1">
      <alignment horizontal="left" vertical="center"/>
    </xf>
    <xf numFmtId="164" fontId="12" fillId="6" borderId="20" xfId="5" applyFont="1" applyFill="1" applyBorder="1" applyAlignment="1">
      <alignment horizontal="left" vertical="top"/>
    </xf>
    <xf numFmtId="164" fontId="12" fillId="0" borderId="20" xfId="5" applyFont="1" applyFill="1" applyBorder="1" applyAlignment="1">
      <alignment horizontal="center" vertical="center"/>
    </xf>
    <xf numFmtId="0" fontId="10" fillId="8" borderId="20" xfId="0" applyFont="1" applyFill="1" applyBorder="1" applyAlignment="1">
      <alignment horizontal="left"/>
    </xf>
    <xf numFmtId="0" fontId="12" fillId="8" borderId="20" xfId="0" applyFont="1" applyFill="1" applyBorder="1" applyAlignment="1">
      <alignment horizontal="center" vertical="center"/>
    </xf>
    <xf numFmtId="2" fontId="10" fillId="8" borderId="20" xfId="0" applyNumberFormat="1" applyFont="1" applyFill="1" applyBorder="1" applyAlignment="1">
      <alignment horizontal="center" vertical="center" wrapText="1"/>
    </xf>
    <xf numFmtId="3" fontId="10" fillId="8" borderId="20" xfId="0" applyNumberFormat="1" applyFont="1" applyFill="1" applyBorder="1" applyAlignment="1">
      <alignment horizontal="center" vertical="center" wrapText="1"/>
    </xf>
    <xf numFmtId="2" fontId="8" fillId="7" borderId="20" xfId="0" applyNumberFormat="1" applyFont="1" applyFill="1" applyBorder="1" applyAlignment="1">
      <alignment horizontal="center" vertical="center" wrapText="1"/>
    </xf>
    <xf numFmtId="3" fontId="8" fillId="7" borderId="20" xfId="0" applyNumberFormat="1" applyFont="1" applyFill="1" applyBorder="1" applyAlignment="1">
      <alignment horizontal="center" vertical="center" wrapText="1"/>
    </xf>
    <xf numFmtId="0" fontId="8" fillId="7" borderId="20" xfId="0" applyFont="1" applyFill="1" applyBorder="1" applyAlignment="1">
      <alignment horizontal="center" vertical="center" wrapText="1"/>
    </xf>
    <xf numFmtId="165" fontId="10" fillId="7" borderId="20" xfId="0" applyNumberFormat="1" applyFont="1" applyFill="1" applyBorder="1" applyAlignment="1">
      <alignment horizontal="center" vertical="center" wrapText="1"/>
    </xf>
    <xf numFmtId="0" fontId="12" fillId="6" borderId="20" xfId="0" applyFont="1" applyFill="1" applyBorder="1" applyAlignment="1">
      <alignment vertical="top" wrapText="1"/>
    </xf>
    <xf numFmtId="2" fontId="10" fillId="7" borderId="20" xfId="0" applyNumberFormat="1" applyFont="1" applyFill="1" applyBorder="1" applyAlignment="1">
      <alignment horizontal="center" vertical="center" wrapText="1"/>
    </xf>
    <xf numFmtId="166" fontId="10" fillId="8" borderId="20" xfId="0" applyNumberFormat="1" applyFont="1" applyFill="1" applyBorder="1" applyAlignment="1">
      <alignment horizontal="center" vertical="center"/>
    </xf>
    <xf numFmtId="0" fontId="14" fillId="6" borderId="20" xfId="0" applyFont="1" applyFill="1" applyBorder="1" applyAlignment="1">
      <alignment vertical="top"/>
    </xf>
    <xf numFmtId="164" fontId="14" fillId="6" borderId="20" xfId="5" applyFont="1" applyFill="1" applyBorder="1" applyAlignment="1">
      <alignment vertical="top" wrapText="1"/>
    </xf>
    <xf numFmtId="164" fontId="12" fillId="6" borderId="20" xfId="5" applyFont="1" applyFill="1" applyBorder="1" applyAlignment="1">
      <alignment vertical="top" wrapText="1"/>
    </xf>
    <xf numFmtId="3" fontId="14" fillId="6" borderId="20" xfId="0" applyNumberFormat="1" applyFont="1" applyFill="1" applyBorder="1" applyAlignment="1">
      <alignment horizontal="center" vertical="center"/>
    </xf>
    <xf numFmtId="0" fontId="12" fillId="6" borderId="27" xfId="0" applyFont="1" applyFill="1" applyBorder="1" applyAlignment="1">
      <alignment vertical="top" wrapText="1"/>
    </xf>
    <xf numFmtId="0" fontId="12" fillId="6" borderId="20" xfId="0" applyFont="1" applyFill="1" applyBorder="1" applyAlignment="1">
      <alignment wrapText="1"/>
    </xf>
    <xf numFmtId="0" fontId="13" fillId="0" borderId="20" xfId="0" applyFont="1" applyFill="1" applyBorder="1" applyAlignment="1">
      <alignment vertical="top" wrapText="1"/>
    </xf>
    <xf numFmtId="0" fontId="14" fillId="6" borderId="27" xfId="0" applyFont="1" applyFill="1" applyBorder="1" applyAlignment="1">
      <alignment horizontal="left" vertical="center" wrapText="1"/>
    </xf>
    <xf numFmtId="0" fontId="12" fillId="6" borderId="20" xfId="0" applyFont="1" applyFill="1" applyBorder="1" applyAlignment="1">
      <alignment vertical="center" wrapText="1"/>
    </xf>
    <xf numFmtId="0" fontId="12" fillId="6" borderId="27" xfId="0" applyFont="1" applyFill="1" applyBorder="1" applyAlignment="1">
      <alignment horizontal="left" vertical="center" wrapText="1"/>
    </xf>
    <xf numFmtId="0" fontId="12" fillId="6" borderId="27" xfId="0" applyFont="1" applyFill="1" applyBorder="1" applyAlignment="1">
      <alignment wrapText="1"/>
    </xf>
    <xf numFmtId="0" fontId="12" fillId="6" borderId="27" xfId="0" applyFont="1" applyFill="1" applyBorder="1" applyAlignment="1">
      <alignment vertical="center" wrapText="1"/>
    </xf>
    <xf numFmtId="0" fontId="13" fillId="0" borderId="27" xfId="0" applyFont="1" applyFill="1" applyBorder="1" applyAlignment="1">
      <alignment wrapText="1"/>
    </xf>
    <xf numFmtId="0" fontId="12" fillId="6" borderId="27" xfId="0" applyFont="1" applyFill="1" applyBorder="1"/>
    <xf numFmtId="0" fontId="12" fillId="6" borderId="20" xfId="0" applyFont="1" applyFill="1" applyBorder="1" applyAlignment="1"/>
    <xf numFmtId="0" fontId="13" fillId="0" borderId="20" xfId="0" applyFont="1" applyFill="1" applyBorder="1" applyAlignment="1"/>
    <xf numFmtId="0" fontId="12" fillId="6" borderId="27" xfId="0" applyFont="1" applyFill="1" applyBorder="1" applyAlignment="1"/>
    <xf numFmtId="0" fontId="13" fillId="0" borderId="27" xfId="0" applyFont="1" applyFill="1" applyBorder="1" applyAlignment="1"/>
    <xf numFmtId="0" fontId="13" fillId="0" borderId="27" xfId="0" applyFont="1" applyFill="1" applyBorder="1"/>
    <xf numFmtId="0" fontId="13" fillId="0" borderId="27" xfId="0" applyFont="1" applyFill="1" applyBorder="1" applyAlignment="1">
      <alignment vertical="top" wrapText="1"/>
    </xf>
    <xf numFmtId="0" fontId="13" fillId="0" borderId="20" xfId="0" applyFont="1" applyFill="1" applyBorder="1"/>
    <xf numFmtId="0" fontId="12" fillId="6" borderId="28" xfId="0" applyFont="1" applyFill="1" applyBorder="1"/>
    <xf numFmtId="2" fontId="10" fillId="0" borderId="25" xfId="0" applyNumberFormat="1" applyFont="1" applyFill="1" applyBorder="1" applyAlignment="1">
      <alignment horizontal="center" vertical="center" wrapText="1"/>
    </xf>
    <xf numFmtId="2" fontId="10" fillId="0" borderId="26" xfId="0" applyNumberFormat="1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/>
    </xf>
    <xf numFmtId="0" fontId="13" fillId="0" borderId="0" xfId="0" applyFont="1"/>
    <xf numFmtId="0" fontId="12" fillId="9" borderId="20" xfId="0" applyFont="1" applyFill="1" applyBorder="1" applyAlignment="1">
      <alignment horizontal="center" vertical="center"/>
    </xf>
    <xf numFmtId="2" fontId="10" fillId="9" borderId="20" xfId="0" applyNumberFormat="1" applyFont="1" applyFill="1" applyBorder="1" applyAlignment="1">
      <alignment horizontal="center" vertical="center" wrapText="1"/>
    </xf>
    <xf numFmtId="3" fontId="10" fillId="9" borderId="20" xfId="0" applyNumberFormat="1" applyFont="1" applyFill="1" applyBorder="1" applyAlignment="1">
      <alignment horizontal="center" vertical="center" wrapText="1"/>
    </xf>
    <xf numFmtId="0" fontId="10" fillId="5" borderId="20" xfId="0" applyFont="1" applyFill="1" applyBorder="1" applyAlignment="1">
      <alignment horizontal="left" vertical="center"/>
    </xf>
    <xf numFmtId="164" fontId="12" fillId="6" borderId="20" xfId="5" applyFont="1" applyFill="1" applyBorder="1" applyAlignment="1">
      <alignment horizontal="left" vertical="center"/>
    </xf>
    <xf numFmtId="164" fontId="12" fillId="6" borderId="20" xfId="5" applyFont="1" applyFill="1" applyBorder="1" applyAlignment="1">
      <alignment horizontal="left" vertical="center" wrapText="1"/>
    </xf>
    <xf numFmtId="164" fontId="13" fillId="0" borderId="20" xfId="5" applyFont="1" applyFill="1" applyBorder="1" applyAlignment="1">
      <alignment horizontal="left" vertical="center" wrapText="1"/>
    </xf>
    <xf numFmtId="164" fontId="12" fillId="6" borderId="20" xfId="5" applyFont="1" applyFill="1" applyBorder="1" applyAlignment="1">
      <alignment horizontal="center" vertical="center" wrapText="1"/>
    </xf>
    <xf numFmtId="164" fontId="12" fillId="0" borderId="20" xfId="5" applyFont="1" applyFill="1" applyBorder="1" applyAlignment="1">
      <alignment horizontal="left" vertical="center" wrapText="1"/>
    </xf>
    <xf numFmtId="164" fontId="12" fillId="0" borderId="20" xfId="5" applyFont="1" applyFill="1" applyBorder="1" applyAlignment="1">
      <alignment horizontal="left" vertical="center"/>
    </xf>
    <xf numFmtId="164" fontId="13" fillId="0" borderId="29" xfId="5" applyFont="1" applyFill="1" applyBorder="1" applyAlignment="1">
      <alignment horizontal="left" vertical="center" wrapText="1"/>
    </xf>
    <xf numFmtId="164" fontId="12" fillId="0" borderId="20" xfId="5" applyFont="1" applyFill="1" applyBorder="1" applyAlignment="1">
      <alignment horizontal="center" vertical="top"/>
    </xf>
    <xf numFmtId="164" fontId="10" fillId="6" borderId="20" xfId="5" applyFont="1" applyFill="1" applyBorder="1" applyAlignment="1">
      <alignment vertical="top"/>
    </xf>
    <xf numFmtId="164" fontId="13" fillId="0" borderId="20" xfId="5" applyFont="1" applyFill="1" applyBorder="1" applyAlignment="1">
      <alignment horizontal="center" vertical="center"/>
    </xf>
    <xf numFmtId="0" fontId="13" fillId="0" borderId="20" xfId="0" applyFont="1" applyBorder="1" applyAlignment="1">
      <alignment horizontal="center" vertical="center"/>
    </xf>
    <xf numFmtId="0" fontId="8" fillId="0" borderId="29" xfId="0" applyFont="1" applyBorder="1" applyAlignment="1">
      <alignment horizontal="left"/>
    </xf>
    <xf numFmtId="164" fontId="8" fillId="0" borderId="20" xfId="5" applyFont="1" applyFill="1" applyBorder="1" applyAlignment="1">
      <alignment vertical="top"/>
    </xf>
    <xf numFmtId="164" fontId="12" fillId="6" borderId="20" xfId="5" applyFont="1" applyFill="1" applyBorder="1" applyAlignment="1">
      <alignment vertical="top"/>
    </xf>
    <xf numFmtId="164" fontId="12" fillId="7" borderId="20" xfId="5" applyFont="1" applyFill="1" applyBorder="1" applyAlignment="1">
      <alignment horizontal="center" vertical="center"/>
    </xf>
    <xf numFmtId="164" fontId="14" fillId="6" borderId="20" xfId="5" applyFont="1" applyFill="1" applyBorder="1" applyAlignment="1">
      <alignment horizontal="center" vertical="center" wrapText="1"/>
    </xf>
    <xf numFmtId="0" fontId="17" fillId="0" borderId="0" xfId="0" applyFont="1"/>
    <xf numFmtId="164" fontId="12" fillId="10" borderId="6" xfId="1" applyFont="1" applyFill="1" applyBorder="1" applyAlignment="1">
      <alignment horizontal="left" vertical="center" wrapText="1"/>
    </xf>
    <xf numFmtId="164" fontId="12" fillId="10" borderId="6" xfId="1" applyFont="1" applyFill="1" applyBorder="1" applyAlignment="1">
      <alignment horizontal="left" vertical="center"/>
    </xf>
    <xf numFmtId="0" fontId="12" fillId="10" borderId="33" xfId="0" applyFont="1" applyFill="1" applyBorder="1" applyAlignment="1">
      <alignment horizontal="center" vertical="top"/>
    </xf>
    <xf numFmtId="0" fontId="14" fillId="10" borderId="34" xfId="0" applyFont="1" applyFill="1" applyBorder="1" applyAlignment="1">
      <alignment vertical="top"/>
    </xf>
    <xf numFmtId="0" fontId="12" fillId="10" borderId="34" xfId="0" applyFont="1" applyFill="1" applyBorder="1" applyAlignment="1">
      <alignment vertical="top"/>
    </xf>
    <xf numFmtId="0" fontId="4" fillId="11" borderId="22" xfId="0" applyFont="1" applyFill="1" applyBorder="1" applyAlignment="1">
      <alignment horizontal="left" vertical="center" wrapText="1"/>
    </xf>
    <xf numFmtId="171" fontId="3" fillId="11" borderId="22" xfId="0" applyNumberFormat="1" applyFont="1" applyFill="1" applyBorder="1" applyAlignment="1">
      <alignment horizontal="center" vertical="center" wrapText="1"/>
    </xf>
    <xf numFmtId="169" fontId="6" fillId="11" borderId="22" xfId="4" applyNumberFormat="1" applyFont="1" applyFill="1" applyBorder="1" applyAlignment="1">
      <alignment vertical="center"/>
    </xf>
    <xf numFmtId="0" fontId="4" fillId="12" borderId="23" xfId="0" applyFont="1" applyFill="1" applyBorder="1" applyAlignment="1">
      <alignment horizontal="left" vertical="center"/>
    </xf>
    <xf numFmtId="170" fontId="4" fillId="12" borderId="23" xfId="0" applyNumberFormat="1" applyFont="1" applyFill="1" applyBorder="1" applyAlignment="1">
      <alignment horizontal="center" vertical="center"/>
    </xf>
    <xf numFmtId="169" fontId="6" fillId="12" borderId="23" xfId="4" applyNumberFormat="1" applyFont="1" applyFill="1" applyBorder="1" applyAlignment="1">
      <alignment vertical="center"/>
    </xf>
    <xf numFmtId="0" fontId="3" fillId="0" borderId="6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vertical="center"/>
    </xf>
    <xf numFmtId="168" fontId="3" fillId="0" borderId="7" xfId="0" applyNumberFormat="1" applyFont="1" applyFill="1" applyBorder="1" applyAlignment="1">
      <alignment horizontal="center" vertical="center"/>
    </xf>
    <xf numFmtId="168" fontId="2" fillId="0" borderId="7" xfId="1" applyNumberFormat="1" applyFont="1" applyFill="1" applyBorder="1" applyAlignment="1">
      <alignment horizontal="center" vertical="center"/>
    </xf>
    <xf numFmtId="165" fontId="2" fillId="0" borderId="0" xfId="0" applyNumberFormat="1" applyFont="1" applyFill="1" applyAlignment="1">
      <alignment vertical="center"/>
    </xf>
    <xf numFmtId="165" fontId="3" fillId="0" borderId="35" xfId="0" applyNumberFormat="1" applyFont="1" applyFill="1" applyBorder="1" applyAlignment="1">
      <alignment horizontal="center" vertical="center"/>
    </xf>
    <xf numFmtId="165" fontId="3" fillId="11" borderId="35" xfId="0" applyNumberFormat="1" applyFont="1" applyFill="1" applyBorder="1" applyAlignment="1">
      <alignment horizontal="center" vertical="center"/>
    </xf>
    <xf numFmtId="165" fontId="3" fillId="12" borderId="24" xfId="0" applyNumberFormat="1" applyFont="1" applyFill="1" applyBorder="1" applyAlignment="1">
      <alignment horizontal="center" vertical="center"/>
    </xf>
    <xf numFmtId="0" fontId="2" fillId="0" borderId="36" xfId="0" applyFont="1" applyFill="1" applyBorder="1"/>
    <xf numFmtId="0" fontId="2" fillId="0" borderId="37" xfId="0" applyFont="1" applyFill="1" applyBorder="1"/>
    <xf numFmtId="166" fontId="2" fillId="0" borderId="8" xfId="0" applyNumberFormat="1" applyFont="1" applyFill="1" applyBorder="1" applyAlignment="1">
      <alignment horizontal="left" vertical="top"/>
    </xf>
    <xf numFmtId="0" fontId="4" fillId="0" borderId="9" xfId="0" applyFont="1" applyFill="1" applyBorder="1" applyAlignment="1">
      <alignment horizontal="right"/>
    </xf>
    <xf numFmtId="166" fontId="6" fillId="0" borderId="38" xfId="0" applyNumberFormat="1" applyFont="1" applyFill="1" applyBorder="1" applyAlignment="1">
      <alignment horizontal="left" vertical="center"/>
    </xf>
    <xf numFmtId="0" fontId="4" fillId="0" borderId="39" xfId="0" applyFont="1" applyFill="1" applyBorder="1" applyAlignment="1">
      <alignment vertical="center" wrapText="1"/>
    </xf>
    <xf numFmtId="165" fontId="3" fillId="0" borderId="3" xfId="0" applyNumberFormat="1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left" vertical="center" wrapText="1"/>
    </xf>
  </cellXfs>
  <cellStyles count="6">
    <cellStyle name="20 % - Accent1 2 2" xfId="3" xr:uid="{00000000-0005-0000-0000-000000000000}"/>
    <cellStyle name="Milliers" xfId="1" builtinId="3"/>
    <cellStyle name="Milliers 10" xfId="4" xr:uid="{00000000-0005-0000-0000-000002000000}"/>
    <cellStyle name="Milliers 132" xfId="5" xr:uid="{00000000-0005-0000-0000-000003000000}"/>
    <cellStyle name="Normal" xfId="0" builtinId="0"/>
    <cellStyle name="Normal 2" xfId="2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SSIER%20UNICEF\clement%20grabave%20Lyc&#233;e%20Mun.KIBENGA%20_DAO%20Relanc&#233;%20analyse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HP\Desktop\CALCUL%20DES%20PU\220316_%20Calcul%20PU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DS KAGOZI (2)"/>
      <sheetName val="CDS RUSIMBUKO (2)"/>
      <sheetName val="CDS GARUNGURWE"/>
      <sheetName val="CDS RUSIMBUKO"/>
      <sheetName val="CDS KAGOZI"/>
      <sheetName val="CDS GITWA"/>
      <sheetName val="CDS CAMP MUSASA"/>
      <sheetName val="Bordereau des prix unitaires"/>
      <sheetName val="DEVIS QUANTITATIF ESTIMATIF"/>
      <sheetName val="macro"/>
    </sheetNames>
    <sheetDataSet>
      <sheetData sheetId="0">
        <row r="2">
          <cell r="B2" t="str">
            <v>1.1 Equipements et mobiliers médicaux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1">
          <cell r="B1">
            <v>0</v>
          </cell>
        </row>
        <row r="2">
          <cell r="B2">
            <v>1</v>
          </cell>
          <cell r="C2" t="str">
            <v xml:space="preserve">un </v>
          </cell>
        </row>
        <row r="3">
          <cell r="B3">
            <v>2</v>
          </cell>
          <cell r="C3" t="str">
            <v xml:space="preserve">deux </v>
          </cell>
        </row>
        <row r="4">
          <cell r="B4">
            <v>3</v>
          </cell>
          <cell r="C4" t="str">
            <v xml:space="preserve">trois </v>
          </cell>
        </row>
        <row r="5">
          <cell r="B5">
            <v>4</v>
          </cell>
          <cell r="C5" t="str">
            <v xml:space="preserve">quatre </v>
          </cell>
        </row>
        <row r="6">
          <cell r="B6">
            <v>5</v>
          </cell>
          <cell r="C6" t="str">
            <v xml:space="preserve">cinq </v>
          </cell>
        </row>
        <row r="7">
          <cell r="B7">
            <v>6</v>
          </cell>
          <cell r="C7" t="str">
            <v xml:space="preserve">six </v>
          </cell>
        </row>
        <row r="8">
          <cell r="B8">
            <v>7</v>
          </cell>
          <cell r="C8" t="str">
            <v xml:space="preserve">sept </v>
          </cell>
        </row>
        <row r="9">
          <cell r="B9">
            <v>8</v>
          </cell>
          <cell r="C9" t="str">
            <v xml:space="preserve">huit </v>
          </cell>
        </row>
        <row r="10">
          <cell r="B10">
            <v>9</v>
          </cell>
          <cell r="C10" t="str">
            <v xml:space="preserve">neuf </v>
          </cell>
        </row>
        <row r="11">
          <cell r="B11">
            <v>10</v>
          </cell>
          <cell r="C11" t="str">
            <v xml:space="preserve">dix </v>
          </cell>
        </row>
        <row r="12">
          <cell r="B12">
            <v>11</v>
          </cell>
          <cell r="C12" t="str">
            <v xml:space="preserve">onze </v>
          </cell>
        </row>
        <row r="13">
          <cell r="B13">
            <v>12</v>
          </cell>
          <cell r="C13" t="str">
            <v xml:space="preserve">douze </v>
          </cell>
        </row>
        <row r="14">
          <cell r="B14">
            <v>13</v>
          </cell>
          <cell r="C14" t="str">
            <v xml:space="preserve">treize </v>
          </cell>
        </row>
        <row r="15">
          <cell r="B15">
            <v>14</v>
          </cell>
          <cell r="C15" t="str">
            <v xml:space="preserve">quatorze </v>
          </cell>
        </row>
        <row r="16">
          <cell r="B16">
            <v>15</v>
          </cell>
          <cell r="C16" t="str">
            <v xml:space="preserve">quinze </v>
          </cell>
        </row>
        <row r="17">
          <cell r="B17">
            <v>16</v>
          </cell>
          <cell r="C17" t="str">
            <v xml:space="preserve">seize </v>
          </cell>
        </row>
        <row r="18">
          <cell r="B18">
            <v>17</v>
          </cell>
          <cell r="C18" t="str">
            <v xml:space="preserve">dix-sept </v>
          </cell>
        </row>
        <row r="19">
          <cell r="B19">
            <v>18</v>
          </cell>
          <cell r="C19" t="str">
            <v xml:space="preserve">dix-huit </v>
          </cell>
        </row>
        <row r="20">
          <cell r="B20">
            <v>19</v>
          </cell>
          <cell r="C20" t="str">
            <v xml:space="preserve">dix-neuf </v>
          </cell>
        </row>
        <row r="21">
          <cell r="B21">
            <v>20</v>
          </cell>
          <cell r="C21" t="str">
            <v xml:space="preserve">vingt </v>
          </cell>
        </row>
        <row r="22">
          <cell r="B22">
            <v>21</v>
          </cell>
          <cell r="C22" t="str">
            <v xml:space="preserve">vingt et un </v>
          </cell>
        </row>
        <row r="23">
          <cell r="B23">
            <v>22</v>
          </cell>
          <cell r="C23" t="str">
            <v xml:space="preserve">vingt-deux </v>
          </cell>
        </row>
        <row r="24">
          <cell r="B24">
            <v>23</v>
          </cell>
          <cell r="C24" t="str">
            <v xml:space="preserve">vingt-trois </v>
          </cell>
        </row>
        <row r="25">
          <cell r="B25">
            <v>24</v>
          </cell>
          <cell r="C25" t="str">
            <v xml:space="preserve">vingt-quatre </v>
          </cell>
        </row>
        <row r="26">
          <cell r="B26">
            <v>25</v>
          </cell>
          <cell r="C26" t="str">
            <v xml:space="preserve">vingt-cinq </v>
          </cell>
        </row>
        <row r="27">
          <cell r="B27">
            <v>26</v>
          </cell>
          <cell r="C27" t="str">
            <v xml:space="preserve">vingt-six </v>
          </cell>
        </row>
        <row r="28">
          <cell r="B28">
            <v>27</v>
          </cell>
          <cell r="C28" t="str">
            <v xml:space="preserve">vingt-sept </v>
          </cell>
        </row>
        <row r="29">
          <cell r="B29">
            <v>28</v>
          </cell>
          <cell r="C29" t="str">
            <v xml:space="preserve">vingt-huit </v>
          </cell>
        </row>
        <row r="30">
          <cell r="B30">
            <v>29</v>
          </cell>
          <cell r="C30" t="str">
            <v xml:space="preserve">vingt-neuf </v>
          </cell>
        </row>
        <row r="31">
          <cell r="B31">
            <v>30</v>
          </cell>
          <cell r="C31" t="str">
            <v xml:space="preserve">trente </v>
          </cell>
        </row>
        <row r="32">
          <cell r="B32">
            <v>31</v>
          </cell>
          <cell r="C32" t="str">
            <v xml:space="preserve">trente et un </v>
          </cell>
        </row>
        <row r="33">
          <cell r="B33">
            <v>32</v>
          </cell>
          <cell r="C33" t="str">
            <v xml:space="preserve">trente-deux </v>
          </cell>
        </row>
        <row r="34">
          <cell r="B34">
            <v>33</v>
          </cell>
          <cell r="C34" t="str">
            <v xml:space="preserve">trente-trois </v>
          </cell>
        </row>
        <row r="35">
          <cell r="B35">
            <v>34</v>
          </cell>
          <cell r="C35" t="str">
            <v xml:space="preserve">trente-quatre </v>
          </cell>
        </row>
        <row r="36">
          <cell r="B36">
            <v>35</v>
          </cell>
          <cell r="C36" t="str">
            <v xml:space="preserve">trente-cinq </v>
          </cell>
        </row>
        <row r="37">
          <cell r="B37">
            <v>36</v>
          </cell>
          <cell r="C37" t="str">
            <v xml:space="preserve">trente-six </v>
          </cell>
        </row>
        <row r="38">
          <cell r="B38">
            <v>37</v>
          </cell>
          <cell r="C38" t="str">
            <v xml:space="preserve">trente-sept </v>
          </cell>
        </row>
        <row r="39">
          <cell r="B39">
            <v>38</v>
          </cell>
          <cell r="C39" t="str">
            <v xml:space="preserve">trente-huit </v>
          </cell>
        </row>
        <row r="40">
          <cell r="B40">
            <v>39</v>
          </cell>
          <cell r="C40" t="str">
            <v xml:space="preserve">trente-neuf </v>
          </cell>
        </row>
        <row r="41">
          <cell r="B41">
            <v>40</v>
          </cell>
          <cell r="C41" t="str">
            <v xml:space="preserve">quarante </v>
          </cell>
        </row>
        <row r="42">
          <cell r="B42">
            <v>41</v>
          </cell>
          <cell r="C42" t="str">
            <v xml:space="preserve">quarante et un </v>
          </cell>
        </row>
        <row r="43">
          <cell r="B43">
            <v>42</v>
          </cell>
          <cell r="C43" t="str">
            <v xml:space="preserve">quarante-deux </v>
          </cell>
        </row>
        <row r="44">
          <cell r="B44">
            <v>43</v>
          </cell>
          <cell r="C44" t="str">
            <v xml:space="preserve">quarante-trois </v>
          </cell>
        </row>
        <row r="45">
          <cell r="B45">
            <v>44</v>
          </cell>
          <cell r="C45" t="str">
            <v xml:space="preserve">quarante-quatre </v>
          </cell>
        </row>
        <row r="46">
          <cell r="B46">
            <v>45</v>
          </cell>
          <cell r="C46" t="str">
            <v xml:space="preserve">quarante-cinq </v>
          </cell>
        </row>
        <row r="47">
          <cell r="B47">
            <v>46</v>
          </cell>
          <cell r="C47" t="str">
            <v xml:space="preserve">quarante-six </v>
          </cell>
        </row>
        <row r="48">
          <cell r="B48">
            <v>47</v>
          </cell>
          <cell r="C48" t="str">
            <v xml:space="preserve">quarante-sept </v>
          </cell>
        </row>
        <row r="49">
          <cell r="B49">
            <v>48</v>
          </cell>
          <cell r="C49" t="str">
            <v xml:space="preserve">quarante-huit </v>
          </cell>
        </row>
        <row r="50">
          <cell r="B50">
            <v>49</v>
          </cell>
          <cell r="C50" t="str">
            <v xml:space="preserve">quarante-neuf </v>
          </cell>
        </row>
        <row r="51">
          <cell r="B51">
            <v>50</v>
          </cell>
          <cell r="C51" t="str">
            <v xml:space="preserve">cinquante </v>
          </cell>
        </row>
        <row r="52">
          <cell r="B52">
            <v>51</v>
          </cell>
          <cell r="C52" t="str">
            <v xml:space="preserve">cinquante et un </v>
          </cell>
        </row>
        <row r="53">
          <cell r="B53">
            <v>52</v>
          </cell>
          <cell r="C53" t="str">
            <v xml:space="preserve">cinquante-deux </v>
          </cell>
        </row>
        <row r="54">
          <cell r="B54">
            <v>53</v>
          </cell>
          <cell r="C54" t="str">
            <v xml:space="preserve">cinquante-trois </v>
          </cell>
        </row>
        <row r="55">
          <cell r="B55">
            <v>54</v>
          </cell>
          <cell r="C55" t="str">
            <v xml:space="preserve">cinquante-quatre </v>
          </cell>
        </row>
        <row r="56">
          <cell r="B56">
            <v>55</v>
          </cell>
          <cell r="C56" t="str">
            <v xml:space="preserve">cinquante-cinq </v>
          </cell>
        </row>
        <row r="57">
          <cell r="B57">
            <v>56</v>
          </cell>
          <cell r="C57" t="str">
            <v xml:space="preserve">cinquante-six </v>
          </cell>
        </row>
        <row r="58">
          <cell r="B58">
            <v>57</v>
          </cell>
          <cell r="C58" t="str">
            <v xml:space="preserve">cinquante-sept </v>
          </cell>
        </row>
        <row r="59">
          <cell r="B59">
            <v>58</v>
          </cell>
          <cell r="C59" t="str">
            <v xml:space="preserve">cinquante-huit </v>
          </cell>
        </row>
        <row r="60">
          <cell r="B60">
            <v>59</v>
          </cell>
          <cell r="C60" t="str">
            <v xml:space="preserve">cinquante-neuf </v>
          </cell>
        </row>
        <row r="61">
          <cell r="B61">
            <v>60</v>
          </cell>
          <cell r="C61" t="str">
            <v xml:space="preserve">soixante </v>
          </cell>
        </row>
        <row r="62">
          <cell r="B62">
            <v>61</v>
          </cell>
          <cell r="C62" t="str">
            <v xml:space="preserve">soixante et un </v>
          </cell>
        </row>
        <row r="63">
          <cell r="B63">
            <v>62</v>
          </cell>
          <cell r="C63" t="str">
            <v xml:space="preserve">soixante-deux </v>
          </cell>
        </row>
        <row r="64">
          <cell r="B64">
            <v>63</v>
          </cell>
          <cell r="C64" t="str">
            <v xml:space="preserve">soixante-trois </v>
          </cell>
        </row>
        <row r="65">
          <cell r="B65">
            <v>64</v>
          </cell>
          <cell r="C65" t="str">
            <v xml:space="preserve">soixante-quatre </v>
          </cell>
        </row>
        <row r="66">
          <cell r="B66">
            <v>65</v>
          </cell>
          <cell r="C66" t="str">
            <v xml:space="preserve">soixante-cinq </v>
          </cell>
        </row>
        <row r="67">
          <cell r="B67">
            <v>66</v>
          </cell>
          <cell r="C67" t="str">
            <v xml:space="preserve">soixante-six </v>
          </cell>
        </row>
        <row r="68">
          <cell r="B68">
            <v>67</v>
          </cell>
          <cell r="C68" t="str">
            <v xml:space="preserve">soixante-sept </v>
          </cell>
        </row>
        <row r="69">
          <cell r="B69">
            <v>68</v>
          </cell>
          <cell r="C69" t="str">
            <v xml:space="preserve">soixante-huit </v>
          </cell>
        </row>
        <row r="70">
          <cell r="B70">
            <v>69</v>
          </cell>
          <cell r="C70" t="str">
            <v xml:space="preserve">soixante-neuf </v>
          </cell>
        </row>
        <row r="71">
          <cell r="B71">
            <v>70</v>
          </cell>
          <cell r="C71" t="str">
            <v xml:space="preserve">soixante-dix </v>
          </cell>
        </row>
        <row r="72">
          <cell r="B72">
            <v>71</v>
          </cell>
          <cell r="C72" t="str">
            <v xml:space="preserve">soixante et onze </v>
          </cell>
        </row>
        <row r="73">
          <cell r="B73">
            <v>72</v>
          </cell>
          <cell r="C73" t="str">
            <v xml:space="preserve">soixante-douze </v>
          </cell>
        </row>
        <row r="74">
          <cell r="B74">
            <v>73</v>
          </cell>
          <cell r="C74" t="str">
            <v xml:space="preserve">soixante-treize </v>
          </cell>
        </row>
        <row r="75">
          <cell r="B75">
            <v>74</v>
          </cell>
          <cell r="C75" t="str">
            <v xml:space="preserve">soixante-quatorze </v>
          </cell>
        </row>
        <row r="76">
          <cell r="B76">
            <v>75</v>
          </cell>
          <cell r="C76" t="str">
            <v xml:space="preserve">soixante-quinze </v>
          </cell>
        </row>
        <row r="77">
          <cell r="B77">
            <v>76</v>
          </cell>
          <cell r="C77" t="str">
            <v xml:space="preserve">soixante-seize </v>
          </cell>
        </row>
        <row r="78">
          <cell r="B78">
            <v>77</v>
          </cell>
          <cell r="C78" t="str">
            <v xml:space="preserve">soixante-dix-sept </v>
          </cell>
        </row>
        <row r="79">
          <cell r="B79">
            <v>78</v>
          </cell>
          <cell r="C79" t="str">
            <v xml:space="preserve">soixante-dix-huit </v>
          </cell>
        </row>
        <row r="80">
          <cell r="B80">
            <v>79</v>
          </cell>
          <cell r="C80" t="str">
            <v xml:space="preserve">soixante-dix-neuf </v>
          </cell>
        </row>
        <row r="81">
          <cell r="B81">
            <v>80</v>
          </cell>
          <cell r="C81" t="str">
            <v xml:space="preserve">quatre-vingts </v>
          </cell>
        </row>
        <row r="82">
          <cell r="B82">
            <v>81</v>
          </cell>
          <cell r="C82" t="str">
            <v xml:space="preserve">quatre-vingt-un </v>
          </cell>
        </row>
        <row r="83">
          <cell r="B83">
            <v>82</v>
          </cell>
          <cell r="C83" t="str">
            <v xml:space="preserve">quatre-vingt-deux </v>
          </cell>
        </row>
        <row r="84">
          <cell r="B84">
            <v>83</v>
          </cell>
          <cell r="C84" t="str">
            <v xml:space="preserve">quatre-vingt-trois </v>
          </cell>
        </row>
        <row r="85">
          <cell r="B85">
            <v>84</v>
          </cell>
          <cell r="C85" t="str">
            <v xml:space="preserve">quatre-vingt-quatre </v>
          </cell>
        </row>
        <row r="86">
          <cell r="B86">
            <v>85</v>
          </cell>
          <cell r="C86" t="str">
            <v xml:space="preserve">quatre-vingt-cinq </v>
          </cell>
        </row>
        <row r="87">
          <cell r="B87">
            <v>86</v>
          </cell>
          <cell r="C87" t="str">
            <v xml:space="preserve">quatre-vingt-six </v>
          </cell>
        </row>
        <row r="88">
          <cell r="B88">
            <v>87</v>
          </cell>
          <cell r="C88" t="str">
            <v xml:space="preserve">quatre-vingt-sept </v>
          </cell>
        </row>
        <row r="89">
          <cell r="B89">
            <v>88</v>
          </cell>
          <cell r="C89" t="str">
            <v xml:space="preserve">quatre-vingt-huit </v>
          </cell>
        </row>
        <row r="90">
          <cell r="B90">
            <v>89</v>
          </cell>
          <cell r="C90" t="str">
            <v xml:space="preserve">quatre-vingt-neuf </v>
          </cell>
        </row>
        <row r="91">
          <cell r="B91">
            <v>90</v>
          </cell>
          <cell r="C91" t="str">
            <v xml:space="preserve">quatre-vingt-dix </v>
          </cell>
        </row>
        <row r="92">
          <cell r="B92">
            <v>91</v>
          </cell>
          <cell r="C92" t="str">
            <v xml:space="preserve">quatre-vingt-onze </v>
          </cell>
        </row>
        <row r="93">
          <cell r="B93">
            <v>92</v>
          </cell>
          <cell r="C93" t="str">
            <v xml:space="preserve">quatre-vingt-douze </v>
          </cell>
        </row>
        <row r="94">
          <cell r="B94">
            <v>93</v>
          </cell>
          <cell r="C94" t="str">
            <v xml:space="preserve">quatre-vingt-treize </v>
          </cell>
        </row>
        <row r="95">
          <cell r="B95">
            <v>94</v>
          </cell>
          <cell r="C95" t="str">
            <v xml:space="preserve">quatre-vingt-quatorze </v>
          </cell>
        </row>
        <row r="96">
          <cell r="B96">
            <v>95</v>
          </cell>
          <cell r="C96" t="str">
            <v xml:space="preserve">quatre-vingt-quinze </v>
          </cell>
        </row>
        <row r="97">
          <cell r="B97">
            <v>96</v>
          </cell>
          <cell r="C97" t="str">
            <v xml:space="preserve">quatre-vingt-seize </v>
          </cell>
        </row>
        <row r="98">
          <cell r="B98">
            <v>97</v>
          </cell>
          <cell r="C98" t="str">
            <v xml:space="preserve">quatre-vingt-dix-sept </v>
          </cell>
        </row>
        <row r="99">
          <cell r="B99">
            <v>98</v>
          </cell>
          <cell r="C99" t="str">
            <v xml:space="preserve">quatre-vingt-dix-huit </v>
          </cell>
        </row>
        <row r="100">
          <cell r="B100">
            <v>99</v>
          </cell>
          <cell r="C100" t="str">
            <v xml:space="preserve">quatre-vingt-dix-neuf </v>
          </cell>
        </row>
        <row r="101">
          <cell r="B101">
            <v>100</v>
          </cell>
          <cell r="C101" t="str">
            <v xml:space="preserve">cent </v>
          </cell>
        </row>
        <row r="102">
          <cell r="B102">
            <v>101</v>
          </cell>
          <cell r="C102" t="str">
            <v xml:space="preserve">cent un </v>
          </cell>
        </row>
        <row r="103">
          <cell r="B103">
            <v>102</v>
          </cell>
          <cell r="C103" t="str">
            <v xml:space="preserve">cent deux </v>
          </cell>
        </row>
        <row r="104">
          <cell r="B104">
            <v>103</v>
          </cell>
          <cell r="C104" t="str">
            <v xml:space="preserve">cent trois </v>
          </cell>
        </row>
        <row r="105">
          <cell r="B105">
            <v>104</v>
          </cell>
          <cell r="C105" t="str">
            <v xml:space="preserve">cent quatre </v>
          </cell>
        </row>
        <row r="106">
          <cell r="B106">
            <v>105</v>
          </cell>
          <cell r="C106" t="str">
            <v xml:space="preserve">cent cinq </v>
          </cell>
        </row>
        <row r="107">
          <cell r="B107">
            <v>106</v>
          </cell>
          <cell r="C107" t="str">
            <v xml:space="preserve">cent six </v>
          </cell>
        </row>
        <row r="108">
          <cell r="B108">
            <v>107</v>
          </cell>
          <cell r="C108" t="str">
            <v xml:space="preserve">cent sept </v>
          </cell>
        </row>
        <row r="109">
          <cell r="B109">
            <v>108</v>
          </cell>
          <cell r="C109" t="str">
            <v xml:space="preserve">cent huit </v>
          </cell>
        </row>
        <row r="110">
          <cell r="B110">
            <v>109</v>
          </cell>
          <cell r="C110" t="str">
            <v xml:space="preserve">cent neuf </v>
          </cell>
        </row>
        <row r="111">
          <cell r="B111">
            <v>110</v>
          </cell>
          <cell r="C111" t="str">
            <v xml:space="preserve">cent dix </v>
          </cell>
        </row>
        <row r="112">
          <cell r="B112">
            <v>111</v>
          </cell>
          <cell r="C112" t="str">
            <v xml:space="preserve">cent onze </v>
          </cell>
        </row>
        <row r="113">
          <cell r="B113">
            <v>112</v>
          </cell>
          <cell r="C113" t="str">
            <v xml:space="preserve">cent douze </v>
          </cell>
        </row>
        <row r="114">
          <cell r="B114">
            <v>113</v>
          </cell>
          <cell r="C114" t="str">
            <v xml:space="preserve">cent treize </v>
          </cell>
        </row>
        <row r="115">
          <cell r="B115">
            <v>114</v>
          </cell>
          <cell r="C115" t="str">
            <v xml:space="preserve">cent quatorze </v>
          </cell>
        </row>
        <row r="116">
          <cell r="B116">
            <v>115</v>
          </cell>
          <cell r="C116" t="str">
            <v xml:space="preserve">cent quinze </v>
          </cell>
        </row>
        <row r="117">
          <cell r="B117">
            <v>116</v>
          </cell>
          <cell r="C117" t="str">
            <v xml:space="preserve">cent seize </v>
          </cell>
        </row>
        <row r="118">
          <cell r="B118">
            <v>117</v>
          </cell>
          <cell r="C118" t="str">
            <v xml:space="preserve">cent dix-sept </v>
          </cell>
        </row>
        <row r="119">
          <cell r="B119">
            <v>118</v>
          </cell>
          <cell r="C119" t="str">
            <v xml:space="preserve">cent dix-huit </v>
          </cell>
        </row>
        <row r="120">
          <cell r="B120">
            <v>119</v>
          </cell>
          <cell r="C120" t="str">
            <v xml:space="preserve">cent dix-neuf </v>
          </cell>
        </row>
        <row r="121">
          <cell r="B121">
            <v>120</v>
          </cell>
          <cell r="C121" t="str">
            <v xml:space="preserve">cent vingt </v>
          </cell>
        </row>
        <row r="122">
          <cell r="B122">
            <v>121</v>
          </cell>
          <cell r="C122" t="str">
            <v xml:space="preserve">cent vingt et un </v>
          </cell>
        </row>
        <row r="123">
          <cell r="B123">
            <v>122</v>
          </cell>
          <cell r="C123" t="str">
            <v xml:space="preserve">cent vingt-deux </v>
          </cell>
        </row>
        <row r="124">
          <cell r="B124">
            <v>123</v>
          </cell>
          <cell r="C124" t="str">
            <v xml:space="preserve">cent vingt-trois </v>
          </cell>
        </row>
        <row r="125">
          <cell r="B125">
            <v>124</v>
          </cell>
          <cell r="C125" t="str">
            <v xml:space="preserve">cent vingt-quatre </v>
          </cell>
        </row>
        <row r="126">
          <cell r="B126">
            <v>125</v>
          </cell>
          <cell r="C126" t="str">
            <v xml:space="preserve">cent vingt-cinq </v>
          </cell>
        </row>
        <row r="127">
          <cell r="B127">
            <v>126</v>
          </cell>
          <cell r="C127" t="str">
            <v xml:space="preserve">cent vingt-six </v>
          </cell>
        </row>
        <row r="128">
          <cell r="B128">
            <v>127</v>
          </cell>
          <cell r="C128" t="str">
            <v xml:space="preserve">cent vingt-sept </v>
          </cell>
        </row>
        <row r="129">
          <cell r="B129">
            <v>128</v>
          </cell>
          <cell r="C129" t="str">
            <v xml:space="preserve">cent vingt-huit </v>
          </cell>
        </row>
        <row r="130">
          <cell r="B130">
            <v>129</v>
          </cell>
          <cell r="C130" t="str">
            <v xml:space="preserve">cent vingt-neuf </v>
          </cell>
        </row>
        <row r="131">
          <cell r="B131">
            <v>130</v>
          </cell>
          <cell r="C131" t="str">
            <v xml:space="preserve">cent trente </v>
          </cell>
        </row>
        <row r="132">
          <cell r="B132">
            <v>131</v>
          </cell>
          <cell r="C132" t="str">
            <v xml:space="preserve">cent trente et un </v>
          </cell>
        </row>
        <row r="133">
          <cell r="B133">
            <v>132</v>
          </cell>
          <cell r="C133" t="str">
            <v xml:space="preserve">cent trente-deux </v>
          </cell>
        </row>
        <row r="134">
          <cell r="B134">
            <v>133</v>
          </cell>
          <cell r="C134" t="str">
            <v xml:space="preserve">cent trente-trois </v>
          </cell>
        </row>
        <row r="135">
          <cell r="B135">
            <v>134</v>
          </cell>
          <cell r="C135" t="str">
            <v xml:space="preserve">cent trente-quatre </v>
          </cell>
        </row>
        <row r="136">
          <cell r="B136">
            <v>135</v>
          </cell>
          <cell r="C136" t="str">
            <v xml:space="preserve">cent trente-cinq </v>
          </cell>
        </row>
        <row r="137">
          <cell r="B137">
            <v>136</v>
          </cell>
          <cell r="C137" t="str">
            <v xml:space="preserve">cent trente-six </v>
          </cell>
        </row>
        <row r="138">
          <cell r="B138">
            <v>137</v>
          </cell>
          <cell r="C138" t="str">
            <v xml:space="preserve">cent trente-sept </v>
          </cell>
        </row>
        <row r="139">
          <cell r="B139">
            <v>138</v>
          </cell>
          <cell r="C139" t="str">
            <v xml:space="preserve">cent trente-huit </v>
          </cell>
        </row>
        <row r="140">
          <cell r="B140">
            <v>139</v>
          </cell>
          <cell r="C140" t="str">
            <v xml:space="preserve">cent trente-neuf </v>
          </cell>
        </row>
        <row r="141">
          <cell r="B141">
            <v>140</v>
          </cell>
          <cell r="C141" t="str">
            <v xml:space="preserve">cent quarante </v>
          </cell>
        </row>
        <row r="142">
          <cell r="B142">
            <v>141</v>
          </cell>
          <cell r="C142" t="str">
            <v xml:space="preserve">cent quarante et un </v>
          </cell>
        </row>
        <row r="143">
          <cell r="B143">
            <v>142</v>
          </cell>
          <cell r="C143" t="str">
            <v xml:space="preserve">cent quarante-deux </v>
          </cell>
        </row>
        <row r="144">
          <cell r="B144">
            <v>143</v>
          </cell>
          <cell r="C144" t="str">
            <v xml:space="preserve">cent quarante-trois </v>
          </cell>
        </row>
        <row r="145">
          <cell r="B145">
            <v>144</v>
          </cell>
          <cell r="C145" t="str">
            <v xml:space="preserve">cent quarante-quatre </v>
          </cell>
        </row>
        <row r="146">
          <cell r="B146">
            <v>145</v>
          </cell>
          <cell r="C146" t="str">
            <v xml:space="preserve">cent quarante-cinq </v>
          </cell>
        </row>
        <row r="147">
          <cell r="B147">
            <v>146</v>
          </cell>
          <cell r="C147" t="str">
            <v xml:space="preserve">cent quarante-six </v>
          </cell>
        </row>
        <row r="148">
          <cell r="B148">
            <v>147</v>
          </cell>
          <cell r="C148" t="str">
            <v xml:space="preserve">cent quarante-sept </v>
          </cell>
        </row>
        <row r="149">
          <cell r="B149">
            <v>148</v>
          </cell>
          <cell r="C149" t="str">
            <v xml:space="preserve">cent quarante-huit </v>
          </cell>
        </row>
        <row r="150">
          <cell r="B150">
            <v>149</v>
          </cell>
          <cell r="C150" t="str">
            <v xml:space="preserve">cent quarante-neuf </v>
          </cell>
        </row>
        <row r="151">
          <cell r="B151">
            <v>150</v>
          </cell>
          <cell r="C151" t="str">
            <v xml:space="preserve">cent cinquante </v>
          </cell>
        </row>
        <row r="152">
          <cell r="B152">
            <v>151</v>
          </cell>
          <cell r="C152" t="str">
            <v xml:space="preserve">cent cinquante et un </v>
          </cell>
        </row>
        <row r="153">
          <cell r="B153">
            <v>152</v>
          </cell>
          <cell r="C153" t="str">
            <v xml:space="preserve">cent cinquante-deux </v>
          </cell>
        </row>
        <row r="154">
          <cell r="B154">
            <v>153</v>
          </cell>
          <cell r="C154" t="str">
            <v xml:space="preserve">cent cinquante-trois </v>
          </cell>
        </row>
        <row r="155">
          <cell r="B155">
            <v>154</v>
          </cell>
          <cell r="C155" t="str">
            <v xml:space="preserve">cent cinquante-quatre </v>
          </cell>
        </row>
        <row r="156">
          <cell r="B156">
            <v>155</v>
          </cell>
          <cell r="C156" t="str">
            <v xml:space="preserve">cent cinquante-cinq </v>
          </cell>
        </row>
        <row r="157">
          <cell r="B157">
            <v>156</v>
          </cell>
          <cell r="C157" t="str">
            <v xml:space="preserve">cent cinquante-six </v>
          </cell>
        </row>
        <row r="158">
          <cell r="B158">
            <v>157</v>
          </cell>
          <cell r="C158" t="str">
            <v xml:space="preserve">cent cinquante-sept </v>
          </cell>
        </row>
        <row r="159">
          <cell r="B159">
            <v>158</v>
          </cell>
          <cell r="C159" t="str">
            <v xml:space="preserve">cent cinquante-huit </v>
          </cell>
        </row>
        <row r="160">
          <cell r="B160">
            <v>159</v>
          </cell>
          <cell r="C160" t="str">
            <v xml:space="preserve">cent cinquante-neuf </v>
          </cell>
        </row>
        <row r="161">
          <cell r="B161">
            <v>160</v>
          </cell>
          <cell r="C161" t="str">
            <v xml:space="preserve">cent soixante </v>
          </cell>
        </row>
        <row r="162">
          <cell r="B162">
            <v>161</v>
          </cell>
          <cell r="C162" t="str">
            <v xml:space="preserve">cent soixante et un </v>
          </cell>
        </row>
        <row r="163">
          <cell r="B163">
            <v>162</v>
          </cell>
          <cell r="C163" t="str">
            <v xml:space="preserve">cent soixante-deux </v>
          </cell>
        </row>
        <row r="164">
          <cell r="B164">
            <v>163</v>
          </cell>
          <cell r="C164" t="str">
            <v xml:space="preserve">cent soixante-trois </v>
          </cell>
        </row>
        <row r="165">
          <cell r="B165">
            <v>164</v>
          </cell>
          <cell r="C165" t="str">
            <v xml:space="preserve">cent soixante-quatre </v>
          </cell>
        </row>
        <row r="166">
          <cell r="B166">
            <v>165</v>
          </cell>
          <cell r="C166" t="str">
            <v xml:space="preserve">cent soixante-cinq </v>
          </cell>
        </row>
        <row r="167">
          <cell r="B167">
            <v>166</v>
          </cell>
          <cell r="C167" t="str">
            <v xml:space="preserve">cent soixante-six </v>
          </cell>
        </row>
        <row r="168">
          <cell r="B168">
            <v>167</v>
          </cell>
          <cell r="C168" t="str">
            <v xml:space="preserve">cent soixante-sept </v>
          </cell>
        </row>
        <row r="169">
          <cell r="B169">
            <v>168</v>
          </cell>
          <cell r="C169" t="str">
            <v xml:space="preserve">cent soixante-huit </v>
          </cell>
        </row>
        <row r="170">
          <cell r="B170">
            <v>169</v>
          </cell>
          <cell r="C170" t="str">
            <v xml:space="preserve">cent soixante-neuf </v>
          </cell>
        </row>
        <row r="171">
          <cell r="B171">
            <v>170</v>
          </cell>
          <cell r="C171" t="str">
            <v xml:space="preserve">cent soixante-dix </v>
          </cell>
        </row>
        <row r="172">
          <cell r="B172">
            <v>171</v>
          </cell>
          <cell r="C172" t="str">
            <v xml:space="preserve">cent soixante et onze </v>
          </cell>
        </row>
        <row r="173">
          <cell r="B173">
            <v>172</v>
          </cell>
          <cell r="C173" t="str">
            <v xml:space="preserve">cent soixante-douze </v>
          </cell>
        </row>
        <row r="174">
          <cell r="B174">
            <v>173</v>
          </cell>
          <cell r="C174" t="str">
            <v xml:space="preserve">cent soixante-treize </v>
          </cell>
        </row>
        <row r="175">
          <cell r="B175">
            <v>174</v>
          </cell>
          <cell r="C175" t="str">
            <v xml:space="preserve">cent soixante-quatorze </v>
          </cell>
        </row>
        <row r="176">
          <cell r="B176">
            <v>175</v>
          </cell>
          <cell r="C176" t="str">
            <v xml:space="preserve">cent soixante-quinze </v>
          </cell>
        </row>
        <row r="177">
          <cell r="B177">
            <v>176</v>
          </cell>
          <cell r="C177" t="str">
            <v xml:space="preserve">cent soixante-seize </v>
          </cell>
        </row>
        <row r="178">
          <cell r="B178">
            <v>177</v>
          </cell>
          <cell r="C178" t="str">
            <v xml:space="preserve">cent soixante-dix-sept </v>
          </cell>
        </row>
        <row r="179">
          <cell r="B179">
            <v>178</v>
          </cell>
          <cell r="C179" t="str">
            <v xml:space="preserve">cent soixante-dix-huit </v>
          </cell>
        </row>
        <row r="180">
          <cell r="B180">
            <v>179</v>
          </cell>
          <cell r="C180" t="str">
            <v xml:space="preserve">cent soixante-dix-neuf </v>
          </cell>
        </row>
        <row r="181">
          <cell r="B181">
            <v>180</v>
          </cell>
          <cell r="C181" t="str">
            <v xml:space="preserve">cent quatre-vingts </v>
          </cell>
        </row>
        <row r="182">
          <cell r="B182">
            <v>181</v>
          </cell>
          <cell r="C182" t="str">
            <v xml:space="preserve">cent quatre-vingt-un </v>
          </cell>
        </row>
        <row r="183">
          <cell r="B183">
            <v>182</v>
          </cell>
          <cell r="C183" t="str">
            <v xml:space="preserve">cent quatre-vingt-deux </v>
          </cell>
        </row>
        <row r="184">
          <cell r="B184">
            <v>183</v>
          </cell>
          <cell r="C184" t="str">
            <v xml:space="preserve">cent quatre-vingt-trois </v>
          </cell>
        </row>
        <row r="185">
          <cell r="B185">
            <v>184</v>
          </cell>
          <cell r="C185" t="str">
            <v xml:space="preserve">cent quatre-vingt-quatre </v>
          </cell>
        </row>
        <row r="186">
          <cell r="B186">
            <v>185</v>
          </cell>
          <cell r="C186" t="str">
            <v xml:space="preserve">cent quatre-vingt-cinq </v>
          </cell>
        </row>
        <row r="187">
          <cell r="B187">
            <v>186</v>
          </cell>
          <cell r="C187" t="str">
            <v xml:space="preserve">cent quatre-vingt-six </v>
          </cell>
        </row>
        <row r="188">
          <cell r="B188">
            <v>187</v>
          </cell>
          <cell r="C188" t="str">
            <v xml:space="preserve">cent quatre-vingt-sept </v>
          </cell>
        </row>
        <row r="189">
          <cell r="B189">
            <v>188</v>
          </cell>
          <cell r="C189" t="str">
            <v xml:space="preserve">cent quatre-vingt-huit </v>
          </cell>
        </row>
        <row r="190">
          <cell r="B190">
            <v>189</v>
          </cell>
          <cell r="C190" t="str">
            <v xml:space="preserve">cent quatre-vingt-neuf </v>
          </cell>
        </row>
        <row r="191">
          <cell r="B191">
            <v>190</v>
          </cell>
          <cell r="C191" t="str">
            <v xml:space="preserve">cent quatre-vingt-dix </v>
          </cell>
        </row>
        <row r="192">
          <cell r="B192">
            <v>191</v>
          </cell>
          <cell r="C192" t="str">
            <v xml:space="preserve">cent quatre-vingt-onze </v>
          </cell>
        </row>
        <row r="193">
          <cell r="B193">
            <v>192</v>
          </cell>
          <cell r="C193" t="str">
            <v xml:space="preserve">cent quatre-vingt-douze </v>
          </cell>
        </row>
        <row r="194">
          <cell r="B194">
            <v>193</v>
          </cell>
          <cell r="C194" t="str">
            <v xml:space="preserve">cent quatre-vingt-treize </v>
          </cell>
        </row>
        <row r="195">
          <cell r="B195">
            <v>194</v>
          </cell>
          <cell r="C195" t="str">
            <v xml:space="preserve">cent quatre-vingt-quatorze </v>
          </cell>
        </row>
        <row r="196">
          <cell r="B196">
            <v>195</v>
          </cell>
          <cell r="C196" t="str">
            <v xml:space="preserve">cent quatre-vingt-quinze </v>
          </cell>
        </row>
        <row r="197">
          <cell r="B197">
            <v>196</v>
          </cell>
          <cell r="C197" t="str">
            <v xml:space="preserve">cent quatre-vingt-seize </v>
          </cell>
        </row>
        <row r="198">
          <cell r="B198">
            <v>197</v>
          </cell>
          <cell r="C198" t="str">
            <v xml:space="preserve">cent quatre-vingt-dix-sept </v>
          </cell>
        </row>
        <row r="199">
          <cell r="B199">
            <v>198</v>
          </cell>
          <cell r="C199" t="str">
            <v xml:space="preserve">cent quatre-vingt-dix-huit </v>
          </cell>
        </row>
        <row r="200">
          <cell r="B200">
            <v>199</v>
          </cell>
          <cell r="C200" t="str">
            <v xml:space="preserve">cent quatre-vingt-dix-neuf </v>
          </cell>
        </row>
        <row r="201">
          <cell r="B201">
            <v>200</v>
          </cell>
          <cell r="C201" t="str">
            <v xml:space="preserve">deux cents </v>
          </cell>
        </row>
        <row r="202">
          <cell r="B202">
            <v>201</v>
          </cell>
          <cell r="C202" t="str">
            <v xml:space="preserve">deux cent un </v>
          </cell>
        </row>
        <row r="203">
          <cell r="B203">
            <v>202</v>
          </cell>
          <cell r="C203" t="str">
            <v xml:space="preserve">deux cent deux </v>
          </cell>
        </row>
        <row r="204">
          <cell r="B204">
            <v>203</v>
          </cell>
          <cell r="C204" t="str">
            <v xml:space="preserve">deux cent trois </v>
          </cell>
        </row>
        <row r="205">
          <cell r="B205">
            <v>204</v>
          </cell>
          <cell r="C205" t="str">
            <v xml:space="preserve">deux cent quatre </v>
          </cell>
        </row>
        <row r="206">
          <cell r="B206">
            <v>205</v>
          </cell>
          <cell r="C206" t="str">
            <v xml:space="preserve">deux cent cinq </v>
          </cell>
        </row>
        <row r="207">
          <cell r="B207">
            <v>206</v>
          </cell>
          <cell r="C207" t="str">
            <v xml:space="preserve">deux cent six </v>
          </cell>
        </row>
        <row r="208">
          <cell r="B208">
            <v>207</v>
          </cell>
          <cell r="C208" t="str">
            <v xml:space="preserve">deux cent sept </v>
          </cell>
        </row>
        <row r="209">
          <cell r="B209">
            <v>208</v>
          </cell>
          <cell r="C209" t="str">
            <v xml:space="preserve">deux cent huit </v>
          </cell>
        </row>
        <row r="210">
          <cell r="B210">
            <v>209</v>
          </cell>
          <cell r="C210" t="str">
            <v xml:space="preserve">deux cent neuf </v>
          </cell>
        </row>
        <row r="211">
          <cell r="B211">
            <v>210</v>
          </cell>
          <cell r="C211" t="str">
            <v xml:space="preserve">deux cent dix </v>
          </cell>
        </row>
        <row r="212">
          <cell r="B212">
            <v>211</v>
          </cell>
          <cell r="C212" t="str">
            <v xml:space="preserve">deux cent onze </v>
          </cell>
        </row>
        <row r="213">
          <cell r="B213">
            <v>212</v>
          </cell>
          <cell r="C213" t="str">
            <v xml:space="preserve">deux cent douze </v>
          </cell>
        </row>
        <row r="214">
          <cell r="B214">
            <v>213</v>
          </cell>
          <cell r="C214" t="str">
            <v xml:space="preserve">deux cent treize </v>
          </cell>
        </row>
        <row r="215">
          <cell r="B215">
            <v>214</v>
          </cell>
          <cell r="C215" t="str">
            <v xml:space="preserve">deux cent quatorze </v>
          </cell>
        </row>
        <row r="216">
          <cell r="B216">
            <v>215</v>
          </cell>
          <cell r="C216" t="str">
            <v xml:space="preserve">deux cent quinze </v>
          </cell>
        </row>
        <row r="217">
          <cell r="B217">
            <v>216</v>
          </cell>
          <cell r="C217" t="str">
            <v xml:space="preserve">deux cent seize </v>
          </cell>
        </row>
        <row r="218">
          <cell r="B218">
            <v>217</v>
          </cell>
          <cell r="C218" t="str">
            <v xml:space="preserve">deux cent dix-sept </v>
          </cell>
        </row>
        <row r="219">
          <cell r="B219">
            <v>218</v>
          </cell>
          <cell r="C219" t="str">
            <v xml:space="preserve">deux cent dix-huit </v>
          </cell>
        </row>
        <row r="220">
          <cell r="B220">
            <v>219</v>
          </cell>
          <cell r="C220" t="str">
            <v xml:space="preserve">deux cent dix-neuf </v>
          </cell>
        </row>
        <row r="221">
          <cell r="B221">
            <v>220</v>
          </cell>
          <cell r="C221" t="str">
            <v xml:space="preserve">deux cent vingt </v>
          </cell>
        </row>
        <row r="222">
          <cell r="B222">
            <v>221</v>
          </cell>
          <cell r="C222" t="str">
            <v xml:space="preserve">deux cent vingt et un </v>
          </cell>
        </row>
        <row r="223">
          <cell r="B223">
            <v>222</v>
          </cell>
          <cell r="C223" t="str">
            <v xml:space="preserve">deux cent vingt-deux </v>
          </cell>
        </row>
        <row r="224">
          <cell r="B224">
            <v>223</v>
          </cell>
          <cell r="C224" t="str">
            <v xml:space="preserve">deux cent vingt-trois </v>
          </cell>
        </row>
        <row r="225">
          <cell r="B225">
            <v>224</v>
          </cell>
          <cell r="C225" t="str">
            <v xml:space="preserve">deux cent vingt-quatre </v>
          </cell>
        </row>
        <row r="226">
          <cell r="B226">
            <v>225</v>
          </cell>
          <cell r="C226" t="str">
            <v xml:space="preserve">deux cent vingt-cinq </v>
          </cell>
        </row>
        <row r="227">
          <cell r="B227">
            <v>226</v>
          </cell>
          <cell r="C227" t="str">
            <v xml:space="preserve">deux cent vingt-six </v>
          </cell>
        </row>
        <row r="228">
          <cell r="B228">
            <v>227</v>
          </cell>
          <cell r="C228" t="str">
            <v xml:space="preserve">deux cent vingt-sept </v>
          </cell>
        </row>
        <row r="229">
          <cell r="B229">
            <v>228</v>
          </cell>
          <cell r="C229" t="str">
            <v xml:space="preserve">deux cent vingt-huit </v>
          </cell>
        </row>
        <row r="230">
          <cell r="B230">
            <v>229</v>
          </cell>
          <cell r="C230" t="str">
            <v xml:space="preserve">deux cent vingt-neuf </v>
          </cell>
        </row>
        <row r="231">
          <cell r="B231">
            <v>230</v>
          </cell>
          <cell r="C231" t="str">
            <v xml:space="preserve">deux cent trente </v>
          </cell>
        </row>
        <row r="232">
          <cell r="B232">
            <v>231</v>
          </cell>
          <cell r="C232" t="str">
            <v xml:space="preserve">deux cent trente et un </v>
          </cell>
        </row>
        <row r="233">
          <cell r="B233">
            <v>232</v>
          </cell>
          <cell r="C233" t="str">
            <v xml:space="preserve">deux cent trente-deux </v>
          </cell>
        </row>
        <row r="234">
          <cell r="B234">
            <v>233</v>
          </cell>
          <cell r="C234" t="str">
            <v xml:space="preserve">deux cent trente-trois </v>
          </cell>
        </row>
        <row r="235">
          <cell r="B235">
            <v>234</v>
          </cell>
          <cell r="C235" t="str">
            <v xml:space="preserve">deux cent trente-quatre </v>
          </cell>
        </row>
        <row r="236">
          <cell r="B236">
            <v>235</v>
          </cell>
          <cell r="C236" t="str">
            <v xml:space="preserve">deux cent trente-cinq </v>
          </cell>
        </row>
        <row r="237">
          <cell r="B237">
            <v>236</v>
          </cell>
          <cell r="C237" t="str">
            <v xml:space="preserve">deux cent trente-six </v>
          </cell>
        </row>
        <row r="238">
          <cell r="B238">
            <v>237</v>
          </cell>
          <cell r="C238" t="str">
            <v xml:space="preserve">deux cent trente-sept </v>
          </cell>
        </row>
        <row r="239">
          <cell r="B239">
            <v>238</v>
          </cell>
          <cell r="C239" t="str">
            <v xml:space="preserve">deux cent trente-huit </v>
          </cell>
        </row>
        <row r="240">
          <cell r="B240">
            <v>239</v>
          </cell>
          <cell r="C240" t="str">
            <v xml:space="preserve">deux cent trente-neuf </v>
          </cell>
        </row>
        <row r="241">
          <cell r="B241">
            <v>240</v>
          </cell>
          <cell r="C241" t="str">
            <v xml:space="preserve">deux cent quarante </v>
          </cell>
        </row>
        <row r="242">
          <cell r="B242">
            <v>241</v>
          </cell>
          <cell r="C242" t="str">
            <v xml:space="preserve">deux cent quarante et un </v>
          </cell>
        </row>
        <row r="243">
          <cell r="B243">
            <v>242</v>
          </cell>
          <cell r="C243" t="str">
            <v xml:space="preserve">deux cent quarante-deux </v>
          </cell>
        </row>
        <row r="244">
          <cell r="B244">
            <v>243</v>
          </cell>
          <cell r="C244" t="str">
            <v xml:space="preserve">deux cent quarante-trois </v>
          </cell>
        </row>
        <row r="245">
          <cell r="B245">
            <v>244</v>
          </cell>
          <cell r="C245" t="str">
            <v xml:space="preserve">deux cent quarante-quatre </v>
          </cell>
        </row>
        <row r="246">
          <cell r="B246">
            <v>245</v>
          </cell>
          <cell r="C246" t="str">
            <v xml:space="preserve">deux cent quarante-cinq </v>
          </cell>
        </row>
        <row r="247">
          <cell r="B247">
            <v>246</v>
          </cell>
          <cell r="C247" t="str">
            <v xml:space="preserve">deux cent quarante-six </v>
          </cell>
        </row>
        <row r="248">
          <cell r="B248">
            <v>247</v>
          </cell>
          <cell r="C248" t="str">
            <v xml:space="preserve">deux cent quarante-sept </v>
          </cell>
        </row>
        <row r="249">
          <cell r="B249">
            <v>248</v>
          </cell>
          <cell r="C249" t="str">
            <v xml:space="preserve">deux cent quarante-huit </v>
          </cell>
        </row>
        <row r="250">
          <cell r="B250">
            <v>249</v>
          </cell>
          <cell r="C250" t="str">
            <v xml:space="preserve">deux cent quarante-neuf </v>
          </cell>
        </row>
        <row r="251">
          <cell r="B251">
            <v>250</v>
          </cell>
          <cell r="C251" t="str">
            <v xml:space="preserve">deux cent cinquante </v>
          </cell>
        </row>
        <row r="252">
          <cell r="B252">
            <v>251</v>
          </cell>
          <cell r="C252" t="str">
            <v xml:space="preserve">deux cent cinquante et un </v>
          </cell>
        </row>
        <row r="253">
          <cell r="B253">
            <v>252</v>
          </cell>
          <cell r="C253" t="str">
            <v xml:space="preserve">deux cent cinquante-deux </v>
          </cell>
        </row>
        <row r="254">
          <cell r="B254">
            <v>253</v>
          </cell>
          <cell r="C254" t="str">
            <v xml:space="preserve">deux cent cinquante-trois </v>
          </cell>
        </row>
        <row r="255">
          <cell r="B255">
            <v>254</v>
          </cell>
          <cell r="C255" t="str">
            <v xml:space="preserve">deux cent cinquante-quatre </v>
          </cell>
        </row>
        <row r="256">
          <cell r="B256">
            <v>255</v>
          </cell>
          <cell r="C256" t="str">
            <v xml:space="preserve">deux cent cinquante-cinq </v>
          </cell>
        </row>
        <row r="257">
          <cell r="B257">
            <v>256</v>
          </cell>
          <cell r="C257" t="str">
            <v xml:space="preserve">deux cent cinquante-six </v>
          </cell>
        </row>
        <row r="258">
          <cell r="B258">
            <v>257</v>
          </cell>
          <cell r="C258" t="str">
            <v xml:space="preserve">deux cent cinquante-sept </v>
          </cell>
        </row>
        <row r="259">
          <cell r="B259">
            <v>258</v>
          </cell>
          <cell r="C259" t="str">
            <v xml:space="preserve">deux cent cinquante-huit </v>
          </cell>
        </row>
        <row r="260">
          <cell r="B260">
            <v>259</v>
          </cell>
          <cell r="C260" t="str">
            <v xml:space="preserve">deux cent cinquante-neuf </v>
          </cell>
        </row>
        <row r="261">
          <cell r="B261">
            <v>260</v>
          </cell>
          <cell r="C261" t="str">
            <v xml:space="preserve">deux cent soixante </v>
          </cell>
        </row>
        <row r="262">
          <cell r="B262">
            <v>261</v>
          </cell>
          <cell r="C262" t="str">
            <v xml:space="preserve">deux cent soixante et un </v>
          </cell>
        </row>
        <row r="263">
          <cell r="B263">
            <v>262</v>
          </cell>
          <cell r="C263" t="str">
            <v xml:space="preserve">deux cent soixante-deux </v>
          </cell>
        </row>
        <row r="264">
          <cell r="B264">
            <v>263</v>
          </cell>
          <cell r="C264" t="str">
            <v xml:space="preserve">deux cent soixante-trois </v>
          </cell>
        </row>
        <row r="265">
          <cell r="B265">
            <v>264</v>
          </cell>
          <cell r="C265" t="str">
            <v xml:space="preserve">deux cent soixante-quatre </v>
          </cell>
        </row>
        <row r="266">
          <cell r="B266">
            <v>265</v>
          </cell>
          <cell r="C266" t="str">
            <v xml:space="preserve">deux cent soixante-cinq </v>
          </cell>
        </row>
        <row r="267">
          <cell r="B267">
            <v>266</v>
          </cell>
          <cell r="C267" t="str">
            <v xml:space="preserve">deux cent soixante-six </v>
          </cell>
        </row>
        <row r="268">
          <cell r="B268">
            <v>267</v>
          </cell>
          <cell r="C268" t="str">
            <v xml:space="preserve">deux cent soixante-sept </v>
          </cell>
        </row>
        <row r="269">
          <cell r="B269">
            <v>268</v>
          </cell>
          <cell r="C269" t="str">
            <v xml:space="preserve">deux cent soixante-huit </v>
          </cell>
        </row>
        <row r="270">
          <cell r="B270">
            <v>269</v>
          </cell>
          <cell r="C270" t="str">
            <v xml:space="preserve">deux cent soixante-neuf </v>
          </cell>
        </row>
        <row r="271">
          <cell r="B271">
            <v>270</v>
          </cell>
          <cell r="C271" t="str">
            <v xml:space="preserve">deux cent soixante-dix </v>
          </cell>
        </row>
        <row r="272">
          <cell r="B272">
            <v>271</v>
          </cell>
          <cell r="C272" t="str">
            <v xml:space="preserve">deux cent soixante et onze </v>
          </cell>
        </row>
        <row r="273">
          <cell r="B273">
            <v>272</v>
          </cell>
          <cell r="C273" t="str">
            <v xml:space="preserve">deux cent soixante-douze </v>
          </cell>
        </row>
        <row r="274">
          <cell r="B274">
            <v>273</v>
          </cell>
          <cell r="C274" t="str">
            <v xml:space="preserve">deux cent soixante-treize </v>
          </cell>
        </row>
        <row r="275">
          <cell r="B275">
            <v>274</v>
          </cell>
          <cell r="C275" t="str">
            <v xml:space="preserve">deux cent soixante-quatorze </v>
          </cell>
        </row>
        <row r="276">
          <cell r="B276">
            <v>275</v>
          </cell>
          <cell r="C276" t="str">
            <v xml:space="preserve">deux cent soixante-quinze </v>
          </cell>
        </row>
        <row r="277">
          <cell r="B277">
            <v>276</v>
          </cell>
          <cell r="C277" t="str">
            <v xml:space="preserve">deux cent soixante-seize </v>
          </cell>
        </row>
        <row r="278">
          <cell r="B278">
            <v>277</v>
          </cell>
          <cell r="C278" t="str">
            <v xml:space="preserve">deux cent soixante-dix-sept </v>
          </cell>
        </row>
        <row r="279">
          <cell r="B279">
            <v>278</v>
          </cell>
          <cell r="C279" t="str">
            <v xml:space="preserve">deux cent soixante-dix-huit </v>
          </cell>
        </row>
        <row r="280">
          <cell r="B280">
            <v>279</v>
          </cell>
          <cell r="C280" t="str">
            <v xml:space="preserve">deux cent soixante-dix-neuf </v>
          </cell>
        </row>
        <row r="281">
          <cell r="B281">
            <v>280</v>
          </cell>
          <cell r="C281" t="str">
            <v xml:space="preserve">deux cent quatre-vingts </v>
          </cell>
        </row>
        <row r="282">
          <cell r="B282">
            <v>281</v>
          </cell>
          <cell r="C282" t="str">
            <v xml:space="preserve">deux cent quatre-vingt-un </v>
          </cell>
        </row>
        <row r="283">
          <cell r="B283">
            <v>282</v>
          </cell>
          <cell r="C283" t="str">
            <v xml:space="preserve">deux cent quatre-vingt-deux </v>
          </cell>
        </row>
        <row r="284">
          <cell r="B284">
            <v>283</v>
          </cell>
          <cell r="C284" t="str">
            <v xml:space="preserve">deux cent quatre-vingt-trois </v>
          </cell>
        </row>
        <row r="285">
          <cell r="B285">
            <v>284</v>
          </cell>
          <cell r="C285" t="str">
            <v xml:space="preserve">deux cent quatre-vingt-quatre </v>
          </cell>
        </row>
        <row r="286">
          <cell r="B286">
            <v>285</v>
          </cell>
          <cell r="C286" t="str">
            <v xml:space="preserve">deux cent quatre-vingt-cinq </v>
          </cell>
        </row>
        <row r="287">
          <cell r="B287">
            <v>286</v>
          </cell>
          <cell r="C287" t="str">
            <v xml:space="preserve">deux cent quatre-vingt-six </v>
          </cell>
        </row>
        <row r="288">
          <cell r="B288">
            <v>287</v>
          </cell>
          <cell r="C288" t="str">
            <v xml:space="preserve">deux cent quatre-vingt-sept </v>
          </cell>
        </row>
        <row r="289">
          <cell r="B289">
            <v>288</v>
          </cell>
          <cell r="C289" t="str">
            <v xml:space="preserve">deux cent quatre-vingt-huit </v>
          </cell>
        </row>
        <row r="290">
          <cell r="B290">
            <v>289</v>
          </cell>
          <cell r="C290" t="str">
            <v xml:space="preserve">deux cent quatre-vingt-neuf </v>
          </cell>
        </row>
        <row r="291">
          <cell r="B291">
            <v>290</v>
          </cell>
          <cell r="C291" t="str">
            <v xml:space="preserve">deux cent quatre-vingt-dix </v>
          </cell>
        </row>
        <row r="292">
          <cell r="B292">
            <v>291</v>
          </cell>
          <cell r="C292" t="str">
            <v xml:space="preserve">deux cent quatre-vingt-onze </v>
          </cell>
        </row>
        <row r="293">
          <cell r="B293">
            <v>292</v>
          </cell>
          <cell r="C293" t="str">
            <v xml:space="preserve">deux cent quatre-vingt-douze </v>
          </cell>
        </row>
        <row r="294">
          <cell r="B294">
            <v>293</v>
          </cell>
          <cell r="C294" t="str">
            <v xml:space="preserve">deux cent quatre-vingt-treize </v>
          </cell>
        </row>
        <row r="295">
          <cell r="B295">
            <v>294</v>
          </cell>
          <cell r="C295" t="str">
            <v xml:space="preserve">deux cent quatre-vingt-quatorze </v>
          </cell>
        </row>
        <row r="296">
          <cell r="B296">
            <v>295</v>
          </cell>
          <cell r="C296" t="str">
            <v xml:space="preserve">deux cent quatre-vingt-quinze </v>
          </cell>
        </row>
        <row r="297">
          <cell r="B297">
            <v>296</v>
          </cell>
          <cell r="C297" t="str">
            <v xml:space="preserve">deux cent quatre-vingt-seize </v>
          </cell>
        </row>
        <row r="298">
          <cell r="B298">
            <v>297</v>
          </cell>
          <cell r="C298" t="str">
            <v xml:space="preserve">deux cent quatre-vingt-dix-sept </v>
          </cell>
        </row>
        <row r="299">
          <cell r="B299">
            <v>298</v>
          </cell>
          <cell r="C299" t="str">
            <v xml:space="preserve">deux cent quatre-vingt-dix-huit </v>
          </cell>
        </row>
        <row r="300">
          <cell r="B300">
            <v>299</v>
          </cell>
          <cell r="C300" t="str">
            <v xml:space="preserve">deux cent quatre-vingt-dix-neuf </v>
          </cell>
        </row>
        <row r="301">
          <cell r="B301">
            <v>300</v>
          </cell>
          <cell r="C301" t="str">
            <v xml:space="preserve">trois cents </v>
          </cell>
        </row>
        <row r="302">
          <cell r="B302">
            <v>301</v>
          </cell>
          <cell r="C302" t="str">
            <v xml:space="preserve">trois cent un </v>
          </cell>
        </row>
        <row r="303">
          <cell r="B303">
            <v>302</v>
          </cell>
          <cell r="C303" t="str">
            <v xml:space="preserve">trois cent deux </v>
          </cell>
        </row>
        <row r="304">
          <cell r="B304">
            <v>303</v>
          </cell>
          <cell r="C304" t="str">
            <v xml:space="preserve">trois cent trois </v>
          </cell>
        </row>
        <row r="305">
          <cell r="B305">
            <v>304</v>
          </cell>
          <cell r="C305" t="str">
            <v xml:space="preserve">trois cent quatre </v>
          </cell>
        </row>
        <row r="306">
          <cell r="B306">
            <v>305</v>
          </cell>
          <cell r="C306" t="str">
            <v xml:space="preserve">trois cent cinq </v>
          </cell>
        </row>
        <row r="307">
          <cell r="B307">
            <v>306</v>
          </cell>
          <cell r="C307" t="str">
            <v xml:space="preserve">trois cent six </v>
          </cell>
        </row>
        <row r="308">
          <cell r="B308">
            <v>307</v>
          </cell>
          <cell r="C308" t="str">
            <v xml:space="preserve">trois cent sept </v>
          </cell>
        </row>
        <row r="309">
          <cell r="B309">
            <v>308</v>
          </cell>
          <cell r="C309" t="str">
            <v xml:space="preserve">trois cent huit </v>
          </cell>
        </row>
        <row r="310">
          <cell r="B310">
            <v>309</v>
          </cell>
          <cell r="C310" t="str">
            <v xml:space="preserve">trois cent neuf </v>
          </cell>
        </row>
        <row r="311">
          <cell r="B311">
            <v>310</v>
          </cell>
          <cell r="C311" t="str">
            <v xml:space="preserve">trois cent dix </v>
          </cell>
        </row>
        <row r="312">
          <cell r="B312">
            <v>311</v>
          </cell>
          <cell r="C312" t="str">
            <v xml:space="preserve">trois cent onze </v>
          </cell>
        </row>
        <row r="313">
          <cell r="B313">
            <v>312</v>
          </cell>
          <cell r="C313" t="str">
            <v xml:space="preserve">trois cent douze </v>
          </cell>
        </row>
        <row r="314">
          <cell r="B314">
            <v>313</v>
          </cell>
          <cell r="C314" t="str">
            <v xml:space="preserve">trois cent treize </v>
          </cell>
        </row>
        <row r="315">
          <cell r="B315">
            <v>314</v>
          </cell>
          <cell r="C315" t="str">
            <v xml:space="preserve">trois cent quatorze </v>
          </cell>
        </row>
        <row r="316">
          <cell r="B316">
            <v>315</v>
          </cell>
          <cell r="C316" t="str">
            <v xml:space="preserve">trois cent quinze </v>
          </cell>
        </row>
        <row r="317">
          <cell r="B317">
            <v>316</v>
          </cell>
          <cell r="C317" t="str">
            <v xml:space="preserve">trois cent seize </v>
          </cell>
        </row>
        <row r="318">
          <cell r="B318">
            <v>317</v>
          </cell>
          <cell r="C318" t="str">
            <v xml:space="preserve">trois cent dix-sept </v>
          </cell>
        </row>
        <row r="319">
          <cell r="B319">
            <v>318</v>
          </cell>
          <cell r="C319" t="str">
            <v xml:space="preserve">trois cent dix-huit </v>
          </cell>
        </row>
        <row r="320">
          <cell r="B320">
            <v>319</v>
          </cell>
          <cell r="C320" t="str">
            <v xml:space="preserve">trois cent dix-neuf </v>
          </cell>
        </row>
        <row r="321">
          <cell r="B321">
            <v>320</v>
          </cell>
          <cell r="C321" t="str">
            <v xml:space="preserve">trois cent vingt </v>
          </cell>
        </row>
        <row r="322">
          <cell r="B322">
            <v>321</v>
          </cell>
          <cell r="C322" t="str">
            <v xml:space="preserve">trois cent vingt et un </v>
          </cell>
        </row>
        <row r="323">
          <cell r="B323">
            <v>322</v>
          </cell>
          <cell r="C323" t="str">
            <v xml:space="preserve">trois cent vingt-deux </v>
          </cell>
        </row>
        <row r="324">
          <cell r="B324">
            <v>323</v>
          </cell>
          <cell r="C324" t="str">
            <v xml:space="preserve">trois cent vingt-trois </v>
          </cell>
        </row>
        <row r="325">
          <cell r="B325">
            <v>324</v>
          </cell>
          <cell r="C325" t="str">
            <v xml:space="preserve">trois cent vingt-quatre </v>
          </cell>
        </row>
        <row r="326">
          <cell r="B326">
            <v>325</v>
          </cell>
          <cell r="C326" t="str">
            <v xml:space="preserve">trois cent vingt-cinq </v>
          </cell>
        </row>
        <row r="327">
          <cell r="B327">
            <v>326</v>
          </cell>
          <cell r="C327" t="str">
            <v xml:space="preserve">trois cent vingt-six </v>
          </cell>
        </row>
        <row r="328">
          <cell r="B328">
            <v>327</v>
          </cell>
          <cell r="C328" t="str">
            <v xml:space="preserve">trois cent vingt-sept </v>
          </cell>
        </row>
        <row r="329">
          <cell r="B329">
            <v>328</v>
          </cell>
          <cell r="C329" t="str">
            <v xml:space="preserve">trois cent vingt-huit </v>
          </cell>
        </row>
        <row r="330">
          <cell r="B330">
            <v>329</v>
          </cell>
          <cell r="C330" t="str">
            <v xml:space="preserve">trois cent vingt-neuf </v>
          </cell>
        </row>
        <row r="331">
          <cell r="B331">
            <v>330</v>
          </cell>
          <cell r="C331" t="str">
            <v xml:space="preserve">trois cent trente </v>
          </cell>
        </row>
        <row r="332">
          <cell r="B332">
            <v>331</v>
          </cell>
          <cell r="C332" t="str">
            <v xml:space="preserve">trois cent trente et un </v>
          </cell>
        </row>
        <row r="333">
          <cell r="B333">
            <v>332</v>
          </cell>
          <cell r="C333" t="str">
            <v xml:space="preserve">trois cent trente-deux </v>
          </cell>
        </row>
        <row r="334">
          <cell r="B334">
            <v>333</v>
          </cell>
          <cell r="C334" t="str">
            <v xml:space="preserve">trois cent trente-trois </v>
          </cell>
        </row>
        <row r="335">
          <cell r="B335">
            <v>334</v>
          </cell>
          <cell r="C335" t="str">
            <v xml:space="preserve">trois cent trente-quatre </v>
          </cell>
        </row>
        <row r="336">
          <cell r="B336">
            <v>335</v>
          </cell>
          <cell r="C336" t="str">
            <v xml:space="preserve">trois cent trente-cinq </v>
          </cell>
        </row>
        <row r="337">
          <cell r="B337">
            <v>336</v>
          </cell>
          <cell r="C337" t="str">
            <v xml:space="preserve">trois cent trente-six </v>
          </cell>
        </row>
        <row r="338">
          <cell r="B338">
            <v>337</v>
          </cell>
          <cell r="C338" t="str">
            <v xml:space="preserve">trois cent trente-sept </v>
          </cell>
        </row>
        <row r="339">
          <cell r="B339">
            <v>338</v>
          </cell>
          <cell r="C339" t="str">
            <v xml:space="preserve">trois cent trente-huit </v>
          </cell>
        </row>
        <row r="340">
          <cell r="B340">
            <v>339</v>
          </cell>
          <cell r="C340" t="str">
            <v xml:space="preserve">trois cent trente-neuf </v>
          </cell>
        </row>
        <row r="341">
          <cell r="B341">
            <v>340</v>
          </cell>
          <cell r="C341" t="str">
            <v xml:space="preserve">trois cent quarante </v>
          </cell>
        </row>
        <row r="342">
          <cell r="B342">
            <v>341</v>
          </cell>
          <cell r="C342" t="str">
            <v xml:space="preserve">trois cent quarante et un </v>
          </cell>
        </row>
        <row r="343">
          <cell r="B343">
            <v>342</v>
          </cell>
          <cell r="C343" t="str">
            <v xml:space="preserve">trois cent quarante-deux </v>
          </cell>
        </row>
        <row r="344">
          <cell r="B344">
            <v>343</v>
          </cell>
          <cell r="C344" t="str">
            <v xml:space="preserve">trois cent quarante-trois </v>
          </cell>
        </row>
        <row r="345">
          <cell r="B345">
            <v>344</v>
          </cell>
          <cell r="C345" t="str">
            <v xml:space="preserve">trois cent quarante-quatre </v>
          </cell>
        </row>
        <row r="346">
          <cell r="B346">
            <v>345</v>
          </cell>
          <cell r="C346" t="str">
            <v xml:space="preserve">trois cent quarante-cinq </v>
          </cell>
        </row>
        <row r="347">
          <cell r="B347">
            <v>346</v>
          </cell>
          <cell r="C347" t="str">
            <v xml:space="preserve">trois cent quarante-six </v>
          </cell>
        </row>
        <row r="348">
          <cell r="B348">
            <v>347</v>
          </cell>
          <cell r="C348" t="str">
            <v xml:space="preserve">trois cent quarante-sept </v>
          </cell>
        </row>
        <row r="349">
          <cell r="B349">
            <v>348</v>
          </cell>
          <cell r="C349" t="str">
            <v xml:space="preserve">trois cent quarante-huit </v>
          </cell>
        </row>
        <row r="350">
          <cell r="B350">
            <v>349</v>
          </cell>
          <cell r="C350" t="str">
            <v xml:space="preserve">trois cent quarante-neuf </v>
          </cell>
        </row>
        <row r="351">
          <cell r="B351">
            <v>350</v>
          </cell>
          <cell r="C351" t="str">
            <v xml:space="preserve">trois cent cinquante </v>
          </cell>
        </row>
        <row r="352">
          <cell r="B352">
            <v>351</v>
          </cell>
          <cell r="C352" t="str">
            <v xml:space="preserve">trois cent cinquante et un </v>
          </cell>
        </row>
        <row r="353">
          <cell r="B353">
            <v>352</v>
          </cell>
          <cell r="C353" t="str">
            <v xml:space="preserve">trois cent cinquante-deux </v>
          </cell>
        </row>
        <row r="354">
          <cell r="B354">
            <v>353</v>
          </cell>
          <cell r="C354" t="str">
            <v xml:space="preserve">trois cent cinquante-trois </v>
          </cell>
        </row>
        <row r="355">
          <cell r="B355">
            <v>354</v>
          </cell>
          <cell r="C355" t="str">
            <v xml:space="preserve">trois cent cinquante-quatre </v>
          </cell>
        </row>
        <row r="356">
          <cell r="B356">
            <v>355</v>
          </cell>
          <cell r="C356" t="str">
            <v xml:space="preserve">trois cent cinquante-cinq </v>
          </cell>
        </row>
        <row r="357">
          <cell r="B357">
            <v>356</v>
          </cell>
          <cell r="C357" t="str">
            <v xml:space="preserve">trois cent cinquante-six </v>
          </cell>
        </row>
        <row r="358">
          <cell r="B358">
            <v>357</v>
          </cell>
          <cell r="C358" t="str">
            <v xml:space="preserve">trois cent cinquante-sept </v>
          </cell>
        </row>
        <row r="359">
          <cell r="B359">
            <v>358</v>
          </cell>
          <cell r="C359" t="str">
            <v xml:space="preserve">trois cent cinquante-huit </v>
          </cell>
        </row>
        <row r="360">
          <cell r="B360">
            <v>359</v>
          </cell>
          <cell r="C360" t="str">
            <v xml:space="preserve">trois cent cinquante-neuf </v>
          </cell>
        </row>
        <row r="361">
          <cell r="B361">
            <v>360</v>
          </cell>
          <cell r="C361" t="str">
            <v xml:space="preserve">trois cent soixante </v>
          </cell>
        </row>
        <row r="362">
          <cell r="B362">
            <v>361</v>
          </cell>
          <cell r="C362" t="str">
            <v xml:space="preserve">trois cent soixante et un </v>
          </cell>
        </row>
        <row r="363">
          <cell r="B363">
            <v>362</v>
          </cell>
          <cell r="C363" t="str">
            <v xml:space="preserve">trois cent soixante-deux </v>
          </cell>
        </row>
        <row r="364">
          <cell r="B364">
            <v>363</v>
          </cell>
          <cell r="C364" t="str">
            <v xml:space="preserve">trois cent soixante-trois </v>
          </cell>
        </row>
        <row r="365">
          <cell r="B365">
            <v>364</v>
          </cell>
          <cell r="C365" t="str">
            <v xml:space="preserve">trois cent soixante-quatre </v>
          </cell>
        </row>
        <row r="366">
          <cell r="B366">
            <v>365</v>
          </cell>
          <cell r="C366" t="str">
            <v xml:space="preserve">trois cent soixante-cinq </v>
          </cell>
        </row>
        <row r="367">
          <cell r="B367">
            <v>366</v>
          </cell>
          <cell r="C367" t="str">
            <v xml:space="preserve">trois cent soixante-six </v>
          </cell>
        </row>
        <row r="368">
          <cell r="B368">
            <v>367</v>
          </cell>
          <cell r="C368" t="str">
            <v xml:space="preserve">trois cent soixante-sept </v>
          </cell>
        </row>
        <row r="369">
          <cell r="B369">
            <v>368</v>
          </cell>
          <cell r="C369" t="str">
            <v xml:space="preserve">trois cent soixante-huit </v>
          </cell>
        </row>
        <row r="370">
          <cell r="B370">
            <v>369</v>
          </cell>
          <cell r="C370" t="str">
            <v xml:space="preserve">trois cent soixante-neuf </v>
          </cell>
        </row>
        <row r="371">
          <cell r="B371">
            <v>370</v>
          </cell>
          <cell r="C371" t="str">
            <v xml:space="preserve">trois cent soixante-dix </v>
          </cell>
        </row>
        <row r="372">
          <cell r="B372">
            <v>371</v>
          </cell>
          <cell r="C372" t="str">
            <v xml:space="preserve">trois cent soixante et onze </v>
          </cell>
        </row>
        <row r="373">
          <cell r="B373">
            <v>372</v>
          </cell>
          <cell r="C373" t="str">
            <v xml:space="preserve">trois cent soixante-douze </v>
          </cell>
        </row>
        <row r="374">
          <cell r="B374">
            <v>373</v>
          </cell>
          <cell r="C374" t="str">
            <v xml:space="preserve">trois cent soixante-treize </v>
          </cell>
        </row>
        <row r="375">
          <cell r="B375">
            <v>374</v>
          </cell>
          <cell r="C375" t="str">
            <v xml:space="preserve">trois cent soixante-quatorze </v>
          </cell>
        </row>
        <row r="376">
          <cell r="B376">
            <v>375</v>
          </cell>
          <cell r="C376" t="str">
            <v xml:space="preserve">trois cent soixante-quinze </v>
          </cell>
        </row>
        <row r="377">
          <cell r="B377">
            <v>376</v>
          </cell>
          <cell r="C377" t="str">
            <v xml:space="preserve">trois cent soixante-seize </v>
          </cell>
        </row>
        <row r="378">
          <cell r="B378">
            <v>377</v>
          </cell>
          <cell r="C378" t="str">
            <v xml:space="preserve">trois cent soixante-dix-sept </v>
          </cell>
        </row>
        <row r="379">
          <cell r="B379">
            <v>378</v>
          </cell>
          <cell r="C379" t="str">
            <v xml:space="preserve">trois cent soixante-dix-huit </v>
          </cell>
        </row>
        <row r="380">
          <cell r="B380">
            <v>379</v>
          </cell>
          <cell r="C380" t="str">
            <v xml:space="preserve">trois cent soixante-dix-neuf </v>
          </cell>
        </row>
        <row r="381">
          <cell r="B381">
            <v>380</v>
          </cell>
          <cell r="C381" t="str">
            <v xml:space="preserve">trois cent quatre-vingts </v>
          </cell>
        </row>
        <row r="382">
          <cell r="B382">
            <v>381</v>
          </cell>
          <cell r="C382" t="str">
            <v xml:space="preserve">trois cent quatre-vingt-un </v>
          </cell>
        </row>
        <row r="383">
          <cell r="B383">
            <v>382</v>
          </cell>
          <cell r="C383" t="str">
            <v xml:space="preserve">trois cent quatre-vingt-deux </v>
          </cell>
        </row>
        <row r="384">
          <cell r="B384">
            <v>383</v>
          </cell>
          <cell r="C384" t="str">
            <v xml:space="preserve">trois cent quatre-vingt-trois </v>
          </cell>
        </row>
        <row r="385">
          <cell r="B385">
            <v>384</v>
          </cell>
          <cell r="C385" t="str">
            <v xml:space="preserve">trois cent quatre-vingt-quatre </v>
          </cell>
        </row>
        <row r="386">
          <cell r="B386">
            <v>385</v>
          </cell>
          <cell r="C386" t="str">
            <v xml:space="preserve">trois cent quatre-vingt-cinq </v>
          </cell>
        </row>
        <row r="387">
          <cell r="B387">
            <v>386</v>
          </cell>
          <cell r="C387" t="str">
            <v xml:space="preserve">trois cent quatre-vingt-six </v>
          </cell>
        </row>
        <row r="388">
          <cell r="B388">
            <v>387</v>
          </cell>
          <cell r="C388" t="str">
            <v xml:space="preserve">trois cent quatre-vingt-sept </v>
          </cell>
        </row>
        <row r="389">
          <cell r="B389">
            <v>388</v>
          </cell>
          <cell r="C389" t="str">
            <v xml:space="preserve">trois cent quatre-vingt-huit </v>
          </cell>
        </row>
        <row r="390">
          <cell r="B390">
            <v>389</v>
          </cell>
          <cell r="C390" t="str">
            <v xml:space="preserve">trois cent quatre-vingt-neuf </v>
          </cell>
        </row>
        <row r="391">
          <cell r="B391">
            <v>390</v>
          </cell>
          <cell r="C391" t="str">
            <v xml:space="preserve">trois cent quatre-vingt-dix </v>
          </cell>
        </row>
        <row r="392">
          <cell r="B392">
            <v>391</v>
          </cell>
          <cell r="C392" t="str">
            <v xml:space="preserve">trois cent quatre-vingt-onze </v>
          </cell>
        </row>
        <row r="393">
          <cell r="B393">
            <v>392</v>
          </cell>
          <cell r="C393" t="str">
            <v xml:space="preserve">trois cent quatre-vingt-douze </v>
          </cell>
        </row>
        <row r="394">
          <cell r="B394">
            <v>393</v>
          </cell>
          <cell r="C394" t="str">
            <v xml:space="preserve">trois cent quatre-vingt-treize </v>
          </cell>
        </row>
        <row r="395">
          <cell r="B395">
            <v>394</v>
          </cell>
          <cell r="C395" t="str">
            <v xml:space="preserve">trois cent quatre-vingt-quatorze </v>
          </cell>
        </row>
        <row r="396">
          <cell r="B396">
            <v>395</v>
          </cell>
          <cell r="C396" t="str">
            <v xml:space="preserve">trois cent quatre-vingt-quinze </v>
          </cell>
        </row>
        <row r="397">
          <cell r="B397">
            <v>396</v>
          </cell>
          <cell r="C397" t="str">
            <v xml:space="preserve">trois cent quatre-vingt-seize </v>
          </cell>
        </row>
        <row r="398">
          <cell r="B398">
            <v>397</v>
          </cell>
          <cell r="C398" t="str">
            <v xml:space="preserve">trois cent quatre-vingt-dix-sept </v>
          </cell>
        </row>
        <row r="399">
          <cell r="B399">
            <v>398</v>
          </cell>
          <cell r="C399" t="str">
            <v xml:space="preserve">trois cent quatre-vingt-dix-huit </v>
          </cell>
        </row>
        <row r="400">
          <cell r="B400">
            <v>399</v>
          </cell>
          <cell r="C400" t="str">
            <v xml:space="preserve">trois cent quatre-vingt-dix-neuf </v>
          </cell>
        </row>
        <row r="401">
          <cell r="B401">
            <v>400</v>
          </cell>
          <cell r="C401" t="str">
            <v xml:space="preserve">quatre cents </v>
          </cell>
        </row>
        <row r="402">
          <cell r="B402">
            <v>401</v>
          </cell>
          <cell r="C402" t="str">
            <v xml:space="preserve">quatre cent un </v>
          </cell>
        </row>
        <row r="403">
          <cell r="B403">
            <v>402</v>
          </cell>
          <cell r="C403" t="str">
            <v xml:space="preserve">quatre cent deux </v>
          </cell>
        </row>
        <row r="404">
          <cell r="B404">
            <v>403</v>
          </cell>
          <cell r="C404" t="str">
            <v xml:space="preserve">quatre cent trois </v>
          </cell>
        </row>
        <row r="405">
          <cell r="B405">
            <v>404</v>
          </cell>
          <cell r="C405" t="str">
            <v xml:space="preserve">quatre cent quatre </v>
          </cell>
        </row>
        <row r="406">
          <cell r="B406">
            <v>405</v>
          </cell>
          <cell r="C406" t="str">
            <v xml:space="preserve">quatre cent cinq </v>
          </cell>
        </row>
        <row r="407">
          <cell r="B407">
            <v>406</v>
          </cell>
          <cell r="C407" t="str">
            <v xml:space="preserve">quatre cent six </v>
          </cell>
        </row>
        <row r="408">
          <cell r="B408">
            <v>407</v>
          </cell>
          <cell r="C408" t="str">
            <v xml:space="preserve">quatre cent sept </v>
          </cell>
        </row>
        <row r="409">
          <cell r="B409">
            <v>408</v>
          </cell>
          <cell r="C409" t="str">
            <v xml:space="preserve">quatre cent huit </v>
          </cell>
        </row>
        <row r="410">
          <cell r="B410">
            <v>409</v>
          </cell>
          <cell r="C410" t="str">
            <v xml:space="preserve">quatre cent neuf </v>
          </cell>
        </row>
        <row r="411">
          <cell r="B411">
            <v>410</v>
          </cell>
          <cell r="C411" t="str">
            <v xml:space="preserve">quatre cent dix </v>
          </cell>
        </row>
        <row r="412">
          <cell r="B412">
            <v>411</v>
          </cell>
          <cell r="C412" t="str">
            <v xml:space="preserve">quatre cent onze </v>
          </cell>
        </row>
        <row r="413">
          <cell r="B413">
            <v>412</v>
          </cell>
          <cell r="C413" t="str">
            <v xml:space="preserve">quatre cent douze </v>
          </cell>
        </row>
        <row r="414">
          <cell r="B414">
            <v>413</v>
          </cell>
          <cell r="C414" t="str">
            <v xml:space="preserve">quatre cent treize </v>
          </cell>
        </row>
        <row r="415">
          <cell r="B415">
            <v>414</v>
          </cell>
          <cell r="C415" t="str">
            <v xml:space="preserve">quatre cent quatorze </v>
          </cell>
        </row>
        <row r="416">
          <cell r="B416">
            <v>415</v>
          </cell>
          <cell r="C416" t="str">
            <v xml:space="preserve">quatre cent quinze </v>
          </cell>
        </row>
        <row r="417">
          <cell r="B417">
            <v>416</v>
          </cell>
          <cell r="C417" t="str">
            <v xml:space="preserve">quatre cent seize </v>
          </cell>
        </row>
        <row r="418">
          <cell r="B418">
            <v>417</v>
          </cell>
          <cell r="C418" t="str">
            <v xml:space="preserve">quatre cent dix-sept </v>
          </cell>
        </row>
        <row r="419">
          <cell r="B419">
            <v>418</v>
          </cell>
          <cell r="C419" t="str">
            <v xml:space="preserve">quatre cent dix-huit </v>
          </cell>
        </row>
        <row r="420">
          <cell r="B420">
            <v>419</v>
          </cell>
          <cell r="C420" t="str">
            <v xml:space="preserve">quatre cent dix-neuf </v>
          </cell>
        </row>
        <row r="421">
          <cell r="B421">
            <v>420</v>
          </cell>
          <cell r="C421" t="str">
            <v xml:space="preserve">quatre cent vingt </v>
          </cell>
        </row>
        <row r="422">
          <cell r="B422">
            <v>421</v>
          </cell>
          <cell r="C422" t="str">
            <v xml:space="preserve">quatre cent vingt et un </v>
          </cell>
        </row>
        <row r="423">
          <cell r="B423">
            <v>422</v>
          </cell>
          <cell r="C423" t="str">
            <v xml:space="preserve">quatre cent vingt-deux </v>
          </cell>
        </row>
        <row r="424">
          <cell r="B424">
            <v>423</v>
          </cell>
          <cell r="C424" t="str">
            <v xml:space="preserve">quatre cent vingt-trois </v>
          </cell>
        </row>
        <row r="425">
          <cell r="B425">
            <v>424</v>
          </cell>
          <cell r="C425" t="str">
            <v xml:space="preserve">quatre cent vingt-quatre </v>
          </cell>
        </row>
        <row r="426">
          <cell r="B426">
            <v>425</v>
          </cell>
          <cell r="C426" t="str">
            <v xml:space="preserve">quatre cent vingt-cinq </v>
          </cell>
        </row>
        <row r="427">
          <cell r="B427">
            <v>426</v>
          </cell>
          <cell r="C427" t="str">
            <v xml:space="preserve">quatre cent vingt-six </v>
          </cell>
        </row>
        <row r="428">
          <cell r="B428">
            <v>427</v>
          </cell>
          <cell r="C428" t="str">
            <v xml:space="preserve">quatre cent vingt-sept </v>
          </cell>
        </row>
        <row r="429">
          <cell r="B429">
            <v>428</v>
          </cell>
          <cell r="C429" t="str">
            <v xml:space="preserve">quatre cent vingt-huit </v>
          </cell>
        </row>
        <row r="430">
          <cell r="B430">
            <v>429</v>
          </cell>
          <cell r="C430" t="str">
            <v xml:space="preserve">quatre cent vingt-neuf </v>
          </cell>
        </row>
        <row r="431">
          <cell r="B431">
            <v>430</v>
          </cell>
          <cell r="C431" t="str">
            <v xml:space="preserve">quatre cent trente </v>
          </cell>
        </row>
        <row r="432">
          <cell r="B432">
            <v>431</v>
          </cell>
          <cell r="C432" t="str">
            <v xml:space="preserve">quatre cent trente et un </v>
          </cell>
        </row>
        <row r="433">
          <cell r="B433">
            <v>432</v>
          </cell>
          <cell r="C433" t="str">
            <v xml:space="preserve">quatre cent trente-deux </v>
          </cell>
        </row>
        <row r="434">
          <cell r="B434">
            <v>433</v>
          </cell>
          <cell r="C434" t="str">
            <v xml:space="preserve">quatre cent trente-trois </v>
          </cell>
        </row>
        <row r="435">
          <cell r="B435">
            <v>434</v>
          </cell>
          <cell r="C435" t="str">
            <v xml:space="preserve">quatre cent trente-quatre </v>
          </cell>
        </row>
        <row r="436">
          <cell r="B436">
            <v>435</v>
          </cell>
          <cell r="C436" t="str">
            <v xml:space="preserve">quatre cent trente-cinq </v>
          </cell>
        </row>
        <row r="437">
          <cell r="B437">
            <v>436</v>
          </cell>
          <cell r="C437" t="str">
            <v xml:space="preserve">quatre cent trente-six </v>
          </cell>
        </row>
        <row r="438">
          <cell r="B438">
            <v>437</v>
          </cell>
          <cell r="C438" t="str">
            <v xml:space="preserve">quatre cent trente-sept </v>
          </cell>
        </row>
        <row r="439">
          <cell r="B439">
            <v>438</v>
          </cell>
          <cell r="C439" t="str">
            <v xml:space="preserve">quatre cent trente-huit </v>
          </cell>
        </row>
        <row r="440">
          <cell r="B440">
            <v>439</v>
          </cell>
          <cell r="C440" t="str">
            <v xml:space="preserve">quatre cent trente-neuf </v>
          </cell>
        </row>
        <row r="441">
          <cell r="B441">
            <v>440</v>
          </cell>
          <cell r="C441" t="str">
            <v xml:space="preserve">quatre cent quarante </v>
          </cell>
        </row>
        <row r="442">
          <cell r="B442">
            <v>441</v>
          </cell>
          <cell r="C442" t="str">
            <v xml:space="preserve">quatre cent quarante et un </v>
          </cell>
        </row>
        <row r="443">
          <cell r="B443">
            <v>442</v>
          </cell>
          <cell r="C443" t="str">
            <v xml:space="preserve">quatre cent quarante-deux </v>
          </cell>
        </row>
        <row r="444">
          <cell r="B444">
            <v>443</v>
          </cell>
          <cell r="C444" t="str">
            <v xml:space="preserve">quatre cent quarante-trois </v>
          </cell>
        </row>
        <row r="445">
          <cell r="B445">
            <v>444</v>
          </cell>
          <cell r="C445" t="str">
            <v xml:space="preserve">quatre cent quarante-quatre </v>
          </cell>
        </row>
        <row r="446">
          <cell r="B446">
            <v>445</v>
          </cell>
          <cell r="C446" t="str">
            <v xml:space="preserve">quatre cent quarante-cinq </v>
          </cell>
        </row>
        <row r="447">
          <cell r="B447">
            <v>446</v>
          </cell>
          <cell r="C447" t="str">
            <v xml:space="preserve">quatre cent quarante-six </v>
          </cell>
        </row>
        <row r="448">
          <cell r="B448">
            <v>447</v>
          </cell>
          <cell r="C448" t="str">
            <v xml:space="preserve">quatre cent quarante-sept </v>
          </cell>
        </row>
        <row r="449">
          <cell r="B449">
            <v>448</v>
          </cell>
          <cell r="C449" t="str">
            <v xml:space="preserve">quatre cent quarante-huit </v>
          </cell>
        </row>
        <row r="450">
          <cell r="B450">
            <v>449</v>
          </cell>
          <cell r="C450" t="str">
            <v xml:space="preserve">quatre cent quarante-neuf </v>
          </cell>
        </row>
        <row r="451">
          <cell r="B451">
            <v>450</v>
          </cell>
          <cell r="C451" t="str">
            <v xml:space="preserve">quatre cent cinquante </v>
          </cell>
        </row>
        <row r="452">
          <cell r="B452">
            <v>451</v>
          </cell>
          <cell r="C452" t="str">
            <v xml:space="preserve">quatre cent cinquante et un </v>
          </cell>
        </row>
        <row r="453">
          <cell r="B453">
            <v>452</v>
          </cell>
          <cell r="C453" t="str">
            <v xml:space="preserve">quatre cent cinquante-deux </v>
          </cell>
        </row>
        <row r="454">
          <cell r="B454">
            <v>453</v>
          </cell>
          <cell r="C454" t="str">
            <v xml:space="preserve">quatre cent cinquante-trois </v>
          </cell>
        </row>
        <row r="455">
          <cell r="B455">
            <v>454</v>
          </cell>
          <cell r="C455" t="str">
            <v xml:space="preserve">quatre cent cinquante-quatre </v>
          </cell>
        </row>
        <row r="456">
          <cell r="B456">
            <v>455</v>
          </cell>
          <cell r="C456" t="str">
            <v xml:space="preserve">quatre cent cinquante-cinq </v>
          </cell>
        </row>
        <row r="457">
          <cell r="B457">
            <v>456</v>
          </cell>
          <cell r="C457" t="str">
            <v xml:space="preserve">quatre cent cinquante-six </v>
          </cell>
        </row>
        <row r="458">
          <cell r="B458">
            <v>457</v>
          </cell>
          <cell r="C458" t="str">
            <v xml:space="preserve">quatre cent cinquante-sept </v>
          </cell>
        </row>
        <row r="459">
          <cell r="B459">
            <v>458</v>
          </cell>
          <cell r="C459" t="str">
            <v xml:space="preserve">quatre cent cinquante-huit </v>
          </cell>
        </row>
        <row r="460">
          <cell r="B460">
            <v>459</v>
          </cell>
          <cell r="C460" t="str">
            <v xml:space="preserve">quatre cent cinquante-neuf </v>
          </cell>
        </row>
        <row r="461">
          <cell r="B461">
            <v>460</v>
          </cell>
          <cell r="C461" t="str">
            <v xml:space="preserve">quatre cent soixante </v>
          </cell>
        </row>
        <row r="462">
          <cell r="B462">
            <v>461</v>
          </cell>
          <cell r="C462" t="str">
            <v xml:space="preserve">quatre cent soixante et un </v>
          </cell>
        </row>
        <row r="463">
          <cell r="B463">
            <v>462</v>
          </cell>
          <cell r="C463" t="str">
            <v xml:space="preserve">quatre cent soixante-deux </v>
          </cell>
        </row>
        <row r="464">
          <cell r="B464">
            <v>463</v>
          </cell>
          <cell r="C464" t="str">
            <v xml:space="preserve">quatre cent soixante-trois </v>
          </cell>
        </row>
        <row r="465">
          <cell r="B465">
            <v>464</v>
          </cell>
          <cell r="C465" t="str">
            <v xml:space="preserve">quatre cent soixante-quatre </v>
          </cell>
        </row>
        <row r="466">
          <cell r="B466">
            <v>465</v>
          </cell>
          <cell r="C466" t="str">
            <v xml:space="preserve">quatre cent soixante-cinq </v>
          </cell>
        </row>
        <row r="467">
          <cell r="B467">
            <v>466</v>
          </cell>
          <cell r="C467" t="str">
            <v xml:space="preserve">quatre cent soixante-six </v>
          </cell>
        </row>
        <row r="468">
          <cell r="B468">
            <v>467</v>
          </cell>
          <cell r="C468" t="str">
            <v xml:space="preserve">quatre cent soixante-sept </v>
          </cell>
        </row>
        <row r="469">
          <cell r="B469">
            <v>468</v>
          </cell>
          <cell r="C469" t="str">
            <v xml:space="preserve">quatre cent soixante-huit </v>
          </cell>
        </row>
        <row r="470">
          <cell r="B470">
            <v>469</v>
          </cell>
          <cell r="C470" t="str">
            <v xml:space="preserve">quatre cent soixante-neuf </v>
          </cell>
        </row>
        <row r="471">
          <cell r="B471">
            <v>470</v>
          </cell>
          <cell r="C471" t="str">
            <v xml:space="preserve">quatre cent soixante-dix </v>
          </cell>
        </row>
        <row r="472">
          <cell r="B472">
            <v>471</v>
          </cell>
          <cell r="C472" t="str">
            <v xml:space="preserve">quatre cent soixante et onze </v>
          </cell>
        </row>
        <row r="473">
          <cell r="B473">
            <v>472</v>
          </cell>
          <cell r="C473" t="str">
            <v xml:space="preserve">quatre cent soixante-douze </v>
          </cell>
        </row>
        <row r="474">
          <cell r="B474">
            <v>473</v>
          </cell>
          <cell r="C474" t="str">
            <v xml:space="preserve">quatre cent soixante-treize </v>
          </cell>
        </row>
        <row r="475">
          <cell r="B475">
            <v>474</v>
          </cell>
          <cell r="C475" t="str">
            <v xml:space="preserve">quatre cent soixante-quatorze </v>
          </cell>
        </row>
        <row r="476">
          <cell r="B476">
            <v>475</v>
          </cell>
          <cell r="C476" t="str">
            <v xml:space="preserve">quatre cent soixante-quinze </v>
          </cell>
        </row>
        <row r="477">
          <cell r="B477">
            <v>476</v>
          </cell>
          <cell r="C477" t="str">
            <v xml:space="preserve">quatre cent soixante-seize </v>
          </cell>
        </row>
        <row r="478">
          <cell r="B478">
            <v>477</v>
          </cell>
          <cell r="C478" t="str">
            <v xml:space="preserve">quatre cent soixante-dix-sept </v>
          </cell>
        </row>
        <row r="479">
          <cell r="B479">
            <v>478</v>
          </cell>
          <cell r="C479" t="str">
            <v xml:space="preserve">quatre cent soixante-dix-huit </v>
          </cell>
        </row>
        <row r="480">
          <cell r="B480">
            <v>479</v>
          </cell>
          <cell r="C480" t="str">
            <v xml:space="preserve">quatre cent soixante-dix-neuf </v>
          </cell>
        </row>
        <row r="481">
          <cell r="B481">
            <v>480</v>
          </cell>
          <cell r="C481" t="str">
            <v xml:space="preserve">quatre cent quatre-vingts </v>
          </cell>
        </row>
        <row r="482">
          <cell r="B482">
            <v>481</v>
          </cell>
          <cell r="C482" t="str">
            <v xml:space="preserve">quatre cent quatre-vingt-un </v>
          </cell>
        </row>
        <row r="483">
          <cell r="B483">
            <v>482</v>
          </cell>
          <cell r="C483" t="str">
            <v xml:space="preserve">quatre cent quatre-vingt-deux </v>
          </cell>
        </row>
        <row r="484">
          <cell r="B484">
            <v>483</v>
          </cell>
          <cell r="C484" t="str">
            <v xml:space="preserve">quatre cent quatre-vingt-trois </v>
          </cell>
        </row>
        <row r="485">
          <cell r="B485">
            <v>484</v>
          </cell>
          <cell r="C485" t="str">
            <v xml:space="preserve">quatre cent quatre-vingt-quatre </v>
          </cell>
        </row>
        <row r="486">
          <cell r="B486">
            <v>485</v>
          </cell>
          <cell r="C486" t="str">
            <v xml:space="preserve">quatre cent quatre-vingt-cinq </v>
          </cell>
        </row>
        <row r="487">
          <cell r="B487">
            <v>486</v>
          </cell>
          <cell r="C487" t="str">
            <v xml:space="preserve">quatre cent quatre-vingt-six </v>
          </cell>
        </row>
        <row r="488">
          <cell r="B488">
            <v>487</v>
          </cell>
          <cell r="C488" t="str">
            <v xml:space="preserve">quatre cent quatre-vingt-sept </v>
          </cell>
        </row>
        <row r="489">
          <cell r="B489">
            <v>488</v>
          </cell>
          <cell r="C489" t="str">
            <v xml:space="preserve">quatre cent quatre-vingt-huit </v>
          </cell>
        </row>
        <row r="490">
          <cell r="B490">
            <v>489</v>
          </cell>
          <cell r="C490" t="str">
            <v xml:space="preserve">quatre cent quatre-vingt-neuf </v>
          </cell>
        </row>
        <row r="491">
          <cell r="B491">
            <v>490</v>
          </cell>
          <cell r="C491" t="str">
            <v xml:space="preserve">quatre cent quatre-vingt-dix </v>
          </cell>
        </row>
        <row r="492">
          <cell r="B492">
            <v>491</v>
          </cell>
          <cell r="C492" t="str">
            <v xml:space="preserve">quatre cent quatre-vingt-onze </v>
          </cell>
        </row>
        <row r="493">
          <cell r="B493">
            <v>492</v>
          </cell>
          <cell r="C493" t="str">
            <v xml:space="preserve">quatre cent quatre-vingt-douze </v>
          </cell>
        </row>
        <row r="494">
          <cell r="B494">
            <v>493</v>
          </cell>
          <cell r="C494" t="str">
            <v xml:space="preserve">quatre cent quatre-vingt-treize </v>
          </cell>
        </row>
        <row r="495">
          <cell r="B495">
            <v>494</v>
          </cell>
          <cell r="C495" t="str">
            <v xml:space="preserve">quatre cent quatre-vingt-quatorze </v>
          </cell>
        </row>
        <row r="496">
          <cell r="B496">
            <v>495</v>
          </cell>
          <cell r="C496" t="str">
            <v xml:space="preserve">quatre cent quatre-vingt-quinze </v>
          </cell>
        </row>
        <row r="497">
          <cell r="B497">
            <v>496</v>
          </cell>
          <cell r="C497" t="str">
            <v xml:space="preserve">quatre cent quatre-vingt-seize </v>
          </cell>
        </row>
        <row r="498">
          <cell r="B498">
            <v>497</v>
          </cell>
          <cell r="C498" t="str">
            <v xml:space="preserve">quatre cent quatre-vingt-dix-sept </v>
          </cell>
        </row>
        <row r="499">
          <cell r="B499">
            <v>498</v>
          </cell>
          <cell r="C499" t="str">
            <v xml:space="preserve">quatre cent quatre-vingt-dix-huit </v>
          </cell>
        </row>
        <row r="500">
          <cell r="B500">
            <v>499</v>
          </cell>
          <cell r="C500" t="str">
            <v xml:space="preserve">quatre cent quatre-vingt-dix-neuf </v>
          </cell>
        </row>
        <row r="501">
          <cell r="B501">
            <v>500</v>
          </cell>
          <cell r="C501" t="str">
            <v xml:space="preserve">cinq cents </v>
          </cell>
        </row>
        <row r="502">
          <cell r="B502">
            <v>501</v>
          </cell>
          <cell r="C502" t="str">
            <v xml:space="preserve">cinq cent un </v>
          </cell>
        </row>
        <row r="503">
          <cell r="B503">
            <v>502</v>
          </cell>
          <cell r="C503" t="str">
            <v xml:space="preserve">cinq cent deux </v>
          </cell>
        </row>
        <row r="504">
          <cell r="B504">
            <v>503</v>
          </cell>
          <cell r="C504" t="str">
            <v xml:space="preserve">cinq cent trois </v>
          </cell>
        </row>
        <row r="505">
          <cell r="B505">
            <v>504</v>
          </cell>
          <cell r="C505" t="str">
            <v xml:space="preserve">cinq cent quatre </v>
          </cell>
        </row>
        <row r="506">
          <cell r="B506">
            <v>505</v>
          </cell>
          <cell r="C506" t="str">
            <v xml:space="preserve">cinq cent cinq </v>
          </cell>
        </row>
        <row r="507">
          <cell r="B507">
            <v>506</v>
          </cell>
          <cell r="C507" t="str">
            <v xml:space="preserve">cinq cent six </v>
          </cell>
        </row>
        <row r="508">
          <cell r="B508">
            <v>507</v>
          </cell>
          <cell r="C508" t="str">
            <v xml:space="preserve">cinq cent sept </v>
          </cell>
        </row>
        <row r="509">
          <cell r="B509">
            <v>508</v>
          </cell>
          <cell r="C509" t="str">
            <v xml:space="preserve">cinq cent huit </v>
          </cell>
        </row>
        <row r="510">
          <cell r="B510">
            <v>509</v>
          </cell>
          <cell r="C510" t="str">
            <v xml:space="preserve">cinq cent neuf </v>
          </cell>
        </row>
        <row r="511">
          <cell r="B511">
            <v>510</v>
          </cell>
          <cell r="C511" t="str">
            <v xml:space="preserve">cinq cent dix </v>
          </cell>
        </row>
        <row r="512">
          <cell r="B512">
            <v>511</v>
          </cell>
          <cell r="C512" t="str">
            <v xml:space="preserve">cinq cent onze </v>
          </cell>
        </row>
        <row r="513">
          <cell r="B513">
            <v>512</v>
          </cell>
          <cell r="C513" t="str">
            <v xml:space="preserve">cinq cent douze </v>
          </cell>
        </row>
        <row r="514">
          <cell r="B514">
            <v>513</v>
          </cell>
          <cell r="C514" t="str">
            <v xml:space="preserve">cinq cent treize </v>
          </cell>
        </row>
        <row r="515">
          <cell r="B515">
            <v>514</v>
          </cell>
          <cell r="C515" t="str">
            <v xml:space="preserve">cinq cent quatorze </v>
          </cell>
        </row>
        <row r="516">
          <cell r="B516">
            <v>515</v>
          </cell>
          <cell r="C516" t="str">
            <v xml:space="preserve">cinq cent quinze </v>
          </cell>
        </row>
        <row r="517">
          <cell r="B517">
            <v>516</v>
          </cell>
          <cell r="C517" t="str">
            <v xml:space="preserve">cinq cent seize </v>
          </cell>
        </row>
        <row r="518">
          <cell r="B518">
            <v>517</v>
          </cell>
          <cell r="C518" t="str">
            <v xml:space="preserve">cinq cent dix-sept </v>
          </cell>
        </row>
        <row r="519">
          <cell r="B519">
            <v>518</v>
          </cell>
          <cell r="C519" t="str">
            <v xml:space="preserve">cinq cent dix-huit </v>
          </cell>
        </row>
        <row r="520">
          <cell r="B520">
            <v>519</v>
          </cell>
          <cell r="C520" t="str">
            <v xml:space="preserve">cinq cent dix-neuf </v>
          </cell>
        </row>
        <row r="521">
          <cell r="B521">
            <v>520</v>
          </cell>
          <cell r="C521" t="str">
            <v xml:space="preserve">cinq cent vingt </v>
          </cell>
        </row>
        <row r="522">
          <cell r="B522">
            <v>521</v>
          </cell>
          <cell r="C522" t="str">
            <v xml:space="preserve">cinq cent vingt et un </v>
          </cell>
        </row>
        <row r="523">
          <cell r="B523">
            <v>522</v>
          </cell>
          <cell r="C523" t="str">
            <v xml:space="preserve">cinq cent vingt-deux </v>
          </cell>
        </row>
        <row r="524">
          <cell r="B524">
            <v>523</v>
          </cell>
          <cell r="C524" t="str">
            <v xml:space="preserve">cinq cent vingt-trois </v>
          </cell>
        </row>
        <row r="525">
          <cell r="B525">
            <v>524</v>
          </cell>
          <cell r="C525" t="str">
            <v xml:space="preserve">cinq cent vingt-quatre </v>
          </cell>
        </row>
        <row r="526">
          <cell r="B526">
            <v>525</v>
          </cell>
          <cell r="C526" t="str">
            <v xml:space="preserve">cinq cent vingt-cinq </v>
          </cell>
        </row>
        <row r="527">
          <cell r="B527">
            <v>526</v>
          </cell>
          <cell r="C527" t="str">
            <v xml:space="preserve">cinq cent vingt-six </v>
          </cell>
        </row>
        <row r="528">
          <cell r="B528">
            <v>527</v>
          </cell>
          <cell r="C528" t="str">
            <v xml:space="preserve">cinq cent vingt-sept </v>
          </cell>
        </row>
        <row r="529">
          <cell r="B529">
            <v>528</v>
          </cell>
          <cell r="C529" t="str">
            <v xml:space="preserve">cinq cent vingt-huit </v>
          </cell>
        </row>
        <row r="530">
          <cell r="B530">
            <v>529</v>
          </cell>
          <cell r="C530" t="str">
            <v xml:space="preserve">cinq cent vingt-neuf </v>
          </cell>
        </row>
        <row r="531">
          <cell r="B531">
            <v>530</v>
          </cell>
          <cell r="C531" t="str">
            <v xml:space="preserve">cinq cent trente </v>
          </cell>
        </row>
        <row r="532">
          <cell r="B532">
            <v>531</v>
          </cell>
          <cell r="C532" t="str">
            <v xml:space="preserve">cinq cent trente et un </v>
          </cell>
        </row>
        <row r="533">
          <cell r="B533">
            <v>532</v>
          </cell>
          <cell r="C533" t="str">
            <v xml:space="preserve">cinq cent trente-deux </v>
          </cell>
        </row>
        <row r="534">
          <cell r="B534">
            <v>533</v>
          </cell>
          <cell r="C534" t="str">
            <v xml:space="preserve">cinq cent trente-trois </v>
          </cell>
        </row>
        <row r="535">
          <cell r="B535">
            <v>534</v>
          </cell>
          <cell r="C535" t="str">
            <v xml:space="preserve">cinq cent trente-quatre </v>
          </cell>
        </row>
        <row r="536">
          <cell r="B536">
            <v>535</v>
          </cell>
          <cell r="C536" t="str">
            <v xml:space="preserve">cinq cent trente-cinq </v>
          </cell>
        </row>
        <row r="537">
          <cell r="B537">
            <v>536</v>
          </cell>
          <cell r="C537" t="str">
            <v xml:space="preserve">cinq cent trente-six </v>
          </cell>
        </row>
        <row r="538">
          <cell r="B538">
            <v>537</v>
          </cell>
          <cell r="C538" t="str">
            <v xml:space="preserve">cinq cent trente-sept </v>
          </cell>
        </row>
        <row r="539">
          <cell r="B539">
            <v>538</v>
          </cell>
          <cell r="C539" t="str">
            <v xml:space="preserve">cinq cent trente-huit </v>
          </cell>
        </row>
        <row r="540">
          <cell r="B540">
            <v>539</v>
          </cell>
          <cell r="C540" t="str">
            <v xml:space="preserve">cinq cent trente-neuf </v>
          </cell>
        </row>
        <row r="541">
          <cell r="B541">
            <v>540</v>
          </cell>
          <cell r="C541" t="str">
            <v xml:space="preserve">cinq cent quarante </v>
          </cell>
        </row>
        <row r="542">
          <cell r="B542">
            <v>541</v>
          </cell>
          <cell r="C542" t="str">
            <v xml:space="preserve">cinq cent quarante et un </v>
          </cell>
        </row>
        <row r="543">
          <cell r="B543">
            <v>542</v>
          </cell>
          <cell r="C543" t="str">
            <v xml:space="preserve">cinq cent quarante-deux </v>
          </cell>
        </row>
        <row r="544">
          <cell r="B544">
            <v>543</v>
          </cell>
          <cell r="C544" t="str">
            <v xml:space="preserve">cinq cent quarante-trois </v>
          </cell>
        </row>
        <row r="545">
          <cell r="B545">
            <v>544</v>
          </cell>
          <cell r="C545" t="str">
            <v xml:space="preserve">cinq cent quarante-quatre </v>
          </cell>
        </row>
        <row r="546">
          <cell r="B546">
            <v>545</v>
          </cell>
          <cell r="C546" t="str">
            <v xml:space="preserve">cinq cent quarante-cinq </v>
          </cell>
        </row>
        <row r="547">
          <cell r="B547">
            <v>546</v>
          </cell>
          <cell r="C547" t="str">
            <v xml:space="preserve">cinq cent quarante-six </v>
          </cell>
        </row>
        <row r="548">
          <cell r="B548">
            <v>547</v>
          </cell>
          <cell r="C548" t="str">
            <v xml:space="preserve">cinq cent quarante-sept </v>
          </cell>
        </row>
        <row r="549">
          <cell r="B549">
            <v>548</v>
          </cell>
          <cell r="C549" t="str">
            <v xml:space="preserve">cinq cent quarante-huit </v>
          </cell>
        </row>
        <row r="550">
          <cell r="B550">
            <v>549</v>
          </cell>
          <cell r="C550" t="str">
            <v xml:space="preserve">cinq cent quarante-neuf </v>
          </cell>
        </row>
        <row r="551">
          <cell r="B551">
            <v>550</v>
          </cell>
          <cell r="C551" t="str">
            <v xml:space="preserve">cinq cent cinquante </v>
          </cell>
        </row>
        <row r="552">
          <cell r="B552">
            <v>551</v>
          </cell>
          <cell r="C552" t="str">
            <v xml:space="preserve">cinq cent cinquante et un </v>
          </cell>
        </row>
        <row r="553">
          <cell r="B553">
            <v>552</v>
          </cell>
          <cell r="C553" t="str">
            <v xml:space="preserve">cinq cent cinquante-deux </v>
          </cell>
        </row>
        <row r="554">
          <cell r="B554">
            <v>553</v>
          </cell>
          <cell r="C554" t="str">
            <v xml:space="preserve">cinq cent cinquante-trois </v>
          </cell>
        </row>
        <row r="555">
          <cell r="B555">
            <v>554</v>
          </cell>
          <cell r="C555" t="str">
            <v xml:space="preserve">cinq cent cinquante-quatre </v>
          </cell>
        </row>
        <row r="556">
          <cell r="B556">
            <v>555</v>
          </cell>
          <cell r="C556" t="str">
            <v xml:space="preserve">cinq cent cinquante-cinq </v>
          </cell>
        </row>
        <row r="557">
          <cell r="B557">
            <v>556</v>
          </cell>
          <cell r="C557" t="str">
            <v xml:space="preserve">cinq cent cinquante-six </v>
          </cell>
        </row>
        <row r="558">
          <cell r="B558">
            <v>557</v>
          </cell>
          <cell r="C558" t="str">
            <v xml:space="preserve">cinq cent cinquante-sept </v>
          </cell>
        </row>
        <row r="559">
          <cell r="B559">
            <v>558</v>
          </cell>
          <cell r="C559" t="str">
            <v xml:space="preserve">cinq cent cinquante-huit </v>
          </cell>
        </row>
        <row r="560">
          <cell r="B560">
            <v>559</v>
          </cell>
          <cell r="C560" t="str">
            <v xml:space="preserve">cinq cent cinquante-neuf </v>
          </cell>
        </row>
        <row r="561">
          <cell r="B561">
            <v>560</v>
          </cell>
          <cell r="C561" t="str">
            <v xml:space="preserve">cinq cent soixante </v>
          </cell>
        </row>
        <row r="562">
          <cell r="B562">
            <v>561</v>
          </cell>
          <cell r="C562" t="str">
            <v xml:space="preserve">cinq cent soixante et un </v>
          </cell>
        </row>
        <row r="563">
          <cell r="B563">
            <v>562</v>
          </cell>
          <cell r="C563" t="str">
            <v xml:space="preserve">cinq cent soixante-deux </v>
          </cell>
        </row>
        <row r="564">
          <cell r="B564">
            <v>563</v>
          </cell>
          <cell r="C564" t="str">
            <v xml:space="preserve">cinq cent soixante-trois </v>
          </cell>
        </row>
        <row r="565">
          <cell r="B565">
            <v>564</v>
          </cell>
          <cell r="C565" t="str">
            <v xml:space="preserve">cinq cent soixante-quatre </v>
          </cell>
        </row>
        <row r="566">
          <cell r="B566">
            <v>565</v>
          </cell>
          <cell r="C566" t="str">
            <v xml:space="preserve">cinq cent soixante-cinq </v>
          </cell>
        </row>
        <row r="567">
          <cell r="B567">
            <v>566</v>
          </cell>
          <cell r="C567" t="str">
            <v xml:space="preserve">cinq cent soixante-six </v>
          </cell>
        </row>
        <row r="568">
          <cell r="B568">
            <v>567</v>
          </cell>
          <cell r="C568" t="str">
            <v xml:space="preserve">cinq cent soixante-sept </v>
          </cell>
        </row>
        <row r="569">
          <cell r="B569">
            <v>568</v>
          </cell>
          <cell r="C569" t="str">
            <v xml:space="preserve">cinq cent soixante-huit </v>
          </cell>
        </row>
        <row r="570">
          <cell r="B570">
            <v>569</v>
          </cell>
          <cell r="C570" t="str">
            <v xml:space="preserve">cinq cent soixante-neuf </v>
          </cell>
        </row>
        <row r="571">
          <cell r="B571">
            <v>570</v>
          </cell>
          <cell r="C571" t="str">
            <v xml:space="preserve">cinq cent soixante-dix </v>
          </cell>
        </row>
        <row r="572">
          <cell r="B572">
            <v>571</v>
          </cell>
          <cell r="C572" t="str">
            <v xml:space="preserve">cinq cent soixante et onze </v>
          </cell>
        </row>
        <row r="573">
          <cell r="B573">
            <v>572</v>
          </cell>
          <cell r="C573" t="str">
            <v xml:space="preserve">cinq cent soixante-douze </v>
          </cell>
        </row>
        <row r="574">
          <cell r="B574">
            <v>573</v>
          </cell>
          <cell r="C574" t="str">
            <v xml:space="preserve">cinq cent soixante-treize </v>
          </cell>
        </row>
        <row r="575">
          <cell r="B575">
            <v>574</v>
          </cell>
          <cell r="C575" t="str">
            <v xml:space="preserve">cinq cent soixante-quatorze </v>
          </cell>
        </row>
        <row r="576">
          <cell r="B576">
            <v>575</v>
          </cell>
          <cell r="C576" t="str">
            <v xml:space="preserve">cinq cent soixante-quinze </v>
          </cell>
        </row>
        <row r="577">
          <cell r="B577">
            <v>576</v>
          </cell>
          <cell r="C577" t="str">
            <v xml:space="preserve">cinq cent soixante-seize </v>
          </cell>
        </row>
        <row r="578">
          <cell r="B578">
            <v>577</v>
          </cell>
          <cell r="C578" t="str">
            <v xml:space="preserve">cinq cent soixante-dix-sept </v>
          </cell>
        </row>
        <row r="579">
          <cell r="B579">
            <v>578</v>
          </cell>
          <cell r="C579" t="str">
            <v xml:space="preserve">cinq cent soixante-dix-huit </v>
          </cell>
        </row>
        <row r="580">
          <cell r="B580">
            <v>579</v>
          </cell>
          <cell r="C580" t="str">
            <v xml:space="preserve">cinq cent soixante-dix-neuf </v>
          </cell>
        </row>
        <row r="581">
          <cell r="B581">
            <v>580</v>
          </cell>
          <cell r="C581" t="str">
            <v xml:space="preserve">cinq cent quatre-vingts </v>
          </cell>
        </row>
        <row r="582">
          <cell r="B582">
            <v>581</v>
          </cell>
          <cell r="C582" t="str">
            <v xml:space="preserve">cinq cent quatre-vingt-un </v>
          </cell>
        </row>
        <row r="583">
          <cell r="B583">
            <v>582</v>
          </cell>
          <cell r="C583" t="str">
            <v xml:space="preserve">cinq cent quatre-vingt-deux </v>
          </cell>
        </row>
        <row r="584">
          <cell r="B584">
            <v>583</v>
          </cell>
          <cell r="C584" t="str">
            <v xml:space="preserve">cinq cent quatre-vingt-trois </v>
          </cell>
        </row>
        <row r="585">
          <cell r="B585">
            <v>584</v>
          </cell>
          <cell r="C585" t="str">
            <v xml:space="preserve">cinq cent quatre-vingt-quatre </v>
          </cell>
        </row>
        <row r="586">
          <cell r="B586">
            <v>585</v>
          </cell>
          <cell r="C586" t="str">
            <v xml:space="preserve">cinq cent quatre-vingt-cinq </v>
          </cell>
        </row>
        <row r="587">
          <cell r="B587">
            <v>586</v>
          </cell>
          <cell r="C587" t="str">
            <v xml:space="preserve">cinq cent quatre-vingt-six </v>
          </cell>
        </row>
        <row r="588">
          <cell r="B588">
            <v>587</v>
          </cell>
          <cell r="C588" t="str">
            <v xml:space="preserve">cinq cent quatre-vingt-sept </v>
          </cell>
        </row>
        <row r="589">
          <cell r="B589">
            <v>588</v>
          </cell>
          <cell r="C589" t="str">
            <v xml:space="preserve">cinq cent quatre-vingt-huit </v>
          </cell>
        </row>
        <row r="590">
          <cell r="B590">
            <v>589</v>
          </cell>
          <cell r="C590" t="str">
            <v xml:space="preserve">cinq cent quatre-vingt-neuf </v>
          </cell>
        </row>
        <row r="591">
          <cell r="B591">
            <v>590</v>
          </cell>
          <cell r="C591" t="str">
            <v xml:space="preserve">cinq cent quatre-vingt-dix </v>
          </cell>
        </row>
        <row r="592">
          <cell r="B592">
            <v>591</v>
          </cell>
          <cell r="C592" t="str">
            <v xml:space="preserve">cinq cent quatre-vingt-onze </v>
          </cell>
        </row>
        <row r="593">
          <cell r="B593">
            <v>592</v>
          </cell>
          <cell r="C593" t="str">
            <v xml:space="preserve">cinq cent quatre-vingt-douze </v>
          </cell>
        </row>
        <row r="594">
          <cell r="B594">
            <v>593</v>
          </cell>
          <cell r="C594" t="str">
            <v xml:space="preserve">cinq cent quatre-vingt-treize </v>
          </cell>
        </row>
        <row r="595">
          <cell r="B595">
            <v>594</v>
          </cell>
          <cell r="C595" t="str">
            <v xml:space="preserve">cinq cent quatre-vingt-quatorze </v>
          </cell>
        </row>
        <row r="596">
          <cell r="B596">
            <v>595</v>
          </cell>
          <cell r="C596" t="str">
            <v xml:space="preserve">cinq cent quatre-vingt-quinze </v>
          </cell>
        </row>
        <row r="597">
          <cell r="B597">
            <v>596</v>
          </cell>
          <cell r="C597" t="str">
            <v xml:space="preserve">cinq cent quatre-vingt-seize </v>
          </cell>
        </row>
        <row r="598">
          <cell r="B598">
            <v>597</v>
          </cell>
          <cell r="C598" t="str">
            <v xml:space="preserve">cinq cent quatre-vingt-dix-sept </v>
          </cell>
        </row>
        <row r="599">
          <cell r="B599">
            <v>598</v>
          </cell>
          <cell r="C599" t="str">
            <v xml:space="preserve">cinq cent quatre-vingt-dix-huit </v>
          </cell>
        </row>
        <row r="600">
          <cell r="B600">
            <v>599</v>
          </cell>
          <cell r="C600" t="str">
            <v xml:space="preserve">cinq cent quatre-vingt-dix-neuf </v>
          </cell>
        </row>
        <row r="601">
          <cell r="B601">
            <v>600</v>
          </cell>
          <cell r="C601" t="str">
            <v xml:space="preserve">six cents </v>
          </cell>
        </row>
        <row r="602">
          <cell r="B602">
            <v>601</v>
          </cell>
          <cell r="C602" t="str">
            <v xml:space="preserve">six cent un </v>
          </cell>
        </row>
        <row r="603">
          <cell r="B603">
            <v>602</v>
          </cell>
          <cell r="C603" t="str">
            <v xml:space="preserve">six cent deux </v>
          </cell>
        </row>
        <row r="604">
          <cell r="B604">
            <v>603</v>
          </cell>
          <cell r="C604" t="str">
            <v xml:space="preserve">six cent trois </v>
          </cell>
        </row>
        <row r="605">
          <cell r="B605">
            <v>604</v>
          </cell>
          <cell r="C605" t="str">
            <v xml:space="preserve">six cent quatre </v>
          </cell>
        </row>
        <row r="606">
          <cell r="B606">
            <v>605</v>
          </cell>
          <cell r="C606" t="str">
            <v xml:space="preserve">six cent cinq </v>
          </cell>
        </row>
        <row r="607">
          <cell r="B607">
            <v>606</v>
          </cell>
          <cell r="C607" t="str">
            <v xml:space="preserve">six cent six </v>
          </cell>
        </row>
        <row r="608">
          <cell r="B608">
            <v>607</v>
          </cell>
          <cell r="C608" t="str">
            <v xml:space="preserve">six cent sept </v>
          </cell>
        </row>
        <row r="609">
          <cell r="B609">
            <v>608</v>
          </cell>
          <cell r="C609" t="str">
            <v xml:space="preserve">six cent huit </v>
          </cell>
        </row>
        <row r="610">
          <cell r="B610">
            <v>609</v>
          </cell>
          <cell r="C610" t="str">
            <v xml:space="preserve">six cent neuf </v>
          </cell>
        </row>
        <row r="611">
          <cell r="B611">
            <v>610</v>
          </cell>
          <cell r="C611" t="str">
            <v xml:space="preserve">six cent dix </v>
          </cell>
        </row>
        <row r="612">
          <cell r="B612">
            <v>611</v>
          </cell>
          <cell r="C612" t="str">
            <v xml:space="preserve">six cent onze </v>
          </cell>
        </row>
        <row r="613">
          <cell r="B613">
            <v>612</v>
          </cell>
          <cell r="C613" t="str">
            <v xml:space="preserve">six cent douze </v>
          </cell>
        </row>
        <row r="614">
          <cell r="B614">
            <v>613</v>
          </cell>
          <cell r="C614" t="str">
            <v xml:space="preserve">six cent treize </v>
          </cell>
        </row>
        <row r="615">
          <cell r="B615">
            <v>614</v>
          </cell>
          <cell r="C615" t="str">
            <v xml:space="preserve">six cent quatorze </v>
          </cell>
        </row>
        <row r="616">
          <cell r="B616">
            <v>615</v>
          </cell>
          <cell r="C616" t="str">
            <v xml:space="preserve">six cent quinze </v>
          </cell>
        </row>
        <row r="617">
          <cell r="B617">
            <v>616</v>
          </cell>
          <cell r="C617" t="str">
            <v xml:space="preserve">six cent seize </v>
          </cell>
        </row>
        <row r="618">
          <cell r="B618">
            <v>617</v>
          </cell>
          <cell r="C618" t="str">
            <v xml:space="preserve">six cent dix-sept </v>
          </cell>
        </row>
        <row r="619">
          <cell r="B619">
            <v>618</v>
          </cell>
          <cell r="C619" t="str">
            <v xml:space="preserve">six cent dix-huit </v>
          </cell>
        </row>
        <row r="620">
          <cell r="B620">
            <v>619</v>
          </cell>
          <cell r="C620" t="str">
            <v xml:space="preserve">six cent dix-neuf </v>
          </cell>
        </row>
        <row r="621">
          <cell r="B621">
            <v>620</v>
          </cell>
          <cell r="C621" t="str">
            <v xml:space="preserve">six cent vingt </v>
          </cell>
        </row>
        <row r="622">
          <cell r="B622">
            <v>621</v>
          </cell>
          <cell r="C622" t="str">
            <v xml:space="preserve">six cent vingt et un </v>
          </cell>
        </row>
        <row r="623">
          <cell r="B623">
            <v>622</v>
          </cell>
          <cell r="C623" t="str">
            <v xml:space="preserve">six cent vingt-deux </v>
          </cell>
        </row>
        <row r="624">
          <cell r="B624">
            <v>623</v>
          </cell>
          <cell r="C624" t="str">
            <v xml:space="preserve">six cent vingt-trois </v>
          </cell>
        </row>
        <row r="625">
          <cell r="B625">
            <v>624</v>
          </cell>
          <cell r="C625" t="str">
            <v xml:space="preserve">six cent vingt-quatre </v>
          </cell>
        </row>
        <row r="626">
          <cell r="B626">
            <v>625</v>
          </cell>
          <cell r="C626" t="str">
            <v xml:space="preserve">six cent vingt-cinq </v>
          </cell>
        </row>
        <row r="627">
          <cell r="B627">
            <v>626</v>
          </cell>
          <cell r="C627" t="str">
            <v xml:space="preserve">six cent vingt-six </v>
          </cell>
        </row>
        <row r="628">
          <cell r="B628">
            <v>627</v>
          </cell>
          <cell r="C628" t="str">
            <v xml:space="preserve">six cent vingt-sept </v>
          </cell>
        </row>
        <row r="629">
          <cell r="B629">
            <v>628</v>
          </cell>
          <cell r="C629" t="str">
            <v xml:space="preserve">six cent vingt-huit </v>
          </cell>
        </row>
        <row r="630">
          <cell r="B630">
            <v>629</v>
          </cell>
          <cell r="C630" t="str">
            <v xml:space="preserve">six cent vingt-neuf </v>
          </cell>
        </row>
        <row r="631">
          <cell r="B631">
            <v>630</v>
          </cell>
          <cell r="C631" t="str">
            <v xml:space="preserve">six cent trente </v>
          </cell>
        </row>
        <row r="632">
          <cell r="B632">
            <v>631</v>
          </cell>
          <cell r="C632" t="str">
            <v xml:space="preserve">six cent trente et un </v>
          </cell>
        </row>
        <row r="633">
          <cell r="B633">
            <v>632</v>
          </cell>
          <cell r="C633" t="str">
            <v xml:space="preserve">six cent trente-deux </v>
          </cell>
        </row>
        <row r="634">
          <cell r="B634">
            <v>633</v>
          </cell>
          <cell r="C634" t="str">
            <v xml:space="preserve">six cent trente-trois </v>
          </cell>
        </row>
        <row r="635">
          <cell r="B635">
            <v>634</v>
          </cell>
          <cell r="C635" t="str">
            <v xml:space="preserve">six cent trente-quatre </v>
          </cell>
        </row>
        <row r="636">
          <cell r="B636">
            <v>635</v>
          </cell>
          <cell r="C636" t="str">
            <v xml:space="preserve">six cent trente-cinq </v>
          </cell>
        </row>
        <row r="637">
          <cell r="B637">
            <v>636</v>
          </cell>
          <cell r="C637" t="str">
            <v xml:space="preserve">six cent trente-six </v>
          </cell>
        </row>
        <row r="638">
          <cell r="B638">
            <v>637</v>
          </cell>
          <cell r="C638" t="str">
            <v xml:space="preserve">six cent trente-sept </v>
          </cell>
        </row>
        <row r="639">
          <cell r="B639">
            <v>638</v>
          </cell>
          <cell r="C639" t="str">
            <v xml:space="preserve">six cent trente-huit </v>
          </cell>
        </row>
        <row r="640">
          <cell r="B640">
            <v>639</v>
          </cell>
          <cell r="C640" t="str">
            <v xml:space="preserve">six cent trente-neuf </v>
          </cell>
        </row>
        <row r="641">
          <cell r="B641">
            <v>640</v>
          </cell>
          <cell r="C641" t="str">
            <v xml:space="preserve">six cent quarante </v>
          </cell>
        </row>
        <row r="642">
          <cell r="B642">
            <v>641</v>
          </cell>
          <cell r="C642" t="str">
            <v xml:space="preserve">six cent quarante et un </v>
          </cell>
        </row>
        <row r="643">
          <cell r="B643">
            <v>642</v>
          </cell>
          <cell r="C643" t="str">
            <v xml:space="preserve">six cent quarante-deux </v>
          </cell>
        </row>
        <row r="644">
          <cell r="B644">
            <v>643</v>
          </cell>
          <cell r="C644" t="str">
            <v xml:space="preserve">six cent quarante-trois </v>
          </cell>
        </row>
        <row r="645">
          <cell r="B645">
            <v>644</v>
          </cell>
          <cell r="C645" t="str">
            <v xml:space="preserve">six cent quarante-quatre </v>
          </cell>
        </row>
        <row r="646">
          <cell r="B646">
            <v>645</v>
          </cell>
          <cell r="C646" t="str">
            <v xml:space="preserve">six cent quarante-cinq </v>
          </cell>
        </row>
        <row r="647">
          <cell r="B647">
            <v>646</v>
          </cell>
          <cell r="C647" t="str">
            <v xml:space="preserve">six cent quarante-six </v>
          </cell>
        </row>
        <row r="648">
          <cell r="B648">
            <v>647</v>
          </cell>
          <cell r="C648" t="str">
            <v xml:space="preserve">six cent quarante-sept </v>
          </cell>
        </row>
        <row r="649">
          <cell r="B649">
            <v>648</v>
          </cell>
          <cell r="C649" t="str">
            <v xml:space="preserve">six cent quarante-huit </v>
          </cell>
        </row>
        <row r="650">
          <cell r="B650">
            <v>649</v>
          </cell>
          <cell r="C650" t="str">
            <v xml:space="preserve">six cent quarante-neuf </v>
          </cell>
        </row>
        <row r="651">
          <cell r="B651">
            <v>650</v>
          </cell>
          <cell r="C651" t="str">
            <v xml:space="preserve">six cent cinquante </v>
          </cell>
        </row>
        <row r="652">
          <cell r="B652">
            <v>651</v>
          </cell>
          <cell r="C652" t="str">
            <v xml:space="preserve">six cent cinquante et un </v>
          </cell>
        </row>
        <row r="653">
          <cell r="B653">
            <v>652</v>
          </cell>
          <cell r="C653" t="str">
            <v xml:space="preserve">six cent cinquante-deux </v>
          </cell>
        </row>
        <row r="654">
          <cell r="B654">
            <v>653</v>
          </cell>
          <cell r="C654" t="str">
            <v xml:space="preserve">six cent cinquante-trois </v>
          </cell>
        </row>
        <row r="655">
          <cell r="B655">
            <v>654</v>
          </cell>
          <cell r="C655" t="str">
            <v xml:space="preserve">six cent cinquante-quatre </v>
          </cell>
        </row>
        <row r="656">
          <cell r="B656">
            <v>655</v>
          </cell>
          <cell r="C656" t="str">
            <v xml:space="preserve">six cent cinquante-cinq </v>
          </cell>
        </row>
        <row r="657">
          <cell r="B657">
            <v>656</v>
          </cell>
          <cell r="C657" t="str">
            <v xml:space="preserve">six cent cinquante-six </v>
          </cell>
        </row>
        <row r="658">
          <cell r="B658">
            <v>657</v>
          </cell>
          <cell r="C658" t="str">
            <v xml:space="preserve">six cent cinquante-sept </v>
          </cell>
        </row>
        <row r="659">
          <cell r="B659">
            <v>658</v>
          </cell>
          <cell r="C659" t="str">
            <v xml:space="preserve">six cent cinquante-huit </v>
          </cell>
        </row>
        <row r="660">
          <cell r="B660">
            <v>659</v>
          </cell>
          <cell r="C660" t="str">
            <v xml:space="preserve">six cent cinquante-neuf </v>
          </cell>
        </row>
        <row r="661">
          <cell r="B661">
            <v>660</v>
          </cell>
          <cell r="C661" t="str">
            <v xml:space="preserve">six cent soixante </v>
          </cell>
        </row>
        <row r="662">
          <cell r="B662">
            <v>661</v>
          </cell>
          <cell r="C662" t="str">
            <v xml:space="preserve">six cent soixante et un </v>
          </cell>
        </row>
        <row r="663">
          <cell r="B663">
            <v>662</v>
          </cell>
          <cell r="C663" t="str">
            <v xml:space="preserve">six cent soixante-deux </v>
          </cell>
        </row>
        <row r="664">
          <cell r="B664">
            <v>663</v>
          </cell>
          <cell r="C664" t="str">
            <v xml:space="preserve">six cent soixante-trois </v>
          </cell>
        </row>
        <row r="665">
          <cell r="B665">
            <v>664</v>
          </cell>
          <cell r="C665" t="str">
            <v xml:space="preserve">six cent soixante-quatre </v>
          </cell>
        </row>
        <row r="666">
          <cell r="B666">
            <v>665</v>
          </cell>
          <cell r="C666" t="str">
            <v xml:space="preserve">six cent soixante-cinq </v>
          </cell>
        </row>
        <row r="667">
          <cell r="B667">
            <v>666</v>
          </cell>
          <cell r="C667" t="str">
            <v xml:space="preserve">six cent soixante-six </v>
          </cell>
        </row>
        <row r="668">
          <cell r="B668">
            <v>667</v>
          </cell>
          <cell r="C668" t="str">
            <v xml:space="preserve">six cent soixante-sept </v>
          </cell>
        </row>
        <row r="669">
          <cell r="B669">
            <v>668</v>
          </cell>
          <cell r="C669" t="str">
            <v xml:space="preserve">six cent soixante-huit </v>
          </cell>
        </row>
        <row r="670">
          <cell r="B670">
            <v>669</v>
          </cell>
          <cell r="C670" t="str">
            <v xml:space="preserve">six cent soixante-neuf </v>
          </cell>
        </row>
        <row r="671">
          <cell r="B671">
            <v>670</v>
          </cell>
          <cell r="C671" t="str">
            <v xml:space="preserve">six cent soixante-dix </v>
          </cell>
        </row>
        <row r="672">
          <cell r="B672">
            <v>671</v>
          </cell>
          <cell r="C672" t="str">
            <v xml:space="preserve">six cent soixante et onze </v>
          </cell>
        </row>
        <row r="673">
          <cell r="B673">
            <v>672</v>
          </cell>
          <cell r="C673" t="str">
            <v xml:space="preserve">six cent soixante-douze </v>
          </cell>
        </row>
        <row r="674">
          <cell r="B674">
            <v>673</v>
          </cell>
          <cell r="C674" t="str">
            <v xml:space="preserve">six cent soixante-treize </v>
          </cell>
        </row>
        <row r="675">
          <cell r="B675">
            <v>674</v>
          </cell>
          <cell r="C675" t="str">
            <v xml:space="preserve">six cent soixante-quatorze </v>
          </cell>
        </row>
        <row r="676">
          <cell r="B676">
            <v>675</v>
          </cell>
          <cell r="C676" t="str">
            <v xml:space="preserve">six cent soixante-quinze </v>
          </cell>
        </row>
        <row r="677">
          <cell r="B677">
            <v>676</v>
          </cell>
          <cell r="C677" t="str">
            <v xml:space="preserve">six cent soixante-seize </v>
          </cell>
        </row>
        <row r="678">
          <cell r="B678">
            <v>677</v>
          </cell>
          <cell r="C678" t="str">
            <v xml:space="preserve">six cent soixante-dix-sept </v>
          </cell>
        </row>
        <row r="679">
          <cell r="B679">
            <v>678</v>
          </cell>
          <cell r="C679" t="str">
            <v xml:space="preserve">six cent soixante-dix-huit </v>
          </cell>
        </row>
        <row r="680">
          <cell r="B680">
            <v>679</v>
          </cell>
          <cell r="C680" t="str">
            <v xml:space="preserve">six cent soixante-dix-neuf </v>
          </cell>
        </row>
        <row r="681">
          <cell r="B681">
            <v>680</v>
          </cell>
          <cell r="C681" t="str">
            <v xml:space="preserve">six cent quatre-vingts </v>
          </cell>
        </row>
        <row r="682">
          <cell r="B682">
            <v>681</v>
          </cell>
          <cell r="C682" t="str">
            <v xml:space="preserve">six cent quatre-vingt-un </v>
          </cell>
        </row>
        <row r="683">
          <cell r="B683">
            <v>682</v>
          </cell>
          <cell r="C683" t="str">
            <v xml:space="preserve">six cent quatre-vingt-deux </v>
          </cell>
        </row>
        <row r="684">
          <cell r="B684">
            <v>683</v>
          </cell>
          <cell r="C684" t="str">
            <v xml:space="preserve">six cent quatre-vingt-trois </v>
          </cell>
        </row>
        <row r="685">
          <cell r="B685">
            <v>684</v>
          </cell>
          <cell r="C685" t="str">
            <v xml:space="preserve">six cent quatre-vingt-quatre </v>
          </cell>
        </row>
        <row r="686">
          <cell r="B686">
            <v>685</v>
          </cell>
          <cell r="C686" t="str">
            <v xml:space="preserve">six cent quatre-vingt-cinq </v>
          </cell>
        </row>
        <row r="687">
          <cell r="B687">
            <v>686</v>
          </cell>
          <cell r="C687" t="str">
            <v xml:space="preserve">six cent quatre-vingt-six </v>
          </cell>
        </row>
        <row r="688">
          <cell r="B688">
            <v>687</v>
          </cell>
          <cell r="C688" t="str">
            <v xml:space="preserve">six cent quatre-vingt-sept </v>
          </cell>
        </row>
        <row r="689">
          <cell r="B689">
            <v>688</v>
          </cell>
          <cell r="C689" t="str">
            <v xml:space="preserve">six cent quatre-vingt-huit </v>
          </cell>
        </row>
        <row r="690">
          <cell r="B690">
            <v>689</v>
          </cell>
          <cell r="C690" t="str">
            <v xml:space="preserve">six cent quatre-vingt-neuf </v>
          </cell>
        </row>
        <row r="691">
          <cell r="B691">
            <v>690</v>
          </cell>
          <cell r="C691" t="str">
            <v xml:space="preserve">six cent quatre-vingt-dix </v>
          </cell>
        </row>
        <row r="692">
          <cell r="B692">
            <v>691</v>
          </cell>
          <cell r="C692" t="str">
            <v xml:space="preserve">six cent quatre-vingt-onze </v>
          </cell>
        </row>
        <row r="693">
          <cell r="B693">
            <v>692</v>
          </cell>
          <cell r="C693" t="str">
            <v xml:space="preserve">six cent quatre-vingt-douze </v>
          </cell>
        </row>
        <row r="694">
          <cell r="B694">
            <v>693</v>
          </cell>
          <cell r="C694" t="str">
            <v xml:space="preserve">six cent quatre-vingt-treize </v>
          </cell>
        </row>
        <row r="695">
          <cell r="B695">
            <v>694</v>
          </cell>
          <cell r="C695" t="str">
            <v xml:space="preserve">six cent quatre-vingt-quatorze </v>
          </cell>
        </row>
        <row r="696">
          <cell r="B696">
            <v>695</v>
          </cell>
          <cell r="C696" t="str">
            <v xml:space="preserve">six cent quatre-vingt-quinze </v>
          </cell>
        </row>
        <row r="697">
          <cell r="B697">
            <v>696</v>
          </cell>
          <cell r="C697" t="str">
            <v xml:space="preserve">six cent quatre-vingt-seize </v>
          </cell>
        </row>
        <row r="698">
          <cell r="B698">
            <v>697</v>
          </cell>
          <cell r="C698" t="str">
            <v xml:space="preserve">six cent quatre-vingt-dix-sept </v>
          </cell>
        </row>
        <row r="699">
          <cell r="B699">
            <v>698</v>
          </cell>
          <cell r="C699" t="str">
            <v xml:space="preserve">six cent quatre-vingt-dix-huit </v>
          </cell>
        </row>
        <row r="700">
          <cell r="B700">
            <v>699</v>
          </cell>
          <cell r="C700" t="str">
            <v xml:space="preserve">six cent quatre-vingt-dix-neuf </v>
          </cell>
        </row>
        <row r="701">
          <cell r="B701">
            <v>700</v>
          </cell>
          <cell r="C701" t="str">
            <v xml:space="preserve">sept cents </v>
          </cell>
        </row>
        <row r="702">
          <cell r="B702">
            <v>701</v>
          </cell>
          <cell r="C702" t="str">
            <v xml:space="preserve">sept cent un </v>
          </cell>
        </row>
        <row r="703">
          <cell r="B703">
            <v>702</v>
          </cell>
          <cell r="C703" t="str">
            <v xml:space="preserve">sept cent deux </v>
          </cell>
        </row>
        <row r="704">
          <cell r="B704">
            <v>703</v>
          </cell>
          <cell r="C704" t="str">
            <v xml:space="preserve">sept cent trois </v>
          </cell>
        </row>
        <row r="705">
          <cell r="B705">
            <v>704</v>
          </cell>
          <cell r="C705" t="str">
            <v xml:space="preserve">sept cent quatre </v>
          </cell>
        </row>
        <row r="706">
          <cell r="B706">
            <v>705</v>
          </cell>
          <cell r="C706" t="str">
            <v xml:space="preserve">sept cent cinq </v>
          </cell>
        </row>
        <row r="707">
          <cell r="B707">
            <v>706</v>
          </cell>
          <cell r="C707" t="str">
            <v xml:space="preserve">sept cent six </v>
          </cell>
        </row>
        <row r="708">
          <cell r="B708">
            <v>707</v>
          </cell>
          <cell r="C708" t="str">
            <v xml:space="preserve">sept cent sept </v>
          </cell>
        </row>
        <row r="709">
          <cell r="B709">
            <v>708</v>
          </cell>
          <cell r="C709" t="str">
            <v xml:space="preserve">sept cent huit </v>
          </cell>
        </row>
        <row r="710">
          <cell r="B710">
            <v>709</v>
          </cell>
          <cell r="C710" t="str">
            <v xml:space="preserve">sept cent neuf </v>
          </cell>
        </row>
        <row r="711">
          <cell r="B711">
            <v>710</v>
          </cell>
          <cell r="C711" t="str">
            <v xml:space="preserve">sept cent dix </v>
          </cell>
        </row>
        <row r="712">
          <cell r="B712">
            <v>711</v>
          </cell>
          <cell r="C712" t="str">
            <v xml:space="preserve">sept cent onze </v>
          </cell>
        </row>
        <row r="713">
          <cell r="B713">
            <v>712</v>
          </cell>
          <cell r="C713" t="str">
            <v xml:space="preserve">sept cent douze </v>
          </cell>
        </row>
        <row r="714">
          <cell r="B714">
            <v>713</v>
          </cell>
          <cell r="C714" t="str">
            <v xml:space="preserve">sept cent treize </v>
          </cell>
        </row>
        <row r="715">
          <cell r="B715">
            <v>714</v>
          </cell>
          <cell r="C715" t="str">
            <v xml:space="preserve">sept cent quatorze </v>
          </cell>
        </row>
        <row r="716">
          <cell r="B716">
            <v>715</v>
          </cell>
          <cell r="C716" t="str">
            <v xml:space="preserve">sept cent quinze </v>
          </cell>
        </row>
        <row r="717">
          <cell r="B717">
            <v>716</v>
          </cell>
          <cell r="C717" t="str">
            <v xml:space="preserve">sept cent seize </v>
          </cell>
        </row>
        <row r="718">
          <cell r="B718">
            <v>717</v>
          </cell>
          <cell r="C718" t="str">
            <v xml:space="preserve">sept cent dix-sept </v>
          </cell>
        </row>
        <row r="719">
          <cell r="B719">
            <v>718</v>
          </cell>
          <cell r="C719" t="str">
            <v xml:space="preserve">sept cent dix-huit </v>
          </cell>
        </row>
        <row r="720">
          <cell r="B720">
            <v>719</v>
          </cell>
          <cell r="C720" t="str">
            <v xml:space="preserve">sept cent dix-neuf </v>
          </cell>
        </row>
        <row r="721">
          <cell r="B721">
            <v>720</v>
          </cell>
          <cell r="C721" t="str">
            <v xml:space="preserve">sept cent vingt </v>
          </cell>
        </row>
        <row r="722">
          <cell r="B722">
            <v>721</v>
          </cell>
          <cell r="C722" t="str">
            <v xml:space="preserve">sept cent vingt et un </v>
          </cell>
        </row>
        <row r="723">
          <cell r="B723">
            <v>722</v>
          </cell>
          <cell r="C723" t="str">
            <v xml:space="preserve">sept cent vingt-deux </v>
          </cell>
        </row>
        <row r="724">
          <cell r="B724">
            <v>723</v>
          </cell>
          <cell r="C724" t="str">
            <v xml:space="preserve">sept cent vingt-trois </v>
          </cell>
        </row>
        <row r="725">
          <cell r="B725">
            <v>724</v>
          </cell>
          <cell r="C725" t="str">
            <v xml:space="preserve">sept cent vingt-quatre </v>
          </cell>
        </row>
        <row r="726">
          <cell r="B726">
            <v>725</v>
          </cell>
          <cell r="C726" t="str">
            <v xml:space="preserve">sept cent vingt-cinq </v>
          </cell>
        </row>
        <row r="727">
          <cell r="B727">
            <v>726</v>
          </cell>
          <cell r="C727" t="str">
            <v xml:space="preserve">sept cent vingt-six </v>
          </cell>
        </row>
        <row r="728">
          <cell r="B728">
            <v>727</v>
          </cell>
          <cell r="C728" t="str">
            <v xml:space="preserve">sept cent vingt-sept </v>
          </cell>
        </row>
        <row r="729">
          <cell r="B729">
            <v>728</v>
          </cell>
          <cell r="C729" t="str">
            <v xml:space="preserve">sept cent vingt-huit </v>
          </cell>
        </row>
        <row r="730">
          <cell r="B730">
            <v>729</v>
          </cell>
          <cell r="C730" t="str">
            <v xml:space="preserve">sept cent vingt-neuf </v>
          </cell>
        </row>
        <row r="731">
          <cell r="B731">
            <v>730</v>
          </cell>
          <cell r="C731" t="str">
            <v xml:space="preserve">sept cent trente </v>
          </cell>
        </row>
        <row r="732">
          <cell r="B732">
            <v>731</v>
          </cell>
          <cell r="C732" t="str">
            <v xml:space="preserve">sept cent trente et un </v>
          </cell>
        </row>
        <row r="733">
          <cell r="B733">
            <v>732</v>
          </cell>
          <cell r="C733" t="str">
            <v xml:space="preserve">sept cent trente-deux </v>
          </cell>
        </row>
        <row r="734">
          <cell r="B734">
            <v>733</v>
          </cell>
          <cell r="C734" t="str">
            <v xml:space="preserve">sept cent trente-trois </v>
          </cell>
        </row>
        <row r="735">
          <cell r="B735">
            <v>734</v>
          </cell>
          <cell r="C735" t="str">
            <v xml:space="preserve">sept cent trente-quatre </v>
          </cell>
        </row>
        <row r="736">
          <cell r="B736">
            <v>735</v>
          </cell>
          <cell r="C736" t="str">
            <v xml:space="preserve">sept cent trente-cinq </v>
          </cell>
        </row>
        <row r="737">
          <cell r="B737">
            <v>736</v>
          </cell>
          <cell r="C737" t="str">
            <v xml:space="preserve">sept cent trente-six </v>
          </cell>
        </row>
        <row r="738">
          <cell r="B738">
            <v>737</v>
          </cell>
          <cell r="C738" t="str">
            <v xml:space="preserve">sept cent trente-sept </v>
          </cell>
        </row>
        <row r="739">
          <cell r="B739">
            <v>738</v>
          </cell>
          <cell r="C739" t="str">
            <v xml:space="preserve">sept cent trente-huit </v>
          </cell>
        </row>
        <row r="740">
          <cell r="B740">
            <v>739</v>
          </cell>
          <cell r="C740" t="str">
            <v xml:space="preserve">sept cent trente-neuf </v>
          </cell>
        </row>
        <row r="741">
          <cell r="B741">
            <v>740</v>
          </cell>
          <cell r="C741" t="str">
            <v xml:space="preserve">sept cent quarante </v>
          </cell>
        </row>
        <row r="742">
          <cell r="B742">
            <v>741</v>
          </cell>
          <cell r="C742" t="str">
            <v xml:space="preserve">sept cent quarante et un </v>
          </cell>
        </row>
        <row r="743">
          <cell r="B743">
            <v>742</v>
          </cell>
          <cell r="C743" t="str">
            <v xml:space="preserve">sept cent quarante-deux </v>
          </cell>
        </row>
        <row r="744">
          <cell r="B744">
            <v>743</v>
          </cell>
          <cell r="C744" t="str">
            <v xml:space="preserve">sept cent quarante-trois </v>
          </cell>
        </row>
        <row r="745">
          <cell r="B745">
            <v>744</v>
          </cell>
          <cell r="C745" t="str">
            <v xml:space="preserve">sept cent quarante-quatre </v>
          </cell>
        </row>
        <row r="746">
          <cell r="B746">
            <v>745</v>
          </cell>
          <cell r="C746" t="str">
            <v xml:space="preserve">sept cent quarante-cinq </v>
          </cell>
        </row>
        <row r="747">
          <cell r="B747">
            <v>746</v>
          </cell>
          <cell r="C747" t="str">
            <v xml:space="preserve">sept cent quarante-six </v>
          </cell>
        </row>
        <row r="748">
          <cell r="B748">
            <v>747</v>
          </cell>
          <cell r="C748" t="str">
            <v xml:space="preserve">sept cent quarante-sept </v>
          </cell>
        </row>
        <row r="749">
          <cell r="B749">
            <v>748</v>
          </cell>
          <cell r="C749" t="str">
            <v xml:space="preserve">sept cent quarante-huit </v>
          </cell>
        </row>
        <row r="750">
          <cell r="B750">
            <v>749</v>
          </cell>
          <cell r="C750" t="str">
            <v xml:space="preserve">sept cent quarante-neuf </v>
          </cell>
        </row>
        <row r="751">
          <cell r="B751">
            <v>750</v>
          </cell>
          <cell r="C751" t="str">
            <v xml:space="preserve">sept cent cinquante </v>
          </cell>
        </row>
        <row r="752">
          <cell r="B752">
            <v>751</v>
          </cell>
          <cell r="C752" t="str">
            <v xml:space="preserve">sept cent cinquante et un </v>
          </cell>
        </row>
        <row r="753">
          <cell r="B753">
            <v>752</v>
          </cell>
          <cell r="C753" t="str">
            <v xml:space="preserve">sept cent cinquante-deux </v>
          </cell>
        </row>
        <row r="754">
          <cell r="B754">
            <v>753</v>
          </cell>
          <cell r="C754" t="str">
            <v xml:space="preserve">sept cent cinquante-trois </v>
          </cell>
        </row>
        <row r="755">
          <cell r="B755">
            <v>754</v>
          </cell>
          <cell r="C755" t="str">
            <v xml:space="preserve">sept cent cinquante-quatre </v>
          </cell>
        </row>
        <row r="756">
          <cell r="B756">
            <v>755</v>
          </cell>
          <cell r="C756" t="str">
            <v xml:space="preserve">sept cent cinquante-cinq </v>
          </cell>
        </row>
        <row r="757">
          <cell r="B757">
            <v>756</v>
          </cell>
          <cell r="C757" t="str">
            <v xml:space="preserve">sept cent cinquante-six </v>
          </cell>
        </row>
        <row r="758">
          <cell r="B758">
            <v>757</v>
          </cell>
          <cell r="C758" t="str">
            <v xml:space="preserve">sept cent cinquante-sept </v>
          </cell>
        </row>
        <row r="759">
          <cell r="B759">
            <v>758</v>
          </cell>
          <cell r="C759" t="str">
            <v xml:space="preserve">sept cent cinquante-huit </v>
          </cell>
        </row>
        <row r="760">
          <cell r="B760">
            <v>759</v>
          </cell>
          <cell r="C760" t="str">
            <v xml:space="preserve">sept cent cinquante-neuf </v>
          </cell>
        </row>
        <row r="761">
          <cell r="B761">
            <v>760</v>
          </cell>
          <cell r="C761" t="str">
            <v xml:space="preserve">sept cent soixante </v>
          </cell>
        </row>
        <row r="762">
          <cell r="B762">
            <v>761</v>
          </cell>
          <cell r="C762" t="str">
            <v xml:space="preserve">sept cent soixante et un </v>
          </cell>
        </row>
        <row r="763">
          <cell r="B763">
            <v>762</v>
          </cell>
          <cell r="C763" t="str">
            <v xml:space="preserve">sept cent soixante-deux </v>
          </cell>
        </row>
        <row r="764">
          <cell r="B764">
            <v>763</v>
          </cell>
          <cell r="C764" t="str">
            <v xml:space="preserve">sept cent soixante-trois </v>
          </cell>
        </row>
        <row r="765">
          <cell r="B765">
            <v>764</v>
          </cell>
          <cell r="C765" t="str">
            <v xml:space="preserve">sept cent soixante-quatre </v>
          </cell>
        </row>
        <row r="766">
          <cell r="B766">
            <v>765</v>
          </cell>
          <cell r="C766" t="str">
            <v xml:space="preserve">sept cent soixante-cinq </v>
          </cell>
        </row>
        <row r="767">
          <cell r="B767">
            <v>766</v>
          </cell>
          <cell r="C767" t="str">
            <v xml:space="preserve">sept cent soixante-six </v>
          </cell>
        </row>
        <row r="768">
          <cell r="B768">
            <v>767</v>
          </cell>
          <cell r="C768" t="str">
            <v xml:space="preserve">sept cent soixante-sept </v>
          </cell>
        </row>
        <row r="769">
          <cell r="B769">
            <v>768</v>
          </cell>
          <cell r="C769" t="str">
            <v xml:space="preserve">sept cent soixante-huit </v>
          </cell>
        </row>
        <row r="770">
          <cell r="B770">
            <v>769</v>
          </cell>
          <cell r="C770" t="str">
            <v xml:space="preserve">sept cent soixante-neuf </v>
          </cell>
        </row>
        <row r="771">
          <cell r="B771">
            <v>770</v>
          </cell>
          <cell r="C771" t="str">
            <v xml:space="preserve">sept cent soixante-dix </v>
          </cell>
        </row>
        <row r="772">
          <cell r="B772">
            <v>771</v>
          </cell>
          <cell r="C772" t="str">
            <v xml:space="preserve">sept cent soixante et onze </v>
          </cell>
        </row>
        <row r="773">
          <cell r="B773">
            <v>772</v>
          </cell>
          <cell r="C773" t="str">
            <v xml:space="preserve">sept cent soixante-douze </v>
          </cell>
        </row>
        <row r="774">
          <cell r="B774">
            <v>773</v>
          </cell>
          <cell r="C774" t="str">
            <v xml:space="preserve">sept cent soixante-treize </v>
          </cell>
        </row>
        <row r="775">
          <cell r="B775">
            <v>774</v>
          </cell>
          <cell r="C775" t="str">
            <v xml:space="preserve">sept cent soixante-quatorze </v>
          </cell>
        </row>
        <row r="776">
          <cell r="B776">
            <v>775</v>
          </cell>
          <cell r="C776" t="str">
            <v xml:space="preserve">sept cent soixante-quinze </v>
          </cell>
        </row>
        <row r="777">
          <cell r="B777">
            <v>776</v>
          </cell>
          <cell r="C777" t="str">
            <v xml:space="preserve">sept cent soixante-seize </v>
          </cell>
        </row>
        <row r="778">
          <cell r="B778">
            <v>777</v>
          </cell>
          <cell r="C778" t="str">
            <v xml:space="preserve">sept cent soixante-dix-sept </v>
          </cell>
        </row>
        <row r="779">
          <cell r="B779">
            <v>778</v>
          </cell>
          <cell r="C779" t="str">
            <v xml:space="preserve">sept cent soixante-dix-huit </v>
          </cell>
        </row>
        <row r="780">
          <cell r="B780">
            <v>779</v>
          </cell>
          <cell r="C780" t="str">
            <v xml:space="preserve">sept cent soixante-dix-neuf </v>
          </cell>
        </row>
        <row r="781">
          <cell r="B781">
            <v>780</v>
          </cell>
          <cell r="C781" t="str">
            <v xml:space="preserve">sept cent quatre-vingts </v>
          </cell>
        </row>
        <row r="782">
          <cell r="B782">
            <v>781</v>
          </cell>
          <cell r="C782" t="str">
            <v xml:space="preserve">sept cent quatre-vingt-un </v>
          </cell>
        </row>
        <row r="783">
          <cell r="B783">
            <v>782</v>
          </cell>
          <cell r="C783" t="str">
            <v xml:space="preserve">sept cent quatre-vingt-deux </v>
          </cell>
        </row>
        <row r="784">
          <cell r="B784">
            <v>783</v>
          </cell>
          <cell r="C784" t="str">
            <v xml:space="preserve">sept cent quatre-vingt-trois </v>
          </cell>
        </row>
        <row r="785">
          <cell r="B785">
            <v>784</v>
          </cell>
          <cell r="C785" t="str">
            <v xml:space="preserve">sept cent quatre-vingt-quatre </v>
          </cell>
        </row>
        <row r="786">
          <cell r="B786">
            <v>785</v>
          </cell>
          <cell r="C786" t="str">
            <v xml:space="preserve">sept cent quatre-vingt-cinq </v>
          </cell>
        </row>
        <row r="787">
          <cell r="B787">
            <v>786</v>
          </cell>
          <cell r="C787" t="str">
            <v xml:space="preserve">sept cent quatre-vingt-six </v>
          </cell>
        </row>
        <row r="788">
          <cell r="B788">
            <v>787</v>
          </cell>
          <cell r="C788" t="str">
            <v xml:space="preserve">sept cent quatre-vingt-sept </v>
          </cell>
        </row>
        <row r="789">
          <cell r="B789">
            <v>788</v>
          </cell>
          <cell r="C789" t="str">
            <v xml:space="preserve">sept cent quatre-vingt-huit </v>
          </cell>
        </row>
        <row r="790">
          <cell r="B790">
            <v>789</v>
          </cell>
          <cell r="C790" t="str">
            <v xml:space="preserve">sept cent quatre-vingt-neuf </v>
          </cell>
        </row>
        <row r="791">
          <cell r="B791">
            <v>790</v>
          </cell>
          <cell r="C791" t="str">
            <v xml:space="preserve">sept cent quatre-vingt-dix </v>
          </cell>
        </row>
        <row r="792">
          <cell r="B792">
            <v>791</v>
          </cell>
          <cell r="C792" t="str">
            <v xml:space="preserve">sept cent quatre-vingt-onze </v>
          </cell>
        </row>
        <row r="793">
          <cell r="B793">
            <v>792</v>
          </cell>
          <cell r="C793" t="str">
            <v xml:space="preserve">sept cent quatre-vingt-douze </v>
          </cell>
        </row>
        <row r="794">
          <cell r="B794">
            <v>793</v>
          </cell>
          <cell r="C794" t="str">
            <v xml:space="preserve">sept cent quatre-vingt-treize </v>
          </cell>
        </row>
        <row r="795">
          <cell r="B795">
            <v>794</v>
          </cell>
          <cell r="C795" t="str">
            <v xml:space="preserve">sept cent quatre-vingt-quatorze </v>
          </cell>
        </row>
        <row r="796">
          <cell r="B796">
            <v>795</v>
          </cell>
          <cell r="C796" t="str">
            <v xml:space="preserve">sept cent quatre-vingt-quinze </v>
          </cell>
        </row>
        <row r="797">
          <cell r="B797">
            <v>796</v>
          </cell>
          <cell r="C797" t="str">
            <v xml:space="preserve">sept cent quatre-vingt-seize </v>
          </cell>
        </row>
        <row r="798">
          <cell r="B798">
            <v>797</v>
          </cell>
          <cell r="C798" t="str">
            <v xml:space="preserve">sept cent quatre-vingt-dix-sept </v>
          </cell>
        </row>
        <row r="799">
          <cell r="B799">
            <v>798</v>
          </cell>
          <cell r="C799" t="str">
            <v xml:space="preserve">sept cent quatre-vingt-dix-huit </v>
          </cell>
        </row>
        <row r="800">
          <cell r="B800">
            <v>799</v>
          </cell>
          <cell r="C800" t="str">
            <v xml:space="preserve">sept cent quatre-vingt-dix-neuf </v>
          </cell>
        </row>
        <row r="801">
          <cell r="B801">
            <v>800</v>
          </cell>
          <cell r="C801" t="str">
            <v xml:space="preserve">huit cents </v>
          </cell>
        </row>
        <row r="802">
          <cell r="B802">
            <v>801</v>
          </cell>
          <cell r="C802" t="str">
            <v xml:space="preserve">huit cent un </v>
          </cell>
        </row>
        <row r="803">
          <cell r="B803">
            <v>802</v>
          </cell>
          <cell r="C803" t="str">
            <v xml:space="preserve">huit cent deux </v>
          </cell>
        </row>
        <row r="804">
          <cell r="B804">
            <v>803</v>
          </cell>
          <cell r="C804" t="str">
            <v xml:space="preserve">huit cent trois </v>
          </cell>
        </row>
        <row r="805">
          <cell r="B805">
            <v>804</v>
          </cell>
          <cell r="C805" t="str">
            <v xml:space="preserve">huit cent quatre </v>
          </cell>
        </row>
        <row r="806">
          <cell r="B806">
            <v>805</v>
          </cell>
          <cell r="C806" t="str">
            <v xml:space="preserve">huit cent cinq </v>
          </cell>
        </row>
        <row r="807">
          <cell r="B807">
            <v>806</v>
          </cell>
          <cell r="C807" t="str">
            <v xml:space="preserve">huit cent six </v>
          </cell>
        </row>
        <row r="808">
          <cell r="B808">
            <v>807</v>
          </cell>
          <cell r="C808" t="str">
            <v xml:space="preserve">huit cent sept </v>
          </cell>
        </row>
        <row r="809">
          <cell r="B809">
            <v>808</v>
          </cell>
          <cell r="C809" t="str">
            <v xml:space="preserve">huit cent huit </v>
          </cell>
        </row>
        <row r="810">
          <cell r="B810">
            <v>809</v>
          </cell>
          <cell r="C810" t="str">
            <v xml:space="preserve">huit cent neuf </v>
          </cell>
        </row>
        <row r="811">
          <cell r="B811">
            <v>810</v>
          </cell>
          <cell r="C811" t="str">
            <v xml:space="preserve">huit cent dix </v>
          </cell>
        </row>
        <row r="812">
          <cell r="B812">
            <v>811</v>
          </cell>
          <cell r="C812" t="str">
            <v xml:space="preserve">huit cent onze </v>
          </cell>
        </row>
        <row r="813">
          <cell r="B813">
            <v>812</v>
          </cell>
          <cell r="C813" t="str">
            <v xml:space="preserve">huit cent douze </v>
          </cell>
        </row>
        <row r="814">
          <cell r="B814">
            <v>813</v>
          </cell>
          <cell r="C814" t="str">
            <v xml:space="preserve">huit cent treize </v>
          </cell>
        </row>
        <row r="815">
          <cell r="B815">
            <v>814</v>
          </cell>
          <cell r="C815" t="str">
            <v xml:space="preserve">huit cent quatorze </v>
          </cell>
        </row>
        <row r="816">
          <cell r="B816">
            <v>815</v>
          </cell>
          <cell r="C816" t="str">
            <v xml:space="preserve">huit cent quinze </v>
          </cell>
        </row>
        <row r="817">
          <cell r="B817">
            <v>816</v>
          </cell>
          <cell r="C817" t="str">
            <v xml:space="preserve">huit cent seize </v>
          </cell>
        </row>
        <row r="818">
          <cell r="B818">
            <v>817</v>
          </cell>
          <cell r="C818" t="str">
            <v xml:space="preserve">huit cent dix-sept </v>
          </cell>
        </row>
        <row r="819">
          <cell r="B819">
            <v>818</v>
          </cell>
          <cell r="C819" t="str">
            <v xml:space="preserve">huit cent dix-huit </v>
          </cell>
        </row>
        <row r="820">
          <cell r="B820">
            <v>819</v>
          </cell>
          <cell r="C820" t="str">
            <v xml:space="preserve">huit cent dix-neuf </v>
          </cell>
        </row>
        <row r="821">
          <cell r="B821">
            <v>820</v>
          </cell>
          <cell r="C821" t="str">
            <v xml:space="preserve">huit cent vingt </v>
          </cell>
        </row>
        <row r="822">
          <cell r="B822">
            <v>821</v>
          </cell>
          <cell r="C822" t="str">
            <v xml:space="preserve">huit cent vingt et un </v>
          </cell>
        </row>
        <row r="823">
          <cell r="B823">
            <v>822</v>
          </cell>
          <cell r="C823" t="str">
            <v xml:space="preserve">huit cent vingt-deux </v>
          </cell>
        </row>
        <row r="824">
          <cell r="B824">
            <v>823</v>
          </cell>
          <cell r="C824" t="str">
            <v xml:space="preserve">huit cent vingt-trois </v>
          </cell>
        </row>
        <row r="825">
          <cell r="B825">
            <v>824</v>
          </cell>
          <cell r="C825" t="str">
            <v xml:space="preserve">huit cent vingt-quatre </v>
          </cell>
        </row>
        <row r="826">
          <cell r="B826">
            <v>825</v>
          </cell>
          <cell r="C826" t="str">
            <v xml:space="preserve">huit cent vingt-cinq </v>
          </cell>
        </row>
        <row r="827">
          <cell r="B827">
            <v>826</v>
          </cell>
          <cell r="C827" t="str">
            <v xml:space="preserve">huit cent vingt-six </v>
          </cell>
        </row>
        <row r="828">
          <cell r="B828">
            <v>827</v>
          </cell>
          <cell r="C828" t="str">
            <v xml:space="preserve">huit cent vingt-sept </v>
          </cell>
        </row>
        <row r="829">
          <cell r="B829">
            <v>828</v>
          </cell>
          <cell r="C829" t="str">
            <v xml:space="preserve">huit cent vingt-huit </v>
          </cell>
        </row>
        <row r="830">
          <cell r="B830">
            <v>829</v>
          </cell>
          <cell r="C830" t="str">
            <v xml:space="preserve">huit cent vingt-neuf </v>
          </cell>
        </row>
        <row r="831">
          <cell r="B831">
            <v>830</v>
          </cell>
          <cell r="C831" t="str">
            <v xml:space="preserve">huit cent trente </v>
          </cell>
        </row>
        <row r="832">
          <cell r="B832">
            <v>831</v>
          </cell>
          <cell r="C832" t="str">
            <v xml:space="preserve">huit cent trente et un </v>
          </cell>
        </row>
        <row r="833">
          <cell r="B833">
            <v>832</v>
          </cell>
          <cell r="C833" t="str">
            <v xml:space="preserve">huit cent trente-deux </v>
          </cell>
        </row>
        <row r="834">
          <cell r="B834">
            <v>833</v>
          </cell>
          <cell r="C834" t="str">
            <v xml:space="preserve">huit cent trente-trois </v>
          </cell>
        </row>
        <row r="835">
          <cell r="B835">
            <v>834</v>
          </cell>
          <cell r="C835" t="str">
            <v xml:space="preserve">huit cent trente-quatre </v>
          </cell>
        </row>
        <row r="836">
          <cell r="B836">
            <v>835</v>
          </cell>
          <cell r="C836" t="str">
            <v xml:space="preserve">huit cent trente-cinq </v>
          </cell>
        </row>
        <row r="837">
          <cell r="B837">
            <v>836</v>
          </cell>
          <cell r="C837" t="str">
            <v xml:space="preserve">huit cent trente-six </v>
          </cell>
        </row>
        <row r="838">
          <cell r="B838">
            <v>837</v>
          </cell>
          <cell r="C838" t="str">
            <v xml:space="preserve">huit cent trente-sept </v>
          </cell>
        </row>
        <row r="839">
          <cell r="B839">
            <v>838</v>
          </cell>
          <cell r="C839" t="str">
            <v xml:space="preserve">huit cent trente-huit </v>
          </cell>
        </row>
        <row r="840">
          <cell r="B840">
            <v>839</v>
          </cell>
          <cell r="C840" t="str">
            <v xml:space="preserve">huit cent trente-neuf </v>
          </cell>
        </row>
        <row r="841">
          <cell r="B841">
            <v>840</v>
          </cell>
          <cell r="C841" t="str">
            <v xml:space="preserve">huit cent quarante </v>
          </cell>
        </row>
        <row r="842">
          <cell r="B842">
            <v>841</v>
          </cell>
          <cell r="C842" t="str">
            <v xml:space="preserve">huit cent quarante et un </v>
          </cell>
        </row>
        <row r="843">
          <cell r="B843">
            <v>842</v>
          </cell>
          <cell r="C843" t="str">
            <v xml:space="preserve">huit cent quarante-deux </v>
          </cell>
        </row>
        <row r="844">
          <cell r="B844">
            <v>843</v>
          </cell>
          <cell r="C844" t="str">
            <v xml:space="preserve">huit cent quarante-trois </v>
          </cell>
        </row>
        <row r="845">
          <cell r="B845">
            <v>844</v>
          </cell>
          <cell r="C845" t="str">
            <v xml:space="preserve">huit cent quarante-quatre </v>
          </cell>
        </row>
        <row r="846">
          <cell r="B846">
            <v>845</v>
          </cell>
          <cell r="C846" t="str">
            <v xml:space="preserve">huit cent quarante-cinq </v>
          </cell>
        </row>
        <row r="847">
          <cell r="B847">
            <v>846</v>
          </cell>
          <cell r="C847" t="str">
            <v xml:space="preserve">huit cent quarante-six </v>
          </cell>
        </row>
        <row r="848">
          <cell r="B848">
            <v>847</v>
          </cell>
          <cell r="C848" t="str">
            <v xml:space="preserve">huit cent quarante-sept </v>
          </cell>
        </row>
        <row r="849">
          <cell r="B849">
            <v>848</v>
          </cell>
          <cell r="C849" t="str">
            <v xml:space="preserve">huit cent quarante-huit </v>
          </cell>
        </row>
        <row r="850">
          <cell r="B850">
            <v>849</v>
          </cell>
          <cell r="C850" t="str">
            <v xml:space="preserve">huit cent quarante-neuf </v>
          </cell>
        </row>
        <row r="851">
          <cell r="B851">
            <v>850</v>
          </cell>
          <cell r="C851" t="str">
            <v xml:space="preserve">huit cent cinquante </v>
          </cell>
        </row>
        <row r="852">
          <cell r="B852">
            <v>851</v>
          </cell>
          <cell r="C852" t="str">
            <v xml:space="preserve">huit cent cinquante et un </v>
          </cell>
        </row>
        <row r="853">
          <cell r="B853">
            <v>852</v>
          </cell>
          <cell r="C853" t="str">
            <v xml:space="preserve">huit cent cinquante-deux </v>
          </cell>
        </row>
        <row r="854">
          <cell r="B854">
            <v>853</v>
          </cell>
          <cell r="C854" t="str">
            <v xml:space="preserve">huit cent cinquante-trois </v>
          </cell>
        </row>
        <row r="855">
          <cell r="B855">
            <v>854</v>
          </cell>
          <cell r="C855" t="str">
            <v xml:space="preserve">huit cent cinquante-quatre </v>
          </cell>
        </row>
        <row r="856">
          <cell r="B856">
            <v>855</v>
          </cell>
          <cell r="C856" t="str">
            <v xml:space="preserve">huit cent cinquante-cinq </v>
          </cell>
        </row>
        <row r="857">
          <cell r="B857">
            <v>856</v>
          </cell>
          <cell r="C857" t="str">
            <v xml:space="preserve">huit cent cinquante-six </v>
          </cell>
        </row>
        <row r="858">
          <cell r="B858">
            <v>857</v>
          </cell>
          <cell r="C858" t="str">
            <v xml:space="preserve">huit cent cinquante-sept </v>
          </cell>
        </row>
        <row r="859">
          <cell r="B859">
            <v>858</v>
          </cell>
          <cell r="C859" t="str">
            <v xml:space="preserve">huit cent cinquante-huit </v>
          </cell>
        </row>
        <row r="860">
          <cell r="B860">
            <v>859</v>
          </cell>
          <cell r="C860" t="str">
            <v xml:space="preserve">huit cent cinquante-neuf </v>
          </cell>
        </row>
        <row r="861">
          <cell r="B861">
            <v>860</v>
          </cell>
          <cell r="C861" t="str">
            <v xml:space="preserve">huit cent soixante </v>
          </cell>
        </row>
        <row r="862">
          <cell r="B862">
            <v>861</v>
          </cell>
          <cell r="C862" t="str">
            <v xml:space="preserve">huit cent soixante et un </v>
          </cell>
        </row>
        <row r="863">
          <cell r="B863">
            <v>862</v>
          </cell>
          <cell r="C863" t="str">
            <v xml:space="preserve">huit cent soixante-deux </v>
          </cell>
        </row>
        <row r="864">
          <cell r="B864">
            <v>863</v>
          </cell>
          <cell r="C864" t="str">
            <v xml:space="preserve">huit cent soixante-trois </v>
          </cell>
        </row>
        <row r="865">
          <cell r="B865">
            <v>864</v>
          </cell>
          <cell r="C865" t="str">
            <v xml:space="preserve">huit cent soixante-quatre </v>
          </cell>
        </row>
        <row r="866">
          <cell r="B866">
            <v>865</v>
          </cell>
          <cell r="C866" t="str">
            <v xml:space="preserve">huit cent soixante-cinq </v>
          </cell>
        </row>
        <row r="867">
          <cell r="B867">
            <v>866</v>
          </cell>
          <cell r="C867" t="str">
            <v xml:space="preserve">huit cent soixante-six </v>
          </cell>
        </row>
        <row r="868">
          <cell r="B868">
            <v>867</v>
          </cell>
          <cell r="C868" t="str">
            <v xml:space="preserve">huit cent soixante-sept </v>
          </cell>
        </row>
        <row r="869">
          <cell r="B869">
            <v>868</v>
          </cell>
          <cell r="C869" t="str">
            <v xml:space="preserve">huit cent soixante-huit </v>
          </cell>
        </row>
        <row r="870">
          <cell r="B870">
            <v>869</v>
          </cell>
          <cell r="C870" t="str">
            <v xml:space="preserve">huit cent soixante-neuf </v>
          </cell>
        </row>
        <row r="871">
          <cell r="B871">
            <v>870</v>
          </cell>
          <cell r="C871" t="str">
            <v xml:space="preserve">huit cent soixante-dix </v>
          </cell>
        </row>
        <row r="872">
          <cell r="B872">
            <v>871</v>
          </cell>
          <cell r="C872" t="str">
            <v xml:space="preserve">huit cent soixante et onze </v>
          </cell>
        </row>
        <row r="873">
          <cell r="B873">
            <v>872</v>
          </cell>
          <cell r="C873" t="str">
            <v xml:space="preserve">huit cent soixante-douze </v>
          </cell>
        </row>
        <row r="874">
          <cell r="B874">
            <v>873</v>
          </cell>
          <cell r="C874" t="str">
            <v xml:space="preserve">huit cent soixante-treize </v>
          </cell>
        </row>
        <row r="875">
          <cell r="B875">
            <v>874</v>
          </cell>
          <cell r="C875" t="str">
            <v xml:space="preserve">huit cent soixante-quatorze </v>
          </cell>
        </row>
        <row r="876">
          <cell r="B876">
            <v>875</v>
          </cell>
          <cell r="C876" t="str">
            <v xml:space="preserve">huit cent soixante-quinze </v>
          </cell>
        </row>
        <row r="877">
          <cell r="B877">
            <v>876</v>
          </cell>
          <cell r="C877" t="str">
            <v xml:space="preserve">huit cent soixante-seize </v>
          </cell>
        </row>
        <row r="878">
          <cell r="B878">
            <v>877</v>
          </cell>
          <cell r="C878" t="str">
            <v xml:space="preserve">huit cent soixante-dix-sept </v>
          </cell>
        </row>
        <row r="879">
          <cell r="B879">
            <v>878</v>
          </cell>
          <cell r="C879" t="str">
            <v xml:space="preserve">huit cent soixante-dix-huit </v>
          </cell>
        </row>
        <row r="880">
          <cell r="B880">
            <v>879</v>
          </cell>
          <cell r="C880" t="str">
            <v xml:space="preserve">huit cent soixante-dix-neuf </v>
          </cell>
        </row>
        <row r="881">
          <cell r="B881">
            <v>880</v>
          </cell>
          <cell r="C881" t="str">
            <v xml:space="preserve">huit cent quatre-vingts </v>
          </cell>
        </row>
        <row r="882">
          <cell r="B882">
            <v>881</v>
          </cell>
          <cell r="C882" t="str">
            <v xml:space="preserve">huit cent quatre-vingt-un </v>
          </cell>
        </row>
        <row r="883">
          <cell r="B883">
            <v>882</v>
          </cell>
          <cell r="C883" t="str">
            <v xml:space="preserve">huit cent quatre-vingt-deux </v>
          </cell>
        </row>
        <row r="884">
          <cell r="B884">
            <v>883</v>
          </cell>
          <cell r="C884" t="str">
            <v xml:space="preserve">huit cent quatre-vingt-trois </v>
          </cell>
        </row>
        <row r="885">
          <cell r="B885">
            <v>884</v>
          </cell>
          <cell r="C885" t="str">
            <v xml:space="preserve">huit cent quatre-vingt-quatre </v>
          </cell>
        </row>
        <row r="886">
          <cell r="B886">
            <v>885</v>
          </cell>
          <cell r="C886" t="str">
            <v xml:space="preserve">huit cent quatre-vingt-cinq </v>
          </cell>
        </row>
        <row r="887">
          <cell r="B887">
            <v>886</v>
          </cell>
          <cell r="C887" t="str">
            <v xml:space="preserve">huit cent quatre-vingt-six </v>
          </cell>
        </row>
        <row r="888">
          <cell r="B888">
            <v>887</v>
          </cell>
          <cell r="C888" t="str">
            <v xml:space="preserve">huit cent quatre-vingt-sept </v>
          </cell>
        </row>
        <row r="889">
          <cell r="B889">
            <v>888</v>
          </cell>
          <cell r="C889" t="str">
            <v xml:space="preserve">huit cent quatre-vingt-huit </v>
          </cell>
        </row>
        <row r="890">
          <cell r="B890">
            <v>889</v>
          </cell>
          <cell r="C890" t="str">
            <v xml:space="preserve">huit cent quatre-vingt-neuf </v>
          </cell>
        </row>
        <row r="891">
          <cell r="B891">
            <v>890</v>
          </cell>
          <cell r="C891" t="str">
            <v xml:space="preserve">huit cent quatre-vingt-dix </v>
          </cell>
        </row>
        <row r="892">
          <cell r="B892">
            <v>891</v>
          </cell>
          <cell r="C892" t="str">
            <v xml:space="preserve">huit cent quatre-vingt-onze </v>
          </cell>
        </row>
        <row r="893">
          <cell r="B893">
            <v>892</v>
          </cell>
          <cell r="C893" t="str">
            <v xml:space="preserve">huit cent quatre-vingt-douze </v>
          </cell>
        </row>
        <row r="894">
          <cell r="B894">
            <v>893</v>
          </cell>
          <cell r="C894" t="str">
            <v xml:space="preserve">huit cent quatre-vingt-treize </v>
          </cell>
        </row>
        <row r="895">
          <cell r="B895">
            <v>894</v>
          </cell>
          <cell r="C895" t="str">
            <v xml:space="preserve">huit cent quatre-vingt-quatorze </v>
          </cell>
        </row>
        <row r="896">
          <cell r="B896">
            <v>895</v>
          </cell>
          <cell r="C896" t="str">
            <v xml:space="preserve">huit cent quatre-vingt-quinze </v>
          </cell>
        </row>
        <row r="897">
          <cell r="B897">
            <v>896</v>
          </cell>
          <cell r="C897" t="str">
            <v xml:space="preserve">huit cent quatre-vingt-seize </v>
          </cell>
        </row>
        <row r="898">
          <cell r="B898">
            <v>897</v>
          </cell>
          <cell r="C898" t="str">
            <v xml:space="preserve">huit cent quatre-vingt-dix-sept </v>
          </cell>
        </row>
        <row r="899">
          <cell r="B899">
            <v>898</v>
          </cell>
          <cell r="C899" t="str">
            <v xml:space="preserve">huit cent quatre-vingt-dix-huit </v>
          </cell>
        </row>
        <row r="900">
          <cell r="B900">
            <v>899</v>
          </cell>
          <cell r="C900" t="str">
            <v xml:space="preserve">huit cent quatre-vingt-dix-neuf </v>
          </cell>
        </row>
        <row r="901">
          <cell r="B901">
            <v>900</v>
          </cell>
          <cell r="C901" t="str">
            <v xml:space="preserve">neuf cents </v>
          </cell>
        </row>
        <row r="902">
          <cell r="B902">
            <v>901</v>
          </cell>
          <cell r="C902" t="str">
            <v xml:space="preserve">neuf cent un </v>
          </cell>
        </row>
        <row r="903">
          <cell r="B903">
            <v>902</v>
          </cell>
          <cell r="C903" t="str">
            <v xml:space="preserve">neuf cent deux </v>
          </cell>
        </row>
        <row r="904">
          <cell r="B904">
            <v>903</v>
          </cell>
          <cell r="C904" t="str">
            <v xml:space="preserve">neuf cent trois </v>
          </cell>
        </row>
        <row r="905">
          <cell r="B905">
            <v>904</v>
          </cell>
          <cell r="C905" t="str">
            <v xml:space="preserve">neuf cent quatre </v>
          </cell>
        </row>
        <row r="906">
          <cell r="B906">
            <v>905</v>
          </cell>
          <cell r="C906" t="str">
            <v xml:space="preserve">neuf cent cinq </v>
          </cell>
        </row>
        <row r="907">
          <cell r="B907">
            <v>906</v>
          </cell>
          <cell r="C907" t="str">
            <v xml:space="preserve">neuf cent six </v>
          </cell>
        </row>
        <row r="908">
          <cell r="B908">
            <v>907</v>
          </cell>
          <cell r="C908" t="str">
            <v xml:space="preserve">neuf cent sept </v>
          </cell>
        </row>
        <row r="909">
          <cell r="B909">
            <v>908</v>
          </cell>
          <cell r="C909" t="str">
            <v xml:space="preserve">neuf cent huit </v>
          </cell>
        </row>
        <row r="910">
          <cell r="B910">
            <v>909</v>
          </cell>
          <cell r="C910" t="str">
            <v xml:space="preserve">neuf cent neuf </v>
          </cell>
        </row>
        <row r="911">
          <cell r="B911">
            <v>910</v>
          </cell>
          <cell r="C911" t="str">
            <v xml:space="preserve">neuf cent dix </v>
          </cell>
        </row>
        <row r="912">
          <cell r="B912">
            <v>911</v>
          </cell>
          <cell r="C912" t="str">
            <v xml:space="preserve">neuf cent onze </v>
          </cell>
        </row>
        <row r="913">
          <cell r="B913">
            <v>912</v>
          </cell>
          <cell r="C913" t="str">
            <v xml:space="preserve">neuf cent douze </v>
          </cell>
        </row>
        <row r="914">
          <cell r="B914">
            <v>913</v>
          </cell>
          <cell r="C914" t="str">
            <v xml:space="preserve">neuf cent treize </v>
          </cell>
        </row>
        <row r="915">
          <cell r="B915">
            <v>914</v>
          </cell>
          <cell r="C915" t="str">
            <v xml:space="preserve">neuf cent quatorze </v>
          </cell>
        </row>
        <row r="916">
          <cell r="B916">
            <v>915</v>
          </cell>
          <cell r="C916" t="str">
            <v xml:space="preserve">neuf cent quinze </v>
          </cell>
        </row>
        <row r="917">
          <cell r="B917">
            <v>916</v>
          </cell>
          <cell r="C917" t="str">
            <v xml:space="preserve">neuf cent seize </v>
          </cell>
        </row>
        <row r="918">
          <cell r="B918">
            <v>917</v>
          </cell>
          <cell r="C918" t="str">
            <v xml:space="preserve">neuf cent dix-sept </v>
          </cell>
        </row>
        <row r="919">
          <cell r="B919">
            <v>918</v>
          </cell>
          <cell r="C919" t="str">
            <v xml:space="preserve">neuf cent dix-huit </v>
          </cell>
        </row>
        <row r="920">
          <cell r="B920">
            <v>919</v>
          </cell>
          <cell r="C920" t="str">
            <v xml:space="preserve">neuf cent dix-neuf </v>
          </cell>
        </row>
        <row r="921">
          <cell r="B921">
            <v>920</v>
          </cell>
          <cell r="C921" t="str">
            <v xml:space="preserve">neuf cent vingt </v>
          </cell>
        </row>
        <row r="922">
          <cell r="B922">
            <v>921</v>
          </cell>
          <cell r="C922" t="str">
            <v xml:space="preserve">neuf cent vingt et un </v>
          </cell>
        </row>
        <row r="923">
          <cell r="B923">
            <v>922</v>
          </cell>
          <cell r="C923" t="str">
            <v xml:space="preserve">neuf cent vingt-deux </v>
          </cell>
        </row>
        <row r="924">
          <cell r="B924">
            <v>923</v>
          </cell>
          <cell r="C924" t="str">
            <v xml:space="preserve">neuf cent vingt-trois </v>
          </cell>
        </row>
        <row r="925">
          <cell r="B925">
            <v>924</v>
          </cell>
          <cell r="C925" t="str">
            <v xml:space="preserve">neuf cent vingt-quatre </v>
          </cell>
        </row>
        <row r="926">
          <cell r="B926">
            <v>925</v>
          </cell>
          <cell r="C926" t="str">
            <v xml:space="preserve">neuf cent vingt-cinq </v>
          </cell>
        </row>
        <row r="927">
          <cell r="B927">
            <v>926</v>
          </cell>
          <cell r="C927" t="str">
            <v xml:space="preserve">neuf cent vingt-six </v>
          </cell>
        </row>
        <row r="928">
          <cell r="B928">
            <v>927</v>
          </cell>
          <cell r="C928" t="str">
            <v xml:space="preserve">neuf cent vingt-sept </v>
          </cell>
        </row>
        <row r="929">
          <cell r="B929">
            <v>928</v>
          </cell>
          <cell r="C929" t="str">
            <v xml:space="preserve">neuf cent vingt-huit </v>
          </cell>
        </row>
        <row r="930">
          <cell r="B930">
            <v>929</v>
          </cell>
          <cell r="C930" t="str">
            <v xml:space="preserve">neuf cent vingt-neuf </v>
          </cell>
        </row>
        <row r="931">
          <cell r="B931">
            <v>930</v>
          </cell>
          <cell r="C931" t="str">
            <v xml:space="preserve">neuf cent trente </v>
          </cell>
        </row>
        <row r="932">
          <cell r="B932">
            <v>931</v>
          </cell>
          <cell r="C932" t="str">
            <v xml:space="preserve">neuf cent trente et un </v>
          </cell>
        </row>
        <row r="933">
          <cell r="B933">
            <v>932</v>
          </cell>
          <cell r="C933" t="str">
            <v xml:space="preserve">neuf cent trente-deux </v>
          </cell>
        </row>
        <row r="934">
          <cell r="B934">
            <v>933</v>
          </cell>
          <cell r="C934" t="str">
            <v xml:space="preserve">neuf cent trente-trois </v>
          </cell>
        </row>
        <row r="935">
          <cell r="B935">
            <v>934</v>
          </cell>
          <cell r="C935" t="str">
            <v xml:space="preserve">neuf cent trente-quatre </v>
          </cell>
        </row>
        <row r="936">
          <cell r="B936">
            <v>935</v>
          </cell>
          <cell r="C936" t="str">
            <v xml:space="preserve">neuf cent trente-cinq </v>
          </cell>
        </row>
        <row r="937">
          <cell r="B937">
            <v>936</v>
          </cell>
          <cell r="C937" t="str">
            <v xml:space="preserve">neuf cent trente-six </v>
          </cell>
        </row>
        <row r="938">
          <cell r="B938">
            <v>937</v>
          </cell>
          <cell r="C938" t="str">
            <v xml:space="preserve">neuf cent trente-sept </v>
          </cell>
        </row>
        <row r="939">
          <cell r="B939">
            <v>938</v>
          </cell>
          <cell r="C939" t="str">
            <v xml:space="preserve">neuf cent trente-huit </v>
          </cell>
        </row>
        <row r="940">
          <cell r="B940">
            <v>939</v>
          </cell>
          <cell r="C940" t="str">
            <v xml:space="preserve">neuf cent trente-neuf </v>
          </cell>
        </row>
        <row r="941">
          <cell r="B941">
            <v>940</v>
          </cell>
          <cell r="C941" t="str">
            <v xml:space="preserve">neuf cent quarante </v>
          </cell>
        </row>
        <row r="942">
          <cell r="B942">
            <v>941</v>
          </cell>
          <cell r="C942" t="str">
            <v xml:space="preserve">neuf cent quarante et un </v>
          </cell>
        </row>
        <row r="943">
          <cell r="B943">
            <v>942</v>
          </cell>
          <cell r="C943" t="str">
            <v xml:space="preserve">neuf cent quarante-deux </v>
          </cell>
        </row>
        <row r="944">
          <cell r="B944">
            <v>943</v>
          </cell>
          <cell r="C944" t="str">
            <v xml:space="preserve">neuf cent quarante-trois </v>
          </cell>
        </row>
        <row r="945">
          <cell r="B945">
            <v>944</v>
          </cell>
          <cell r="C945" t="str">
            <v xml:space="preserve">neuf cent quarante-quatre </v>
          </cell>
        </row>
        <row r="946">
          <cell r="B946">
            <v>945</v>
          </cell>
          <cell r="C946" t="str">
            <v xml:space="preserve">neuf cent quarante-cinq </v>
          </cell>
        </row>
        <row r="947">
          <cell r="B947">
            <v>946</v>
          </cell>
          <cell r="C947" t="str">
            <v xml:space="preserve">neuf cent quarante-six </v>
          </cell>
        </row>
        <row r="948">
          <cell r="B948">
            <v>947</v>
          </cell>
          <cell r="C948" t="str">
            <v xml:space="preserve">neuf cent quarante-sept </v>
          </cell>
        </row>
        <row r="949">
          <cell r="B949">
            <v>948</v>
          </cell>
          <cell r="C949" t="str">
            <v xml:space="preserve">neuf cent quarante-huit </v>
          </cell>
        </row>
        <row r="950">
          <cell r="B950">
            <v>949</v>
          </cell>
          <cell r="C950" t="str">
            <v xml:space="preserve">neuf cent quarante-neuf </v>
          </cell>
        </row>
        <row r="951">
          <cell r="B951">
            <v>950</v>
          </cell>
          <cell r="C951" t="str">
            <v xml:space="preserve">neuf cent cinquante </v>
          </cell>
        </row>
        <row r="952">
          <cell r="B952">
            <v>951</v>
          </cell>
          <cell r="C952" t="str">
            <v xml:space="preserve">neuf cent cinquante et un </v>
          </cell>
        </row>
        <row r="953">
          <cell r="B953">
            <v>952</v>
          </cell>
          <cell r="C953" t="str">
            <v xml:space="preserve">neuf cent cinquante-deux </v>
          </cell>
        </row>
        <row r="954">
          <cell r="B954">
            <v>953</v>
          </cell>
          <cell r="C954" t="str">
            <v xml:space="preserve">neuf cent cinquante-trois </v>
          </cell>
        </row>
        <row r="955">
          <cell r="B955">
            <v>954</v>
          </cell>
          <cell r="C955" t="str">
            <v xml:space="preserve">neuf cent cinquante-quatre </v>
          </cell>
        </row>
        <row r="956">
          <cell r="B956">
            <v>955</v>
          </cell>
          <cell r="C956" t="str">
            <v xml:space="preserve">neuf cent cinquante-cinq </v>
          </cell>
        </row>
        <row r="957">
          <cell r="B957">
            <v>956</v>
          </cell>
          <cell r="C957" t="str">
            <v xml:space="preserve">neuf cent cinquante-six </v>
          </cell>
        </row>
        <row r="958">
          <cell r="B958">
            <v>957</v>
          </cell>
          <cell r="C958" t="str">
            <v xml:space="preserve">neuf cent cinquante-sept </v>
          </cell>
        </row>
        <row r="959">
          <cell r="B959">
            <v>958</v>
          </cell>
          <cell r="C959" t="str">
            <v xml:space="preserve">neuf cent cinquante-huit </v>
          </cell>
        </row>
        <row r="960">
          <cell r="B960">
            <v>959</v>
          </cell>
          <cell r="C960" t="str">
            <v xml:space="preserve">neuf cent cinquante-neuf </v>
          </cell>
        </row>
        <row r="961">
          <cell r="B961">
            <v>960</v>
          </cell>
          <cell r="C961" t="str">
            <v xml:space="preserve">neuf cent soixante </v>
          </cell>
        </row>
        <row r="962">
          <cell r="B962">
            <v>961</v>
          </cell>
          <cell r="C962" t="str">
            <v xml:space="preserve">neuf cent soixante et un </v>
          </cell>
        </row>
        <row r="963">
          <cell r="B963">
            <v>962</v>
          </cell>
          <cell r="C963" t="str">
            <v xml:space="preserve">neuf cent soixante-deux </v>
          </cell>
        </row>
        <row r="964">
          <cell r="B964">
            <v>963</v>
          </cell>
          <cell r="C964" t="str">
            <v xml:space="preserve">neuf cent soixante-trois </v>
          </cell>
        </row>
        <row r="965">
          <cell r="B965">
            <v>964</v>
          </cell>
          <cell r="C965" t="str">
            <v xml:space="preserve">neuf cent soixante-quatre </v>
          </cell>
        </row>
        <row r="966">
          <cell r="B966">
            <v>965</v>
          </cell>
          <cell r="C966" t="str">
            <v xml:space="preserve">neuf cent soixante-cinq </v>
          </cell>
        </row>
        <row r="967">
          <cell r="B967">
            <v>966</v>
          </cell>
          <cell r="C967" t="str">
            <v xml:space="preserve">neuf cent soixante-six </v>
          </cell>
        </row>
        <row r="968">
          <cell r="B968">
            <v>967</v>
          </cell>
          <cell r="C968" t="str">
            <v xml:space="preserve">neuf cent soixante-sept </v>
          </cell>
        </row>
        <row r="969">
          <cell r="B969">
            <v>968</v>
          </cell>
          <cell r="C969" t="str">
            <v xml:space="preserve">neuf cent soixante-huit </v>
          </cell>
        </row>
        <row r="970">
          <cell r="B970">
            <v>969</v>
          </cell>
          <cell r="C970" t="str">
            <v xml:space="preserve">neuf cent soixante-neuf </v>
          </cell>
        </row>
        <row r="971">
          <cell r="B971">
            <v>970</v>
          </cell>
          <cell r="C971" t="str">
            <v xml:space="preserve">neuf cent soixante-dix </v>
          </cell>
        </row>
        <row r="972">
          <cell r="B972">
            <v>971</v>
          </cell>
          <cell r="C972" t="str">
            <v xml:space="preserve">neuf cent soixante et onze </v>
          </cell>
        </row>
        <row r="973">
          <cell r="B973">
            <v>972</v>
          </cell>
          <cell r="C973" t="str">
            <v xml:space="preserve">neuf cent soixante-douze </v>
          </cell>
        </row>
        <row r="974">
          <cell r="B974">
            <v>973</v>
          </cell>
          <cell r="C974" t="str">
            <v xml:space="preserve">neuf cent soixante-treize </v>
          </cell>
        </row>
        <row r="975">
          <cell r="B975">
            <v>974</v>
          </cell>
          <cell r="C975" t="str">
            <v xml:space="preserve">neuf cent soixante-quatorze </v>
          </cell>
        </row>
        <row r="976">
          <cell r="B976">
            <v>975</v>
          </cell>
          <cell r="C976" t="str">
            <v xml:space="preserve">neuf cent soixante-quinze </v>
          </cell>
        </row>
        <row r="977">
          <cell r="B977">
            <v>976</v>
          </cell>
          <cell r="C977" t="str">
            <v xml:space="preserve">neuf cent soixante-seize </v>
          </cell>
        </row>
        <row r="978">
          <cell r="B978">
            <v>977</v>
          </cell>
          <cell r="C978" t="str">
            <v xml:space="preserve">neuf cent soixante-dix-sept </v>
          </cell>
        </row>
        <row r="979">
          <cell r="B979">
            <v>978</v>
          </cell>
          <cell r="C979" t="str">
            <v xml:space="preserve">neuf cent soixante-dix-huit </v>
          </cell>
        </row>
        <row r="980">
          <cell r="B980">
            <v>979</v>
          </cell>
          <cell r="C980" t="str">
            <v xml:space="preserve">neuf cent soixante-dix-neuf </v>
          </cell>
        </row>
        <row r="981">
          <cell r="B981">
            <v>980</v>
          </cell>
          <cell r="C981" t="str">
            <v xml:space="preserve">neuf cent quatre-vingts </v>
          </cell>
        </row>
        <row r="982">
          <cell r="B982">
            <v>981</v>
          </cell>
          <cell r="C982" t="str">
            <v xml:space="preserve">neuf cent quatre-vingt-un </v>
          </cell>
        </row>
        <row r="983">
          <cell r="B983">
            <v>982</v>
          </cell>
          <cell r="C983" t="str">
            <v xml:space="preserve">neuf cent quatre-vingt-deux </v>
          </cell>
        </row>
        <row r="984">
          <cell r="B984">
            <v>983</v>
          </cell>
          <cell r="C984" t="str">
            <v xml:space="preserve">neuf cent quatre-vingt-trois </v>
          </cell>
        </row>
        <row r="985">
          <cell r="B985">
            <v>984</v>
          </cell>
          <cell r="C985" t="str">
            <v xml:space="preserve">neuf cent quatre-vingt-quatre </v>
          </cell>
        </row>
        <row r="986">
          <cell r="B986">
            <v>985</v>
          </cell>
          <cell r="C986" t="str">
            <v xml:space="preserve">neuf cent quatre-vingt-cinq </v>
          </cell>
        </row>
        <row r="987">
          <cell r="B987">
            <v>986</v>
          </cell>
          <cell r="C987" t="str">
            <v xml:space="preserve">neuf cent quatre-vingt-six </v>
          </cell>
        </row>
        <row r="988">
          <cell r="B988">
            <v>987</v>
          </cell>
          <cell r="C988" t="str">
            <v xml:space="preserve">neuf cent quatre-vingt-sept </v>
          </cell>
        </row>
        <row r="989">
          <cell r="B989">
            <v>988</v>
          </cell>
          <cell r="C989" t="str">
            <v xml:space="preserve">neuf cent quatre-vingt-huit </v>
          </cell>
        </row>
        <row r="990">
          <cell r="B990">
            <v>989</v>
          </cell>
          <cell r="C990" t="str">
            <v xml:space="preserve">neuf cent quatre-vingt-neuf </v>
          </cell>
        </row>
        <row r="991">
          <cell r="B991">
            <v>990</v>
          </cell>
          <cell r="C991" t="str">
            <v xml:space="preserve">neuf cent quatre-vingt-dix </v>
          </cell>
        </row>
        <row r="992">
          <cell r="B992">
            <v>991</v>
          </cell>
          <cell r="C992" t="str">
            <v xml:space="preserve">neuf cent quatre-vingt-onze </v>
          </cell>
        </row>
        <row r="993">
          <cell r="B993">
            <v>992</v>
          </cell>
          <cell r="C993" t="str">
            <v xml:space="preserve">neuf cent quatre-vingt-douze </v>
          </cell>
        </row>
        <row r="994">
          <cell r="B994">
            <v>993</v>
          </cell>
          <cell r="C994" t="str">
            <v xml:space="preserve">neuf cent quatre-vingt-treize </v>
          </cell>
        </row>
        <row r="995">
          <cell r="B995">
            <v>994</v>
          </cell>
          <cell r="C995" t="str">
            <v xml:space="preserve">neuf cent quatre-vingt-quatorze </v>
          </cell>
        </row>
        <row r="996">
          <cell r="B996">
            <v>995</v>
          </cell>
          <cell r="C996" t="str">
            <v xml:space="preserve">neuf cent quatre-vingt-quinze </v>
          </cell>
        </row>
        <row r="997">
          <cell r="B997">
            <v>996</v>
          </cell>
          <cell r="C997" t="str">
            <v xml:space="preserve">neuf cent quatre-vingt-seize </v>
          </cell>
        </row>
        <row r="998">
          <cell r="B998">
            <v>997</v>
          </cell>
          <cell r="C998" t="str">
            <v xml:space="preserve">neuf cent quatre-vingt-dix-sept </v>
          </cell>
        </row>
        <row r="999">
          <cell r="B999">
            <v>998</v>
          </cell>
          <cell r="C999" t="str">
            <v xml:space="preserve">neuf cent quatre-vingt-dix-huit </v>
          </cell>
        </row>
        <row r="1000">
          <cell r="B1000">
            <v>999</v>
          </cell>
          <cell r="C1000" t="str">
            <v xml:space="preserve">neuf cent quatre-vingt-dix-neuf 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rais"/>
      <sheetName val="Main d'oeuvre"/>
      <sheetName val="Matériaux"/>
      <sheetName val="Calcul des PU"/>
      <sheetName val="démolitions divers"/>
      <sheetName val="INSTALLATION DE CHANTIER"/>
    </sheetNames>
    <sheetDataSet>
      <sheetData sheetId="0" refreshError="1"/>
      <sheetData sheetId="1" refreshError="1"/>
      <sheetData sheetId="2" refreshError="1">
        <row r="51">
          <cell r="F51">
            <v>12500</v>
          </cell>
        </row>
      </sheetData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7762"/>
  <sheetViews>
    <sheetView topLeftCell="A7575" workbookViewId="0">
      <selection activeCell="F4323" sqref="F4323"/>
    </sheetView>
  </sheetViews>
  <sheetFormatPr baseColWidth="10" defaultColWidth="11.54296875" defaultRowHeight="13" x14ac:dyDescent="0.35"/>
  <cols>
    <col min="1" max="1" width="13.08984375" style="100" customWidth="1"/>
    <col min="2" max="2" width="88.54296875" style="151" customWidth="1"/>
    <col min="3" max="3" width="8.6328125" style="152" customWidth="1"/>
    <col min="4" max="4" width="13.453125" style="153" customWidth="1"/>
    <col min="5" max="5" width="18.453125" style="138" customWidth="1"/>
    <col min="6" max="6" width="18.90625" style="103" customWidth="1"/>
    <col min="7" max="7" width="11.54296875" style="103"/>
    <col min="8" max="8" width="11.54296875" style="175"/>
    <col min="9" max="256" width="11.54296875" style="104"/>
    <col min="257" max="257" width="13.08984375" style="104" customWidth="1"/>
    <col min="258" max="258" width="88.54296875" style="104" customWidth="1"/>
    <col min="259" max="259" width="8.6328125" style="104" customWidth="1"/>
    <col min="260" max="260" width="13.453125" style="104" customWidth="1"/>
    <col min="261" max="261" width="18.453125" style="104" customWidth="1"/>
    <col min="262" max="262" width="18.90625" style="104" customWidth="1"/>
    <col min="263" max="512" width="11.54296875" style="104"/>
    <col min="513" max="513" width="13.08984375" style="104" customWidth="1"/>
    <col min="514" max="514" width="88.54296875" style="104" customWidth="1"/>
    <col min="515" max="515" width="8.6328125" style="104" customWidth="1"/>
    <col min="516" max="516" width="13.453125" style="104" customWidth="1"/>
    <col min="517" max="517" width="18.453125" style="104" customWidth="1"/>
    <col min="518" max="518" width="18.90625" style="104" customWidth="1"/>
    <col min="519" max="768" width="11.54296875" style="104"/>
    <col min="769" max="769" width="13.08984375" style="104" customWidth="1"/>
    <col min="770" max="770" width="88.54296875" style="104" customWidth="1"/>
    <col min="771" max="771" width="8.6328125" style="104" customWidth="1"/>
    <col min="772" max="772" width="13.453125" style="104" customWidth="1"/>
    <col min="773" max="773" width="18.453125" style="104" customWidth="1"/>
    <col min="774" max="774" width="18.90625" style="104" customWidth="1"/>
    <col min="775" max="1024" width="11.54296875" style="104"/>
    <col min="1025" max="1025" width="13.08984375" style="104" customWidth="1"/>
    <col min="1026" max="1026" width="88.54296875" style="104" customWidth="1"/>
    <col min="1027" max="1027" width="8.6328125" style="104" customWidth="1"/>
    <col min="1028" max="1028" width="13.453125" style="104" customWidth="1"/>
    <col min="1029" max="1029" width="18.453125" style="104" customWidth="1"/>
    <col min="1030" max="1030" width="18.90625" style="104" customWidth="1"/>
    <col min="1031" max="1280" width="11.54296875" style="104"/>
    <col min="1281" max="1281" width="13.08984375" style="104" customWidth="1"/>
    <col min="1282" max="1282" width="88.54296875" style="104" customWidth="1"/>
    <col min="1283" max="1283" width="8.6328125" style="104" customWidth="1"/>
    <col min="1284" max="1284" width="13.453125" style="104" customWidth="1"/>
    <col min="1285" max="1285" width="18.453125" style="104" customWidth="1"/>
    <col min="1286" max="1286" width="18.90625" style="104" customWidth="1"/>
    <col min="1287" max="1536" width="11.54296875" style="104"/>
    <col min="1537" max="1537" width="13.08984375" style="104" customWidth="1"/>
    <col min="1538" max="1538" width="88.54296875" style="104" customWidth="1"/>
    <col min="1539" max="1539" width="8.6328125" style="104" customWidth="1"/>
    <col min="1540" max="1540" width="13.453125" style="104" customWidth="1"/>
    <col min="1541" max="1541" width="18.453125" style="104" customWidth="1"/>
    <col min="1542" max="1542" width="18.90625" style="104" customWidth="1"/>
    <col min="1543" max="1792" width="11.54296875" style="104"/>
    <col min="1793" max="1793" width="13.08984375" style="104" customWidth="1"/>
    <col min="1794" max="1794" width="88.54296875" style="104" customWidth="1"/>
    <col min="1795" max="1795" width="8.6328125" style="104" customWidth="1"/>
    <col min="1796" max="1796" width="13.453125" style="104" customWidth="1"/>
    <col min="1797" max="1797" width="18.453125" style="104" customWidth="1"/>
    <col min="1798" max="1798" width="18.90625" style="104" customWidth="1"/>
    <col min="1799" max="2048" width="11.54296875" style="104"/>
    <col min="2049" max="2049" width="13.08984375" style="104" customWidth="1"/>
    <col min="2050" max="2050" width="88.54296875" style="104" customWidth="1"/>
    <col min="2051" max="2051" width="8.6328125" style="104" customWidth="1"/>
    <col min="2052" max="2052" width="13.453125" style="104" customWidth="1"/>
    <col min="2053" max="2053" width="18.453125" style="104" customWidth="1"/>
    <col min="2054" max="2054" width="18.90625" style="104" customWidth="1"/>
    <col min="2055" max="2304" width="11.54296875" style="104"/>
    <col min="2305" max="2305" width="13.08984375" style="104" customWidth="1"/>
    <col min="2306" max="2306" width="88.54296875" style="104" customWidth="1"/>
    <col min="2307" max="2307" width="8.6328125" style="104" customWidth="1"/>
    <col min="2308" max="2308" width="13.453125" style="104" customWidth="1"/>
    <col min="2309" max="2309" width="18.453125" style="104" customWidth="1"/>
    <col min="2310" max="2310" width="18.90625" style="104" customWidth="1"/>
    <col min="2311" max="2560" width="11.54296875" style="104"/>
    <col min="2561" max="2561" width="13.08984375" style="104" customWidth="1"/>
    <col min="2562" max="2562" width="88.54296875" style="104" customWidth="1"/>
    <col min="2563" max="2563" width="8.6328125" style="104" customWidth="1"/>
    <col min="2564" max="2564" width="13.453125" style="104" customWidth="1"/>
    <col min="2565" max="2565" width="18.453125" style="104" customWidth="1"/>
    <col min="2566" max="2566" width="18.90625" style="104" customWidth="1"/>
    <col min="2567" max="2816" width="11.54296875" style="104"/>
    <col min="2817" max="2817" width="13.08984375" style="104" customWidth="1"/>
    <col min="2818" max="2818" width="88.54296875" style="104" customWidth="1"/>
    <col min="2819" max="2819" width="8.6328125" style="104" customWidth="1"/>
    <col min="2820" max="2820" width="13.453125" style="104" customWidth="1"/>
    <col min="2821" max="2821" width="18.453125" style="104" customWidth="1"/>
    <col min="2822" max="2822" width="18.90625" style="104" customWidth="1"/>
    <col min="2823" max="3072" width="11.54296875" style="104"/>
    <col min="3073" max="3073" width="13.08984375" style="104" customWidth="1"/>
    <col min="3074" max="3074" width="88.54296875" style="104" customWidth="1"/>
    <col min="3075" max="3075" width="8.6328125" style="104" customWidth="1"/>
    <col min="3076" max="3076" width="13.453125" style="104" customWidth="1"/>
    <col min="3077" max="3077" width="18.453125" style="104" customWidth="1"/>
    <col min="3078" max="3078" width="18.90625" style="104" customWidth="1"/>
    <col min="3079" max="3328" width="11.54296875" style="104"/>
    <col min="3329" max="3329" width="13.08984375" style="104" customWidth="1"/>
    <col min="3330" max="3330" width="88.54296875" style="104" customWidth="1"/>
    <col min="3331" max="3331" width="8.6328125" style="104" customWidth="1"/>
    <col min="3332" max="3332" width="13.453125" style="104" customWidth="1"/>
    <col min="3333" max="3333" width="18.453125" style="104" customWidth="1"/>
    <col min="3334" max="3334" width="18.90625" style="104" customWidth="1"/>
    <col min="3335" max="3584" width="11.54296875" style="104"/>
    <col min="3585" max="3585" width="13.08984375" style="104" customWidth="1"/>
    <col min="3586" max="3586" width="88.54296875" style="104" customWidth="1"/>
    <col min="3587" max="3587" width="8.6328125" style="104" customWidth="1"/>
    <col min="3588" max="3588" width="13.453125" style="104" customWidth="1"/>
    <col min="3589" max="3589" width="18.453125" style="104" customWidth="1"/>
    <col min="3590" max="3590" width="18.90625" style="104" customWidth="1"/>
    <col min="3591" max="3840" width="11.54296875" style="104"/>
    <col min="3841" max="3841" width="13.08984375" style="104" customWidth="1"/>
    <col min="3842" max="3842" width="88.54296875" style="104" customWidth="1"/>
    <col min="3843" max="3843" width="8.6328125" style="104" customWidth="1"/>
    <col min="3844" max="3844" width="13.453125" style="104" customWidth="1"/>
    <col min="3845" max="3845" width="18.453125" style="104" customWidth="1"/>
    <col min="3846" max="3846" width="18.90625" style="104" customWidth="1"/>
    <col min="3847" max="4096" width="11.54296875" style="104"/>
    <col min="4097" max="4097" width="13.08984375" style="104" customWidth="1"/>
    <col min="4098" max="4098" width="88.54296875" style="104" customWidth="1"/>
    <col min="4099" max="4099" width="8.6328125" style="104" customWidth="1"/>
    <col min="4100" max="4100" width="13.453125" style="104" customWidth="1"/>
    <col min="4101" max="4101" width="18.453125" style="104" customWidth="1"/>
    <col min="4102" max="4102" width="18.90625" style="104" customWidth="1"/>
    <col min="4103" max="4352" width="11.54296875" style="104"/>
    <col min="4353" max="4353" width="13.08984375" style="104" customWidth="1"/>
    <col min="4354" max="4354" width="88.54296875" style="104" customWidth="1"/>
    <col min="4355" max="4355" width="8.6328125" style="104" customWidth="1"/>
    <col min="4356" max="4356" width="13.453125" style="104" customWidth="1"/>
    <col min="4357" max="4357" width="18.453125" style="104" customWidth="1"/>
    <col min="4358" max="4358" width="18.90625" style="104" customWidth="1"/>
    <col min="4359" max="4608" width="11.54296875" style="104"/>
    <col min="4609" max="4609" width="13.08984375" style="104" customWidth="1"/>
    <col min="4610" max="4610" width="88.54296875" style="104" customWidth="1"/>
    <col min="4611" max="4611" width="8.6328125" style="104" customWidth="1"/>
    <col min="4612" max="4612" width="13.453125" style="104" customWidth="1"/>
    <col min="4613" max="4613" width="18.453125" style="104" customWidth="1"/>
    <col min="4614" max="4614" width="18.90625" style="104" customWidth="1"/>
    <col min="4615" max="4864" width="11.54296875" style="104"/>
    <col min="4865" max="4865" width="13.08984375" style="104" customWidth="1"/>
    <col min="4866" max="4866" width="88.54296875" style="104" customWidth="1"/>
    <col min="4867" max="4867" width="8.6328125" style="104" customWidth="1"/>
    <col min="4868" max="4868" width="13.453125" style="104" customWidth="1"/>
    <col min="4869" max="4869" width="18.453125" style="104" customWidth="1"/>
    <col min="4870" max="4870" width="18.90625" style="104" customWidth="1"/>
    <col min="4871" max="5120" width="11.54296875" style="104"/>
    <col min="5121" max="5121" width="13.08984375" style="104" customWidth="1"/>
    <col min="5122" max="5122" width="88.54296875" style="104" customWidth="1"/>
    <col min="5123" max="5123" width="8.6328125" style="104" customWidth="1"/>
    <col min="5124" max="5124" width="13.453125" style="104" customWidth="1"/>
    <col min="5125" max="5125" width="18.453125" style="104" customWidth="1"/>
    <col min="5126" max="5126" width="18.90625" style="104" customWidth="1"/>
    <col min="5127" max="5376" width="11.54296875" style="104"/>
    <col min="5377" max="5377" width="13.08984375" style="104" customWidth="1"/>
    <col min="5378" max="5378" width="88.54296875" style="104" customWidth="1"/>
    <col min="5379" max="5379" width="8.6328125" style="104" customWidth="1"/>
    <col min="5380" max="5380" width="13.453125" style="104" customWidth="1"/>
    <col min="5381" max="5381" width="18.453125" style="104" customWidth="1"/>
    <col min="5382" max="5382" width="18.90625" style="104" customWidth="1"/>
    <col min="5383" max="5632" width="11.54296875" style="104"/>
    <col min="5633" max="5633" width="13.08984375" style="104" customWidth="1"/>
    <col min="5634" max="5634" width="88.54296875" style="104" customWidth="1"/>
    <col min="5635" max="5635" width="8.6328125" style="104" customWidth="1"/>
    <col min="5636" max="5636" width="13.453125" style="104" customWidth="1"/>
    <col min="5637" max="5637" width="18.453125" style="104" customWidth="1"/>
    <col min="5638" max="5638" width="18.90625" style="104" customWidth="1"/>
    <col min="5639" max="5888" width="11.54296875" style="104"/>
    <col min="5889" max="5889" width="13.08984375" style="104" customWidth="1"/>
    <col min="5890" max="5890" width="88.54296875" style="104" customWidth="1"/>
    <col min="5891" max="5891" width="8.6328125" style="104" customWidth="1"/>
    <col min="5892" max="5892" width="13.453125" style="104" customWidth="1"/>
    <col min="5893" max="5893" width="18.453125" style="104" customWidth="1"/>
    <col min="5894" max="5894" width="18.90625" style="104" customWidth="1"/>
    <col min="5895" max="6144" width="11.54296875" style="104"/>
    <col min="6145" max="6145" width="13.08984375" style="104" customWidth="1"/>
    <col min="6146" max="6146" width="88.54296875" style="104" customWidth="1"/>
    <col min="6147" max="6147" width="8.6328125" style="104" customWidth="1"/>
    <col min="6148" max="6148" width="13.453125" style="104" customWidth="1"/>
    <col min="6149" max="6149" width="18.453125" style="104" customWidth="1"/>
    <col min="6150" max="6150" width="18.90625" style="104" customWidth="1"/>
    <col min="6151" max="6400" width="11.54296875" style="104"/>
    <col min="6401" max="6401" width="13.08984375" style="104" customWidth="1"/>
    <col min="6402" max="6402" width="88.54296875" style="104" customWidth="1"/>
    <col min="6403" max="6403" width="8.6328125" style="104" customWidth="1"/>
    <col min="6404" max="6404" width="13.453125" style="104" customWidth="1"/>
    <col min="6405" max="6405" width="18.453125" style="104" customWidth="1"/>
    <col min="6406" max="6406" width="18.90625" style="104" customWidth="1"/>
    <col min="6407" max="6656" width="11.54296875" style="104"/>
    <col min="6657" max="6657" width="13.08984375" style="104" customWidth="1"/>
    <col min="6658" max="6658" width="88.54296875" style="104" customWidth="1"/>
    <col min="6659" max="6659" width="8.6328125" style="104" customWidth="1"/>
    <col min="6660" max="6660" width="13.453125" style="104" customWidth="1"/>
    <col min="6661" max="6661" width="18.453125" style="104" customWidth="1"/>
    <col min="6662" max="6662" width="18.90625" style="104" customWidth="1"/>
    <col min="6663" max="6912" width="11.54296875" style="104"/>
    <col min="6913" max="6913" width="13.08984375" style="104" customWidth="1"/>
    <col min="6914" max="6914" width="88.54296875" style="104" customWidth="1"/>
    <col min="6915" max="6915" width="8.6328125" style="104" customWidth="1"/>
    <col min="6916" max="6916" width="13.453125" style="104" customWidth="1"/>
    <col min="6917" max="6917" width="18.453125" style="104" customWidth="1"/>
    <col min="6918" max="6918" width="18.90625" style="104" customWidth="1"/>
    <col min="6919" max="7168" width="11.54296875" style="104"/>
    <col min="7169" max="7169" width="13.08984375" style="104" customWidth="1"/>
    <col min="7170" max="7170" width="88.54296875" style="104" customWidth="1"/>
    <col min="7171" max="7171" width="8.6328125" style="104" customWidth="1"/>
    <col min="7172" max="7172" width="13.453125" style="104" customWidth="1"/>
    <col min="7173" max="7173" width="18.453125" style="104" customWidth="1"/>
    <col min="7174" max="7174" width="18.90625" style="104" customWidth="1"/>
    <col min="7175" max="7424" width="11.54296875" style="104"/>
    <col min="7425" max="7425" width="13.08984375" style="104" customWidth="1"/>
    <col min="7426" max="7426" width="88.54296875" style="104" customWidth="1"/>
    <col min="7427" max="7427" width="8.6328125" style="104" customWidth="1"/>
    <col min="7428" max="7428" width="13.453125" style="104" customWidth="1"/>
    <col min="7429" max="7429" width="18.453125" style="104" customWidth="1"/>
    <col min="7430" max="7430" width="18.90625" style="104" customWidth="1"/>
    <col min="7431" max="7680" width="11.54296875" style="104"/>
    <col min="7681" max="7681" width="13.08984375" style="104" customWidth="1"/>
    <col min="7682" max="7682" width="88.54296875" style="104" customWidth="1"/>
    <col min="7683" max="7683" width="8.6328125" style="104" customWidth="1"/>
    <col min="7684" max="7684" width="13.453125" style="104" customWidth="1"/>
    <col min="7685" max="7685" width="18.453125" style="104" customWidth="1"/>
    <col min="7686" max="7686" width="18.90625" style="104" customWidth="1"/>
    <col min="7687" max="7936" width="11.54296875" style="104"/>
    <col min="7937" max="7937" width="13.08984375" style="104" customWidth="1"/>
    <col min="7938" max="7938" width="88.54296875" style="104" customWidth="1"/>
    <col min="7939" max="7939" width="8.6328125" style="104" customWidth="1"/>
    <col min="7940" max="7940" width="13.453125" style="104" customWidth="1"/>
    <col min="7941" max="7941" width="18.453125" style="104" customWidth="1"/>
    <col min="7942" max="7942" width="18.90625" style="104" customWidth="1"/>
    <col min="7943" max="8192" width="11.54296875" style="104"/>
    <col min="8193" max="8193" width="13.08984375" style="104" customWidth="1"/>
    <col min="8194" max="8194" width="88.54296875" style="104" customWidth="1"/>
    <col min="8195" max="8195" width="8.6328125" style="104" customWidth="1"/>
    <col min="8196" max="8196" width="13.453125" style="104" customWidth="1"/>
    <col min="8197" max="8197" width="18.453125" style="104" customWidth="1"/>
    <col min="8198" max="8198" width="18.90625" style="104" customWidth="1"/>
    <col min="8199" max="8448" width="11.54296875" style="104"/>
    <col min="8449" max="8449" width="13.08984375" style="104" customWidth="1"/>
    <col min="8450" max="8450" width="88.54296875" style="104" customWidth="1"/>
    <col min="8451" max="8451" width="8.6328125" style="104" customWidth="1"/>
    <col min="8452" max="8452" width="13.453125" style="104" customWidth="1"/>
    <col min="8453" max="8453" width="18.453125" style="104" customWidth="1"/>
    <col min="8454" max="8454" width="18.90625" style="104" customWidth="1"/>
    <col min="8455" max="8704" width="11.54296875" style="104"/>
    <col min="8705" max="8705" width="13.08984375" style="104" customWidth="1"/>
    <col min="8706" max="8706" width="88.54296875" style="104" customWidth="1"/>
    <col min="8707" max="8707" width="8.6328125" style="104" customWidth="1"/>
    <col min="8708" max="8708" width="13.453125" style="104" customWidth="1"/>
    <col min="8709" max="8709" width="18.453125" style="104" customWidth="1"/>
    <col min="8710" max="8710" width="18.90625" style="104" customWidth="1"/>
    <col min="8711" max="8960" width="11.54296875" style="104"/>
    <col min="8961" max="8961" width="13.08984375" style="104" customWidth="1"/>
    <col min="8962" max="8962" width="88.54296875" style="104" customWidth="1"/>
    <col min="8963" max="8963" width="8.6328125" style="104" customWidth="1"/>
    <col min="8964" max="8964" width="13.453125" style="104" customWidth="1"/>
    <col min="8965" max="8965" width="18.453125" style="104" customWidth="1"/>
    <col min="8966" max="8966" width="18.90625" style="104" customWidth="1"/>
    <col min="8967" max="9216" width="11.54296875" style="104"/>
    <col min="9217" max="9217" width="13.08984375" style="104" customWidth="1"/>
    <col min="9218" max="9218" width="88.54296875" style="104" customWidth="1"/>
    <col min="9219" max="9219" width="8.6328125" style="104" customWidth="1"/>
    <col min="9220" max="9220" width="13.453125" style="104" customWidth="1"/>
    <col min="9221" max="9221" width="18.453125" style="104" customWidth="1"/>
    <col min="9222" max="9222" width="18.90625" style="104" customWidth="1"/>
    <col min="9223" max="9472" width="11.54296875" style="104"/>
    <col min="9473" max="9473" width="13.08984375" style="104" customWidth="1"/>
    <col min="9474" max="9474" width="88.54296875" style="104" customWidth="1"/>
    <col min="9475" max="9475" width="8.6328125" style="104" customWidth="1"/>
    <col min="9476" max="9476" width="13.453125" style="104" customWidth="1"/>
    <col min="9477" max="9477" width="18.453125" style="104" customWidth="1"/>
    <col min="9478" max="9478" width="18.90625" style="104" customWidth="1"/>
    <col min="9479" max="9728" width="11.54296875" style="104"/>
    <col min="9729" max="9729" width="13.08984375" style="104" customWidth="1"/>
    <col min="9730" max="9730" width="88.54296875" style="104" customWidth="1"/>
    <col min="9731" max="9731" width="8.6328125" style="104" customWidth="1"/>
    <col min="9732" max="9732" width="13.453125" style="104" customWidth="1"/>
    <col min="9733" max="9733" width="18.453125" style="104" customWidth="1"/>
    <col min="9734" max="9734" width="18.90625" style="104" customWidth="1"/>
    <col min="9735" max="9984" width="11.54296875" style="104"/>
    <col min="9985" max="9985" width="13.08984375" style="104" customWidth="1"/>
    <col min="9986" max="9986" width="88.54296875" style="104" customWidth="1"/>
    <col min="9987" max="9987" width="8.6328125" style="104" customWidth="1"/>
    <col min="9988" max="9988" width="13.453125" style="104" customWidth="1"/>
    <col min="9989" max="9989" width="18.453125" style="104" customWidth="1"/>
    <col min="9990" max="9990" width="18.90625" style="104" customWidth="1"/>
    <col min="9991" max="10240" width="11.54296875" style="104"/>
    <col min="10241" max="10241" width="13.08984375" style="104" customWidth="1"/>
    <col min="10242" max="10242" width="88.54296875" style="104" customWidth="1"/>
    <col min="10243" max="10243" width="8.6328125" style="104" customWidth="1"/>
    <col min="10244" max="10244" width="13.453125" style="104" customWidth="1"/>
    <col min="10245" max="10245" width="18.453125" style="104" customWidth="1"/>
    <col min="10246" max="10246" width="18.90625" style="104" customWidth="1"/>
    <col min="10247" max="10496" width="11.54296875" style="104"/>
    <col min="10497" max="10497" width="13.08984375" style="104" customWidth="1"/>
    <col min="10498" max="10498" width="88.54296875" style="104" customWidth="1"/>
    <col min="10499" max="10499" width="8.6328125" style="104" customWidth="1"/>
    <col min="10500" max="10500" width="13.453125" style="104" customWidth="1"/>
    <col min="10501" max="10501" width="18.453125" style="104" customWidth="1"/>
    <col min="10502" max="10502" width="18.90625" style="104" customWidth="1"/>
    <col min="10503" max="10752" width="11.54296875" style="104"/>
    <col min="10753" max="10753" width="13.08984375" style="104" customWidth="1"/>
    <col min="10754" max="10754" width="88.54296875" style="104" customWidth="1"/>
    <col min="10755" max="10755" width="8.6328125" style="104" customWidth="1"/>
    <col min="10756" max="10756" width="13.453125" style="104" customWidth="1"/>
    <col min="10757" max="10757" width="18.453125" style="104" customWidth="1"/>
    <col min="10758" max="10758" width="18.90625" style="104" customWidth="1"/>
    <col min="10759" max="11008" width="11.54296875" style="104"/>
    <col min="11009" max="11009" width="13.08984375" style="104" customWidth="1"/>
    <col min="11010" max="11010" width="88.54296875" style="104" customWidth="1"/>
    <col min="11011" max="11011" width="8.6328125" style="104" customWidth="1"/>
    <col min="11012" max="11012" width="13.453125" style="104" customWidth="1"/>
    <col min="11013" max="11013" width="18.453125" style="104" customWidth="1"/>
    <col min="11014" max="11014" width="18.90625" style="104" customWidth="1"/>
    <col min="11015" max="11264" width="11.54296875" style="104"/>
    <col min="11265" max="11265" width="13.08984375" style="104" customWidth="1"/>
    <col min="11266" max="11266" width="88.54296875" style="104" customWidth="1"/>
    <col min="11267" max="11267" width="8.6328125" style="104" customWidth="1"/>
    <col min="11268" max="11268" width="13.453125" style="104" customWidth="1"/>
    <col min="11269" max="11269" width="18.453125" style="104" customWidth="1"/>
    <col min="11270" max="11270" width="18.90625" style="104" customWidth="1"/>
    <col min="11271" max="11520" width="11.54296875" style="104"/>
    <col min="11521" max="11521" width="13.08984375" style="104" customWidth="1"/>
    <col min="11522" max="11522" width="88.54296875" style="104" customWidth="1"/>
    <col min="11523" max="11523" width="8.6328125" style="104" customWidth="1"/>
    <col min="11524" max="11524" width="13.453125" style="104" customWidth="1"/>
    <col min="11525" max="11525" width="18.453125" style="104" customWidth="1"/>
    <col min="11526" max="11526" width="18.90625" style="104" customWidth="1"/>
    <col min="11527" max="11776" width="11.54296875" style="104"/>
    <col min="11777" max="11777" width="13.08984375" style="104" customWidth="1"/>
    <col min="11778" max="11778" width="88.54296875" style="104" customWidth="1"/>
    <col min="11779" max="11779" width="8.6328125" style="104" customWidth="1"/>
    <col min="11780" max="11780" width="13.453125" style="104" customWidth="1"/>
    <col min="11781" max="11781" width="18.453125" style="104" customWidth="1"/>
    <col min="11782" max="11782" width="18.90625" style="104" customWidth="1"/>
    <col min="11783" max="12032" width="11.54296875" style="104"/>
    <col min="12033" max="12033" width="13.08984375" style="104" customWidth="1"/>
    <col min="12034" max="12034" width="88.54296875" style="104" customWidth="1"/>
    <col min="12035" max="12035" width="8.6328125" style="104" customWidth="1"/>
    <col min="12036" max="12036" width="13.453125" style="104" customWidth="1"/>
    <col min="12037" max="12037" width="18.453125" style="104" customWidth="1"/>
    <col min="12038" max="12038" width="18.90625" style="104" customWidth="1"/>
    <col min="12039" max="12288" width="11.54296875" style="104"/>
    <col min="12289" max="12289" width="13.08984375" style="104" customWidth="1"/>
    <col min="12290" max="12290" width="88.54296875" style="104" customWidth="1"/>
    <col min="12291" max="12291" width="8.6328125" style="104" customWidth="1"/>
    <col min="12292" max="12292" width="13.453125" style="104" customWidth="1"/>
    <col min="12293" max="12293" width="18.453125" style="104" customWidth="1"/>
    <col min="12294" max="12294" width="18.90625" style="104" customWidth="1"/>
    <col min="12295" max="12544" width="11.54296875" style="104"/>
    <col min="12545" max="12545" width="13.08984375" style="104" customWidth="1"/>
    <col min="12546" max="12546" width="88.54296875" style="104" customWidth="1"/>
    <col min="12547" max="12547" width="8.6328125" style="104" customWidth="1"/>
    <col min="12548" max="12548" width="13.453125" style="104" customWidth="1"/>
    <col min="12549" max="12549" width="18.453125" style="104" customWidth="1"/>
    <col min="12550" max="12550" width="18.90625" style="104" customWidth="1"/>
    <col min="12551" max="12800" width="11.54296875" style="104"/>
    <col min="12801" max="12801" width="13.08984375" style="104" customWidth="1"/>
    <col min="12802" max="12802" width="88.54296875" style="104" customWidth="1"/>
    <col min="12803" max="12803" width="8.6328125" style="104" customWidth="1"/>
    <col min="12804" max="12804" width="13.453125" style="104" customWidth="1"/>
    <col min="12805" max="12805" width="18.453125" style="104" customWidth="1"/>
    <col min="12806" max="12806" width="18.90625" style="104" customWidth="1"/>
    <col min="12807" max="13056" width="11.54296875" style="104"/>
    <col min="13057" max="13057" width="13.08984375" style="104" customWidth="1"/>
    <col min="13058" max="13058" width="88.54296875" style="104" customWidth="1"/>
    <col min="13059" max="13059" width="8.6328125" style="104" customWidth="1"/>
    <col min="13060" max="13060" width="13.453125" style="104" customWidth="1"/>
    <col min="13061" max="13061" width="18.453125" style="104" customWidth="1"/>
    <col min="13062" max="13062" width="18.90625" style="104" customWidth="1"/>
    <col min="13063" max="13312" width="11.54296875" style="104"/>
    <col min="13313" max="13313" width="13.08984375" style="104" customWidth="1"/>
    <col min="13314" max="13314" width="88.54296875" style="104" customWidth="1"/>
    <col min="13315" max="13315" width="8.6328125" style="104" customWidth="1"/>
    <col min="13316" max="13316" width="13.453125" style="104" customWidth="1"/>
    <col min="13317" max="13317" width="18.453125" style="104" customWidth="1"/>
    <col min="13318" max="13318" width="18.90625" style="104" customWidth="1"/>
    <col min="13319" max="13568" width="11.54296875" style="104"/>
    <col min="13569" max="13569" width="13.08984375" style="104" customWidth="1"/>
    <col min="13570" max="13570" width="88.54296875" style="104" customWidth="1"/>
    <col min="13571" max="13571" width="8.6328125" style="104" customWidth="1"/>
    <col min="13572" max="13572" width="13.453125" style="104" customWidth="1"/>
    <col min="13573" max="13573" width="18.453125" style="104" customWidth="1"/>
    <col min="13574" max="13574" width="18.90625" style="104" customWidth="1"/>
    <col min="13575" max="13824" width="11.54296875" style="104"/>
    <col min="13825" max="13825" width="13.08984375" style="104" customWidth="1"/>
    <col min="13826" max="13826" width="88.54296875" style="104" customWidth="1"/>
    <col min="13827" max="13827" width="8.6328125" style="104" customWidth="1"/>
    <col min="13828" max="13828" width="13.453125" style="104" customWidth="1"/>
    <col min="13829" max="13829" width="18.453125" style="104" customWidth="1"/>
    <col min="13830" max="13830" width="18.90625" style="104" customWidth="1"/>
    <col min="13831" max="14080" width="11.54296875" style="104"/>
    <col min="14081" max="14081" width="13.08984375" style="104" customWidth="1"/>
    <col min="14082" max="14082" width="88.54296875" style="104" customWidth="1"/>
    <col min="14083" max="14083" width="8.6328125" style="104" customWidth="1"/>
    <col min="14084" max="14084" width="13.453125" style="104" customWidth="1"/>
    <col min="14085" max="14085" width="18.453125" style="104" customWidth="1"/>
    <col min="14086" max="14086" width="18.90625" style="104" customWidth="1"/>
    <col min="14087" max="14336" width="11.54296875" style="104"/>
    <col min="14337" max="14337" width="13.08984375" style="104" customWidth="1"/>
    <col min="14338" max="14338" width="88.54296875" style="104" customWidth="1"/>
    <col min="14339" max="14339" width="8.6328125" style="104" customWidth="1"/>
    <col min="14340" max="14340" width="13.453125" style="104" customWidth="1"/>
    <col min="14341" max="14341" width="18.453125" style="104" customWidth="1"/>
    <col min="14342" max="14342" width="18.90625" style="104" customWidth="1"/>
    <col min="14343" max="14592" width="11.54296875" style="104"/>
    <col min="14593" max="14593" width="13.08984375" style="104" customWidth="1"/>
    <col min="14594" max="14594" width="88.54296875" style="104" customWidth="1"/>
    <col min="14595" max="14595" width="8.6328125" style="104" customWidth="1"/>
    <col min="14596" max="14596" width="13.453125" style="104" customWidth="1"/>
    <col min="14597" max="14597" width="18.453125" style="104" customWidth="1"/>
    <col min="14598" max="14598" width="18.90625" style="104" customWidth="1"/>
    <col min="14599" max="14848" width="11.54296875" style="104"/>
    <col min="14849" max="14849" width="13.08984375" style="104" customWidth="1"/>
    <col min="14850" max="14850" width="88.54296875" style="104" customWidth="1"/>
    <col min="14851" max="14851" width="8.6328125" style="104" customWidth="1"/>
    <col min="14852" max="14852" width="13.453125" style="104" customWidth="1"/>
    <col min="14853" max="14853" width="18.453125" style="104" customWidth="1"/>
    <col min="14854" max="14854" width="18.90625" style="104" customWidth="1"/>
    <col min="14855" max="15104" width="11.54296875" style="104"/>
    <col min="15105" max="15105" width="13.08984375" style="104" customWidth="1"/>
    <col min="15106" max="15106" width="88.54296875" style="104" customWidth="1"/>
    <col min="15107" max="15107" width="8.6328125" style="104" customWidth="1"/>
    <col min="15108" max="15108" width="13.453125" style="104" customWidth="1"/>
    <col min="15109" max="15109" width="18.453125" style="104" customWidth="1"/>
    <col min="15110" max="15110" width="18.90625" style="104" customWidth="1"/>
    <col min="15111" max="15360" width="11.54296875" style="104"/>
    <col min="15361" max="15361" width="13.08984375" style="104" customWidth="1"/>
    <col min="15362" max="15362" width="88.54296875" style="104" customWidth="1"/>
    <col min="15363" max="15363" width="8.6328125" style="104" customWidth="1"/>
    <col min="15364" max="15364" width="13.453125" style="104" customWidth="1"/>
    <col min="15365" max="15365" width="18.453125" style="104" customWidth="1"/>
    <col min="15366" max="15366" width="18.90625" style="104" customWidth="1"/>
    <col min="15367" max="15616" width="11.54296875" style="104"/>
    <col min="15617" max="15617" width="13.08984375" style="104" customWidth="1"/>
    <col min="15618" max="15618" width="88.54296875" style="104" customWidth="1"/>
    <col min="15619" max="15619" width="8.6328125" style="104" customWidth="1"/>
    <col min="15620" max="15620" width="13.453125" style="104" customWidth="1"/>
    <col min="15621" max="15621" width="18.453125" style="104" customWidth="1"/>
    <col min="15622" max="15622" width="18.90625" style="104" customWidth="1"/>
    <col min="15623" max="15872" width="11.54296875" style="104"/>
    <col min="15873" max="15873" width="13.08984375" style="104" customWidth="1"/>
    <col min="15874" max="15874" width="88.54296875" style="104" customWidth="1"/>
    <col min="15875" max="15875" width="8.6328125" style="104" customWidth="1"/>
    <col min="15876" max="15876" width="13.453125" style="104" customWidth="1"/>
    <col min="15877" max="15877" width="18.453125" style="104" customWidth="1"/>
    <col min="15878" max="15878" width="18.90625" style="104" customWidth="1"/>
    <col min="15879" max="16128" width="11.54296875" style="104"/>
    <col min="16129" max="16129" width="13.08984375" style="104" customWidth="1"/>
    <col min="16130" max="16130" width="88.54296875" style="104" customWidth="1"/>
    <col min="16131" max="16131" width="8.6328125" style="104" customWidth="1"/>
    <col min="16132" max="16132" width="13.453125" style="104" customWidth="1"/>
    <col min="16133" max="16133" width="18.453125" style="104" customWidth="1"/>
    <col min="16134" max="16134" width="18.90625" style="104" customWidth="1"/>
    <col min="16135" max="16384" width="11.54296875" style="104"/>
  </cols>
  <sheetData>
    <row r="1" spans="1:6" ht="13.5" thickBot="1" x14ac:dyDescent="0.4"/>
    <row r="2" spans="1:6" ht="14" thickTop="1" thickBot="1" x14ac:dyDescent="0.4">
      <c r="B2" s="199" t="s">
        <v>1273</v>
      </c>
      <c r="C2" s="101"/>
      <c r="D2" s="101"/>
      <c r="E2" s="102"/>
      <c r="F2" s="102"/>
    </row>
    <row r="3" spans="1:6" ht="13.5" thickTop="1" x14ac:dyDescent="0.35">
      <c r="A3" s="105"/>
      <c r="B3" s="106"/>
      <c r="C3" s="101"/>
      <c r="D3" s="101"/>
      <c r="E3" s="102"/>
      <c r="F3" s="102"/>
    </row>
    <row r="4" spans="1:6" x14ac:dyDescent="0.35">
      <c r="A4" s="107">
        <v>0</v>
      </c>
      <c r="B4" s="108" t="s">
        <v>763</v>
      </c>
      <c r="C4" s="109"/>
      <c r="D4" s="109"/>
      <c r="E4" s="110"/>
      <c r="F4" s="110"/>
    </row>
    <row r="5" spans="1:6" x14ac:dyDescent="0.35">
      <c r="A5" s="111" t="s">
        <v>764</v>
      </c>
      <c r="B5" s="112" t="s">
        <v>1</v>
      </c>
      <c r="C5" s="111"/>
      <c r="D5" s="113"/>
      <c r="E5" s="110"/>
      <c r="F5" s="114"/>
    </row>
    <row r="6" spans="1:6" x14ac:dyDescent="0.35">
      <c r="A6" s="200" t="s">
        <v>5</v>
      </c>
      <c r="B6" s="201" t="s">
        <v>615</v>
      </c>
      <c r="C6" s="200" t="s">
        <v>2</v>
      </c>
      <c r="D6" s="202" t="s">
        <v>765</v>
      </c>
      <c r="E6" s="203" t="s">
        <v>766</v>
      </c>
      <c r="F6" s="203" t="s">
        <v>767</v>
      </c>
    </row>
    <row r="7" spans="1:6" x14ac:dyDescent="0.35">
      <c r="A7" s="204" t="s">
        <v>6</v>
      </c>
      <c r="B7" s="205" t="s">
        <v>768</v>
      </c>
      <c r="C7" s="124" t="s">
        <v>7</v>
      </c>
      <c r="D7" s="146">
        <v>1</v>
      </c>
      <c r="E7" s="117">
        <v>32000000</v>
      </c>
      <c r="F7" s="117">
        <f>E7*D7</f>
        <v>32000000</v>
      </c>
    </row>
    <row r="8" spans="1:6" x14ac:dyDescent="0.35">
      <c r="A8" s="111"/>
      <c r="B8" s="112" t="s">
        <v>769</v>
      </c>
      <c r="C8" s="115"/>
      <c r="D8" s="116"/>
      <c r="E8" s="117"/>
      <c r="F8" s="114">
        <f>SUM(F7)</f>
        <v>32000000</v>
      </c>
    </row>
    <row r="9" spans="1:6" x14ac:dyDescent="0.35">
      <c r="A9" s="111"/>
      <c r="B9" s="112" t="s">
        <v>770</v>
      </c>
      <c r="C9" s="118"/>
      <c r="D9" s="118"/>
      <c r="E9" s="119"/>
      <c r="F9" s="119"/>
    </row>
    <row r="10" spans="1:6" x14ac:dyDescent="0.35">
      <c r="A10" s="111"/>
      <c r="B10" s="120" t="s">
        <v>771</v>
      </c>
      <c r="C10" s="115" t="s">
        <v>772</v>
      </c>
      <c r="D10" s="116">
        <v>1</v>
      </c>
      <c r="E10" s="117">
        <v>7500</v>
      </c>
      <c r="F10" s="121">
        <f>+SUM(D10*E10)</f>
        <v>7500</v>
      </c>
    </row>
    <row r="11" spans="1:6" x14ac:dyDescent="0.35">
      <c r="A11" s="111"/>
      <c r="B11" s="120" t="s">
        <v>773</v>
      </c>
      <c r="C11" s="115" t="s">
        <v>772</v>
      </c>
      <c r="D11" s="116">
        <v>1</v>
      </c>
      <c r="E11" s="117">
        <v>15000</v>
      </c>
      <c r="F11" s="121">
        <f>+SUM(D11*E11)</f>
        <v>15000</v>
      </c>
    </row>
    <row r="12" spans="1:6" x14ac:dyDescent="0.35">
      <c r="A12" s="111"/>
      <c r="B12" s="112" t="s">
        <v>774</v>
      </c>
      <c r="C12" s="118"/>
      <c r="D12" s="118"/>
      <c r="E12" s="119"/>
      <c r="F12" s="122">
        <f>SUM(F10:F11)</f>
        <v>22500</v>
      </c>
    </row>
    <row r="13" spans="1:6" x14ac:dyDescent="0.35">
      <c r="A13" s="111"/>
      <c r="B13" s="112" t="s">
        <v>775</v>
      </c>
      <c r="C13" s="118"/>
      <c r="D13" s="118"/>
      <c r="E13" s="119"/>
      <c r="F13" s="122">
        <f>F8+F12</f>
        <v>32022500</v>
      </c>
    </row>
    <row r="14" spans="1:6" x14ac:dyDescent="0.35">
      <c r="A14" s="111"/>
      <c r="B14" s="120" t="s">
        <v>776</v>
      </c>
      <c r="C14" s="111"/>
      <c r="D14" s="116">
        <v>1.25</v>
      </c>
      <c r="E14" s="117"/>
      <c r="F14" s="121"/>
    </row>
    <row r="15" spans="1:6" x14ac:dyDescent="0.35">
      <c r="A15" s="111"/>
      <c r="B15" s="120"/>
      <c r="C15" s="111"/>
      <c r="D15" s="116"/>
      <c r="E15" s="117"/>
      <c r="F15" s="121">
        <f>F13*D14</f>
        <v>40028125</v>
      </c>
    </row>
    <row r="16" spans="1:6" x14ac:dyDescent="0.35">
      <c r="A16" s="107"/>
      <c r="B16" s="123" t="s">
        <v>777</v>
      </c>
      <c r="C16" s="109"/>
      <c r="D16" s="116">
        <v>1.25</v>
      </c>
      <c r="E16" s="110"/>
      <c r="F16" s="117"/>
    </row>
    <row r="17" spans="1:8" x14ac:dyDescent="0.35">
      <c r="A17" s="206" t="s">
        <v>6</v>
      </c>
      <c r="B17" s="207" t="s">
        <v>778</v>
      </c>
      <c r="C17" s="208"/>
      <c r="D17" s="208"/>
      <c r="E17" s="209"/>
      <c r="F17" s="209">
        <f>D16*F15</f>
        <v>50035156.25</v>
      </c>
    </row>
    <row r="18" spans="1:8" x14ac:dyDescent="0.35">
      <c r="A18" s="206"/>
      <c r="B18" s="207"/>
      <c r="C18" s="208"/>
      <c r="D18" s="208"/>
      <c r="E18" s="210">
        <v>3035.45</v>
      </c>
      <c r="F18" s="210">
        <f>+F17/E18</f>
        <v>16483.604160832827</v>
      </c>
    </row>
    <row r="19" spans="1:8" s="139" customFormat="1" x14ac:dyDescent="0.35">
      <c r="A19" s="126"/>
      <c r="B19" s="127"/>
      <c r="C19" s="128"/>
      <c r="D19" s="128"/>
      <c r="E19" s="176"/>
      <c r="F19" s="176"/>
      <c r="G19" s="138"/>
      <c r="H19" s="177"/>
    </row>
    <row r="20" spans="1:8" x14ac:dyDescent="0.35">
      <c r="A20" s="105"/>
      <c r="B20" s="106"/>
      <c r="C20" s="101"/>
      <c r="D20" s="101"/>
      <c r="E20" s="102"/>
      <c r="F20" s="102"/>
    </row>
    <row r="21" spans="1:8" x14ac:dyDescent="0.35">
      <c r="A21" s="107" t="s">
        <v>9</v>
      </c>
      <c r="B21" s="108" t="s">
        <v>779</v>
      </c>
      <c r="C21" s="109"/>
      <c r="D21" s="109"/>
      <c r="E21" s="110"/>
      <c r="F21" s="110"/>
    </row>
    <row r="22" spans="1:8" x14ac:dyDescent="0.35">
      <c r="A22" s="211" t="s">
        <v>10</v>
      </c>
      <c r="B22" s="212" t="s">
        <v>732</v>
      </c>
      <c r="C22" s="200" t="s">
        <v>2</v>
      </c>
      <c r="D22" s="202" t="s">
        <v>765</v>
      </c>
      <c r="E22" s="203" t="s">
        <v>766</v>
      </c>
      <c r="F22" s="203" t="s">
        <v>767</v>
      </c>
    </row>
    <row r="23" spans="1:8" x14ac:dyDescent="0.35">
      <c r="A23" s="213" t="s">
        <v>11</v>
      </c>
      <c r="B23" s="205" t="s">
        <v>780</v>
      </c>
      <c r="C23" s="124" t="s">
        <v>7</v>
      </c>
      <c r="D23" s="124">
        <v>1</v>
      </c>
      <c r="E23" s="117">
        <v>15550000</v>
      </c>
      <c r="F23" s="117">
        <f>+D23*E23</f>
        <v>15550000</v>
      </c>
    </row>
    <row r="24" spans="1:8" x14ac:dyDescent="0.35">
      <c r="A24" s="107"/>
      <c r="B24" s="112" t="s">
        <v>769</v>
      </c>
      <c r="C24" s="109"/>
      <c r="D24" s="109"/>
      <c r="E24" s="110"/>
      <c r="F24" s="110">
        <f>SUM(F23)</f>
        <v>15550000</v>
      </c>
    </row>
    <row r="25" spans="1:8" x14ac:dyDescent="0.35">
      <c r="A25" s="111"/>
      <c r="B25" s="112" t="s">
        <v>770</v>
      </c>
      <c r="C25" s="118"/>
      <c r="D25" s="118"/>
      <c r="E25" s="119"/>
      <c r="F25" s="119"/>
    </row>
    <row r="26" spans="1:8" x14ac:dyDescent="0.35">
      <c r="A26" s="111"/>
      <c r="B26" s="120" t="s">
        <v>771</v>
      </c>
      <c r="C26" s="115" t="s">
        <v>772</v>
      </c>
      <c r="D26" s="116">
        <v>1</v>
      </c>
      <c r="E26" s="117">
        <v>7500</v>
      </c>
      <c r="F26" s="121">
        <f>+SUM(D26*E26)</f>
        <v>7500</v>
      </c>
    </row>
    <row r="27" spans="1:8" x14ac:dyDescent="0.35">
      <c r="A27" s="111"/>
      <c r="B27" s="112" t="s">
        <v>774</v>
      </c>
      <c r="C27" s="118"/>
      <c r="D27" s="118"/>
      <c r="E27" s="119"/>
      <c r="F27" s="122">
        <f>SUM(F26:F26)</f>
        <v>7500</v>
      </c>
    </row>
    <row r="28" spans="1:8" x14ac:dyDescent="0.35">
      <c r="A28" s="111"/>
      <c r="B28" s="112" t="s">
        <v>775</v>
      </c>
      <c r="C28" s="118"/>
      <c r="D28" s="118"/>
      <c r="E28" s="119"/>
      <c r="F28" s="122">
        <f>F24+F27</f>
        <v>15557500</v>
      </c>
    </row>
    <row r="29" spans="1:8" x14ac:dyDescent="0.35">
      <c r="A29" s="111"/>
      <c r="B29" s="120" t="s">
        <v>776</v>
      </c>
      <c r="C29" s="111"/>
      <c r="D29" s="116">
        <v>1.25</v>
      </c>
      <c r="E29" s="117"/>
      <c r="F29" s="114">
        <f>F28*D29</f>
        <v>19446875</v>
      </c>
    </row>
    <row r="30" spans="1:8" x14ac:dyDescent="0.35">
      <c r="A30" s="107"/>
      <c r="B30" s="123" t="s">
        <v>777</v>
      </c>
      <c r="C30" s="109"/>
      <c r="D30" s="116">
        <v>1.25</v>
      </c>
      <c r="E30" s="110"/>
      <c r="F30" s="117"/>
    </row>
    <row r="31" spans="1:8" x14ac:dyDescent="0.35">
      <c r="A31" s="206" t="s">
        <v>781</v>
      </c>
      <c r="B31" s="207" t="s">
        <v>778</v>
      </c>
      <c r="C31" s="208"/>
      <c r="D31" s="208"/>
      <c r="E31" s="209"/>
      <c r="F31" s="209">
        <f>+F28+F29</f>
        <v>35004375</v>
      </c>
    </row>
    <row r="32" spans="1:8" x14ac:dyDescent="0.35">
      <c r="A32" s="206"/>
      <c r="B32" s="207"/>
      <c r="C32" s="208"/>
      <c r="D32" s="208"/>
      <c r="E32" s="210">
        <f>+E18</f>
        <v>3035.45</v>
      </c>
      <c r="F32" s="210">
        <f>+F31/E32</f>
        <v>11531.856891070518</v>
      </c>
    </row>
    <row r="33" spans="1:6" x14ac:dyDescent="0.35">
      <c r="A33" s="105"/>
      <c r="B33" s="106"/>
      <c r="C33" s="101"/>
      <c r="D33" s="101"/>
      <c r="E33" s="102"/>
      <c r="F33" s="102"/>
    </row>
    <row r="34" spans="1:6" x14ac:dyDescent="0.35">
      <c r="A34" s="105"/>
      <c r="B34" s="106"/>
      <c r="C34" s="101"/>
      <c r="D34" s="101"/>
      <c r="E34" s="102"/>
      <c r="F34" s="102"/>
    </row>
    <row r="35" spans="1:6" x14ac:dyDescent="0.35">
      <c r="A35" s="211" t="s">
        <v>10</v>
      </c>
      <c r="B35" s="212" t="s">
        <v>732</v>
      </c>
      <c r="C35" s="200" t="s">
        <v>2</v>
      </c>
      <c r="D35" s="202" t="s">
        <v>765</v>
      </c>
      <c r="E35" s="203" t="s">
        <v>766</v>
      </c>
      <c r="F35" s="203" t="s">
        <v>767</v>
      </c>
    </row>
    <row r="36" spans="1:6" x14ac:dyDescent="0.35">
      <c r="A36" s="213" t="s">
        <v>12</v>
      </c>
      <c r="B36" s="214" t="s">
        <v>1274</v>
      </c>
      <c r="C36" s="124" t="s">
        <v>7</v>
      </c>
      <c r="D36" s="124">
        <v>1</v>
      </c>
      <c r="E36" s="117">
        <v>1915000</v>
      </c>
      <c r="F36" s="117">
        <f>+D36*E36</f>
        <v>1915000</v>
      </c>
    </row>
    <row r="37" spans="1:6" x14ac:dyDescent="0.35">
      <c r="A37" s="107"/>
      <c r="B37" s="112" t="s">
        <v>769</v>
      </c>
      <c r="C37" s="109"/>
      <c r="D37" s="109"/>
      <c r="E37" s="110"/>
      <c r="F37" s="110">
        <f>SUM(F36)</f>
        <v>1915000</v>
      </c>
    </row>
    <row r="38" spans="1:6" x14ac:dyDescent="0.35">
      <c r="A38" s="111"/>
      <c r="B38" s="112" t="s">
        <v>770</v>
      </c>
      <c r="C38" s="118"/>
      <c r="D38" s="118"/>
      <c r="E38" s="119"/>
      <c r="F38" s="119"/>
    </row>
    <row r="39" spans="1:6" x14ac:dyDescent="0.35">
      <c r="A39" s="111"/>
      <c r="B39" s="120" t="s">
        <v>771</v>
      </c>
      <c r="C39" s="115" t="s">
        <v>772</v>
      </c>
      <c r="D39" s="116">
        <v>1</v>
      </c>
      <c r="E39" s="117">
        <v>7500</v>
      </c>
      <c r="F39" s="121">
        <f>+SUM(D39*E39)</f>
        <v>7500</v>
      </c>
    </row>
    <row r="40" spans="1:6" x14ac:dyDescent="0.35">
      <c r="A40" s="111"/>
      <c r="B40" s="112" t="s">
        <v>774</v>
      </c>
      <c r="C40" s="118"/>
      <c r="D40" s="118"/>
      <c r="E40" s="119"/>
      <c r="F40" s="122">
        <f>SUM(F39:F39)</f>
        <v>7500</v>
      </c>
    </row>
    <row r="41" spans="1:6" x14ac:dyDescent="0.35">
      <c r="A41" s="111"/>
      <c r="B41" s="112" t="s">
        <v>775</v>
      </c>
      <c r="C41" s="118"/>
      <c r="D41" s="118"/>
      <c r="E41" s="119"/>
      <c r="F41" s="122">
        <f>F37+F40</f>
        <v>1922500</v>
      </c>
    </row>
    <row r="42" spans="1:6" x14ac:dyDescent="0.35">
      <c r="A42" s="111"/>
      <c r="B42" s="120" t="s">
        <v>776</v>
      </c>
      <c r="C42" s="111"/>
      <c r="D42" s="116">
        <v>1.25</v>
      </c>
      <c r="E42" s="117"/>
      <c r="F42" s="114">
        <f>F41*D42</f>
        <v>2403125</v>
      </c>
    </row>
    <row r="43" spans="1:6" x14ac:dyDescent="0.35">
      <c r="A43" s="107"/>
      <c r="B43" s="123" t="s">
        <v>777</v>
      </c>
      <c r="C43" s="109"/>
      <c r="D43" s="125"/>
      <c r="E43" s="110"/>
      <c r="F43" s="117"/>
    </row>
    <row r="44" spans="1:6" x14ac:dyDescent="0.35">
      <c r="A44" s="107"/>
      <c r="B44" s="123"/>
      <c r="C44" s="109"/>
      <c r="D44" s="116">
        <v>1.25</v>
      </c>
      <c r="E44" s="110"/>
      <c r="F44" s="117"/>
    </row>
    <row r="45" spans="1:6" x14ac:dyDescent="0.35">
      <c r="A45" s="206" t="s">
        <v>12</v>
      </c>
      <c r="B45" s="207" t="s">
        <v>778</v>
      </c>
      <c r="C45" s="208"/>
      <c r="D45" s="208"/>
      <c r="E45" s="209"/>
      <c r="F45" s="209">
        <f>D44*F42</f>
        <v>3003906.25</v>
      </c>
    </row>
    <row r="46" spans="1:6" ht="15" customHeight="1" x14ac:dyDescent="0.35">
      <c r="A46" s="206"/>
      <c r="B46" s="207"/>
      <c r="C46" s="208"/>
      <c r="D46" s="208"/>
      <c r="E46" s="210">
        <f>+E32</f>
        <v>3035.45</v>
      </c>
      <c r="F46" s="210">
        <f>+F45/E46</f>
        <v>989.60821295030394</v>
      </c>
    </row>
    <row r="47" spans="1:6" ht="15" customHeight="1" x14ac:dyDescent="0.35">
      <c r="A47" s="178"/>
      <c r="B47" s="104"/>
      <c r="C47" s="104"/>
      <c r="D47" s="104"/>
      <c r="E47" s="104"/>
      <c r="F47" s="104"/>
    </row>
    <row r="48" spans="1:6" ht="15" customHeight="1" x14ac:dyDescent="0.35">
      <c r="A48" s="178"/>
      <c r="B48" s="104"/>
      <c r="C48" s="104"/>
      <c r="D48" s="104"/>
      <c r="E48" s="104"/>
      <c r="F48" s="104"/>
    </row>
    <row r="49" spans="1:6" x14ac:dyDescent="0.35">
      <c r="A49" s="211" t="s">
        <v>10</v>
      </c>
      <c r="B49" s="212" t="s">
        <v>732</v>
      </c>
      <c r="C49" s="200" t="s">
        <v>2</v>
      </c>
      <c r="D49" s="202" t="s">
        <v>765</v>
      </c>
      <c r="E49" s="203" t="s">
        <v>766</v>
      </c>
      <c r="F49" s="203" t="s">
        <v>767</v>
      </c>
    </row>
    <row r="50" spans="1:6" x14ac:dyDescent="0.35">
      <c r="A50" s="213" t="s">
        <v>14</v>
      </c>
      <c r="B50" s="214" t="s">
        <v>782</v>
      </c>
      <c r="C50" s="124" t="s">
        <v>7</v>
      </c>
      <c r="D50" s="124">
        <v>1</v>
      </c>
      <c r="E50" s="117">
        <v>700000</v>
      </c>
      <c r="F50" s="117">
        <f>+D50*E50</f>
        <v>700000</v>
      </c>
    </row>
    <row r="51" spans="1:6" x14ac:dyDescent="0.35">
      <c r="A51" s="107"/>
      <c r="B51" s="112" t="s">
        <v>769</v>
      </c>
      <c r="C51" s="109"/>
      <c r="D51" s="109"/>
      <c r="E51" s="110"/>
      <c r="F51" s="110">
        <f>SUM(F50)</f>
        <v>700000</v>
      </c>
    </row>
    <row r="52" spans="1:6" x14ac:dyDescent="0.35">
      <c r="A52" s="111"/>
      <c r="B52" s="112" t="s">
        <v>770</v>
      </c>
      <c r="C52" s="118"/>
      <c r="D52" s="118"/>
      <c r="E52" s="119"/>
      <c r="F52" s="119"/>
    </row>
    <row r="53" spans="1:6" x14ac:dyDescent="0.35">
      <c r="A53" s="111"/>
      <c r="B53" s="120" t="s">
        <v>771</v>
      </c>
      <c r="C53" s="115" t="s">
        <v>772</v>
      </c>
      <c r="D53" s="116">
        <v>1</v>
      </c>
      <c r="E53" s="117">
        <v>7500</v>
      </c>
      <c r="F53" s="121">
        <f>+SUM(D53*E53)</f>
        <v>7500</v>
      </c>
    </row>
    <row r="54" spans="1:6" x14ac:dyDescent="0.35">
      <c r="A54" s="111"/>
      <c r="B54" s="112" t="s">
        <v>774</v>
      </c>
      <c r="C54" s="118"/>
      <c r="D54" s="118"/>
      <c r="E54" s="119"/>
      <c r="F54" s="122">
        <f>SUM(F53:F53)</f>
        <v>7500</v>
      </c>
    </row>
    <row r="55" spans="1:6" x14ac:dyDescent="0.35">
      <c r="A55" s="111"/>
      <c r="B55" s="112" t="s">
        <v>775</v>
      </c>
      <c r="C55" s="118"/>
      <c r="D55" s="118"/>
      <c r="E55" s="119"/>
      <c r="F55" s="122">
        <f>F51+F54</f>
        <v>707500</v>
      </c>
    </row>
    <row r="56" spans="1:6" x14ac:dyDescent="0.35">
      <c r="A56" s="111"/>
      <c r="B56" s="120" t="s">
        <v>776</v>
      </c>
      <c r="C56" s="111"/>
      <c r="D56" s="116">
        <v>1.25</v>
      </c>
      <c r="E56" s="117"/>
      <c r="F56" s="114">
        <f>F55*D56</f>
        <v>884375</v>
      </c>
    </row>
    <row r="57" spans="1:6" x14ac:dyDescent="0.35">
      <c r="A57" s="107"/>
      <c r="B57" s="123" t="s">
        <v>777</v>
      </c>
      <c r="C57" s="109"/>
      <c r="D57" s="116">
        <v>1.25</v>
      </c>
      <c r="E57" s="110"/>
      <c r="F57" s="117"/>
    </row>
    <row r="58" spans="1:6" x14ac:dyDescent="0.35">
      <c r="A58" s="206" t="s">
        <v>14</v>
      </c>
      <c r="B58" s="207" t="s">
        <v>778</v>
      </c>
      <c r="C58" s="208"/>
      <c r="D58" s="208"/>
      <c r="E58" s="209"/>
      <c r="F58" s="209">
        <f>D57*F56</f>
        <v>1105468.75</v>
      </c>
    </row>
    <row r="59" spans="1:6" x14ac:dyDescent="0.35">
      <c r="A59" s="206"/>
      <c r="B59" s="207"/>
      <c r="C59" s="208"/>
      <c r="D59" s="208"/>
      <c r="E59" s="210">
        <f>+E46</f>
        <v>3035.45</v>
      </c>
      <c r="F59" s="210">
        <f>+F58/E59</f>
        <v>364.18611737963073</v>
      </c>
    </row>
    <row r="60" spans="1:6" ht="12.5" x14ac:dyDescent="0.35">
      <c r="A60" s="178"/>
      <c r="B60" s="104"/>
      <c r="C60" s="104"/>
      <c r="D60" s="104"/>
      <c r="E60" s="104"/>
      <c r="F60" s="104"/>
    </row>
    <row r="61" spans="1:6" ht="12.5" x14ac:dyDescent="0.35">
      <c r="A61" s="178"/>
      <c r="B61" s="104"/>
      <c r="C61" s="104"/>
      <c r="D61" s="104"/>
      <c r="E61" s="104"/>
      <c r="F61" s="104"/>
    </row>
    <row r="62" spans="1:6" x14ac:dyDescent="0.35">
      <c r="A62" s="211" t="s">
        <v>10</v>
      </c>
      <c r="B62" s="212" t="s">
        <v>732</v>
      </c>
      <c r="C62" s="200" t="s">
        <v>2</v>
      </c>
      <c r="D62" s="202" t="s">
        <v>765</v>
      </c>
      <c r="E62" s="203" t="s">
        <v>766</v>
      </c>
      <c r="F62" s="203" t="s">
        <v>767</v>
      </c>
    </row>
    <row r="63" spans="1:6" x14ac:dyDescent="0.35">
      <c r="A63" s="213" t="s">
        <v>15</v>
      </c>
      <c r="B63" s="214" t="s">
        <v>1275</v>
      </c>
      <c r="C63" s="124" t="s">
        <v>7</v>
      </c>
      <c r="D63" s="124">
        <v>1</v>
      </c>
      <c r="E63" s="117">
        <v>959000</v>
      </c>
      <c r="F63" s="117">
        <f>+D63*E63</f>
        <v>959000</v>
      </c>
    </row>
    <row r="64" spans="1:6" x14ac:dyDescent="0.35">
      <c r="A64" s="107"/>
      <c r="B64" s="112" t="s">
        <v>769</v>
      </c>
      <c r="C64" s="109"/>
      <c r="D64" s="109"/>
      <c r="E64" s="110"/>
      <c r="F64" s="110">
        <f>SUM(F63)</f>
        <v>959000</v>
      </c>
    </row>
    <row r="65" spans="1:6" x14ac:dyDescent="0.35">
      <c r="A65" s="111"/>
      <c r="B65" s="112" t="s">
        <v>770</v>
      </c>
      <c r="C65" s="118"/>
      <c r="D65" s="118"/>
      <c r="E65" s="119"/>
      <c r="F65" s="119"/>
    </row>
    <row r="66" spans="1:6" x14ac:dyDescent="0.35">
      <c r="A66" s="111"/>
      <c r="B66" s="120" t="s">
        <v>771</v>
      </c>
      <c r="C66" s="115" t="s">
        <v>772</v>
      </c>
      <c r="D66" s="116">
        <v>1</v>
      </c>
      <c r="E66" s="117">
        <v>7500</v>
      </c>
      <c r="F66" s="121">
        <f>+SUM(D66*E66)</f>
        <v>7500</v>
      </c>
    </row>
    <row r="67" spans="1:6" x14ac:dyDescent="0.35">
      <c r="A67" s="111"/>
      <c r="B67" s="112" t="s">
        <v>774</v>
      </c>
      <c r="C67" s="118"/>
      <c r="D67" s="118"/>
      <c r="E67" s="119"/>
      <c r="F67" s="122">
        <f>SUM(F66:F66)</f>
        <v>7500</v>
      </c>
    </row>
    <row r="68" spans="1:6" x14ac:dyDescent="0.35">
      <c r="A68" s="111"/>
      <c r="B68" s="112" t="s">
        <v>775</v>
      </c>
      <c r="C68" s="118"/>
      <c r="D68" s="118"/>
      <c r="E68" s="119"/>
      <c r="F68" s="122">
        <f>F64+F67</f>
        <v>966500</v>
      </c>
    </row>
    <row r="69" spans="1:6" x14ac:dyDescent="0.35">
      <c r="A69" s="111"/>
      <c r="B69" s="120" t="s">
        <v>776</v>
      </c>
      <c r="C69" s="111"/>
      <c r="D69" s="116">
        <v>1.25</v>
      </c>
      <c r="E69" s="117"/>
      <c r="F69" s="114">
        <f>F68*D69</f>
        <v>1208125</v>
      </c>
    </row>
    <row r="70" spans="1:6" x14ac:dyDescent="0.35">
      <c r="A70" s="107"/>
      <c r="B70" s="123" t="s">
        <v>777</v>
      </c>
      <c r="C70" s="109"/>
      <c r="D70" s="125"/>
      <c r="E70" s="110"/>
      <c r="F70" s="117"/>
    </row>
    <row r="71" spans="1:6" x14ac:dyDescent="0.35">
      <c r="A71" s="107"/>
      <c r="B71" s="123"/>
      <c r="C71" s="109"/>
      <c r="D71" s="116">
        <v>1.25</v>
      </c>
      <c r="E71" s="110"/>
      <c r="F71" s="117"/>
    </row>
    <row r="72" spans="1:6" x14ac:dyDescent="0.35">
      <c r="A72" s="206" t="s">
        <v>15</v>
      </c>
      <c r="B72" s="207" t="s">
        <v>778</v>
      </c>
      <c r="C72" s="208"/>
      <c r="D72" s="208"/>
      <c r="E72" s="209"/>
      <c r="F72" s="209">
        <f>D71*F69</f>
        <v>1510156.25</v>
      </c>
    </row>
    <row r="73" spans="1:6" x14ac:dyDescent="0.35">
      <c r="A73" s="206"/>
      <c r="B73" s="207"/>
      <c r="C73" s="208"/>
      <c r="D73" s="208"/>
      <c r="E73" s="210">
        <f>+E59</f>
        <v>3035.45</v>
      </c>
      <c r="F73" s="210">
        <f>+F72/E73</f>
        <v>497.50654762885245</v>
      </c>
    </row>
    <row r="74" spans="1:6" ht="12.5" x14ac:dyDescent="0.35">
      <c r="A74" s="178"/>
      <c r="B74" s="104"/>
      <c r="C74" s="104"/>
      <c r="D74" s="104"/>
      <c r="E74" s="104"/>
      <c r="F74" s="104"/>
    </row>
    <row r="75" spans="1:6" ht="12.5" x14ac:dyDescent="0.35">
      <c r="A75" s="178"/>
      <c r="B75" s="104"/>
      <c r="C75" s="104"/>
      <c r="D75" s="104"/>
      <c r="E75" s="104"/>
      <c r="F75" s="104"/>
    </row>
    <row r="76" spans="1:6" x14ac:dyDescent="0.35">
      <c r="A76" s="211" t="s">
        <v>10</v>
      </c>
      <c r="B76" s="212" t="s">
        <v>732</v>
      </c>
      <c r="C76" s="200" t="s">
        <v>2</v>
      </c>
      <c r="D76" s="202" t="s">
        <v>765</v>
      </c>
      <c r="E76" s="203" t="s">
        <v>766</v>
      </c>
      <c r="F76" s="203" t="s">
        <v>767</v>
      </c>
    </row>
    <row r="77" spans="1:6" x14ac:dyDescent="0.35">
      <c r="A77" s="213" t="s">
        <v>16</v>
      </c>
      <c r="B77" s="214" t="s">
        <v>1276</v>
      </c>
      <c r="C77" s="124" t="s">
        <v>7</v>
      </c>
      <c r="D77" s="124">
        <v>1</v>
      </c>
      <c r="E77" s="117">
        <v>959000</v>
      </c>
      <c r="F77" s="117">
        <f>+D77*E77</f>
        <v>959000</v>
      </c>
    </row>
    <row r="78" spans="1:6" x14ac:dyDescent="0.35">
      <c r="A78" s="107"/>
      <c r="B78" s="112" t="s">
        <v>769</v>
      </c>
      <c r="C78" s="109"/>
      <c r="D78" s="109"/>
      <c r="E78" s="110"/>
      <c r="F78" s="110">
        <f>SUM(F77)</f>
        <v>959000</v>
      </c>
    </row>
    <row r="79" spans="1:6" x14ac:dyDescent="0.35">
      <c r="A79" s="111"/>
      <c r="B79" s="112" t="s">
        <v>770</v>
      </c>
      <c r="C79" s="118"/>
      <c r="D79" s="118"/>
      <c r="E79" s="119"/>
      <c r="F79" s="119"/>
    </row>
    <row r="80" spans="1:6" x14ac:dyDescent="0.35">
      <c r="A80" s="111"/>
      <c r="B80" s="120" t="s">
        <v>771</v>
      </c>
      <c r="C80" s="115" t="s">
        <v>772</v>
      </c>
      <c r="D80" s="116">
        <v>1</v>
      </c>
      <c r="E80" s="117">
        <v>7500</v>
      </c>
      <c r="F80" s="121">
        <f>+SUM(D80*E80)</f>
        <v>7500</v>
      </c>
    </row>
    <row r="81" spans="1:6" x14ac:dyDescent="0.35">
      <c r="A81" s="111"/>
      <c r="B81" s="112" t="s">
        <v>774</v>
      </c>
      <c r="C81" s="118"/>
      <c r="D81" s="118"/>
      <c r="E81" s="119"/>
      <c r="F81" s="122">
        <f>SUM(F80:F80)</f>
        <v>7500</v>
      </c>
    </row>
    <row r="82" spans="1:6" x14ac:dyDescent="0.35">
      <c r="A82" s="111"/>
      <c r="B82" s="112" t="s">
        <v>775</v>
      </c>
      <c r="C82" s="118"/>
      <c r="D82" s="118"/>
      <c r="E82" s="119"/>
      <c r="F82" s="122">
        <f>F78+F81</f>
        <v>966500</v>
      </c>
    </row>
    <row r="83" spans="1:6" x14ac:dyDescent="0.35">
      <c r="A83" s="111"/>
      <c r="B83" s="120" t="s">
        <v>776</v>
      </c>
      <c r="C83" s="111"/>
      <c r="D83" s="116">
        <v>1.25</v>
      </c>
      <c r="E83" s="117"/>
      <c r="F83" s="114">
        <f>F82*D83</f>
        <v>1208125</v>
      </c>
    </row>
    <row r="84" spans="1:6" x14ac:dyDescent="0.35">
      <c r="A84" s="107"/>
      <c r="B84" s="123" t="s">
        <v>777</v>
      </c>
      <c r="C84" s="109"/>
      <c r="D84" s="125"/>
      <c r="E84" s="110"/>
      <c r="F84" s="117"/>
    </row>
    <row r="85" spans="1:6" x14ac:dyDescent="0.35">
      <c r="A85" s="107"/>
      <c r="B85" s="123"/>
      <c r="C85" s="109"/>
      <c r="D85" s="116">
        <v>1.25</v>
      </c>
      <c r="E85" s="110"/>
      <c r="F85" s="117"/>
    </row>
    <row r="86" spans="1:6" x14ac:dyDescent="0.35">
      <c r="A86" s="206" t="s">
        <v>16</v>
      </c>
      <c r="B86" s="207" t="s">
        <v>778</v>
      </c>
      <c r="C86" s="208"/>
      <c r="D86" s="208"/>
      <c r="E86" s="209"/>
      <c r="F86" s="209">
        <f>D85*F83</f>
        <v>1510156.25</v>
      </c>
    </row>
    <row r="87" spans="1:6" x14ac:dyDescent="0.35">
      <c r="A87" s="206"/>
      <c r="B87" s="207"/>
      <c r="C87" s="208"/>
      <c r="D87" s="208"/>
      <c r="E87" s="210">
        <f>+E73</f>
        <v>3035.45</v>
      </c>
      <c r="F87" s="210">
        <f>+F86/E87</f>
        <v>497.50654762885245</v>
      </c>
    </row>
    <row r="88" spans="1:6" ht="12.5" x14ac:dyDescent="0.35">
      <c r="A88" s="178"/>
      <c r="B88" s="104"/>
      <c r="C88" s="104"/>
      <c r="D88" s="104"/>
      <c r="E88" s="104"/>
      <c r="F88" s="104"/>
    </row>
    <row r="89" spans="1:6" ht="12.5" x14ac:dyDescent="0.35">
      <c r="A89" s="178"/>
      <c r="B89" s="104"/>
      <c r="C89" s="104"/>
      <c r="D89" s="104"/>
      <c r="E89" s="104"/>
      <c r="F89" s="104"/>
    </row>
    <row r="90" spans="1:6" x14ac:dyDescent="0.35">
      <c r="A90" s="211" t="s">
        <v>10</v>
      </c>
      <c r="B90" s="212" t="s">
        <v>732</v>
      </c>
      <c r="C90" s="200" t="s">
        <v>2</v>
      </c>
      <c r="D90" s="202" t="s">
        <v>765</v>
      </c>
      <c r="E90" s="203" t="s">
        <v>766</v>
      </c>
      <c r="F90" s="203" t="s">
        <v>767</v>
      </c>
    </row>
    <row r="91" spans="1:6" x14ac:dyDescent="0.35">
      <c r="A91" s="213" t="s">
        <v>17</v>
      </c>
      <c r="B91" s="214" t="s">
        <v>783</v>
      </c>
      <c r="C91" s="124" t="s">
        <v>7</v>
      </c>
      <c r="D91" s="124">
        <v>1</v>
      </c>
      <c r="E91" s="117">
        <v>1593000</v>
      </c>
      <c r="F91" s="117">
        <f>+D91*E91</f>
        <v>1593000</v>
      </c>
    </row>
    <row r="92" spans="1:6" x14ac:dyDescent="0.35">
      <c r="A92" s="107"/>
      <c r="B92" s="112" t="s">
        <v>769</v>
      </c>
      <c r="C92" s="109"/>
      <c r="D92" s="109"/>
      <c r="E92" s="110"/>
      <c r="F92" s="110">
        <f>SUM(F91)</f>
        <v>1593000</v>
      </c>
    </row>
    <row r="93" spans="1:6" x14ac:dyDescent="0.35">
      <c r="A93" s="111"/>
      <c r="B93" s="112" t="s">
        <v>770</v>
      </c>
      <c r="C93" s="118"/>
      <c r="D93" s="118"/>
      <c r="E93" s="119"/>
      <c r="F93" s="119"/>
    </row>
    <row r="94" spans="1:6" x14ac:dyDescent="0.35">
      <c r="A94" s="111"/>
      <c r="B94" s="120" t="s">
        <v>771</v>
      </c>
      <c r="C94" s="115" t="s">
        <v>772</v>
      </c>
      <c r="D94" s="116">
        <v>1</v>
      </c>
      <c r="E94" s="117">
        <v>7500</v>
      </c>
      <c r="F94" s="121">
        <f>+SUM(D94*E94)</f>
        <v>7500</v>
      </c>
    </row>
    <row r="95" spans="1:6" x14ac:dyDescent="0.35">
      <c r="A95" s="111"/>
      <c r="B95" s="112" t="s">
        <v>774</v>
      </c>
      <c r="C95" s="118"/>
      <c r="D95" s="118"/>
      <c r="E95" s="119"/>
      <c r="F95" s="122">
        <f>SUM(F94:F94)</f>
        <v>7500</v>
      </c>
    </row>
    <row r="96" spans="1:6" x14ac:dyDescent="0.35">
      <c r="A96" s="111"/>
      <c r="B96" s="112" t="s">
        <v>775</v>
      </c>
      <c r="C96" s="118"/>
      <c r="D96" s="118"/>
      <c r="E96" s="119"/>
      <c r="F96" s="122">
        <f>F92+F95</f>
        <v>1600500</v>
      </c>
    </row>
    <row r="97" spans="1:6" x14ac:dyDescent="0.35">
      <c r="A97" s="111"/>
      <c r="B97" s="120" t="s">
        <v>776</v>
      </c>
      <c r="C97" s="111"/>
      <c r="D97" s="116">
        <v>1.25</v>
      </c>
      <c r="E97" s="117"/>
      <c r="F97" s="114">
        <f>F96*D97</f>
        <v>2000625</v>
      </c>
    </row>
    <row r="98" spans="1:6" x14ac:dyDescent="0.35">
      <c r="A98" s="107"/>
      <c r="B98" s="123" t="s">
        <v>777</v>
      </c>
      <c r="C98" s="109"/>
      <c r="D98" s="125"/>
      <c r="E98" s="110"/>
      <c r="F98" s="117"/>
    </row>
    <row r="99" spans="1:6" x14ac:dyDescent="0.35">
      <c r="A99" s="107"/>
      <c r="B99" s="123"/>
      <c r="C99" s="109"/>
      <c r="D99" s="116">
        <v>1.25</v>
      </c>
      <c r="E99" s="110"/>
      <c r="F99" s="117"/>
    </row>
    <row r="100" spans="1:6" x14ac:dyDescent="0.35">
      <c r="A100" s="206" t="s">
        <v>17</v>
      </c>
      <c r="B100" s="207" t="s">
        <v>778</v>
      </c>
      <c r="C100" s="208"/>
      <c r="D100" s="208"/>
      <c r="E100" s="209"/>
      <c r="F100" s="209">
        <f>D99*F97</f>
        <v>2500781.25</v>
      </c>
    </row>
    <row r="101" spans="1:6" x14ac:dyDescent="0.35">
      <c r="A101" s="206"/>
      <c r="B101" s="207"/>
      <c r="C101" s="208"/>
      <c r="D101" s="208"/>
      <c r="E101" s="210">
        <f>+E87</f>
        <v>3035.45</v>
      </c>
      <c r="F101" s="210">
        <f>+F100/E101</f>
        <v>823.85848885667701</v>
      </c>
    </row>
    <row r="102" spans="1:6" ht="12.5" x14ac:dyDescent="0.35">
      <c r="A102" s="178"/>
      <c r="B102" s="104"/>
      <c r="C102" s="104"/>
      <c r="D102" s="104"/>
      <c r="E102" s="104"/>
      <c r="F102" s="104"/>
    </row>
    <row r="103" spans="1:6" ht="12.5" x14ac:dyDescent="0.35">
      <c r="A103" s="178"/>
      <c r="B103" s="104"/>
      <c r="C103" s="104"/>
      <c r="D103" s="104"/>
      <c r="E103" s="104"/>
      <c r="F103" s="104"/>
    </row>
    <row r="104" spans="1:6" x14ac:dyDescent="0.35">
      <c r="A104" s="211" t="s">
        <v>10</v>
      </c>
      <c r="B104" s="212" t="s">
        <v>732</v>
      </c>
      <c r="C104" s="200" t="s">
        <v>2</v>
      </c>
      <c r="D104" s="202" t="s">
        <v>765</v>
      </c>
      <c r="E104" s="203" t="s">
        <v>766</v>
      </c>
      <c r="F104" s="203" t="s">
        <v>767</v>
      </c>
    </row>
    <row r="105" spans="1:6" ht="26" x14ac:dyDescent="0.35">
      <c r="A105" s="215" t="s">
        <v>18</v>
      </c>
      <c r="B105" s="216" t="s">
        <v>1104</v>
      </c>
      <c r="C105" s="124" t="s">
        <v>7</v>
      </c>
      <c r="D105" s="124">
        <v>1</v>
      </c>
      <c r="E105" s="117">
        <v>8200000</v>
      </c>
      <c r="F105" s="117">
        <f>+D105*E105</f>
        <v>8200000</v>
      </c>
    </row>
    <row r="106" spans="1:6" x14ac:dyDescent="0.35">
      <c r="A106" s="107"/>
      <c r="B106" s="112" t="s">
        <v>769</v>
      </c>
      <c r="C106" s="109"/>
      <c r="D106" s="109"/>
      <c r="E106" s="110"/>
      <c r="F106" s="110">
        <f>SUM(F105)</f>
        <v>8200000</v>
      </c>
    </row>
    <row r="107" spans="1:6" x14ac:dyDescent="0.35">
      <c r="A107" s="111"/>
      <c r="B107" s="112" t="s">
        <v>770</v>
      </c>
      <c r="C107" s="118"/>
      <c r="D107" s="118"/>
      <c r="E107" s="119"/>
      <c r="F107" s="119"/>
    </row>
    <row r="108" spans="1:6" x14ac:dyDescent="0.35">
      <c r="A108" s="111"/>
      <c r="B108" s="120" t="s">
        <v>771</v>
      </c>
      <c r="C108" s="115" t="s">
        <v>772</v>
      </c>
      <c r="D108" s="116">
        <v>1</v>
      </c>
      <c r="E108" s="117">
        <v>7500</v>
      </c>
      <c r="F108" s="121">
        <f>+SUM(D108*E108)</f>
        <v>7500</v>
      </c>
    </row>
    <row r="109" spans="1:6" x14ac:dyDescent="0.35">
      <c r="A109" s="111"/>
      <c r="B109" s="120" t="s">
        <v>794</v>
      </c>
      <c r="C109" s="115" t="s">
        <v>772</v>
      </c>
      <c r="D109" s="116">
        <v>1</v>
      </c>
      <c r="E109" s="117">
        <v>15000</v>
      </c>
      <c r="F109" s="121">
        <f>+SUM(D109*E109)</f>
        <v>15000</v>
      </c>
    </row>
    <row r="110" spans="1:6" x14ac:dyDescent="0.35">
      <c r="A110" s="111"/>
      <c r="B110" s="112" t="s">
        <v>774</v>
      </c>
      <c r="C110" s="118"/>
      <c r="D110" s="118"/>
      <c r="E110" s="119"/>
      <c r="F110" s="122">
        <f>SUM(F108:F109)</f>
        <v>22500</v>
      </c>
    </row>
    <row r="111" spans="1:6" x14ac:dyDescent="0.35">
      <c r="A111" s="111"/>
      <c r="B111" s="112" t="s">
        <v>775</v>
      </c>
      <c r="C111" s="118"/>
      <c r="D111" s="118"/>
      <c r="E111" s="119"/>
      <c r="F111" s="122">
        <f>F106+F110</f>
        <v>8222500</v>
      </c>
    </row>
    <row r="112" spans="1:6" x14ac:dyDescent="0.35">
      <c r="A112" s="111"/>
      <c r="B112" s="120" t="s">
        <v>776</v>
      </c>
      <c r="C112" s="111"/>
      <c r="D112" s="116">
        <v>1.25</v>
      </c>
      <c r="E112" s="117"/>
      <c r="F112" s="173"/>
    </row>
    <row r="113" spans="1:6" x14ac:dyDescent="0.35">
      <c r="A113" s="107"/>
      <c r="B113" s="123" t="s">
        <v>777</v>
      </c>
      <c r="C113" s="109"/>
      <c r="D113" s="125"/>
      <c r="E113" s="173"/>
      <c r="F113" s="114">
        <f>F111*D112</f>
        <v>10278125</v>
      </c>
    </row>
    <row r="114" spans="1:6" x14ac:dyDescent="0.35">
      <c r="A114" s="206" t="s">
        <v>18</v>
      </c>
      <c r="B114" s="207" t="s">
        <v>778</v>
      </c>
      <c r="C114" s="208"/>
      <c r="D114" s="217"/>
      <c r="E114" s="217"/>
      <c r="F114" s="217"/>
    </row>
    <row r="115" spans="1:6" x14ac:dyDescent="0.35">
      <c r="A115" s="206"/>
      <c r="B115" s="207"/>
      <c r="C115" s="208"/>
      <c r="D115" s="217"/>
      <c r="E115" s="210">
        <f>+E101</f>
        <v>3035.45</v>
      </c>
      <c r="F115" s="210">
        <f>+F113/E115</f>
        <v>3386.0300779126655</v>
      </c>
    </row>
    <row r="116" spans="1:6" ht="12.5" x14ac:dyDescent="0.35">
      <c r="A116" s="178"/>
      <c r="B116" s="104"/>
      <c r="C116" s="104"/>
      <c r="D116" s="104"/>
      <c r="E116" s="104"/>
      <c r="F116" s="104"/>
    </row>
    <row r="117" spans="1:6" x14ac:dyDescent="0.35">
      <c r="A117" s="211" t="s">
        <v>10</v>
      </c>
      <c r="B117" s="212" t="s">
        <v>732</v>
      </c>
      <c r="C117" s="200" t="s">
        <v>2</v>
      </c>
      <c r="D117" s="202" t="s">
        <v>765</v>
      </c>
      <c r="E117" s="203" t="s">
        <v>766</v>
      </c>
      <c r="F117" s="203" t="s">
        <v>767</v>
      </c>
    </row>
    <row r="118" spans="1:6" ht="26" x14ac:dyDescent="0.35">
      <c r="A118" s="213" t="s">
        <v>19</v>
      </c>
      <c r="B118" s="214" t="s">
        <v>1277</v>
      </c>
      <c r="C118" s="124" t="s">
        <v>7</v>
      </c>
      <c r="D118" s="124">
        <v>1</v>
      </c>
      <c r="E118" s="117">
        <v>959000</v>
      </c>
      <c r="F118" s="117">
        <f>+D118*E118</f>
        <v>959000</v>
      </c>
    </row>
    <row r="119" spans="1:6" x14ac:dyDescent="0.35">
      <c r="A119" s="107"/>
      <c r="B119" s="112" t="s">
        <v>769</v>
      </c>
      <c r="C119" s="109"/>
      <c r="D119" s="109"/>
      <c r="E119" s="110"/>
      <c r="F119" s="110">
        <f>SUM(F118)</f>
        <v>959000</v>
      </c>
    </row>
    <row r="120" spans="1:6" x14ac:dyDescent="0.35">
      <c r="A120" s="111"/>
      <c r="B120" s="112" t="s">
        <v>770</v>
      </c>
      <c r="C120" s="118"/>
      <c r="D120" s="118"/>
      <c r="E120" s="119"/>
      <c r="F120" s="119"/>
    </row>
    <row r="121" spans="1:6" x14ac:dyDescent="0.35">
      <c r="A121" s="111"/>
      <c r="B121" s="120" t="s">
        <v>771</v>
      </c>
      <c r="C121" s="115" t="s">
        <v>772</v>
      </c>
      <c r="D121" s="116">
        <v>1</v>
      </c>
      <c r="E121" s="117">
        <v>7500</v>
      </c>
      <c r="F121" s="121">
        <f>+SUM(D121*E121)</f>
        <v>7500</v>
      </c>
    </row>
    <row r="122" spans="1:6" x14ac:dyDescent="0.35">
      <c r="A122" s="111"/>
      <c r="B122" s="112" t="s">
        <v>774</v>
      </c>
      <c r="C122" s="118"/>
      <c r="D122" s="118"/>
      <c r="E122" s="119"/>
      <c r="F122" s="122">
        <f>SUM(F121:F121)</f>
        <v>7500</v>
      </c>
    </row>
    <row r="123" spans="1:6" x14ac:dyDescent="0.35">
      <c r="A123" s="111"/>
      <c r="B123" s="112" t="s">
        <v>775</v>
      </c>
      <c r="C123" s="118"/>
      <c r="D123" s="118"/>
      <c r="E123" s="119"/>
      <c r="F123" s="122">
        <f>F119+F122</f>
        <v>966500</v>
      </c>
    </row>
    <row r="124" spans="1:6" x14ac:dyDescent="0.35">
      <c r="A124" s="111"/>
      <c r="B124" s="120" t="s">
        <v>776</v>
      </c>
      <c r="C124" s="111"/>
      <c r="D124" s="116">
        <v>1.25</v>
      </c>
      <c r="E124" s="117"/>
      <c r="F124" s="114">
        <f>F123*D124</f>
        <v>1208125</v>
      </c>
    </row>
    <row r="125" spans="1:6" x14ac:dyDescent="0.35">
      <c r="A125" s="107"/>
      <c r="B125" s="123" t="s">
        <v>777</v>
      </c>
      <c r="C125" s="109"/>
      <c r="D125" s="125"/>
      <c r="E125" s="110"/>
      <c r="F125" s="117"/>
    </row>
    <row r="126" spans="1:6" x14ac:dyDescent="0.35">
      <c r="A126" s="107"/>
      <c r="B126" s="123"/>
      <c r="C126" s="109"/>
      <c r="D126" s="116">
        <v>1.25</v>
      </c>
      <c r="E126" s="110"/>
      <c r="F126" s="117"/>
    </row>
    <row r="127" spans="1:6" x14ac:dyDescent="0.35">
      <c r="A127" s="206" t="s">
        <v>19</v>
      </c>
      <c r="B127" s="207" t="s">
        <v>778</v>
      </c>
      <c r="C127" s="208"/>
      <c r="D127" s="208"/>
      <c r="E127" s="209"/>
      <c r="F127" s="209">
        <f>D126*F124</f>
        <v>1510156.25</v>
      </c>
    </row>
    <row r="128" spans="1:6" x14ac:dyDescent="0.35">
      <c r="A128" s="206"/>
      <c r="B128" s="207"/>
      <c r="C128" s="208"/>
      <c r="D128" s="208"/>
      <c r="E128" s="210">
        <f>+E115</f>
        <v>3035.45</v>
      </c>
      <c r="F128" s="210">
        <f>+F127/E128</f>
        <v>497.50654762885245</v>
      </c>
    </row>
    <row r="129" spans="1:6" ht="12.5" x14ac:dyDescent="0.35">
      <c r="A129" s="178"/>
      <c r="B129" s="104"/>
      <c r="C129" s="104"/>
      <c r="D129" s="104"/>
      <c r="E129" s="104"/>
      <c r="F129" s="104"/>
    </row>
    <row r="130" spans="1:6" ht="12.5" x14ac:dyDescent="0.35">
      <c r="A130" s="178"/>
      <c r="B130" s="104"/>
      <c r="C130" s="104"/>
      <c r="D130" s="104"/>
      <c r="E130" s="104"/>
      <c r="F130" s="104"/>
    </row>
    <row r="131" spans="1:6" x14ac:dyDescent="0.35">
      <c r="A131" s="211" t="s">
        <v>10</v>
      </c>
      <c r="B131" s="212" t="s">
        <v>732</v>
      </c>
      <c r="C131" s="200" t="s">
        <v>2</v>
      </c>
      <c r="D131" s="202" t="s">
        <v>765</v>
      </c>
      <c r="E131" s="203" t="s">
        <v>766</v>
      </c>
      <c r="F131" s="203" t="s">
        <v>767</v>
      </c>
    </row>
    <row r="132" spans="1:6" ht="26" x14ac:dyDescent="0.35">
      <c r="A132" s="213" t="s">
        <v>21</v>
      </c>
      <c r="B132" s="216" t="s">
        <v>22</v>
      </c>
      <c r="C132" s="124" t="s">
        <v>7</v>
      </c>
      <c r="D132" s="124">
        <v>1</v>
      </c>
      <c r="E132" s="117">
        <v>8000000</v>
      </c>
      <c r="F132" s="117">
        <f>+D132*E132</f>
        <v>8000000</v>
      </c>
    </row>
    <row r="133" spans="1:6" x14ac:dyDescent="0.35">
      <c r="A133" s="107"/>
      <c r="B133" s="112" t="s">
        <v>769</v>
      </c>
      <c r="C133" s="109"/>
      <c r="D133" s="109"/>
      <c r="E133" s="110"/>
      <c r="F133" s="110">
        <f>SUM(F132)</f>
        <v>8000000</v>
      </c>
    </row>
    <row r="134" spans="1:6" x14ac:dyDescent="0.35">
      <c r="A134" s="111"/>
      <c r="B134" s="112" t="s">
        <v>770</v>
      </c>
      <c r="C134" s="118"/>
      <c r="D134" s="118"/>
      <c r="E134" s="119"/>
      <c r="F134" s="119"/>
    </row>
    <row r="135" spans="1:6" x14ac:dyDescent="0.35">
      <c r="A135" s="111"/>
      <c r="B135" s="120" t="s">
        <v>771</v>
      </c>
      <c r="C135" s="115" t="s">
        <v>772</v>
      </c>
      <c r="D135" s="116">
        <v>1</v>
      </c>
      <c r="E135" s="117">
        <v>7500</v>
      </c>
      <c r="F135" s="121">
        <f>+SUM(D135*E135)</f>
        <v>7500</v>
      </c>
    </row>
    <row r="136" spans="1:6" x14ac:dyDescent="0.35">
      <c r="A136" s="111"/>
      <c r="B136" s="112" t="s">
        <v>774</v>
      </c>
      <c r="C136" s="118"/>
      <c r="D136" s="118"/>
      <c r="E136" s="119"/>
      <c r="F136" s="122">
        <f>SUM(F135:F135)</f>
        <v>7500</v>
      </c>
    </row>
    <row r="137" spans="1:6" x14ac:dyDescent="0.35">
      <c r="A137" s="111"/>
      <c r="B137" s="112" t="s">
        <v>775</v>
      </c>
      <c r="C137" s="118"/>
      <c r="D137" s="118"/>
      <c r="E137" s="119"/>
      <c r="F137" s="122">
        <f>F133+F136</f>
        <v>8007500</v>
      </c>
    </row>
    <row r="138" spans="1:6" x14ac:dyDescent="0.35">
      <c r="A138" s="111"/>
      <c r="B138" s="120" t="s">
        <v>776</v>
      </c>
      <c r="C138" s="111"/>
      <c r="D138" s="116">
        <v>1.25</v>
      </c>
      <c r="E138" s="117"/>
      <c r="F138" s="114">
        <f>F137*D138</f>
        <v>10009375</v>
      </c>
    </row>
    <row r="139" spans="1:6" x14ac:dyDescent="0.35">
      <c r="A139" s="107"/>
      <c r="B139" s="123" t="s">
        <v>777</v>
      </c>
      <c r="C139" s="109"/>
      <c r="D139" s="125"/>
      <c r="E139" s="110"/>
      <c r="F139" s="117"/>
    </row>
    <row r="140" spans="1:6" x14ac:dyDescent="0.35">
      <c r="A140" s="107"/>
      <c r="B140" s="123"/>
      <c r="C140" s="109"/>
      <c r="D140" s="116">
        <v>1.25</v>
      </c>
      <c r="E140" s="110"/>
      <c r="F140" s="117"/>
    </row>
    <row r="141" spans="1:6" x14ac:dyDescent="0.35">
      <c r="A141" s="206" t="s">
        <v>21</v>
      </c>
      <c r="B141" s="207" t="s">
        <v>778</v>
      </c>
      <c r="C141" s="208"/>
      <c r="D141" s="208"/>
      <c r="E141" s="209"/>
      <c r="F141" s="209">
        <f>D140*F138</f>
        <v>12511718.75</v>
      </c>
    </row>
    <row r="142" spans="1:6" x14ac:dyDescent="0.35">
      <c r="A142" s="206"/>
      <c r="B142" s="207"/>
      <c r="C142" s="208"/>
      <c r="D142" s="208"/>
      <c r="E142" s="210">
        <f>+E128</f>
        <v>3035.45</v>
      </c>
      <c r="F142" s="210">
        <f>+F141/E142</f>
        <v>4121.8661977631</v>
      </c>
    </row>
    <row r="143" spans="1:6" ht="12.5" x14ac:dyDescent="0.35">
      <c r="A143" s="178"/>
      <c r="B143" s="104"/>
      <c r="C143" s="104"/>
      <c r="D143" s="104"/>
      <c r="E143" s="104"/>
      <c r="F143" s="104"/>
    </row>
    <row r="144" spans="1:6" ht="12.5" x14ac:dyDescent="0.35">
      <c r="A144" s="178"/>
      <c r="B144" s="104"/>
      <c r="C144" s="104"/>
      <c r="D144" s="104"/>
      <c r="E144" s="104"/>
      <c r="F144" s="104"/>
    </row>
    <row r="145" spans="1:6" x14ac:dyDescent="0.35">
      <c r="A145" s="211" t="s">
        <v>10</v>
      </c>
      <c r="B145" s="212" t="s">
        <v>732</v>
      </c>
      <c r="C145" s="200" t="s">
        <v>2</v>
      </c>
      <c r="D145" s="202" t="s">
        <v>765</v>
      </c>
      <c r="E145" s="203" t="s">
        <v>766</v>
      </c>
      <c r="F145" s="203" t="s">
        <v>767</v>
      </c>
    </row>
    <row r="146" spans="1:6" ht="26" x14ac:dyDescent="0.35">
      <c r="A146" s="215" t="s">
        <v>23</v>
      </c>
      <c r="B146" s="218" t="s">
        <v>20</v>
      </c>
      <c r="C146" s="124" t="s">
        <v>7</v>
      </c>
      <c r="D146" s="124">
        <v>1</v>
      </c>
      <c r="E146" s="117">
        <v>959000</v>
      </c>
      <c r="F146" s="117">
        <f>+D146*E146</f>
        <v>959000</v>
      </c>
    </row>
    <row r="147" spans="1:6" x14ac:dyDescent="0.35">
      <c r="A147" s="107"/>
      <c r="B147" s="112" t="s">
        <v>769</v>
      </c>
      <c r="C147" s="109"/>
      <c r="D147" s="109"/>
      <c r="E147" s="110"/>
      <c r="F147" s="110">
        <f>SUM(F146)</f>
        <v>959000</v>
      </c>
    </row>
    <row r="148" spans="1:6" x14ac:dyDescent="0.35">
      <c r="A148" s="111"/>
      <c r="B148" s="112" t="s">
        <v>770</v>
      </c>
      <c r="C148" s="118"/>
      <c r="D148" s="118"/>
      <c r="E148" s="119"/>
      <c r="F148" s="119"/>
    </row>
    <row r="149" spans="1:6" x14ac:dyDescent="0.35">
      <c r="A149" s="111"/>
      <c r="B149" s="120" t="s">
        <v>771</v>
      </c>
      <c r="C149" s="115" t="s">
        <v>772</v>
      </c>
      <c r="D149" s="116">
        <v>1</v>
      </c>
      <c r="E149" s="117">
        <v>7500</v>
      </c>
      <c r="F149" s="121">
        <f>+SUM(D149*E149)</f>
        <v>7500</v>
      </c>
    </row>
    <row r="150" spans="1:6" x14ac:dyDescent="0.35">
      <c r="A150" s="111"/>
      <c r="B150" s="112" t="s">
        <v>774</v>
      </c>
      <c r="C150" s="118"/>
      <c r="D150" s="118"/>
      <c r="E150" s="119"/>
      <c r="F150" s="122">
        <f>SUM(F149:F149)</f>
        <v>7500</v>
      </c>
    </row>
    <row r="151" spans="1:6" x14ac:dyDescent="0.35">
      <c r="A151" s="111"/>
      <c r="B151" s="112" t="s">
        <v>775</v>
      </c>
      <c r="C151" s="118"/>
      <c r="D151" s="118"/>
      <c r="E151" s="119"/>
      <c r="F151" s="122">
        <f>F147+F150</f>
        <v>966500</v>
      </c>
    </row>
    <row r="152" spans="1:6" x14ac:dyDescent="0.35">
      <c r="A152" s="111"/>
      <c r="B152" s="120" t="s">
        <v>776</v>
      </c>
      <c r="C152" s="111"/>
      <c r="D152" s="116">
        <v>1.25</v>
      </c>
      <c r="E152" s="117"/>
      <c r="F152" s="114">
        <f>F151*D152</f>
        <v>1208125</v>
      </c>
    </row>
    <row r="153" spans="1:6" x14ac:dyDescent="0.35">
      <c r="A153" s="107"/>
      <c r="B153" s="123" t="s">
        <v>777</v>
      </c>
      <c r="C153" s="109"/>
      <c r="D153" s="125"/>
      <c r="E153" s="110"/>
      <c r="F153" s="117"/>
    </row>
    <row r="154" spans="1:6" x14ac:dyDescent="0.35">
      <c r="A154" s="107"/>
      <c r="B154" s="123"/>
      <c r="C154" s="109"/>
      <c r="D154" s="116">
        <v>1.25</v>
      </c>
      <c r="E154" s="110"/>
      <c r="F154" s="117"/>
    </row>
    <row r="155" spans="1:6" x14ac:dyDescent="0.35">
      <c r="A155" s="206" t="s">
        <v>23</v>
      </c>
      <c r="B155" s="207" t="s">
        <v>778</v>
      </c>
      <c r="C155" s="208"/>
      <c r="D155" s="208"/>
      <c r="E155" s="209"/>
      <c r="F155" s="209">
        <f>D154*F152</f>
        <v>1510156.25</v>
      </c>
    </row>
    <row r="156" spans="1:6" x14ac:dyDescent="0.35">
      <c r="A156" s="206"/>
      <c r="B156" s="207"/>
      <c r="C156" s="208"/>
      <c r="D156" s="208"/>
      <c r="E156" s="210">
        <f>+E142</f>
        <v>3035.45</v>
      </c>
      <c r="F156" s="210">
        <f>+F155/E156</f>
        <v>497.50654762885245</v>
      </c>
    </row>
    <row r="157" spans="1:6" ht="12.5" x14ac:dyDescent="0.35">
      <c r="A157" s="178"/>
      <c r="B157" s="104"/>
      <c r="C157" s="104"/>
      <c r="D157" s="104"/>
      <c r="E157" s="104"/>
      <c r="F157" s="104"/>
    </row>
    <row r="158" spans="1:6" ht="12.5" x14ac:dyDescent="0.35">
      <c r="A158" s="178"/>
      <c r="B158" s="104"/>
      <c r="C158" s="104"/>
      <c r="D158" s="104"/>
      <c r="E158" s="104"/>
      <c r="F158" s="104"/>
    </row>
    <row r="159" spans="1:6" x14ac:dyDescent="0.35">
      <c r="A159" s="211" t="s">
        <v>10</v>
      </c>
      <c r="B159" s="212" t="s">
        <v>732</v>
      </c>
      <c r="C159" s="200" t="s">
        <v>2</v>
      </c>
      <c r="D159" s="202" t="s">
        <v>765</v>
      </c>
      <c r="E159" s="203" t="s">
        <v>766</v>
      </c>
      <c r="F159" s="203" t="s">
        <v>767</v>
      </c>
    </row>
    <row r="160" spans="1:6" x14ac:dyDescent="0.35">
      <c r="A160" s="215" t="s">
        <v>24</v>
      </c>
      <c r="B160" s="216" t="s">
        <v>25</v>
      </c>
      <c r="C160" s="124" t="s">
        <v>7</v>
      </c>
      <c r="D160" s="124">
        <v>1</v>
      </c>
      <c r="E160" s="117">
        <v>4850000</v>
      </c>
      <c r="F160" s="117">
        <f>+D160*E160</f>
        <v>4850000</v>
      </c>
    </row>
    <row r="161" spans="1:6" x14ac:dyDescent="0.35">
      <c r="A161" s="107"/>
      <c r="B161" s="112" t="s">
        <v>769</v>
      </c>
      <c r="C161" s="109"/>
      <c r="D161" s="109"/>
      <c r="E161" s="110"/>
      <c r="F161" s="110">
        <f>SUM(F160)</f>
        <v>4850000</v>
      </c>
    </row>
    <row r="162" spans="1:6" x14ac:dyDescent="0.35">
      <c r="A162" s="111"/>
      <c r="B162" s="112" t="s">
        <v>770</v>
      </c>
      <c r="C162" s="118"/>
      <c r="D162" s="118"/>
      <c r="E162" s="119"/>
      <c r="F162" s="119"/>
    </row>
    <row r="163" spans="1:6" x14ac:dyDescent="0.35">
      <c r="A163" s="111"/>
      <c r="B163" s="120" t="s">
        <v>771</v>
      </c>
      <c r="C163" s="115" t="s">
        <v>772</v>
      </c>
      <c r="D163" s="116">
        <v>1</v>
      </c>
      <c r="E163" s="117">
        <v>7500</v>
      </c>
      <c r="F163" s="121">
        <f>+SUM(D163*E163)</f>
        <v>7500</v>
      </c>
    </row>
    <row r="164" spans="1:6" x14ac:dyDescent="0.35">
      <c r="A164" s="111"/>
      <c r="B164" s="112" t="s">
        <v>774</v>
      </c>
      <c r="C164" s="118"/>
      <c r="D164" s="118"/>
      <c r="E164" s="119"/>
      <c r="F164" s="122">
        <f>SUM(F163:F163)</f>
        <v>7500</v>
      </c>
    </row>
    <row r="165" spans="1:6" x14ac:dyDescent="0.35">
      <c r="A165" s="111"/>
      <c r="B165" s="112" t="s">
        <v>775</v>
      </c>
      <c r="C165" s="118"/>
      <c r="D165" s="118"/>
      <c r="E165" s="119"/>
      <c r="F165" s="122">
        <f>F161+F164</f>
        <v>4857500</v>
      </c>
    </row>
    <row r="166" spans="1:6" x14ac:dyDescent="0.35">
      <c r="A166" s="111"/>
      <c r="B166" s="120" t="s">
        <v>776</v>
      </c>
      <c r="C166" s="111"/>
      <c r="D166" s="116">
        <v>1.25</v>
      </c>
      <c r="E166" s="117"/>
      <c r="F166" s="114">
        <f>F165*D166</f>
        <v>6071875</v>
      </c>
    </row>
    <row r="167" spans="1:6" x14ac:dyDescent="0.35">
      <c r="A167" s="107"/>
      <c r="B167" s="123" t="s">
        <v>777</v>
      </c>
      <c r="C167" s="109"/>
      <c r="D167" s="125"/>
      <c r="E167" s="110"/>
      <c r="F167" s="117"/>
    </row>
    <row r="168" spans="1:6" x14ac:dyDescent="0.35">
      <c r="A168" s="107"/>
      <c r="B168" s="123"/>
      <c r="C168" s="109"/>
      <c r="D168" s="116">
        <v>1.25</v>
      </c>
      <c r="E168" s="110"/>
      <c r="F168" s="117"/>
    </row>
    <row r="169" spans="1:6" x14ac:dyDescent="0.35">
      <c r="A169" s="206" t="s">
        <v>24</v>
      </c>
      <c r="B169" s="207" t="s">
        <v>778</v>
      </c>
      <c r="C169" s="208"/>
      <c r="D169" s="208"/>
      <c r="E169" s="209"/>
      <c r="F169" s="209">
        <f>D168*F166</f>
        <v>7589843.75</v>
      </c>
    </row>
    <row r="170" spans="1:6" x14ac:dyDescent="0.35">
      <c r="A170" s="206"/>
      <c r="B170" s="207"/>
      <c r="C170" s="208"/>
      <c r="D170" s="208"/>
      <c r="E170" s="210">
        <f>+E156</f>
        <v>3035.45</v>
      </c>
      <c r="F170" s="210">
        <f>+F169/E170</f>
        <v>2500.4015055428358</v>
      </c>
    </row>
    <row r="171" spans="1:6" ht="12.5" x14ac:dyDescent="0.35">
      <c r="A171" s="178"/>
      <c r="B171" s="104"/>
      <c r="C171" s="104"/>
      <c r="D171" s="104"/>
      <c r="E171" s="104"/>
      <c r="F171" s="104"/>
    </row>
    <row r="172" spans="1:6" ht="12.5" x14ac:dyDescent="0.35">
      <c r="A172" s="178"/>
      <c r="B172" s="104"/>
      <c r="C172" s="104"/>
      <c r="D172" s="104"/>
      <c r="E172" s="104"/>
      <c r="F172" s="104"/>
    </row>
    <row r="173" spans="1:6" x14ac:dyDescent="0.35">
      <c r="A173" s="211" t="s">
        <v>10</v>
      </c>
      <c r="B173" s="212" t="s">
        <v>732</v>
      </c>
      <c r="C173" s="200" t="s">
        <v>2</v>
      </c>
      <c r="D173" s="202" t="s">
        <v>765</v>
      </c>
      <c r="E173" s="203" t="s">
        <v>766</v>
      </c>
      <c r="F173" s="203" t="s">
        <v>767</v>
      </c>
    </row>
    <row r="174" spans="1:6" x14ac:dyDescent="0.35">
      <c r="A174" s="213" t="s">
        <v>26</v>
      </c>
      <c r="B174" s="214" t="s">
        <v>1278</v>
      </c>
      <c r="C174" s="124" t="s">
        <v>27</v>
      </c>
      <c r="D174" s="124">
        <v>1</v>
      </c>
      <c r="E174" s="117">
        <v>500</v>
      </c>
      <c r="F174" s="117">
        <f>+D174*E174</f>
        <v>500</v>
      </c>
    </row>
    <row r="175" spans="1:6" x14ac:dyDescent="0.35">
      <c r="A175" s="107"/>
      <c r="B175" s="112" t="s">
        <v>769</v>
      </c>
      <c r="C175" s="109"/>
      <c r="D175" s="109"/>
      <c r="E175" s="110"/>
      <c r="F175" s="110">
        <f>SUM(F174)</f>
        <v>500</v>
      </c>
    </row>
    <row r="176" spans="1:6" x14ac:dyDescent="0.35">
      <c r="A176" s="111"/>
      <c r="B176" s="112" t="s">
        <v>770</v>
      </c>
      <c r="C176" s="118"/>
      <c r="D176" s="118"/>
      <c r="E176" s="119"/>
      <c r="F176" s="119"/>
    </row>
    <row r="177" spans="1:6" x14ac:dyDescent="0.35">
      <c r="A177" s="111"/>
      <c r="B177" s="120" t="s">
        <v>771</v>
      </c>
      <c r="C177" s="115" t="s">
        <v>772</v>
      </c>
      <c r="D177" s="116">
        <v>0.45</v>
      </c>
      <c r="E177" s="117">
        <v>7500</v>
      </c>
      <c r="F177" s="121">
        <f>+SUM(D177*E177)</f>
        <v>3375</v>
      </c>
    </row>
    <row r="178" spans="1:6" x14ac:dyDescent="0.35">
      <c r="A178" s="111"/>
      <c r="B178" s="112" t="s">
        <v>774</v>
      </c>
      <c r="C178" s="118"/>
      <c r="D178" s="118"/>
      <c r="E178" s="119"/>
      <c r="F178" s="122">
        <f>SUM(F177:F177)</f>
        <v>3375</v>
      </c>
    </row>
    <row r="179" spans="1:6" x14ac:dyDescent="0.35">
      <c r="A179" s="111"/>
      <c r="B179" s="112" t="s">
        <v>775</v>
      </c>
      <c r="C179" s="118"/>
      <c r="D179" s="118"/>
      <c r="E179" s="119"/>
      <c r="F179" s="122">
        <f>F175+F178</f>
        <v>3875</v>
      </c>
    </row>
    <row r="180" spans="1:6" x14ac:dyDescent="0.35">
      <c r="A180" s="111"/>
      <c r="B180" s="120" t="s">
        <v>776</v>
      </c>
      <c r="C180" s="111"/>
      <c r="D180" s="116">
        <v>1.25</v>
      </c>
      <c r="E180" s="117"/>
      <c r="F180" s="114">
        <f>F179*D180</f>
        <v>4843.75</v>
      </c>
    </row>
    <row r="181" spans="1:6" x14ac:dyDescent="0.35">
      <c r="A181" s="107"/>
      <c r="B181" s="123" t="s">
        <v>777</v>
      </c>
      <c r="C181" s="109"/>
      <c r="D181" s="125"/>
      <c r="E181" s="110"/>
      <c r="F181" s="117"/>
    </row>
    <row r="182" spans="1:6" x14ac:dyDescent="0.35">
      <c r="A182" s="107"/>
      <c r="B182" s="123"/>
      <c r="C182" s="109"/>
      <c r="D182" s="116">
        <v>1.25</v>
      </c>
      <c r="E182" s="110"/>
      <c r="F182" s="117"/>
    </row>
    <row r="183" spans="1:6" x14ac:dyDescent="0.35">
      <c r="A183" s="206" t="s">
        <v>26</v>
      </c>
      <c r="B183" s="207" t="s">
        <v>784</v>
      </c>
      <c r="C183" s="208" t="s">
        <v>27</v>
      </c>
      <c r="D183" s="208"/>
      <c r="E183" s="209"/>
      <c r="F183" s="209">
        <f>D182*F180</f>
        <v>6054.6875</v>
      </c>
    </row>
    <row r="184" spans="1:6" x14ac:dyDescent="0.35">
      <c r="A184" s="206"/>
      <c r="B184" s="207"/>
      <c r="C184" s="208"/>
      <c r="D184" s="208"/>
      <c r="E184" s="210">
        <f>+E170</f>
        <v>3035.45</v>
      </c>
      <c r="F184" s="210">
        <f>+F183/E184</f>
        <v>1.9946589467788962</v>
      </c>
    </row>
    <row r="185" spans="1:6" ht="12.5" x14ac:dyDescent="0.35">
      <c r="A185" s="178"/>
      <c r="B185" s="104"/>
      <c r="C185" s="104"/>
      <c r="D185" s="104"/>
      <c r="E185" s="104"/>
      <c r="F185" s="104"/>
    </row>
    <row r="186" spans="1:6" ht="12.5" x14ac:dyDescent="0.35">
      <c r="A186" s="178"/>
      <c r="B186" s="104"/>
      <c r="C186" s="104"/>
      <c r="D186" s="104"/>
      <c r="E186" s="104"/>
      <c r="F186" s="104"/>
    </row>
    <row r="187" spans="1:6" x14ac:dyDescent="0.35">
      <c r="A187" s="211" t="s">
        <v>10</v>
      </c>
      <c r="B187" s="212" t="s">
        <v>732</v>
      </c>
      <c r="C187" s="200" t="s">
        <v>2</v>
      </c>
      <c r="D187" s="202" t="s">
        <v>765</v>
      </c>
      <c r="E187" s="203" t="s">
        <v>766</v>
      </c>
      <c r="F187" s="203" t="s">
        <v>767</v>
      </c>
    </row>
    <row r="188" spans="1:6" x14ac:dyDescent="0.35">
      <c r="A188" s="213" t="s">
        <v>28</v>
      </c>
      <c r="B188" s="214" t="s">
        <v>1279</v>
      </c>
      <c r="C188" s="124" t="s">
        <v>59</v>
      </c>
      <c r="D188" s="124">
        <v>1</v>
      </c>
      <c r="E188" s="117">
        <v>8500</v>
      </c>
      <c r="F188" s="117">
        <f>+D188*E188</f>
        <v>8500</v>
      </c>
    </row>
    <row r="189" spans="1:6" x14ac:dyDescent="0.35">
      <c r="A189" s="107"/>
      <c r="B189" s="112" t="s">
        <v>769</v>
      </c>
      <c r="C189" s="109"/>
      <c r="D189" s="109"/>
      <c r="E189" s="110"/>
      <c r="F189" s="110">
        <f>SUM(F188)</f>
        <v>8500</v>
      </c>
    </row>
    <row r="190" spans="1:6" x14ac:dyDescent="0.35">
      <c r="A190" s="111"/>
      <c r="B190" s="112" t="s">
        <v>770</v>
      </c>
      <c r="C190" s="118"/>
      <c r="D190" s="118"/>
      <c r="E190" s="119"/>
      <c r="F190" s="119"/>
    </row>
    <row r="191" spans="1:6" x14ac:dyDescent="0.35">
      <c r="A191" s="111"/>
      <c r="B191" s="120" t="s">
        <v>771</v>
      </c>
      <c r="C191" s="115" t="s">
        <v>772</v>
      </c>
      <c r="D191" s="116">
        <v>1</v>
      </c>
      <c r="E191" s="117">
        <v>7500</v>
      </c>
      <c r="F191" s="121">
        <f>+SUM(D191*E191)</f>
        <v>7500</v>
      </c>
    </row>
    <row r="192" spans="1:6" x14ac:dyDescent="0.35">
      <c r="A192" s="111"/>
      <c r="B192" s="112" t="s">
        <v>774</v>
      </c>
      <c r="C192" s="118"/>
      <c r="D192" s="118"/>
      <c r="E192" s="119"/>
      <c r="F192" s="122">
        <f>SUM(F191:F191)</f>
        <v>7500</v>
      </c>
    </row>
    <row r="193" spans="1:6" x14ac:dyDescent="0.35">
      <c r="A193" s="111"/>
      <c r="B193" s="112" t="s">
        <v>775</v>
      </c>
      <c r="C193" s="118"/>
      <c r="D193" s="118"/>
      <c r="E193" s="119"/>
      <c r="F193" s="122">
        <f>F189+F192</f>
        <v>16000</v>
      </c>
    </row>
    <row r="194" spans="1:6" x14ac:dyDescent="0.35">
      <c r="A194" s="111"/>
      <c r="B194" s="120" t="s">
        <v>776</v>
      </c>
      <c r="C194" s="111"/>
      <c r="D194" s="116">
        <v>1.25</v>
      </c>
      <c r="E194" s="117"/>
      <c r="F194" s="114">
        <f>F193*D194</f>
        <v>20000</v>
      </c>
    </row>
    <row r="195" spans="1:6" x14ac:dyDescent="0.35">
      <c r="A195" s="107"/>
      <c r="B195" s="123" t="s">
        <v>777</v>
      </c>
      <c r="C195" s="109"/>
      <c r="D195" s="125"/>
      <c r="E195" s="110"/>
      <c r="F195" s="117"/>
    </row>
    <row r="196" spans="1:6" x14ac:dyDescent="0.35">
      <c r="A196" s="107"/>
      <c r="B196" s="123"/>
      <c r="C196" s="109"/>
      <c r="D196" s="116">
        <v>1.25</v>
      </c>
      <c r="E196" s="110"/>
      <c r="F196" s="117"/>
    </row>
    <row r="197" spans="1:6" x14ac:dyDescent="0.35">
      <c r="A197" s="206" t="s">
        <v>28</v>
      </c>
      <c r="B197" s="207" t="s">
        <v>785</v>
      </c>
      <c r="C197" s="208" t="s">
        <v>59</v>
      </c>
      <c r="D197" s="208"/>
      <c r="E197" s="209"/>
      <c r="F197" s="209">
        <f>D196*F194</f>
        <v>25000</v>
      </c>
    </row>
    <row r="198" spans="1:6" x14ac:dyDescent="0.35">
      <c r="A198" s="206"/>
      <c r="B198" s="207"/>
      <c r="C198" s="208"/>
      <c r="D198" s="208"/>
      <c r="E198" s="210">
        <f>+E184</f>
        <v>3035.45</v>
      </c>
      <c r="F198" s="210">
        <f>+F197/E198</f>
        <v>8.2360111350870557</v>
      </c>
    </row>
    <row r="199" spans="1:6" ht="12.5" x14ac:dyDescent="0.35">
      <c r="A199" s="178"/>
      <c r="B199" s="104"/>
      <c r="C199" s="104"/>
      <c r="D199" s="104"/>
      <c r="E199" s="104"/>
      <c r="F199" s="104"/>
    </row>
    <row r="200" spans="1:6" ht="12.5" x14ac:dyDescent="0.35">
      <c r="A200" s="178"/>
      <c r="B200" s="104"/>
      <c r="C200" s="104"/>
      <c r="D200" s="104"/>
      <c r="E200" s="104"/>
      <c r="F200" s="104"/>
    </row>
    <row r="201" spans="1:6" x14ac:dyDescent="0.35">
      <c r="A201" s="211" t="s">
        <v>10</v>
      </c>
      <c r="B201" s="212" t="s">
        <v>732</v>
      </c>
      <c r="C201" s="200" t="s">
        <v>2</v>
      </c>
      <c r="D201" s="202" t="s">
        <v>765</v>
      </c>
      <c r="E201" s="203" t="s">
        <v>766</v>
      </c>
      <c r="F201" s="203" t="s">
        <v>767</v>
      </c>
    </row>
    <row r="202" spans="1:6" x14ac:dyDescent="0.35">
      <c r="A202" s="213" t="s">
        <v>30</v>
      </c>
      <c r="B202" s="214" t="s">
        <v>31</v>
      </c>
      <c r="C202" s="124" t="s">
        <v>59</v>
      </c>
      <c r="D202" s="124">
        <v>1</v>
      </c>
      <c r="E202" s="117">
        <v>24500</v>
      </c>
      <c r="F202" s="117">
        <f>+D202*E202</f>
        <v>24500</v>
      </c>
    </row>
    <row r="203" spans="1:6" x14ac:dyDescent="0.35">
      <c r="A203" s="107"/>
      <c r="B203" s="112" t="s">
        <v>769</v>
      </c>
      <c r="C203" s="109"/>
      <c r="D203" s="109"/>
      <c r="E203" s="110"/>
      <c r="F203" s="110">
        <f>SUM(F202)</f>
        <v>24500</v>
      </c>
    </row>
    <row r="204" spans="1:6" x14ac:dyDescent="0.35">
      <c r="A204" s="111"/>
      <c r="B204" s="112" t="s">
        <v>770</v>
      </c>
      <c r="C204" s="118"/>
      <c r="D204" s="118"/>
      <c r="E204" s="119"/>
      <c r="F204" s="119"/>
    </row>
    <row r="205" spans="1:6" x14ac:dyDescent="0.35">
      <c r="A205" s="111"/>
      <c r="B205" s="120" t="s">
        <v>771</v>
      </c>
      <c r="C205" s="115" t="s">
        <v>772</v>
      </c>
      <c r="D205" s="116">
        <v>1</v>
      </c>
      <c r="E205" s="117">
        <v>7500</v>
      </c>
      <c r="F205" s="121">
        <f>+SUM(D205*E205)</f>
        <v>7500</v>
      </c>
    </row>
    <row r="206" spans="1:6" x14ac:dyDescent="0.35">
      <c r="A206" s="111"/>
      <c r="B206" s="112" t="s">
        <v>774</v>
      </c>
      <c r="C206" s="118"/>
      <c r="D206" s="118"/>
      <c r="E206" s="119"/>
      <c r="F206" s="122">
        <f>SUM(F205:F205)</f>
        <v>7500</v>
      </c>
    </row>
    <row r="207" spans="1:6" x14ac:dyDescent="0.35">
      <c r="A207" s="111"/>
      <c r="B207" s="112" t="s">
        <v>775</v>
      </c>
      <c r="C207" s="118"/>
      <c r="D207" s="118"/>
      <c r="E207" s="119"/>
      <c r="F207" s="122">
        <f>F203+F206</f>
        <v>32000</v>
      </c>
    </row>
    <row r="208" spans="1:6" x14ac:dyDescent="0.35">
      <c r="A208" s="111"/>
      <c r="B208" s="120" t="s">
        <v>776</v>
      </c>
      <c r="C208" s="111"/>
      <c r="D208" s="116">
        <v>1.25</v>
      </c>
      <c r="E208" s="117"/>
      <c r="F208" s="114">
        <f>F207*D208</f>
        <v>40000</v>
      </c>
    </row>
    <row r="209" spans="1:6" x14ac:dyDescent="0.35">
      <c r="A209" s="107"/>
      <c r="B209" s="123" t="s">
        <v>777</v>
      </c>
      <c r="C209" s="109"/>
      <c r="D209" s="125"/>
      <c r="E209" s="110"/>
      <c r="F209" s="117"/>
    </row>
    <row r="210" spans="1:6" x14ac:dyDescent="0.35">
      <c r="A210" s="107"/>
      <c r="B210" s="123"/>
      <c r="C210" s="109"/>
      <c r="D210" s="116">
        <v>1.25</v>
      </c>
      <c r="E210" s="110"/>
      <c r="F210" s="117"/>
    </row>
    <row r="211" spans="1:6" x14ac:dyDescent="0.35">
      <c r="A211" s="206" t="s">
        <v>30</v>
      </c>
      <c r="B211" s="207" t="s">
        <v>778</v>
      </c>
      <c r="C211" s="208" t="s">
        <v>7</v>
      </c>
      <c r="D211" s="208"/>
      <c r="E211" s="209"/>
      <c r="F211" s="209">
        <f>D210*F208</f>
        <v>50000</v>
      </c>
    </row>
    <row r="212" spans="1:6" x14ac:dyDescent="0.35">
      <c r="A212" s="206"/>
      <c r="B212" s="207"/>
      <c r="C212" s="208"/>
      <c r="D212" s="208"/>
      <c r="E212" s="210">
        <f>+E198</f>
        <v>3035.45</v>
      </c>
      <c r="F212" s="210">
        <f>+F211/E212</f>
        <v>16.472022270174111</v>
      </c>
    </row>
    <row r="213" spans="1:6" ht="12.5" x14ac:dyDescent="0.35">
      <c r="A213" s="178"/>
      <c r="B213" s="104"/>
      <c r="C213" s="104"/>
      <c r="D213" s="104"/>
      <c r="E213" s="104"/>
      <c r="F213" s="104"/>
    </row>
    <row r="214" spans="1:6" ht="12.5" x14ac:dyDescent="0.35">
      <c r="A214" s="178"/>
      <c r="B214" s="104"/>
      <c r="C214" s="104"/>
      <c r="D214" s="104"/>
      <c r="E214" s="104"/>
      <c r="F214" s="104"/>
    </row>
    <row r="215" spans="1:6" x14ac:dyDescent="0.35">
      <c r="A215" s="211" t="s">
        <v>10</v>
      </c>
      <c r="B215" s="212" t="s">
        <v>732</v>
      </c>
      <c r="C215" s="200" t="s">
        <v>2</v>
      </c>
      <c r="D215" s="202" t="s">
        <v>765</v>
      </c>
      <c r="E215" s="203" t="s">
        <v>766</v>
      </c>
      <c r="F215" s="203" t="s">
        <v>767</v>
      </c>
    </row>
    <row r="216" spans="1:6" x14ac:dyDescent="0.35">
      <c r="A216" s="213" t="s">
        <v>32</v>
      </c>
      <c r="B216" s="214" t="s">
        <v>786</v>
      </c>
      <c r="C216" s="124" t="s">
        <v>7</v>
      </c>
      <c r="D216" s="124">
        <v>1</v>
      </c>
      <c r="E216" s="117">
        <v>288000</v>
      </c>
      <c r="F216" s="117">
        <f>+D216*E216</f>
        <v>288000</v>
      </c>
    </row>
    <row r="217" spans="1:6" x14ac:dyDescent="0.35">
      <c r="A217" s="107"/>
      <c r="B217" s="112" t="s">
        <v>769</v>
      </c>
      <c r="C217" s="109"/>
      <c r="D217" s="109"/>
      <c r="E217" s="110"/>
      <c r="F217" s="110">
        <f>SUM(F216)</f>
        <v>288000</v>
      </c>
    </row>
    <row r="218" spans="1:6" x14ac:dyDescent="0.35">
      <c r="A218" s="111"/>
      <c r="B218" s="112" t="s">
        <v>770</v>
      </c>
      <c r="C218" s="118"/>
      <c r="D218" s="118"/>
      <c r="E218" s="119"/>
      <c r="F218" s="119"/>
    </row>
    <row r="219" spans="1:6" x14ac:dyDescent="0.35">
      <c r="A219" s="111"/>
      <c r="B219" s="120" t="s">
        <v>771</v>
      </c>
      <c r="C219" s="115" t="s">
        <v>772</v>
      </c>
      <c r="D219" s="116">
        <v>1</v>
      </c>
      <c r="E219" s="117">
        <v>7500</v>
      </c>
      <c r="F219" s="121">
        <f>+SUM(D219*E219)</f>
        <v>7500</v>
      </c>
    </row>
    <row r="220" spans="1:6" x14ac:dyDescent="0.35">
      <c r="A220" s="111"/>
      <c r="B220" s="120" t="s">
        <v>787</v>
      </c>
      <c r="C220" s="115" t="s">
        <v>772</v>
      </c>
      <c r="D220" s="116">
        <v>1</v>
      </c>
      <c r="E220" s="117">
        <v>25000</v>
      </c>
      <c r="F220" s="121">
        <f>+SUM(D220*E220)</f>
        <v>25000</v>
      </c>
    </row>
    <row r="221" spans="1:6" x14ac:dyDescent="0.35">
      <c r="A221" s="111"/>
      <c r="B221" s="112" t="s">
        <v>774</v>
      </c>
      <c r="C221" s="118"/>
      <c r="D221" s="118"/>
      <c r="E221" s="119"/>
      <c r="F221" s="122">
        <f>SUM(F219:F220)</f>
        <v>32500</v>
      </c>
    </row>
    <row r="222" spans="1:6" x14ac:dyDescent="0.35">
      <c r="A222" s="111"/>
      <c r="B222" s="112" t="s">
        <v>775</v>
      </c>
      <c r="C222" s="118"/>
      <c r="D222" s="118"/>
      <c r="E222" s="119"/>
      <c r="F222" s="122">
        <f>F217+F221</f>
        <v>320500</v>
      </c>
    </row>
    <row r="223" spans="1:6" x14ac:dyDescent="0.35">
      <c r="A223" s="111"/>
      <c r="B223" s="120" t="s">
        <v>776</v>
      </c>
      <c r="C223" s="111"/>
      <c r="D223" s="116">
        <v>1.25</v>
      </c>
      <c r="E223" s="117"/>
      <c r="F223" s="114">
        <f>F222*D223</f>
        <v>400625</v>
      </c>
    </row>
    <row r="224" spans="1:6" x14ac:dyDescent="0.35">
      <c r="A224" s="107"/>
      <c r="B224" s="123" t="s">
        <v>777</v>
      </c>
      <c r="C224" s="109"/>
      <c r="D224" s="125"/>
      <c r="E224" s="110"/>
      <c r="F224" s="117"/>
    </row>
    <row r="225" spans="1:6" x14ac:dyDescent="0.35">
      <c r="A225" s="107"/>
      <c r="B225" s="123"/>
      <c r="C225" s="109"/>
      <c r="D225" s="116">
        <v>1.25</v>
      </c>
      <c r="E225" s="110"/>
      <c r="F225" s="117"/>
    </row>
    <row r="226" spans="1:6" x14ac:dyDescent="0.35">
      <c r="A226" s="206" t="s">
        <v>32</v>
      </c>
      <c r="B226" s="207" t="s">
        <v>778</v>
      </c>
      <c r="C226" s="208" t="s">
        <v>7</v>
      </c>
      <c r="D226" s="208"/>
      <c r="E226" s="209"/>
      <c r="F226" s="209">
        <f>D225*F223</f>
        <v>500781.25</v>
      </c>
    </row>
    <row r="227" spans="1:6" x14ac:dyDescent="0.35">
      <c r="A227" s="206"/>
      <c r="B227" s="207"/>
      <c r="C227" s="208"/>
      <c r="D227" s="208"/>
      <c r="E227" s="210">
        <f>+E212</f>
        <v>3035.45</v>
      </c>
      <c r="F227" s="210">
        <f>+F226/E227</f>
        <v>164.97759804971258</v>
      </c>
    </row>
    <row r="228" spans="1:6" ht="12.5" x14ac:dyDescent="0.35">
      <c r="A228" s="178"/>
      <c r="B228" s="104"/>
      <c r="C228" s="104"/>
      <c r="D228" s="104"/>
      <c r="E228" s="104"/>
      <c r="F228" s="104"/>
    </row>
    <row r="229" spans="1:6" ht="12.5" x14ac:dyDescent="0.35">
      <c r="A229" s="178"/>
      <c r="B229" s="104"/>
      <c r="C229" s="104"/>
      <c r="D229" s="104"/>
      <c r="E229" s="104"/>
      <c r="F229" s="104"/>
    </row>
    <row r="230" spans="1:6" x14ac:dyDescent="0.35">
      <c r="A230" s="211" t="s">
        <v>10</v>
      </c>
      <c r="B230" s="212" t="s">
        <v>732</v>
      </c>
      <c r="C230" s="200" t="s">
        <v>2</v>
      </c>
      <c r="D230" s="202" t="s">
        <v>765</v>
      </c>
      <c r="E230" s="203" t="s">
        <v>766</v>
      </c>
      <c r="F230" s="203" t="s">
        <v>767</v>
      </c>
    </row>
    <row r="231" spans="1:6" x14ac:dyDescent="0.35">
      <c r="A231" s="213" t="s">
        <v>33</v>
      </c>
      <c r="B231" s="214" t="s">
        <v>788</v>
      </c>
      <c r="C231" s="124" t="s">
        <v>7</v>
      </c>
      <c r="D231" s="124">
        <v>1</v>
      </c>
      <c r="E231" s="117">
        <v>1568000</v>
      </c>
      <c r="F231" s="117">
        <f>+D231*E231</f>
        <v>1568000</v>
      </c>
    </row>
    <row r="232" spans="1:6" x14ac:dyDescent="0.35">
      <c r="A232" s="107"/>
      <c r="B232" s="112" t="s">
        <v>769</v>
      </c>
      <c r="C232" s="109"/>
      <c r="D232" s="109"/>
      <c r="E232" s="110"/>
      <c r="F232" s="110">
        <f>SUM(F231)</f>
        <v>1568000</v>
      </c>
    </row>
    <row r="233" spans="1:6" x14ac:dyDescent="0.35">
      <c r="A233" s="111"/>
      <c r="B233" s="112" t="s">
        <v>770</v>
      </c>
      <c r="C233" s="118"/>
      <c r="D233" s="118"/>
      <c r="E233" s="119"/>
      <c r="F233" s="119"/>
    </row>
    <row r="234" spans="1:6" x14ac:dyDescent="0.35">
      <c r="A234" s="111"/>
      <c r="B234" s="120" t="s">
        <v>771</v>
      </c>
      <c r="C234" s="115" t="s">
        <v>772</v>
      </c>
      <c r="D234" s="116">
        <v>1</v>
      </c>
      <c r="E234" s="117">
        <v>7500</v>
      </c>
      <c r="F234" s="121">
        <f>+SUM(D234*E234)</f>
        <v>7500</v>
      </c>
    </row>
    <row r="235" spans="1:6" x14ac:dyDescent="0.35">
      <c r="A235" s="111"/>
      <c r="B235" s="120" t="s">
        <v>787</v>
      </c>
      <c r="C235" s="115" t="s">
        <v>772</v>
      </c>
      <c r="D235" s="116">
        <v>1</v>
      </c>
      <c r="E235" s="117">
        <v>25000</v>
      </c>
      <c r="F235" s="121">
        <f>+SUM(D235*E235)</f>
        <v>25000</v>
      </c>
    </row>
    <row r="236" spans="1:6" x14ac:dyDescent="0.35">
      <c r="A236" s="111"/>
      <c r="B236" s="112" t="s">
        <v>774</v>
      </c>
      <c r="C236" s="118"/>
      <c r="D236" s="118"/>
      <c r="E236" s="119"/>
      <c r="F236" s="122">
        <f>SUM(F234:F235)</f>
        <v>32500</v>
      </c>
    </row>
    <row r="237" spans="1:6" x14ac:dyDescent="0.35">
      <c r="A237" s="111"/>
      <c r="B237" s="112" t="s">
        <v>775</v>
      </c>
      <c r="C237" s="118"/>
      <c r="D237" s="118"/>
      <c r="E237" s="119"/>
      <c r="F237" s="122">
        <f>F232+F236</f>
        <v>1600500</v>
      </c>
    </row>
    <row r="238" spans="1:6" x14ac:dyDescent="0.35">
      <c r="A238" s="111"/>
      <c r="B238" s="120" t="s">
        <v>776</v>
      </c>
      <c r="C238" s="111"/>
      <c r="D238" s="116">
        <v>1.25</v>
      </c>
      <c r="E238" s="117"/>
      <c r="F238" s="114">
        <f>F237*D238</f>
        <v>2000625</v>
      </c>
    </row>
    <row r="239" spans="1:6" x14ac:dyDescent="0.35">
      <c r="A239" s="107"/>
      <c r="B239" s="123" t="s">
        <v>777</v>
      </c>
      <c r="C239" s="109"/>
      <c r="D239" s="125"/>
      <c r="E239" s="110"/>
      <c r="F239" s="117"/>
    </row>
    <row r="240" spans="1:6" x14ac:dyDescent="0.35">
      <c r="A240" s="107"/>
      <c r="B240" s="123"/>
      <c r="C240" s="109"/>
      <c r="D240" s="116">
        <v>1.25</v>
      </c>
      <c r="E240" s="110"/>
      <c r="F240" s="117"/>
    </row>
    <row r="241" spans="1:6" x14ac:dyDescent="0.35">
      <c r="A241" s="206" t="s">
        <v>33</v>
      </c>
      <c r="B241" s="207" t="s">
        <v>778</v>
      </c>
      <c r="C241" s="208" t="s">
        <v>7</v>
      </c>
      <c r="D241" s="208"/>
      <c r="E241" s="209"/>
      <c r="F241" s="209">
        <f>D240*F238</f>
        <v>2500781.25</v>
      </c>
    </row>
    <row r="242" spans="1:6" x14ac:dyDescent="0.35">
      <c r="A242" s="206"/>
      <c r="B242" s="207"/>
      <c r="C242" s="208"/>
      <c r="D242" s="208"/>
      <c r="E242" s="210">
        <f>+E227</f>
        <v>3035.45</v>
      </c>
      <c r="F242" s="210">
        <f>+F241/E242</f>
        <v>823.85848885667701</v>
      </c>
    </row>
    <row r="243" spans="1:6" ht="12.5" x14ac:dyDescent="0.35">
      <c r="A243" s="178"/>
      <c r="B243" s="104"/>
      <c r="C243" s="104"/>
      <c r="D243" s="104"/>
      <c r="E243" s="104"/>
      <c r="F243" s="104"/>
    </row>
    <row r="244" spans="1:6" ht="12.5" x14ac:dyDescent="0.35">
      <c r="A244" s="178"/>
      <c r="B244" s="104"/>
      <c r="C244" s="104"/>
      <c r="D244" s="104"/>
      <c r="E244" s="104"/>
      <c r="F244" s="104"/>
    </row>
    <row r="245" spans="1:6" x14ac:dyDescent="0.35">
      <c r="A245" s="211" t="s">
        <v>10</v>
      </c>
      <c r="B245" s="212" t="s">
        <v>732</v>
      </c>
      <c r="C245" s="200" t="s">
        <v>2</v>
      </c>
      <c r="D245" s="202" t="s">
        <v>765</v>
      </c>
      <c r="E245" s="203" t="s">
        <v>766</v>
      </c>
      <c r="F245" s="203" t="s">
        <v>767</v>
      </c>
    </row>
    <row r="246" spans="1:6" x14ac:dyDescent="0.35">
      <c r="A246" s="213" t="s">
        <v>34</v>
      </c>
      <c r="B246" s="205" t="s">
        <v>738</v>
      </c>
      <c r="C246" s="124" t="s">
        <v>35</v>
      </c>
      <c r="D246" s="124">
        <v>1</v>
      </c>
      <c r="E246" s="117">
        <v>3700</v>
      </c>
      <c r="F246" s="117">
        <f>+D246*E246</f>
        <v>3700</v>
      </c>
    </row>
    <row r="247" spans="1:6" x14ac:dyDescent="0.35">
      <c r="A247" s="107"/>
      <c r="B247" s="112" t="s">
        <v>769</v>
      </c>
      <c r="C247" s="109"/>
      <c r="D247" s="109"/>
      <c r="E247" s="110"/>
      <c r="F247" s="110">
        <f>SUM(F246)</f>
        <v>3700</v>
      </c>
    </row>
    <row r="248" spans="1:6" x14ac:dyDescent="0.35">
      <c r="A248" s="111"/>
      <c r="B248" s="112" t="s">
        <v>770</v>
      </c>
      <c r="C248" s="118"/>
      <c r="D248" s="118"/>
      <c r="E248" s="119"/>
      <c r="F248" s="119"/>
    </row>
    <row r="249" spans="1:6" x14ac:dyDescent="0.35">
      <c r="A249" s="111"/>
      <c r="B249" s="120" t="s">
        <v>771</v>
      </c>
      <c r="C249" s="115" t="s">
        <v>772</v>
      </c>
      <c r="D249" s="116">
        <v>1</v>
      </c>
      <c r="E249" s="117">
        <v>7500</v>
      </c>
      <c r="F249" s="121">
        <f>+SUM(D249*E249)</f>
        <v>7500</v>
      </c>
    </row>
    <row r="250" spans="1:6" x14ac:dyDescent="0.35">
      <c r="A250" s="111"/>
      <c r="B250" s="112" t="s">
        <v>774</v>
      </c>
      <c r="C250" s="118"/>
      <c r="D250" s="118"/>
      <c r="E250" s="119"/>
      <c r="F250" s="122">
        <f>SUM(F249:F249)</f>
        <v>7500</v>
      </c>
    </row>
    <row r="251" spans="1:6" x14ac:dyDescent="0.35">
      <c r="A251" s="111"/>
      <c r="B251" s="112" t="s">
        <v>775</v>
      </c>
      <c r="C251" s="118"/>
      <c r="D251" s="118"/>
      <c r="E251" s="119"/>
      <c r="F251" s="122">
        <f>F247+F250</f>
        <v>11200</v>
      </c>
    </row>
    <row r="252" spans="1:6" x14ac:dyDescent="0.35">
      <c r="A252" s="111"/>
      <c r="B252" s="120" t="s">
        <v>776</v>
      </c>
      <c r="C252" s="111"/>
      <c r="D252" s="116">
        <v>1.25</v>
      </c>
      <c r="E252" s="117"/>
      <c r="F252" s="114">
        <f>F251*D252</f>
        <v>14000</v>
      </c>
    </row>
    <row r="253" spans="1:6" x14ac:dyDescent="0.35">
      <c r="A253" s="107"/>
      <c r="B253" s="123" t="s">
        <v>777</v>
      </c>
      <c r="C253" s="109"/>
      <c r="D253" s="125"/>
      <c r="E253" s="110"/>
      <c r="F253" s="117"/>
    </row>
    <row r="254" spans="1:6" x14ac:dyDescent="0.35">
      <c r="A254" s="107"/>
      <c r="B254" s="123"/>
      <c r="C254" s="109"/>
      <c r="D254" s="116">
        <v>1.25</v>
      </c>
      <c r="E254" s="110"/>
      <c r="F254" s="117"/>
    </row>
    <row r="255" spans="1:6" x14ac:dyDescent="0.35">
      <c r="A255" s="206" t="s">
        <v>34</v>
      </c>
      <c r="B255" s="207" t="s">
        <v>789</v>
      </c>
      <c r="C255" s="208" t="s">
        <v>35</v>
      </c>
      <c r="D255" s="208"/>
      <c r="E255" s="209"/>
      <c r="F255" s="209">
        <f>D254*F252</f>
        <v>17500</v>
      </c>
    </row>
    <row r="256" spans="1:6" x14ac:dyDescent="0.35">
      <c r="A256" s="206"/>
      <c r="B256" s="207"/>
      <c r="C256" s="208"/>
      <c r="D256" s="208"/>
      <c r="E256" s="210">
        <f>+E242</f>
        <v>3035.45</v>
      </c>
      <c r="F256" s="210">
        <f>+F255/E256</f>
        <v>5.765207794560939</v>
      </c>
    </row>
    <row r="257" spans="1:6" ht="12.5" x14ac:dyDescent="0.35">
      <c r="A257" s="178"/>
      <c r="B257" s="104"/>
      <c r="C257" s="104"/>
      <c r="D257" s="104"/>
      <c r="E257" s="104"/>
      <c r="F257" s="104"/>
    </row>
    <row r="258" spans="1:6" ht="12.5" x14ac:dyDescent="0.35">
      <c r="A258" s="178"/>
      <c r="B258" s="104"/>
      <c r="C258" s="104"/>
      <c r="D258" s="104"/>
      <c r="E258" s="104"/>
      <c r="F258" s="104"/>
    </row>
    <row r="259" spans="1:6" x14ac:dyDescent="0.35">
      <c r="A259" s="211" t="s">
        <v>10</v>
      </c>
      <c r="B259" s="212" t="s">
        <v>732</v>
      </c>
      <c r="C259" s="200" t="s">
        <v>2</v>
      </c>
      <c r="D259" s="202" t="s">
        <v>765</v>
      </c>
      <c r="E259" s="203" t="s">
        <v>766</v>
      </c>
      <c r="F259" s="203" t="s">
        <v>767</v>
      </c>
    </row>
    <row r="260" spans="1:6" x14ac:dyDescent="0.35">
      <c r="A260" s="213" t="s">
        <v>36</v>
      </c>
      <c r="B260" s="214" t="s">
        <v>37</v>
      </c>
      <c r="C260" s="124" t="s">
        <v>38</v>
      </c>
      <c r="D260" s="124">
        <v>1</v>
      </c>
      <c r="E260" s="117">
        <v>105000</v>
      </c>
      <c r="F260" s="117">
        <f>+D260*E260</f>
        <v>105000</v>
      </c>
    </row>
    <row r="261" spans="1:6" x14ac:dyDescent="0.35">
      <c r="A261" s="107"/>
      <c r="B261" s="112" t="s">
        <v>769</v>
      </c>
      <c r="C261" s="109"/>
      <c r="D261" s="109"/>
      <c r="E261" s="110"/>
      <c r="F261" s="110">
        <f>SUM(F260)</f>
        <v>105000</v>
      </c>
    </row>
    <row r="262" spans="1:6" x14ac:dyDescent="0.35">
      <c r="A262" s="111"/>
      <c r="B262" s="112" t="s">
        <v>770</v>
      </c>
      <c r="C262" s="118"/>
      <c r="D262" s="118"/>
      <c r="E262" s="119"/>
      <c r="F262" s="119"/>
    </row>
    <row r="263" spans="1:6" x14ac:dyDescent="0.35">
      <c r="A263" s="111"/>
      <c r="B263" s="120" t="s">
        <v>771</v>
      </c>
      <c r="C263" s="115" t="s">
        <v>772</v>
      </c>
      <c r="D263" s="116">
        <v>1</v>
      </c>
      <c r="E263" s="117">
        <v>7500</v>
      </c>
      <c r="F263" s="121">
        <f>+SUM(D263*E263)</f>
        <v>7500</v>
      </c>
    </row>
    <row r="264" spans="1:6" x14ac:dyDescent="0.35">
      <c r="A264" s="111"/>
      <c r="B264" s="112" t="s">
        <v>774</v>
      </c>
      <c r="C264" s="118"/>
      <c r="D264" s="118"/>
      <c r="E264" s="119"/>
      <c r="F264" s="122">
        <f>SUM(F263:F263)</f>
        <v>7500</v>
      </c>
    </row>
    <row r="265" spans="1:6" x14ac:dyDescent="0.35">
      <c r="A265" s="111"/>
      <c r="B265" s="112" t="s">
        <v>775</v>
      </c>
      <c r="C265" s="118"/>
      <c r="D265" s="118"/>
      <c r="E265" s="119"/>
      <c r="F265" s="122">
        <f>F261+F264</f>
        <v>112500</v>
      </c>
    </row>
    <row r="266" spans="1:6" x14ac:dyDescent="0.35">
      <c r="A266" s="111"/>
      <c r="B266" s="120" t="s">
        <v>776</v>
      </c>
      <c r="C266" s="111"/>
      <c r="D266" s="116">
        <v>1.25</v>
      </c>
      <c r="E266" s="117"/>
      <c r="F266" s="114">
        <f>F265*D266</f>
        <v>140625</v>
      </c>
    </row>
    <row r="267" spans="1:6" x14ac:dyDescent="0.35">
      <c r="A267" s="107"/>
      <c r="B267" s="123" t="s">
        <v>777</v>
      </c>
      <c r="C267" s="109"/>
      <c r="D267" s="125"/>
      <c r="E267" s="110"/>
      <c r="F267" s="117"/>
    </row>
    <row r="268" spans="1:6" x14ac:dyDescent="0.35">
      <c r="A268" s="107"/>
      <c r="B268" s="123"/>
      <c r="C268" s="109"/>
      <c r="D268" s="116">
        <v>1.25</v>
      </c>
      <c r="E268" s="110"/>
      <c r="F268" s="117"/>
    </row>
    <row r="269" spans="1:6" x14ac:dyDescent="0.35">
      <c r="A269" s="206" t="s">
        <v>36</v>
      </c>
      <c r="B269" s="207" t="s">
        <v>790</v>
      </c>
      <c r="C269" s="208" t="s">
        <v>38</v>
      </c>
      <c r="D269" s="208"/>
      <c r="E269" s="209"/>
      <c r="F269" s="209">
        <f>D268*F266</f>
        <v>175781.25</v>
      </c>
    </row>
    <row r="270" spans="1:6" x14ac:dyDescent="0.35">
      <c r="A270" s="206"/>
      <c r="B270" s="207"/>
      <c r="C270" s="208"/>
      <c r="D270" s="208"/>
      <c r="E270" s="210">
        <f>+E256</f>
        <v>3035.45</v>
      </c>
      <c r="F270" s="210">
        <f>+F269/E270</f>
        <v>57.909453293580853</v>
      </c>
    </row>
    <row r="271" spans="1:6" ht="12.5" x14ac:dyDescent="0.35">
      <c r="A271" s="178"/>
      <c r="B271" s="104"/>
      <c r="C271" s="104"/>
      <c r="D271" s="104"/>
      <c r="E271" s="104"/>
      <c r="F271" s="104"/>
    </row>
    <row r="272" spans="1:6" ht="12.5" x14ac:dyDescent="0.35">
      <c r="A272" s="178"/>
      <c r="B272" s="104"/>
      <c r="C272" s="104"/>
      <c r="D272" s="104"/>
      <c r="E272" s="104"/>
      <c r="F272" s="104"/>
    </row>
    <row r="273" spans="1:6" x14ac:dyDescent="0.35">
      <c r="A273" s="211" t="s">
        <v>10</v>
      </c>
      <c r="B273" s="212" t="s">
        <v>732</v>
      </c>
      <c r="C273" s="200" t="s">
        <v>2</v>
      </c>
      <c r="D273" s="202" t="s">
        <v>765</v>
      </c>
      <c r="E273" s="203" t="s">
        <v>766</v>
      </c>
      <c r="F273" s="203" t="s">
        <v>767</v>
      </c>
    </row>
    <row r="274" spans="1:6" x14ac:dyDescent="0.35">
      <c r="A274" s="213" t="s">
        <v>39</v>
      </c>
      <c r="B274" s="214" t="s">
        <v>739</v>
      </c>
      <c r="C274" s="124" t="s">
        <v>38</v>
      </c>
      <c r="D274" s="124">
        <v>1</v>
      </c>
      <c r="E274" s="117">
        <v>105000</v>
      </c>
      <c r="F274" s="117">
        <f>+D274*E274</f>
        <v>105000</v>
      </c>
    </row>
    <row r="275" spans="1:6" x14ac:dyDescent="0.35">
      <c r="A275" s="107"/>
      <c r="B275" s="112" t="s">
        <v>769</v>
      </c>
      <c r="C275" s="109"/>
      <c r="D275" s="109"/>
      <c r="E275" s="110"/>
      <c r="F275" s="110">
        <f>SUM(F274)</f>
        <v>105000</v>
      </c>
    </row>
    <row r="276" spans="1:6" x14ac:dyDescent="0.35">
      <c r="A276" s="111"/>
      <c r="B276" s="112" t="s">
        <v>770</v>
      </c>
      <c r="C276" s="118"/>
      <c r="D276" s="118"/>
      <c r="E276" s="119"/>
      <c r="F276" s="119"/>
    </row>
    <row r="277" spans="1:6" x14ac:dyDescent="0.35">
      <c r="A277" s="111"/>
      <c r="B277" s="120" t="s">
        <v>771</v>
      </c>
      <c r="C277" s="115" t="s">
        <v>772</v>
      </c>
      <c r="D277" s="116">
        <v>1</v>
      </c>
      <c r="E277" s="117">
        <v>7500</v>
      </c>
      <c r="F277" s="121">
        <f>+SUM(D277*E277)</f>
        <v>7500</v>
      </c>
    </row>
    <row r="278" spans="1:6" x14ac:dyDescent="0.35">
      <c r="A278" s="111"/>
      <c r="B278" s="112" t="s">
        <v>774</v>
      </c>
      <c r="C278" s="118"/>
      <c r="D278" s="118"/>
      <c r="E278" s="119"/>
      <c r="F278" s="122">
        <f>SUM(F277:F277)</f>
        <v>7500</v>
      </c>
    </row>
    <row r="279" spans="1:6" x14ac:dyDescent="0.35">
      <c r="A279" s="111"/>
      <c r="B279" s="112" t="s">
        <v>775</v>
      </c>
      <c r="C279" s="118"/>
      <c r="D279" s="118"/>
      <c r="E279" s="119"/>
      <c r="F279" s="122">
        <f>F275+F278</f>
        <v>112500</v>
      </c>
    </row>
    <row r="280" spans="1:6" x14ac:dyDescent="0.35">
      <c r="A280" s="111"/>
      <c r="B280" s="120" t="s">
        <v>776</v>
      </c>
      <c r="C280" s="111"/>
      <c r="D280" s="116">
        <v>1.25</v>
      </c>
      <c r="E280" s="117"/>
      <c r="F280" s="114">
        <f>F279*D280</f>
        <v>140625</v>
      </c>
    </row>
    <row r="281" spans="1:6" x14ac:dyDescent="0.35">
      <c r="A281" s="107"/>
      <c r="B281" s="123" t="s">
        <v>777</v>
      </c>
      <c r="C281" s="109"/>
      <c r="D281" s="125"/>
      <c r="E281" s="110"/>
      <c r="F281" s="117"/>
    </row>
    <row r="282" spans="1:6" x14ac:dyDescent="0.35">
      <c r="A282" s="107"/>
      <c r="B282" s="123"/>
      <c r="C282" s="109"/>
      <c r="D282" s="116">
        <v>1.25</v>
      </c>
      <c r="E282" s="110"/>
      <c r="F282" s="117"/>
    </row>
    <row r="283" spans="1:6" x14ac:dyDescent="0.35">
      <c r="A283" s="206" t="s">
        <v>39</v>
      </c>
      <c r="B283" s="207" t="s">
        <v>790</v>
      </c>
      <c r="C283" s="208" t="s">
        <v>38</v>
      </c>
      <c r="D283" s="208"/>
      <c r="E283" s="209"/>
      <c r="F283" s="209">
        <f>D282*F280</f>
        <v>175781.25</v>
      </c>
    </row>
    <row r="284" spans="1:6" x14ac:dyDescent="0.35">
      <c r="A284" s="206"/>
      <c r="B284" s="207"/>
      <c r="C284" s="208"/>
      <c r="D284" s="208"/>
      <c r="E284" s="210">
        <f>+E270</f>
        <v>3035.45</v>
      </c>
      <c r="F284" s="210">
        <f>+F283/E284</f>
        <v>57.909453293580853</v>
      </c>
    </row>
    <row r="285" spans="1:6" ht="12.5" x14ac:dyDescent="0.35">
      <c r="A285" s="178"/>
      <c r="B285" s="104"/>
      <c r="C285" s="104"/>
      <c r="D285" s="104"/>
      <c r="E285" s="104"/>
      <c r="F285" s="104"/>
    </row>
    <row r="286" spans="1:6" ht="12.5" x14ac:dyDescent="0.35">
      <c r="A286" s="178"/>
      <c r="B286" s="104"/>
      <c r="C286" s="104"/>
      <c r="D286" s="104"/>
      <c r="E286" s="104"/>
      <c r="F286" s="104"/>
    </row>
    <row r="287" spans="1:6" x14ac:dyDescent="0.35">
      <c r="A287" s="211" t="s">
        <v>10</v>
      </c>
      <c r="B287" s="212" t="s">
        <v>732</v>
      </c>
      <c r="C287" s="200" t="s">
        <v>2</v>
      </c>
      <c r="D287" s="202" t="s">
        <v>765</v>
      </c>
      <c r="E287" s="203" t="s">
        <v>766</v>
      </c>
      <c r="F287" s="203" t="s">
        <v>767</v>
      </c>
    </row>
    <row r="288" spans="1:6" ht="26" x14ac:dyDescent="0.35">
      <c r="A288" s="213" t="s">
        <v>40</v>
      </c>
      <c r="B288" s="214" t="s">
        <v>41</v>
      </c>
      <c r="C288" s="124" t="s">
        <v>35</v>
      </c>
      <c r="D288" s="124">
        <v>1</v>
      </c>
      <c r="E288" s="117">
        <v>500</v>
      </c>
      <c r="F288" s="117">
        <f>+D288*E288</f>
        <v>500</v>
      </c>
    </row>
    <row r="289" spans="1:6" x14ac:dyDescent="0.35">
      <c r="A289" s="107"/>
      <c r="B289" s="112" t="s">
        <v>769</v>
      </c>
      <c r="C289" s="109"/>
      <c r="D289" s="109"/>
      <c r="E289" s="110"/>
      <c r="F289" s="110">
        <f>SUM(F288)</f>
        <v>500</v>
      </c>
    </row>
    <row r="290" spans="1:6" x14ac:dyDescent="0.35">
      <c r="A290" s="111"/>
      <c r="B290" s="112" t="s">
        <v>770</v>
      </c>
      <c r="C290" s="118"/>
      <c r="D290" s="118"/>
      <c r="E290" s="119"/>
      <c r="F290" s="119"/>
    </row>
    <row r="291" spans="1:6" x14ac:dyDescent="0.35">
      <c r="A291" s="111"/>
      <c r="B291" s="120" t="s">
        <v>771</v>
      </c>
      <c r="C291" s="115" t="s">
        <v>772</v>
      </c>
      <c r="D291" s="116">
        <v>1</v>
      </c>
      <c r="E291" s="117">
        <v>7500</v>
      </c>
      <c r="F291" s="121">
        <f>+SUM(D291*E291)</f>
        <v>7500</v>
      </c>
    </row>
    <row r="292" spans="1:6" x14ac:dyDescent="0.35">
      <c r="A292" s="111"/>
      <c r="B292" s="112" t="s">
        <v>774</v>
      </c>
      <c r="C292" s="118"/>
      <c r="D292" s="118"/>
      <c r="E292" s="119"/>
      <c r="F292" s="122">
        <f>SUM(F291:F291)</f>
        <v>7500</v>
      </c>
    </row>
    <row r="293" spans="1:6" x14ac:dyDescent="0.35">
      <c r="A293" s="111"/>
      <c r="B293" s="112" t="s">
        <v>775</v>
      </c>
      <c r="C293" s="118"/>
      <c r="D293" s="118"/>
      <c r="E293" s="119"/>
      <c r="F293" s="122">
        <f>F289+F292</f>
        <v>8000</v>
      </c>
    </row>
    <row r="294" spans="1:6" x14ac:dyDescent="0.35">
      <c r="A294" s="111"/>
      <c r="B294" s="120" t="s">
        <v>776</v>
      </c>
      <c r="C294" s="111"/>
      <c r="D294" s="116">
        <v>1.25</v>
      </c>
      <c r="E294" s="117"/>
      <c r="F294" s="114">
        <f>F293*D294</f>
        <v>10000</v>
      </c>
    </row>
    <row r="295" spans="1:6" x14ac:dyDescent="0.35">
      <c r="A295" s="107"/>
      <c r="B295" s="123" t="s">
        <v>777</v>
      </c>
      <c r="C295" s="109"/>
      <c r="D295" s="125"/>
      <c r="E295" s="110"/>
      <c r="F295" s="117"/>
    </row>
    <row r="296" spans="1:6" x14ac:dyDescent="0.35">
      <c r="A296" s="107"/>
      <c r="B296" s="123"/>
      <c r="C296" s="109"/>
      <c r="D296" s="116">
        <v>1.25</v>
      </c>
      <c r="E296" s="110"/>
      <c r="F296" s="117"/>
    </row>
    <row r="297" spans="1:6" x14ac:dyDescent="0.35">
      <c r="A297" s="206" t="s">
        <v>40</v>
      </c>
      <c r="B297" s="207" t="s">
        <v>789</v>
      </c>
      <c r="C297" s="208" t="s">
        <v>35</v>
      </c>
      <c r="D297" s="208"/>
      <c r="E297" s="209"/>
      <c r="F297" s="209">
        <f>D296*F294</f>
        <v>12500</v>
      </c>
    </row>
    <row r="298" spans="1:6" x14ac:dyDescent="0.35">
      <c r="A298" s="206"/>
      <c r="B298" s="207"/>
      <c r="C298" s="208"/>
      <c r="D298" s="208"/>
      <c r="E298" s="210">
        <f>+E284</f>
        <v>3035.45</v>
      </c>
      <c r="F298" s="210">
        <f>+F297/E298</f>
        <v>4.1180055675435279</v>
      </c>
    </row>
    <row r="299" spans="1:6" ht="12.5" x14ac:dyDescent="0.35">
      <c r="A299" s="178"/>
      <c r="B299" s="104"/>
      <c r="C299" s="104"/>
      <c r="D299" s="104"/>
      <c r="E299" s="104"/>
      <c r="F299" s="104"/>
    </row>
    <row r="300" spans="1:6" ht="12.5" x14ac:dyDescent="0.35">
      <c r="A300" s="178"/>
      <c r="B300" s="104"/>
      <c r="C300" s="104"/>
      <c r="D300" s="104"/>
      <c r="E300" s="104"/>
      <c r="F300" s="104"/>
    </row>
    <row r="301" spans="1:6" x14ac:dyDescent="0.35">
      <c r="A301" s="211" t="s">
        <v>10</v>
      </c>
      <c r="B301" s="212" t="s">
        <v>732</v>
      </c>
      <c r="C301" s="200" t="s">
        <v>2</v>
      </c>
      <c r="D301" s="202" t="s">
        <v>765</v>
      </c>
      <c r="E301" s="203" t="s">
        <v>766</v>
      </c>
      <c r="F301" s="203" t="s">
        <v>767</v>
      </c>
    </row>
    <row r="302" spans="1:6" x14ac:dyDescent="0.35">
      <c r="A302" s="213" t="s">
        <v>42</v>
      </c>
      <c r="B302" s="214" t="s">
        <v>791</v>
      </c>
      <c r="C302" s="124" t="s">
        <v>35</v>
      </c>
      <c r="D302" s="124">
        <v>1</v>
      </c>
      <c r="E302" s="117">
        <v>2100</v>
      </c>
      <c r="F302" s="117">
        <f>+D302*E302</f>
        <v>2100</v>
      </c>
    </row>
    <row r="303" spans="1:6" x14ac:dyDescent="0.35">
      <c r="A303" s="107"/>
      <c r="B303" s="112" t="s">
        <v>769</v>
      </c>
      <c r="C303" s="109"/>
      <c r="D303" s="109"/>
      <c r="E303" s="110"/>
      <c r="F303" s="110">
        <f>SUM(F302)</f>
        <v>2100</v>
      </c>
    </row>
    <row r="304" spans="1:6" x14ac:dyDescent="0.35">
      <c r="A304" s="111"/>
      <c r="B304" s="112" t="s">
        <v>770</v>
      </c>
      <c r="C304" s="118"/>
      <c r="D304" s="118"/>
      <c r="E304" s="119"/>
      <c r="F304" s="119"/>
    </row>
    <row r="305" spans="1:6" x14ac:dyDescent="0.35">
      <c r="A305" s="111"/>
      <c r="B305" s="120" t="s">
        <v>771</v>
      </c>
      <c r="C305" s="115" t="s">
        <v>772</v>
      </c>
      <c r="D305" s="116">
        <v>1</v>
      </c>
      <c r="E305" s="117">
        <v>7500</v>
      </c>
      <c r="F305" s="121">
        <f>+SUM(D305*E305)</f>
        <v>7500</v>
      </c>
    </row>
    <row r="306" spans="1:6" x14ac:dyDescent="0.35">
      <c r="A306" s="111"/>
      <c r="B306" s="112" t="s">
        <v>774</v>
      </c>
      <c r="C306" s="118"/>
      <c r="D306" s="118"/>
      <c r="E306" s="119"/>
      <c r="F306" s="122">
        <f>SUM(F305:F305)</f>
        <v>7500</v>
      </c>
    </row>
    <row r="307" spans="1:6" x14ac:dyDescent="0.35">
      <c r="A307" s="111"/>
      <c r="B307" s="112" t="s">
        <v>775</v>
      </c>
      <c r="C307" s="118"/>
      <c r="D307" s="118"/>
      <c r="E307" s="119"/>
      <c r="F307" s="122">
        <f>F303+F306</f>
        <v>9600</v>
      </c>
    </row>
    <row r="308" spans="1:6" x14ac:dyDescent="0.35">
      <c r="A308" s="111"/>
      <c r="B308" s="120" t="s">
        <v>776</v>
      </c>
      <c r="C308" s="111"/>
      <c r="D308" s="116">
        <v>1.25</v>
      </c>
      <c r="E308" s="117"/>
      <c r="F308" s="114">
        <f>F307*D308</f>
        <v>12000</v>
      </c>
    </row>
    <row r="309" spans="1:6" x14ac:dyDescent="0.35">
      <c r="A309" s="107"/>
      <c r="B309" s="123" t="s">
        <v>777</v>
      </c>
      <c r="C309" s="109"/>
      <c r="D309" s="125"/>
      <c r="E309" s="110"/>
      <c r="F309" s="117"/>
    </row>
    <row r="310" spans="1:6" x14ac:dyDescent="0.35">
      <c r="A310" s="107"/>
      <c r="B310" s="123"/>
      <c r="C310" s="109"/>
      <c r="D310" s="116">
        <v>1.25</v>
      </c>
      <c r="E310" s="110"/>
      <c r="F310" s="117"/>
    </row>
    <row r="311" spans="1:6" x14ac:dyDescent="0.35">
      <c r="A311" s="206" t="s">
        <v>42</v>
      </c>
      <c r="B311" s="207" t="s">
        <v>789</v>
      </c>
      <c r="C311" s="208" t="s">
        <v>35</v>
      </c>
      <c r="D311" s="208"/>
      <c r="E311" s="209"/>
      <c r="F311" s="209">
        <f>D310*F308</f>
        <v>15000</v>
      </c>
    </row>
    <row r="312" spans="1:6" x14ac:dyDescent="0.35">
      <c r="A312" s="206"/>
      <c r="B312" s="207"/>
      <c r="C312" s="208"/>
      <c r="D312" s="208"/>
      <c r="E312" s="210">
        <f>+E298</f>
        <v>3035.45</v>
      </c>
      <c r="F312" s="210">
        <f>+F311/E312</f>
        <v>4.9416066810522334</v>
      </c>
    </row>
    <row r="313" spans="1:6" ht="12.5" x14ac:dyDescent="0.35">
      <c r="A313" s="178"/>
      <c r="B313" s="104"/>
      <c r="C313" s="104"/>
      <c r="D313" s="104"/>
      <c r="E313" s="104"/>
      <c r="F313" s="104"/>
    </row>
    <row r="314" spans="1:6" ht="12.5" x14ac:dyDescent="0.35">
      <c r="A314" s="178"/>
      <c r="B314" s="104"/>
      <c r="C314" s="104"/>
      <c r="D314" s="104"/>
      <c r="E314" s="104"/>
      <c r="F314" s="104"/>
    </row>
    <row r="315" spans="1:6" x14ac:dyDescent="0.35">
      <c r="A315" s="211" t="s">
        <v>10</v>
      </c>
      <c r="B315" s="212" t="s">
        <v>732</v>
      </c>
      <c r="C315" s="200" t="s">
        <v>2</v>
      </c>
      <c r="D315" s="202" t="s">
        <v>765</v>
      </c>
      <c r="E315" s="203" t="s">
        <v>766</v>
      </c>
      <c r="F315" s="203" t="s">
        <v>767</v>
      </c>
    </row>
    <row r="316" spans="1:6" x14ac:dyDescent="0.35">
      <c r="A316" s="213" t="s">
        <v>43</v>
      </c>
      <c r="B316" s="216" t="s">
        <v>1105</v>
      </c>
      <c r="C316" s="124" t="s">
        <v>35</v>
      </c>
      <c r="D316" s="124">
        <v>1</v>
      </c>
      <c r="E316" s="117">
        <v>21800</v>
      </c>
      <c r="F316" s="117">
        <f>+D316*E316</f>
        <v>21800</v>
      </c>
    </row>
    <row r="317" spans="1:6" x14ac:dyDescent="0.35">
      <c r="A317" s="107"/>
      <c r="B317" s="112" t="s">
        <v>769</v>
      </c>
      <c r="C317" s="109"/>
      <c r="D317" s="109"/>
      <c r="E317" s="110"/>
      <c r="F317" s="110">
        <f>SUM(F316)</f>
        <v>21800</v>
      </c>
    </row>
    <row r="318" spans="1:6" x14ac:dyDescent="0.35">
      <c r="A318" s="111"/>
      <c r="B318" s="112" t="s">
        <v>770</v>
      </c>
      <c r="C318" s="118"/>
      <c r="D318" s="118"/>
      <c r="E318" s="119"/>
      <c r="F318" s="119"/>
    </row>
    <row r="319" spans="1:6" x14ac:dyDescent="0.35">
      <c r="A319" s="111"/>
      <c r="B319" s="120" t="s">
        <v>771</v>
      </c>
      <c r="C319" s="115" t="s">
        <v>772</v>
      </c>
      <c r="D319" s="116">
        <v>3.5</v>
      </c>
      <c r="E319" s="117">
        <v>7500</v>
      </c>
      <c r="F319" s="121">
        <f>+SUM(D319*E319)</f>
        <v>26250</v>
      </c>
    </row>
    <row r="320" spans="1:6" x14ac:dyDescent="0.35">
      <c r="A320" s="111"/>
      <c r="B320" s="112" t="s">
        <v>774</v>
      </c>
      <c r="C320" s="118"/>
      <c r="D320" s="118"/>
      <c r="E320" s="119"/>
      <c r="F320" s="122">
        <f>SUM(F319:F319)</f>
        <v>26250</v>
      </c>
    </row>
    <row r="321" spans="1:6" x14ac:dyDescent="0.35">
      <c r="A321" s="111"/>
      <c r="B321" s="112" t="s">
        <v>775</v>
      </c>
      <c r="C321" s="118"/>
      <c r="D321" s="118"/>
      <c r="E321" s="119"/>
      <c r="F321" s="122">
        <f>F317+F320</f>
        <v>48050</v>
      </c>
    </row>
    <row r="322" spans="1:6" x14ac:dyDescent="0.35">
      <c r="A322" s="111"/>
      <c r="B322" s="120" t="s">
        <v>776</v>
      </c>
      <c r="C322" s="111"/>
      <c r="D322" s="116">
        <v>1.25</v>
      </c>
      <c r="E322" s="117"/>
      <c r="F322" s="114">
        <f>F321*D322</f>
        <v>60062.5</v>
      </c>
    </row>
    <row r="323" spans="1:6" x14ac:dyDescent="0.35">
      <c r="A323" s="107"/>
      <c r="B323" s="123" t="s">
        <v>777</v>
      </c>
      <c r="C323" s="109"/>
      <c r="D323" s="125"/>
      <c r="E323" s="110"/>
      <c r="F323" s="117"/>
    </row>
    <row r="324" spans="1:6" x14ac:dyDescent="0.35">
      <c r="A324" s="107"/>
      <c r="B324" s="123"/>
      <c r="C324" s="109"/>
      <c r="D324" s="116">
        <v>1.25</v>
      </c>
      <c r="E324" s="110"/>
      <c r="F324" s="117"/>
    </row>
    <row r="325" spans="1:6" x14ac:dyDescent="0.35">
      <c r="A325" s="206" t="s">
        <v>43</v>
      </c>
      <c r="B325" s="207" t="s">
        <v>789</v>
      </c>
      <c r="C325" s="208" t="s">
        <v>35</v>
      </c>
      <c r="D325" s="208"/>
      <c r="E325" s="209"/>
      <c r="F325" s="209">
        <f>D324*F322</f>
        <v>75078.125</v>
      </c>
    </row>
    <row r="326" spans="1:6" x14ac:dyDescent="0.35">
      <c r="A326" s="206"/>
      <c r="B326" s="207"/>
      <c r="C326" s="208"/>
      <c r="D326" s="208"/>
      <c r="E326" s="210">
        <f>+E312</f>
        <v>3035.45</v>
      </c>
      <c r="F326" s="210">
        <f>+F325/E326</f>
        <v>24.733770940058314</v>
      </c>
    </row>
    <row r="327" spans="1:6" ht="12.5" x14ac:dyDescent="0.35">
      <c r="A327" s="178"/>
      <c r="B327" s="104"/>
      <c r="C327" s="104"/>
      <c r="D327" s="104"/>
      <c r="E327" s="104"/>
      <c r="F327" s="104"/>
    </row>
    <row r="328" spans="1:6" ht="12.5" x14ac:dyDescent="0.35">
      <c r="A328" s="178"/>
      <c r="B328" s="104"/>
      <c r="C328" s="104"/>
      <c r="D328" s="104"/>
      <c r="E328" s="104"/>
      <c r="F328" s="104"/>
    </row>
    <row r="329" spans="1:6" x14ac:dyDescent="0.35">
      <c r="A329" s="211" t="s">
        <v>10</v>
      </c>
      <c r="B329" s="212" t="s">
        <v>732</v>
      </c>
      <c r="C329" s="200" t="s">
        <v>2</v>
      </c>
      <c r="D329" s="202" t="s">
        <v>765</v>
      </c>
      <c r="E329" s="203" t="s">
        <v>766</v>
      </c>
      <c r="F329" s="203" t="s">
        <v>767</v>
      </c>
    </row>
    <row r="330" spans="1:6" x14ac:dyDescent="0.35">
      <c r="A330" s="213" t="s">
        <v>44</v>
      </c>
      <c r="B330" s="216" t="s">
        <v>45</v>
      </c>
      <c r="C330" s="124" t="s">
        <v>1106</v>
      </c>
      <c r="D330" s="124">
        <v>1</v>
      </c>
      <c r="E330" s="117">
        <v>6000</v>
      </c>
      <c r="F330" s="117">
        <f>+D330*E330</f>
        <v>6000</v>
      </c>
    </row>
    <row r="331" spans="1:6" x14ac:dyDescent="0.35">
      <c r="A331" s="107"/>
      <c r="B331" s="112" t="s">
        <v>769</v>
      </c>
      <c r="C331" s="109"/>
      <c r="D331" s="109"/>
      <c r="E331" s="110"/>
      <c r="F331" s="110">
        <f>SUM(F330)</f>
        <v>6000</v>
      </c>
    </row>
    <row r="332" spans="1:6" x14ac:dyDescent="0.35">
      <c r="A332" s="111"/>
      <c r="B332" s="112" t="s">
        <v>770</v>
      </c>
      <c r="C332" s="118"/>
      <c r="D332" s="118"/>
      <c r="E332" s="119"/>
      <c r="F332" s="119"/>
    </row>
    <row r="333" spans="1:6" x14ac:dyDescent="0.35">
      <c r="A333" s="111"/>
      <c r="B333" s="120" t="s">
        <v>771</v>
      </c>
      <c r="C333" s="115" t="s">
        <v>772</v>
      </c>
      <c r="D333" s="116">
        <v>3.5</v>
      </c>
      <c r="E333" s="117">
        <v>7500</v>
      </c>
      <c r="F333" s="121">
        <f>+SUM(D333*E333)</f>
        <v>26250</v>
      </c>
    </row>
    <row r="334" spans="1:6" x14ac:dyDescent="0.35">
      <c r="A334" s="111"/>
      <c r="B334" s="112" t="s">
        <v>774</v>
      </c>
      <c r="C334" s="118"/>
      <c r="D334" s="118"/>
      <c r="E334" s="119"/>
      <c r="F334" s="122">
        <f>SUM(F333:F333)</f>
        <v>26250</v>
      </c>
    </row>
    <row r="335" spans="1:6" x14ac:dyDescent="0.35">
      <c r="A335" s="111"/>
      <c r="B335" s="112" t="s">
        <v>775</v>
      </c>
      <c r="C335" s="118"/>
      <c r="D335" s="118"/>
      <c r="E335" s="119"/>
      <c r="F335" s="122">
        <f>F331+F334</f>
        <v>32250</v>
      </c>
    </row>
    <row r="336" spans="1:6" x14ac:dyDescent="0.35">
      <c r="A336" s="111"/>
      <c r="B336" s="120" t="s">
        <v>776</v>
      </c>
      <c r="C336" s="111"/>
      <c r="D336" s="116">
        <v>1.25</v>
      </c>
      <c r="E336" s="117"/>
      <c r="F336" s="114">
        <f>F335*D336</f>
        <v>40312.5</v>
      </c>
    </row>
    <row r="337" spans="1:6" x14ac:dyDescent="0.35">
      <c r="A337" s="107"/>
      <c r="B337" s="123" t="s">
        <v>777</v>
      </c>
      <c r="C337" s="109"/>
      <c r="D337" s="125"/>
      <c r="E337" s="110"/>
      <c r="F337" s="117"/>
    </row>
    <row r="338" spans="1:6" x14ac:dyDescent="0.35">
      <c r="A338" s="107"/>
      <c r="B338" s="123"/>
      <c r="C338" s="109"/>
      <c r="D338" s="116">
        <v>1.25</v>
      </c>
      <c r="E338" s="110"/>
      <c r="F338" s="117"/>
    </row>
    <row r="339" spans="1:6" x14ac:dyDescent="0.35">
      <c r="A339" s="206" t="s">
        <v>44</v>
      </c>
      <c r="B339" s="207" t="s">
        <v>784</v>
      </c>
      <c r="C339" s="208" t="s">
        <v>27</v>
      </c>
      <c r="D339" s="208"/>
      <c r="E339" s="209"/>
      <c r="F339" s="209">
        <f>D338*F336</f>
        <v>50390.625</v>
      </c>
    </row>
    <row r="340" spans="1:6" x14ac:dyDescent="0.35">
      <c r="A340" s="206"/>
      <c r="B340" s="207"/>
      <c r="C340" s="208"/>
      <c r="D340" s="208"/>
      <c r="E340" s="210">
        <f>+E326</f>
        <v>3035.45</v>
      </c>
      <c r="F340" s="210">
        <f>+F339/E340</f>
        <v>16.600709944159846</v>
      </c>
    </row>
    <row r="341" spans="1:6" ht="12.5" x14ac:dyDescent="0.35">
      <c r="A341" s="178"/>
      <c r="B341" s="104"/>
      <c r="C341" s="104"/>
      <c r="D341" s="104"/>
      <c r="E341" s="104"/>
      <c r="F341" s="104"/>
    </row>
    <row r="342" spans="1:6" ht="12.5" x14ac:dyDescent="0.35">
      <c r="A342" s="178"/>
      <c r="B342" s="104"/>
      <c r="C342" s="104"/>
      <c r="D342" s="104"/>
      <c r="E342" s="104"/>
      <c r="F342" s="104"/>
    </row>
    <row r="343" spans="1:6" x14ac:dyDescent="0.35">
      <c r="A343" s="211" t="s">
        <v>10</v>
      </c>
      <c r="B343" s="212" t="s">
        <v>732</v>
      </c>
      <c r="C343" s="200" t="s">
        <v>2</v>
      </c>
      <c r="D343" s="202" t="s">
        <v>765</v>
      </c>
      <c r="E343" s="203" t="s">
        <v>766</v>
      </c>
      <c r="F343" s="203" t="s">
        <v>767</v>
      </c>
    </row>
    <row r="344" spans="1:6" x14ac:dyDescent="0.35">
      <c r="A344" s="213" t="s">
        <v>46</v>
      </c>
      <c r="B344" s="214" t="s">
        <v>740</v>
      </c>
      <c r="C344" s="124" t="s">
        <v>35</v>
      </c>
      <c r="D344" s="124">
        <v>1</v>
      </c>
      <c r="E344" s="117">
        <v>50</v>
      </c>
      <c r="F344" s="117">
        <f>+D344*E344</f>
        <v>50</v>
      </c>
    </row>
    <row r="345" spans="1:6" x14ac:dyDescent="0.35">
      <c r="A345" s="107"/>
      <c r="B345" s="112" t="s">
        <v>769</v>
      </c>
      <c r="C345" s="109"/>
      <c r="D345" s="109"/>
      <c r="E345" s="110"/>
      <c r="F345" s="110">
        <f>SUM(F344)</f>
        <v>50</v>
      </c>
    </row>
    <row r="346" spans="1:6" x14ac:dyDescent="0.35">
      <c r="A346" s="111"/>
      <c r="B346" s="112" t="s">
        <v>770</v>
      </c>
      <c r="C346" s="118"/>
      <c r="D346" s="118"/>
      <c r="E346" s="119"/>
      <c r="F346" s="119"/>
    </row>
    <row r="347" spans="1:6" x14ac:dyDescent="0.35">
      <c r="A347" s="111"/>
      <c r="B347" s="120" t="s">
        <v>771</v>
      </c>
      <c r="C347" s="115" t="s">
        <v>772</v>
      </c>
      <c r="D347" s="116">
        <v>1</v>
      </c>
      <c r="E347" s="117">
        <v>4500</v>
      </c>
      <c r="F347" s="121">
        <f>+SUM(D347*E347)</f>
        <v>4500</v>
      </c>
    </row>
    <row r="348" spans="1:6" x14ac:dyDescent="0.35">
      <c r="A348" s="111"/>
      <c r="B348" s="120" t="s">
        <v>773</v>
      </c>
      <c r="C348" s="115" t="s">
        <v>772</v>
      </c>
      <c r="D348" s="116">
        <v>1</v>
      </c>
      <c r="E348" s="117">
        <v>11000</v>
      </c>
      <c r="F348" s="121">
        <f>+SUM(D348*E348)</f>
        <v>11000</v>
      </c>
    </row>
    <row r="349" spans="1:6" x14ac:dyDescent="0.35">
      <c r="A349" s="111"/>
      <c r="B349" s="112" t="s">
        <v>774</v>
      </c>
      <c r="C349" s="118"/>
      <c r="D349" s="118"/>
      <c r="E349" s="119"/>
      <c r="F349" s="122">
        <f>SUM(F347:F348)</f>
        <v>15500</v>
      </c>
    </row>
    <row r="350" spans="1:6" x14ac:dyDescent="0.35">
      <c r="A350" s="111"/>
      <c r="B350" s="112" t="s">
        <v>775</v>
      </c>
      <c r="C350" s="118"/>
      <c r="D350" s="118"/>
      <c r="E350" s="119"/>
      <c r="F350" s="122">
        <f>F345+F349</f>
        <v>15550</v>
      </c>
    </row>
    <row r="351" spans="1:6" x14ac:dyDescent="0.35">
      <c r="A351" s="111"/>
      <c r="B351" s="120" t="s">
        <v>792</v>
      </c>
      <c r="C351" s="111"/>
      <c r="D351" s="116">
        <v>1.05</v>
      </c>
      <c r="E351" s="117"/>
      <c r="F351" s="114">
        <f>F350*D351</f>
        <v>16327.5</v>
      </c>
    </row>
    <row r="352" spans="1:6" x14ac:dyDescent="0.35">
      <c r="A352" s="107"/>
      <c r="B352" s="123" t="s">
        <v>793</v>
      </c>
      <c r="C352" s="109"/>
      <c r="D352" s="125"/>
      <c r="E352" s="110"/>
      <c r="F352" s="117"/>
    </row>
    <row r="353" spans="1:6" x14ac:dyDescent="0.35">
      <c r="A353" s="107"/>
      <c r="B353" s="123"/>
      <c r="C353" s="109"/>
      <c r="D353" s="116">
        <v>1.05</v>
      </c>
      <c r="E353" s="110"/>
      <c r="F353" s="117"/>
    </row>
    <row r="354" spans="1:6" x14ac:dyDescent="0.35">
      <c r="A354" s="206" t="s">
        <v>46</v>
      </c>
      <c r="B354" s="207" t="s">
        <v>789</v>
      </c>
      <c r="C354" s="208" t="s">
        <v>35</v>
      </c>
      <c r="D354" s="208"/>
      <c r="E354" s="209"/>
      <c r="F354" s="209">
        <f>D353*F351</f>
        <v>17143.875</v>
      </c>
    </row>
    <row r="355" spans="1:6" x14ac:dyDescent="0.35">
      <c r="A355" s="206"/>
      <c r="B355" s="207"/>
      <c r="C355" s="208"/>
      <c r="D355" s="208"/>
      <c r="E355" s="210">
        <f>+E340</f>
        <v>3035.45</v>
      </c>
      <c r="F355" s="210">
        <f>+F354/E355</f>
        <v>5.6478858159416232</v>
      </c>
    </row>
    <row r="356" spans="1:6" ht="12.5" x14ac:dyDescent="0.35">
      <c r="A356" s="178"/>
      <c r="B356" s="104"/>
      <c r="C356" s="104"/>
      <c r="D356" s="104"/>
      <c r="E356" s="104"/>
      <c r="F356" s="104"/>
    </row>
    <row r="357" spans="1:6" ht="12.5" x14ac:dyDescent="0.35">
      <c r="A357" s="178"/>
      <c r="B357" s="104"/>
      <c r="C357" s="104"/>
      <c r="D357" s="104"/>
      <c r="E357" s="104"/>
      <c r="F357" s="104"/>
    </row>
    <row r="358" spans="1:6" x14ac:dyDescent="0.35">
      <c r="A358" s="211" t="s">
        <v>10</v>
      </c>
      <c r="B358" s="212" t="s">
        <v>732</v>
      </c>
      <c r="C358" s="200" t="s">
        <v>2</v>
      </c>
      <c r="D358" s="202" t="s">
        <v>765</v>
      </c>
      <c r="E358" s="203" t="s">
        <v>766</v>
      </c>
      <c r="F358" s="203" t="s">
        <v>767</v>
      </c>
    </row>
    <row r="359" spans="1:6" x14ac:dyDescent="0.35">
      <c r="A359" s="213" t="s">
        <v>47</v>
      </c>
      <c r="B359" s="214" t="s">
        <v>736</v>
      </c>
      <c r="C359" s="124" t="s">
        <v>35</v>
      </c>
      <c r="D359" s="124">
        <v>1</v>
      </c>
      <c r="E359" s="117">
        <v>50</v>
      </c>
      <c r="F359" s="117">
        <f>+D359*E359</f>
        <v>50</v>
      </c>
    </row>
    <row r="360" spans="1:6" x14ac:dyDescent="0.35">
      <c r="A360" s="107"/>
      <c r="B360" s="112" t="s">
        <v>769</v>
      </c>
      <c r="C360" s="109"/>
      <c r="D360" s="109"/>
      <c r="E360" s="110"/>
      <c r="F360" s="110">
        <f>SUM(F359)</f>
        <v>50</v>
      </c>
    </row>
    <row r="361" spans="1:6" x14ac:dyDescent="0.35">
      <c r="A361" s="111"/>
      <c r="B361" s="112" t="s">
        <v>770</v>
      </c>
      <c r="C361" s="118"/>
      <c r="D361" s="118"/>
      <c r="E361" s="119"/>
      <c r="F361" s="119"/>
    </row>
    <row r="362" spans="1:6" x14ac:dyDescent="0.35">
      <c r="A362" s="111"/>
      <c r="B362" s="120" t="s">
        <v>771</v>
      </c>
      <c r="C362" s="115" t="s">
        <v>772</v>
      </c>
      <c r="D362" s="116">
        <v>1</v>
      </c>
      <c r="E362" s="117">
        <v>5500</v>
      </c>
      <c r="F362" s="121">
        <f>+SUM(D362*E362)</f>
        <v>5500</v>
      </c>
    </row>
    <row r="363" spans="1:6" x14ac:dyDescent="0.35">
      <c r="A363" s="111"/>
      <c r="B363" s="120" t="s">
        <v>773</v>
      </c>
      <c r="C363" s="115" t="s">
        <v>772</v>
      </c>
      <c r="D363" s="116">
        <v>1</v>
      </c>
      <c r="E363" s="117">
        <v>10000</v>
      </c>
      <c r="F363" s="121">
        <f>+SUM(D363*E363)</f>
        <v>10000</v>
      </c>
    </row>
    <row r="364" spans="1:6" x14ac:dyDescent="0.35">
      <c r="A364" s="111"/>
      <c r="B364" s="112" t="s">
        <v>774</v>
      </c>
      <c r="C364" s="118"/>
      <c r="D364" s="118"/>
      <c r="E364" s="119"/>
      <c r="F364" s="122">
        <f>SUM(F362:F363)</f>
        <v>15500</v>
      </c>
    </row>
    <row r="365" spans="1:6" x14ac:dyDescent="0.35">
      <c r="A365" s="111"/>
      <c r="B365" s="112" t="s">
        <v>775</v>
      </c>
      <c r="C365" s="118"/>
      <c r="D365" s="118"/>
      <c r="E365" s="119"/>
      <c r="F365" s="122">
        <f>F360+F364</f>
        <v>15550</v>
      </c>
    </row>
    <row r="366" spans="1:6" x14ac:dyDescent="0.35">
      <c r="A366" s="111"/>
      <c r="B366" s="120" t="s">
        <v>792</v>
      </c>
      <c r="C366" s="111"/>
      <c r="D366" s="116">
        <v>1.05</v>
      </c>
      <c r="E366" s="117"/>
      <c r="F366" s="114">
        <f>F365*D366</f>
        <v>16327.5</v>
      </c>
    </row>
    <row r="367" spans="1:6" x14ac:dyDescent="0.35">
      <c r="A367" s="107"/>
      <c r="B367" s="123" t="s">
        <v>793</v>
      </c>
      <c r="C367" s="109"/>
      <c r="D367" s="125"/>
      <c r="E367" s="110"/>
      <c r="F367" s="117"/>
    </row>
    <row r="368" spans="1:6" x14ac:dyDescent="0.35">
      <c r="A368" s="107"/>
      <c r="B368" s="123"/>
      <c r="C368" s="109"/>
      <c r="D368" s="116">
        <v>1.05</v>
      </c>
      <c r="E368" s="110"/>
      <c r="F368" s="117"/>
    </row>
    <row r="369" spans="1:6" x14ac:dyDescent="0.35">
      <c r="A369" s="206" t="s">
        <v>47</v>
      </c>
      <c r="B369" s="207" t="s">
        <v>789</v>
      </c>
      <c r="C369" s="208" t="s">
        <v>35</v>
      </c>
      <c r="D369" s="208"/>
      <c r="E369" s="209"/>
      <c r="F369" s="209">
        <f>D368*F366</f>
        <v>17143.875</v>
      </c>
    </row>
    <row r="370" spans="1:6" x14ac:dyDescent="0.35">
      <c r="A370" s="206"/>
      <c r="B370" s="207"/>
      <c r="C370" s="208"/>
      <c r="D370" s="208"/>
      <c r="E370" s="210">
        <f>+E355</f>
        <v>3035.45</v>
      </c>
      <c r="F370" s="210">
        <f>+F369/E370</f>
        <v>5.6478858159416232</v>
      </c>
    </row>
    <row r="371" spans="1:6" x14ac:dyDescent="0.35">
      <c r="A371" s="107"/>
      <c r="B371" s="108"/>
      <c r="C371" s="109"/>
      <c r="D371" s="109"/>
      <c r="E371" s="110"/>
      <c r="F371" s="110"/>
    </row>
    <row r="372" spans="1:6" ht="12.5" x14ac:dyDescent="0.35">
      <c r="A372" s="178"/>
      <c r="B372" s="104"/>
      <c r="C372" s="104"/>
      <c r="D372" s="104"/>
      <c r="E372" s="104"/>
      <c r="F372" s="104"/>
    </row>
    <row r="373" spans="1:6" ht="12.5" x14ac:dyDescent="0.35">
      <c r="A373" s="178"/>
      <c r="B373" s="104"/>
      <c r="C373" s="104"/>
      <c r="D373" s="104"/>
      <c r="E373" s="104"/>
      <c r="F373" s="104"/>
    </row>
    <row r="374" spans="1:6" x14ac:dyDescent="0.35">
      <c r="A374" s="211" t="s">
        <v>10</v>
      </c>
      <c r="B374" s="212" t="s">
        <v>732</v>
      </c>
      <c r="C374" s="200" t="s">
        <v>2</v>
      </c>
      <c r="D374" s="202" t="s">
        <v>765</v>
      </c>
      <c r="E374" s="203" t="s">
        <v>766</v>
      </c>
      <c r="F374" s="203" t="s">
        <v>767</v>
      </c>
    </row>
    <row r="375" spans="1:6" x14ac:dyDescent="0.35">
      <c r="A375" s="213" t="s">
        <v>48</v>
      </c>
      <c r="B375" s="214" t="s">
        <v>733</v>
      </c>
      <c r="C375" s="124" t="s">
        <v>7</v>
      </c>
      <c r="D375" s="124">
        <v>1</v>
      </c>
      <c r="E375" s="117">
        <v>1258000</v>
      </c>
      <c r="F375" s="117">
        <f>+D375*E375</f>
        <v>1258000</v>
      </c>
    </row>
    <row r="376" spans="1:6" x14ac:dyDescent="0.35">
      <c r="A376" s="107"/>
      <c r="B376" s="112" t="s">
        <v>769</v>
      </c>
      <c r="C376" s="109"/>
      <c r="D376" s="109"/>
      <c r="E376" s="110"/>
      <c r="F376" s="110">
        <f>SUM(F375)</f>
        <v>1258000</v>
      </c>
    </row>
    <row r="377" spans="1:6" x14ac:dyDescent="0.35">
      <c r="A377" s="111"/>
      <c r="B377" s="112" t="s">
        <v>770</v>
      </c>
      <c r="C377" s="118"/>
      <c r="D377" s="118"/>
      <c r="E377" s="119"/>
      <c r="F377" s="119"/>
    </row>
    <row r="378" spans="1:6" x14ac:dyDescent="0.35">
      <c r="A378" s="111"/>
      <c r="B378" s="120" t="s">
        <v>771</v>
      </c>
      <c r="C378" s="115" t="s">
        <v>772</v>
      </c>
      <c r="D378" s="116">
        <v>2.5</v>
      </c>
      <c r="E378" s="117">
        <v>7500</v>
      </c>
      <c r="F378" s="121">
        <f>+SUM(D378*E378)</f>
        <v>18750</v>
      </c>
    </row>
    <row r="379" spans="1:6" x14ac:dyDescent="0.35">
      <c r="A379" s="111"/>
      <c r="B379" s="120" t="s">
        <v>773</v>
      </c>
      <c r="C379" s="115" t="s">
        <v>772</v>
      </c>
      <c r="D379" s="116">
        <v>2.5</v>
      </c>
      <c r="E379" s="117">
        <v>15000</v>
      </c>
      <c r="F379" s="121">
        <f>+SUM(D379*E379)</f>
        <v>37500</v>
      </c>
    </row>
    <row r="380" spans="1:6" x14ac:dyDescent="0.35">
      <c r="A380" s="111"/>
      <c r="B380" s="112" t="s">
        <v>774</v>
      </c>
      <c r="C380" s="118"/>
      <c r="D380" s="118"/>
      <c r="E380" s="119"/>
      <c r="F380" s="122">
        <f>SUM(F378:F379)</f>
        <v>56250</v>
      </c>
    </row>
    <row r="381" spans="1:6" x14ac:dyDescent="0.35">
      <c r="A381" s="111"/>
      <c r="B381" s="112" t="s">
        <v>775</v>
      </c>
      <c r="C381" s="118"/>
      <c r="D381" s="118"/>
      <c r="E381" s="119"/>
      <c r="F381" s="122">
        <f>F376+F380</f>
        <v>1314250</v>
      </c>
    </row>
    <row r="382" spans="1:6" x14ac:dyDescent="0.35">
      <c r="A382" s="111"/>
      <c r="B382" s="120" t="s">
        <v>776</v>
      </c>
      <c r="C382" s="111"/>
      <c r="D382" s="116">
        <v>1.25</v>
      </c>
      <c r="E382" s="117"/>
      <c r="F382" s="114">
        <f>F381*D382</f>
        <v>1642812.5</v>
      </c>
    </row>
    <row r="383" spans="1:6" x14ac:dyDescent="0.35">
      <c r="A383" s="107"/>
      <c r="B383" s="123" t="s">
        <v>777</v>
      </c>
      <c r="C383" s="109"/>
      <c r="D383" s="125"/>
      <c r="E383" s="110"/>
      <c r="F383" s="117"/>
    </row>
    <row r="384" spans="1:6" x14ac:dyDescent="0.35">
      <c r="A384" s="107"/>
      <c r="B384" s="123"/>
      <c r="C384" s="109"/>
      <c r="D384" s="116">
        <v>1.25</v>
      </c>
      <c r="E384" s="110"/>
      <c r="F384" s="117"/>
    </row>
    <row r="385" spans="1:6" x14ac:dyDescent="0.35">
      <c r="A385" s="206" t="s">
        <v>48</v>
      </c>
      <c r="B385" s="207" t="s">
        <v>778</v>
      </c>
      <c r="C385" s="208" t="s">
        <v>7</v>
      </c>
      <c r="D385" s="208"/>
      <c r="E385" s="209"/>
      <c r="F385" s="209">
        <f>D384*F382</f>
        <v>2053515.625</v>
      </c>
    </row>
    <row r="386" spans="1:6" x14ac:dyDescent="0.35">
      <c r="A386" s="206"/>
      <c r="B386" s="207"/>
      <c r="C386" s="208"/>
      <c r="D386" s="208"/>
      <c r="E386" s="210">
        <f>+E370</f>
        <v>3035.45</v>
      </c>
      <c r="F386" s="210">
        <f>+F385/E386</f>
        <v>676.51110214301013</v>
      </c>
    </row>
    <row r="387" spans="1:6" ht="12.5" x14ac:dyDescent="0.35">
      <c r="A387" s="178"/>
      <c r="B387" s="104"/>
      <c r="C387" s="104"/>
      <c r="D387" s="104"/>
      <c r="E387" s="104"/>
      <c r="F387" s="104"/>
    </row>
    <row r="388" spans="1:6" ht="12.5" x14ac:dyDescent="0.35">
      <c r="A388" s="178"/>
      <c r="B388" s="104"/>
      <c r="C388" s="104"/>
      <c r="D388" s="104"/>
      <c r="E388" s="104"/>
      <c r="F388" s="104"/>
    </row>
    <row r="389" spans="1:6" x14ac:dyDescent="0.35">
      <c r="A389" s="211" t="s">
        <v>10</v>
      </c>
      <c r="B389" s="212" t="s">
        <v>732</v>
      </c>
      <c r="C389" s="200" t="s">
        <v>2</v>
      </c>
      <c r="D389" s="202" t="s">
        <v>765</v>
      </c>
      <c r="E389" s="203" t="s">
        <v>766</v>
      </c>
      <c r="F389" s="203" t="s">
        <v>767</v>
      </c>
    </row>
    <row r="390" spans="1:6" x14ac:dyDescent="0.35">
      <c r="A390" s="213" t="s">
        <v>49</v>
      </c>
      <c r="B390" s="214" t="s">
        <v>50</v>
      </c>
      <c r="C390" s="124" t="s">
        <v>7</v>
      </c>
      <c r="D390" s="124">
        <v>1</v>
      </c>
      <c r="E390" s="117">
        <v>1258000</v>
      </c>
      <c r="F390" s="117">
        <f>+D390*E390</f>
        <v>1258000</v>
      </c>
    </row>
    <row r="391" spans="1:6" x14ac:dyDescent="0.35">
      <c r="A391" s="107"/>
      <c r="B391" s="112" t="s">
        <v>769</v>
      </c>
      <c r="C391" s="109"/>
      <c r="D391" s="109"/>
      <c r="E391" s="110"/>
      <c r="F391" s="110">
        <f>SUM(F390)</f>
        <v>1258000</v>
      </c>
    </row>
    <row r="392" spans="1:6" x14ac:dyDescent="0.35">
      <c r="A392" s="111"/>
      <c r="B392" s="112" t="s">
        <v>770</v>
      </c>
      <c r="C392" s="118"/>
      <c r="D392" s="118"/>
      <c r="E392" s="119"/>
      <c r="F392" s="119"/>
    </row>
    <row r="393" spans="1:6" x14ac:dyDescent="0.35">
      <c r="A393" s="111"/>
      <c r="B393" s="120" t="s">
        <v>771</v>
      </c>
      <c r="C393" s="115" t="s">
        <v>772</v>
      </c>
      <c r="D393" s="116">
        <v>1</v>
      </c>
      <c r="E393" s="117">
        <v>7500</v>
      </c>
      <c r="F393" s="121">
        <f>+SUM(D393*E393)</f>
        <v>7500</v>
      </c>
    </row>
    <row r="394" spans="1:6" x14ac:dyDescent="0.35">
      <c r="A394" s="111"/>
      <c r="B394" s="120" t="s">
        <v>773</v>
      </c>
      <c r="C394" s="115" t="s">
        <v>772</v>
      </c>
      <c r="D394" s="116">
        <v>1</v>
      </c>
      <c r="E394" s="117">
        <v>15000</v>
      </c>
      <c r="F394" s="121">
        <f>+SUM(D394*E394)</f>
        <v>15000</v>
      </c>
    </row>
    <row r="395" spans="1:6" x14ac:dyDescent="0.35">
      <c r="A395" s="111"/>
      <c r="B395" s="112" t="s">
        <v>774</v>
      </c>
      <c r="C395" s="118"/>
      <c r="D395" s="118"/>
      <c r="E395" s="119"/>
      <c r="F395" s="122">
        <f>SUM(F393:F394)</f>
        <v>22500</v>
      </c>
    </row>
    <row r="396" spans="1:6" x14ac:dyDescent="0.35">
      <c r="A396" s="111"/>
      <c r="B396" s="112" t="s">
        <v>775</v>
      </c>
      <c r="C396" s="118"/>
      <c r="D396" s="118"/>
      <c r="E396" s="119"/>
      <c r="F396" s="122">
        <f>F391+F395</f>
        <v>1280500</v>
      </c>
    </row>
    <row r="397" spans="1:6" x14ac:dyDescent="0.35">
      <c r="A397" s="111"/>
      <c r="B397" s="120" t="s">
        <v>776</v>
      </c>
      <c r="C397" s="111"/>
      <c r="D397" s="116">
        <v>1.25</v>
      </c>
      <c r="E397" s="117"/>
      <c r="F397" s="114">
        <f>F396*D397</f>
        <v>1600625</v>
      </c>
    </row>
    <row r="398" spans="1:6" x14ac:dyDescent="0.35">
      <c r="A398" s="107"/>
      <c r="B398" s="123" t="s">
        <v>777</v>
      </c>
      <c r="C398" s="109"/>
      <c r="D398" s="125"/>
      <c r="E398" s="110"/>
      <c r="F398" s="117"/>
    </row>
    <row r="399" spans="1:6" x14ac:dyDescent="0.35">
      <c r="A399" s="107"/>
      <c r="B399" s="123"/>
      <c r="C399" s="109"/>
      <c r="D399" s="116">
        <v>1.25</v>
      </c>
      <c r="E399" s="110"/>
      <c r="F399" s="117"/>
    </row>
    <row r="400" spans="1:6" x14ac:dyDescent="0.35">
      <c r="A400" s="206" t="s">
        <v>49</v>
      </c>
      <c r="B400" s="207" t="s">
        <v>778</v>
      </c>
      <c r="C400" s="208" t="s">
        <v>7</v>
      </c>
      <c r="D400" s="208"/>
      <c r="E400" s="209"/>
      <c r="F400" s="209">
        <f>D399*F397</f>
        <v>2000781.25</v>
      </c>
    </row>
    <row r="401" spans="1:6" x14ac:dyDescent="0.35">
      <c r="A401" s="206"/>
      <c r="B401" s="207"/>
      <c r="C401" s="208"/>
      <c r="D401" s="208"/>
      <c r="E401" s="210">
        <f>+E386</f>
        <v>3035.45</v>
      </c>
      <c r="F401" s="210">
        <f>+F400/E401</f>
        <v>659.13826615493588</v>
      </c>
    </row>
    <row r="402" spans="1:6" ht="12.5" x14ac:dyDescent="0.35">
      <c r="A402" s="178"/>
      <c r="B402" s="104"/>
      <c r="C402" s="104"/>
      <c r="D402" s="104"/>
      <c r="E402" s="104"/>
      <c r="F402" s="104"/>
    </row>
    <row r="403" spans="1:6" ht="12.5" x14ac:dyDescent="0.35">
      <c r="A403" s="178"/>
      <c r="B403" s="104"/>
      <c r="C403" s="104"/>
      <c r="D403" s="104"/>
      <c r="E403" s="104"/>
      <c r="F403" s="104"/>
    </row>
    <row r="404" spans="1:6" x14ac:dyDescent="0.35">
      <c r="A404" s="211" t="s">
        <v>10</v>
      </c>
      <c r="B404" s="212" t="s">
        <v>732</v>
      </c>
      <c r="C404" s="200" t="s">
        <v>2</v>
      </c>
      <c r="D404" s="202" t="s">
        <v>765</v>
      </c>
      <c r="E404" s="203" t="s">
        <v>766</v>
      </c>
      <c r="F404" s="203" t="s">
        <v>767</v>
      </c>
    </row>
    <row r="405" spans="1:6" ht="15" customHeight="1" x14ac:dyDescent="0.35">
      <c r="A405" s="213" t="s">
        <v>51</v>
      </c>
      <c r="B405" s="214" t="s">
        <v>52</v>
      </c>
      <c r="C405" s="124" t="s">
        <v>7</v>
      </c>
      <c r="D405" s="124">
        <v>1</v>
      </c>
      <c r="E405" s="117">
        <v>938000</v>
      </c>
      <c r="F405" s="117">
        <f>+D405*E405</f>
        <v>938000</v>
      </c>
    </row>
    <row r="406" spans="1:6" x14ac:dyDescent="0.35">
      <c r="A406" s="107"/>
      <c r="B406" s="112" t="s">
        <v>769</v>
      </c>
      <c r="C406" s="109"/>
      <c r="D406" s="109"/>
      <c r="E406" s="110"/>
      <c r="F406" s="110">
        <f>SUM(F405)</f>
        <v>938000</v>
      </c>
    </row>
    <row r="407" spans="1:6" x14ac:dyDescent="0.35">
      <c r="A407" s="111"/>
      <c r="B407" s="112" t="s">
        <v>770</v>
      </c>
      <c r="C407" s="118"/>
      <c r="D407" s="118"/>
      <c r="E407" s="119"/>
      <c r="F407" s="119"/>
    </row>
    <row r="408" spans="1:6" x14ac:dyDescent="0.35">
      <c r="A408" s="111"/>
      <c r="B408" s="120" t="s">
        <v>771</v>
      </c>
      <c r="C408" s="115" t="s">
        <v>772</v>
      </c>
      <c r="D408" s="116">
        <v>1</v>
      </c>
      <c r="E408" s="117">
        <v>7500</v>
      </c>
      <c r="F408" s="121">
        <f>+SUM(D408*E408)</f>
        <v>7500</v>
      </c>
    </row>
    <row r="409" spans="1:6" x14ac:dyDescent="0.35">
      <c r="A409" s="111"/>
      <c r="B409" s="120" t="s">
        <v>794</v>
      </c>
      <c r="C409" s="115" t="s">
        <v>772</v>
      </c>
      <c r="D409" s="116">
        <v>1</v>
      </c>
      <c r="E409" s="117">
        <v>15000</v>
      </c>
      <c r="F409" s="121">
        <f>+SUM(D409*E409)</f>
        <v>15000</v>
      </c>
    </row>
    <row r="410" spans="1:6" x14ac:dyDescent="0.35">
      <c r="A410" s="111"/>
      <c r="B410" s="112" t="s">
        <v>774</v>
      </c>
      <c r="C410" s="118"/>
      <c r="D410" s="118"/>
      <c r="E410" s="119"/>
      <c r="F410" s="122">
        <f>SUM(F408:F409)</f>
        <v>22500</v>
      </c>
    </row>
    <row r="411" spans="1:6" x14ac:dyDescent="0.35">
      <c r="A411" s="111"/>
      <c r="B411" s="112" t="s">
        <v>775</v>
      </c>
      <c r="C411" s="118"/>
      <c r="D411" s="118"/>
      <c r="E411" s="119"/>
      <c r="F411" s="122">
        <f>F406+F410</f>
        <v>960500</v>
      </c>
    </row>
    <row r="412" spans="1:6" x14ac:dyDescent="0.35">
      <c r="A412" s="111"/>
      <c r="B412" s="120" t="s">
        <v>776</v>
      </c>
      <c r="C412" s="111"/>
      <c r="D412" s="116">
        <v>1.25</v>
      </c>
      <c r="E412" s="117"/>
      <c r="F412" s="114">
        <f>F411*D412</f>
        <v>1200625</v>
      </c>
    </row>
    <row r="413" spans="1:6" x14ac:dyDescent="0.35">
      <c r="A413" s="107"/>
      <c r="B413" s="123" t="s">
        <v>777</v>
      </c>
      <c r="C413" s="109"/>
      <c r="D413" s="125"/>
      <c r="E413" s="110"/>
      <c r="F413" s="117"/>
    </row>
    <row r="414" spans="1:6" x14ac:dyDescent="0.35">
      <c r="A414" s="107"/>
      <c r="B414" s="123"/>
      <c r="C414" s="109"/>
      <c r="D414" s="116">
        <v>1.25</v>
      </c>
      <c r="E414" s="110"/>
      <c r="F414" s="117"/>
    </row>
    <row r="415" spans="1:6" x14ac:dyDescent="0.35">
      <c r="A415" s="206" t="s">
        <v>51</v>
      </c>
      <c r="B415" s="207" t="s">
        <v>778</v>
      </c>
      <c r="C415" s="208" t="s">
        <v>7</v>
      </c>
      <c r="D415" s="208"/>
      <c r="E415" s="209"/>
      <c r="F415" s="209">
        <f>D414*F412</f>
        <v>1500781.25</v>
      </c>
    </row>
    <row r="416" spans="1:6" x14ac:dyDescent="0.35">
      <c r="A416" s="206"/>
      <c r="B416" s="207"/>
      <c r="C416" s="208"/>
      <c r="D416" s="208"/>
      <c r="E416" s="210">
        <f>+E401</f>
        <v>3035.45</v>
      </c>
      <c r="F416" s="210">
        <f>+F415/E416</f>
        <v>494.4180434531948</v>
      </c>
    </row>
    <row r="417" spans="1:6" x14ac:dyDescent="0.35">
      <c r="A417" s="126"/>
      <c r="B417" s="127"/>
      <c r="C417" s="128"/>
      <c r="D417" s="128"/>
      <c r="E417" s="176"/>
      <c r="F417" s="176"/>
    </row>
    <row r="418" spans="1:6" x14ac:dyDescent="0.35">
      <c r="A418" s="130"/>
      <c r="B418" s="131"/>
      <c r="C418" s="132"/>
      <c r="D418" s="132"/>
      <c r="E418" s="179"/>
      <c r="F418" s="179"/>
    </row>
    <row r="419" spans="1:6" x14ac:dyDescent="0.35">
      <c r="A419" s="211" t="s">
        <v>10</v>
      </c>
      <c r="B419" s="212" t="s">
        <v>732</v>
      </c>
      <c r="C419" s="200" t="s">
        <v>2</v>
      </c>
      <c r="D419" s="202" t="s">
        <v>765</v>
      </c>
      <c r="E419" s="203" t="s">
        <v>766</v>
      </c>
      <c r="F419" s="203" t="s">
        <v>767</v>
      </c>
    </row>
    <row r="420" spans="1:6" x14ac:dyDescent="0.35">
      <c r="A420" s="213" t="s">
        <v>53</v>
      </c>
      <c r="B420" s="214" t="s">
        <v>54</v>
      </c>
      <c r="C420" s="124" t="s">
        <v>7</v>
      </c>
      <c r="D420" s="124">
        <v>1</v>
      </c>
      <c r="E420" s="117">
        <v>938000</v>
      </c>
      <c r="F420" s="117">
        <f>+D420*E420</f>
        <v>938000</v>
      </c>
    </row>
    <row r="421" spans="1:6" x14ac:dyDescent="0.35">
      <c r="A421" s="107"/>
      <c r="B421" s="112" t="s">
        <v>769</v>
      </c>
      <c r="C421" s="109"/>
      <c r="D421" s="109"/>
      <c r="E421" s="110"/>
      <c r="F421" s="110">
        <f>SUM(F420)</f>
        <v>938000</v>
      </c>
    </row>
    <row r="422" spans="1:6" x14ac:dyDescent="0.35">
      <c r="A422" s="111"/>
      <c r="B422" s="112" t="s">
        <v>770</v>
      </c>
      <c r="C422" s="118"/>
      <c r="D422" s="118"/>
      <c r="E422" s="119"/>
      <c r="F422" s="119"/>
    </row>
    <row r="423" spans="1:6" x14ac:dyDescent="0.35">
      <c r="A423" s="111"/>
      <c r="B423" s="120" t="s">
        <v>771</v>
      </c>
      <c r="C423" s="115" t="s">
        <v>772</v>
      </c>
      <c r="D423" s="116">
        <v>1</v>
      </c>
      <c r="E423" s="117">
        <v>7500</v>
      </c>
      <c r="F423" s="121">
        <f>+SUM(D423*E423)</f>
        <v>7500</v>
      </c>
    </row>
    <row r="424" spans="1:6" x14ac:dyDescent="0.35">
      <c r="A424" s="111"/>
      <c r="B424" s="120" t="s">
        <v>787</v>
      </c>
      <c r="C424" s="115" t="s">
        <v>772</v>
      </c>
      <c r="D424" s="116">
        <v>1</v>
      </c>
      <c r="E424" s="117">
        <v>15000</v>
      </c>
      <c r="F424" s="121">
        <f>+SUM(D424*E424)</f>
        <v>15000</v>
      </c>
    </row>
    <row r="425" spans="1:6" x14ac:dyDescent="0.35">
      <c r="A425" s="111"/>
      <c r="B425" s="112" t="s">
        <v>774</v>
      </c>
      <c r="C425" s="118"/>
      <c r="D425" s="118"/>
      <c r="E425" s="119"/>
      <c r="F425" s="122">
        <f>SUM(F423:F424)</f>
        <v>22500</v>
      </c>
    </row>
    <row r="426" spans="1:6" x14ac:dyDescent="0.35">
      <c r="A426" s="111"/>
      <c r="B426" s="112" t="s">
        <v>775</v>
      </c>
      <c r="C426" s="118"/>
      <c r="D426" s="118"/>
      <c r="E426" s="119"/>
      <c r="F426" s="122">
        <f>F421+F425</f>
        <v>960500</v>
      </c>
    </row>
    <row r="427" spans="1:6" x14ac:dyDescent="0.35">
      <c r="A427" s="111"/>
      <c r="B427" s="120" t="s">
        <v>776</v>
      </c>
      <c r="C427" s="111"/>
      <c r="D427" s="116">
        <v>1.25</v>
      </c>
      <c r="E427" s="117"/>
      <c r="F427" s="114">
        <f>F426*D427</f>
        <v>1200625</v>
      </c>
    </row>
    <row r="428" spans="1:6" x14ac:dyDescent="0.35">
      <c r="A428" s="107"/>
      <c r="B428" s="123" t="s">
        <v>777</v>
      </c>
      <c r="C428" s="109"/>
      <c r="D428" s="125"/>
      <c r="E428" s="110"/>
      <c r="F428" s="117"/>
    </row>
    <row r="429" spans="1:6" x14ac:dyDescent="0.35">
      <c r="A429" s="107"/>
      <c r="B429" s="123"/>
      <c r="C429" s="109"/>
      <c r="D429" s="116">
        <v>1.25</v>
      </c>
      <c r="E429" s="110"/>
      <c r="F429" s="117"/>
    </row>
    <row r="430" spans="1:6" x14ac:dyDescent="0.35">
      <c r="A430" s="206" t="s">
        <v>53</v>
      </c>
      <c r="B430" s="207" t="s">
        <v>778</v>
      </c>
      <c r="C430" s="208" t="s">
        <v>7</v>
      </c>
      <c r="D430" s="208"/>
      <c r="E430" s="209"/>
      <c r="F430" s="209">
        <f>D429*F427</f>
        <v>1500781.25</v>
      </c>
    </row>
    <row r="431" spans="1:6" x14ac:dyDescent="0.35">
      <c r="A431" s="206"/>
      <c r="B431" s="207"/>
      <c r="C431" s="208"/>
      <c r="D431" s="208"/>
      <c r="E431" s="210">
        <f>+E416</f>
        <v>3035.45</v>
      </c>
      <c r="F431" s="210">
        <f>+F430/E431</f>
        <v>494.4180434531948</v>
      </c>
    </row>
    <row r="432" spans="1:6" x14ac:dyDescent="0.35">
      <c r="A432" s="126"/>
      <c r="B432" s="127"/>
      <c r="C432" s="128"/>
      <c r="D432" s="128"/>
      <c r="E432" s="129"/>
      <c r="F432" s="129"/>
    </row>
    <row r="433" spans="1:6" x14ac:dyDescent="0.35">
      <c r="A433" s="130"/>
      <c r="B433" s="131"/>
      <c r="C433" s="132"/>
      <c r="D433" s="132"/>
      <c r="E433" s="133"/>
      <c r="F433" s="133"/>
    </row>
    <row r="434" spans="1:6" x14ac:dyDescent="0.35">
      <c r="A434" s="211" t="s">
        <v>10</v>
      </c>
      <c r="B434" s="212" t="s">
        <v>732</v>
      </c>
      <c r="C434" s="200" t="s">
        <v>2</v>
      </c>
      <c r="D434" s="202" t="s">
        <v>765</v>
      </c>
      <c r="E434" s="203" t="s">
        <v>766</v>
      </c>
      <c r="F434" s="203" t="s">
        <v>767</v>
      </c>
    </row>
    <row r="435" spans="1:6" x14ac:dyDescent="0.35">
      <c r="A435" s="213" t="s">
        <v>55</v>
      </c>
      <c r="B435" s="214" t="s">
        <v>795</v>
      </c>
      <c r="C435" s="124" t="s">
        <v>35</v>
      </c>
      <c r="D435" s="124">
        <v>1</v>
      </c>
      <c r="E435" s="117">
        <v>500</v>
      </c>
      <c r="F435" s="117">
        <f>+D435*E435</f>
        <v>500</v>
      </c>
    </row>
    <row r="436" spans="1:6" x14ac:dyDescent="0.35">
      <c r="A436" s="107"/>
      <c r="B436" s="112" t="s">
        <v>769</v>
      </c>
      <c r="C436" s="109"/>
      <c r="D436" s="109"/>
      <c r="E436" s="110"/>
      <c r="F436" s="110">
        <f>SUM(F435)</f>
        <v>500</v>
      </c>
    </row>
    <row r="437" spans="1:6" x14ac:dyDescent="0.35">
      <c r="A437" s="111"/>
      <c r="B437" s="112" t="s">
        <v>770</v>
      </c>
      <c r="C437" s="118"/>
      <c r="D437" s="118"/>
      <c r="E437" s="119"/>
      <c r="F437" s="119"/>
    </row>
    <row r="438" spans="1:6" x14ac:dyDescent="0.35">
      <c r="A438" s="111"/>
      <c r="B438" s="120" t="s">
        <v>796</v>
      </c>
      <c r="C438" s="115" t="s">
        <v>772</v>
      </c>
      <c r="D438" s="116">
        <v>1</v>
      </c>
      <c r="E438" s="117">
        <v>6000</v>
      </c>
      <c r="F438" s="121">
        <f>+SUM(D438*E438)</f>
        <v>6000</v>
      </c>
    </row>
    <row r="439" spans="1:6" x14ac:dyDescent="0.35">
      <c r="A439" s="111"/>
      <c r="B439" s="112" t="s">
        <v>774</v>
      </c>
      <c r="C439" s="118"/>
      <c r="D439" s="118"/>
      <c r="E439" s="119"/>
      <c r="F439" s="122">
        <f>SUM(F438:F438)</f>
        <v>6000</v>
      </c>
    </row>
    <row r="440" spans="1:6" x14ac:dyDescent="0.35">
      <c r="A440" s="111"/>
      <c r="B440" s="112" t="s">
        <v>775</v>
      </c>
      <c r="C440" s="118"/>
      <c r="D440" s="118"/>
      <c r="E440" s="119"/>
      <c r="F440" s="122">
        <f>F436+F439</f>
        <v>6500</v>
      </c>
    </row>
    <row r="441" spans="1:6" x14ac:dyDescent="0.35">
      <c r="A441" s="111"/>
      <c r="B441" s="120" t="s">
        <v>776</v>
      </c>
      <c r="C441" s="111"/>
      <c r="D441" s="116">
        <v>1.25</v>
      </c>
      <c r="E441" s="117"/>
      <c r="F441" s="114">
        <f>F440*D441</f>
        <v>8125</v>
      </c>
    </row>
    <row r="442" spans="1:6" x14ac:dyDescent="0.35">
      <c r="A442" s="107"/>
      <c r="B442" s="123" t="s">
        <v>777</v>
      </c>
      <c r="C442" s="109"/>
      <c r="D442" s="125"/>
      <c r="E442" s="110"/>
      <c r="F442" s="117"/>
    </row>
    <row r="443" spans="1:6" x14ac:dyDescent="0.35">
      <c r="A443" s="107"/>
      <c r="B443" s="123"/>
      <c r="C443" s="109"/>
      <c r="D443" s="116">
        <v>1.25</v>
      </c>
      <c r="E443" s="110"/>
      <c r="F443" s="117"/>
    </row>
    <row r="444" spans="1:6" x14ac:dyDescent="0.35">
      <c r="A444" s="206" t="s">
        <v>55</v>
      </c>
      <c r="B444" s="207" t="s">
        <v>789</v>
      </c>
      <c r="C444" s="208" t="s">
        <v>35</v>
      </c>
      <c r="D444" s="208"/>
      <c r="E444" s="209"/>
      <c r="F444" s="209">
        <f>D443*F441</f>
        <v>10156.25</v>
      </c>
    </row>
    <row r="445" spans="1:6" x14ac:dyDescent="0.35">
      <c r="A445" s="206"/>
      <c r="B445" s="207"/>
      <c r="C445" s="208"/>
      <c r="D445" s="208"/>
      <c r="E445" s="210">
        <f>+E431</f>
        <v>3035.45</v>
      </c>
      <c r="F445" s="210">
        <f>+F444/E445</f>
        <v>3.3458795236291161</v>
      </c>
    </row>
    <row r="446" spans="1:6" x14ac:dyDescent="0.35">
      <c r="A446" s="126"/>
      <c r="B446" s="127"/>
      <c r="C446" s="128"/>
      <c r="D446" s="128"/>
      <c r="E446" s="129"/>
      <c r="F446" s="129"/>
    </row>
    <row r="447" spans="1:6" x14ac:dyDescent="0.35">
      <c r="A447" s="105"/>
      <c r="B447" s="106"/>
      <c r="C447" s="101"/>
      <c r="D447" s="101"/>
      <c r="E447" s="102"/>
      <c r="F447" s="102"/>
    </row>
    <row r="448" spans="1:6" x14ac:dyDescent="0.35">
      <c r="A448" s="211" t="s">
        <v>10</v>
      </c>
      <c r="B448" s="212" t="s">
        <v>732</v>
      </c>
      <c r="C448" s="200" t="s">
        <v>2</v>
      </c>
      <c r="D448" s="202" t="s">
        <v>765</v>
      </c>
      <c r="E448" s="203" t="s">
        <v>766</v>
      </c>
      <c r="F448" s="203" t="s">
        <v>767</v>
      </c>
    </row>
    <row r="449" spans="1:6" ht="26" x14ac:dyDescent="0.35">
      <c r="A449" s="213" t="s">
        <v>56</v>
      </c>
      <c r="B449" s="214" t="s">
        <v>57</v>
      </c>
      <c r="C449" s="124" t="s">
        <v>35</v>
      </c>
      <c r="D449" s="124">
        <v>1</v>
      </c>
      <c r="E449" s="117">
        <v>1274000</v>
      </c>
      <c r="F449" s="117">
        <f>+D449*E449</f>
        <v>1274000</v>
      </c>
    </row>
    <row r="450" spans="1:6" x14ac:dyDescent="0.35">
      <c r="A450" s="107"/>
      <c r="B450" s="112" t="s">
        <v>769</v>
      </c>
      <c r="C450" s="109"/>
      <c r="D450" s="109"/>
      <c r="E450" s="110"/>
      <c r="F450" s="110">
        <f>SUM(F449)</f>
        <v>1274000</v>
      </c>
    </row>
    <row r="451" spans="1:6" x14ac:dyDescent="0.35">
      <c r="A451" s="111"/>
      <c r="B451" s="112" t="s">
        <v>770</v>
      </c>
      <c r="C451" s="118"/>
      <c r="D451" s="118"/>
      <c r="E451" s="119"/>
      <c r="F451" s="119"/>
    </row>
    <row r="452" spans="1:6" x14ac:dyDescent="0.35">
      <c r="A452" s="111"/>
      <c r="B452" s="120" t="s">
        <v>796</v>
      </c>
      <c r="C452" s="115" t="s">
        <v>772</v>
      </c>
      <c r="D452" s="116">
        <v>1</v>
      </c>
      <c r="E452" s="117">
        <v>6000</v>
      </c>
      <c r="F452" s="121">
        <f>+SUM(D452*E452)</f>
        <v>6000</v>
      </c>
    </row>
    <row r="453" spans="1:6" x14ac:dyDescent="0.35">
      <c r="A453" s="111"/>
      <c r="B453" s="112" t="s">
        <v>774</v>
      </c>
      <c r="C453" s="118"/>
      <c r="D453" s="118"/>
      <c r="E453" s="119"/>
      <c r="F453" s="122">
        <f>SUM(F452:F452)</f>
        <v>6000</v>
      </c>
    </row>
    <row r="454" spans="1:6" x14ac:dyDescent="0.35">
      <c r="A454" s="111"/>
      <c r="B454" s="112" t="s">
        <v>775</v>
      </c>
      <c r="C454" s="118"/>
      <c r="D454" s="118"/>
      <c r="E454" s="119"/>
      <c r="F454" s="122">
        <f>F450+F453</f>
        <v>1280000</v>
      </c>
    </row>
    <row r="455" spans="1:6" x14ac:dyDescent="0.35">
      <c r="A455" s="111"/>
      <c r="B455" s="120" t="s">
        <v>776</v>
      </c>
      <c r="C455" s="111"/>
      <c r="D455" s="116">
        <v>1.25</v>
      </c>
      <c r="E455" s="117"/>
      <c r="F455" s="114">
        <f>F454*D455</f>
        <v>1600000</v>
      </c>
    </row>
    <row r="456" spans="1:6" x14ac:dyDescent="0.35">
      <c r="A456" s="107"/>
      <c r="B456" s="123" t="s">
        <v>777</v>
      </c>
      <c r="C456" s="109"/>
      <c r="D456" s="125"/>
      <c r="E456" s="110"/>
      <c r="F456" s="117"/>
    </row>
    <row r="457" spans="1:6" x14ac:dyDescent="0.35">
      <c r="A457" s="107"/>
      <c r="B457" s="123"/>
      <c r="C457" s="109"/>
      <c r="D457" s="116">
        <v>1.25</v>
      </c>
      <c r="E457" s="110"/>
      <c r="F457" s="117"/>
    </row>
    <row r="458" spans="1:6" x14ac:dyDescent="0.35">
      <c r="A458" s="206" t="s">
        <v>56</v>
      </c>
      <c r="B458" s="207" t="s">
        <v>778</v>
      </c>
      <c r="C458" s="208" t="s">
        <v>7</v>
      </c>
      <c r="D458" s="208"/>
      <c r="E458" s="209"/>
      <c r="F458" s="209">
        <f>D457*F455</f>
        <v>2000000</v>
      </c>
    </row>
    <row r="459" spans="1:6" x14ac:dyDescent="0.35">
      <c r="A459" s="206"/>
      <c r="B459" s="207"/>
      <c r="C459" s="208"/>
      <c r="D459" s="208"/>
      <c r="E459" s="210">
        <f>+E445</f>
        <v>3035.45</v>
      </c>
      <c r="F459" s="210">
        <f>+F458/E459</f>
        <v>658.88089080696443</v>
      </c>
    </row>
    <row r="460" spans="1:6" x14ac:dyDescent="0.35">
      <c r="A460" s="105"/>
      <c r="B460" s="106"/>
      <c r="C460" s="101"/>
      <c r="D460" s="101"/>
      <c r="E460" s="102"/>
      <c r="F460" s="102"/>
    </row>
    <row r="461" spans="1:6" x14ac:dyDescent="0.35">
      <c r="A461" s="105"/>
      <c r="B461" s="106"/>
      <c r="C461" s="101"/>
      <c r="D461" s="101"/>
      <c r="E461" s="102"/>
      <c r="F461" s="102"/>
    </row>
    <row r="462" spans="1:6" x14ac:dyDescent="0.35">
      <c r="A462" s="211" t="s">
        <v>10</v>
      </c>
      <c r="B462" s="212" t="s">
        <v>732</v>
      </c>
      <c r="C462" s="200" t="s">
        <v>2</v>
      </c>
      <c r="D462" s="202" t="s">
        <v>765</v>
      </c>
      <c r="E462" s="203" t="s">
        <v>766</v>
      </c>
      <c r="F462" s="203" t="s">
        <v>767</v>
      </c>
    </row>
    <row r="463" spans="1:6" ht="16.5" customHeight="1" x14ac:dyDescent="0.35">
      <c r="A463" s="213" t="s">
        <v>58</v>
      </c>
      <c r="B463" s="214" t="s">
        <v>1107</v>
      </c>
      <c r="C463" s="124" t="s">
        <v>59</v>
      </c>
      <c r="D463" s="124">
        <v>1</v>
      </c>
      <c r="E463" s="117">
        <v>122000</v>
      </c>
      <c r="F463" s="117">
        <f>+D463*E463</f>
        <v>122000</v>
      </c>
    </row>
    <row r="464" spans="1:6" x14ac:dyDescent="0.35">
      <c r="A464" s="107"/>
      <c r="B464" s="112" t="s">
        <v>769</v>
      </c>
      <c r="C464" s="109"/>
      <c r="D464" s="109"/>
      <c r="E464" s="110"/>
      <c r="F464" s="110">
        <f>SUM(F463)</f>
        <v>122000</v>
      </c>
    </row>
    <row r="465" spans="1:6" x14ac:dyDescent="0.35">
      <c r="A465" s="111"/>
      <c r="B465" s="112" t="s">
        <v>770</v>
      </c>
      <c r="C465" s="118"/>
      <c r="D465" s="118"/>
      <c r="E465" s="119"/>
      <c r="F465" s="119"/>
    </row>
    <row r="466" spans="1:6" x14ac:dyDescent="0.35">
      <c r="A466" s="111"/>
      <c r="B466" s="120" t="s">
        <v>796</v>
      </c>
      <c r="C466" s="115" t="s">
        <v>772</v>
      </c>
      <c r="D466" s="116">
        <v>1</v>
      </c>
      <c r="E466" s="117">
        <v>6000</v>
      </c>
      <c r="F466" s="121">
        <f>+SUM(D466*E466)</f>
        <v>6000</v>
      </c>
    </row>
    <row r="467" spans="1:6" x14ac:dyDescent="0.35">
      <c r="A467" s="111"/>
      <c r="B467" s="112" t="s">
        <v>774</v>
      </c>
      <c r="C467" s="118"/>
      <c r="D467" s="118"/>
      <c r="E467" s="119"/>
      <c r="F467" s="122">
        <f>SUM(F466:F466)</f>
        <v>6000</v>
      </c>
    </row>
    <row r="468" spans="1:6" x14ac:dyDescent="0.35">
      <c r="A468" s="111"/>
      <c r="B468" s="112" t="s">
        <v>775</v>
      </c>
      <c r="C468" s="118"/>
      <c r="D468" s="118"/>
      <c r="E468" s="119"/>
      <c r="F468" s="122">
        <f>F464+F467</f>
        <v>128000</v>
      </c>
    </row>
    <row r="469" spans="1:6" x14ac:dyDescent="0.35">
      <c r="A469" s="111"/>
      <c r="B469" s="120" t="s">
        <v>776</v>
      </c>
      <c r="C469" s="111"/>
      <c r="D469" s="116">
        <v>1.25</v>
      </c>
      <c r="E469" s="117"/>
      <c r="F469" s="114">
        <f>F468*D469</f>
        <v>160000</v>
      </c>
    </row>
    <row r="470" spans="1:6" x14ac:dyDescent="0.35">
      <c r="A470" s="107"/>
      <c r="B470" s="123" t="s">
        <v>777</v>
      </c>
      <c r="C470" s="109"/>
      <c r="D470" s="125"/>
      <c r="E470" s="110"/>
      <c r="F470" s="117"/>
    </row>
    <row r="471" spans="1:6" x14ac:dyDescent="0.35">
      <c r="A471" s="107"/>
      <c r="B471" s="123"/>
      <c r="C471" s="109"/>
      <c r="D471" s="116">
        <v>1.25</v>
      </c>
      <c r="E471" s="110"/>
      <c r="F471" s="117"/>
    </row>
    <row r="472" spans="1:6" x14ac:dyDescent="0.35">
      <c r="A472" s="206" t="s">
        <v>58</v>
      </c>
      <c r="B472" s="207" t="s">
        <v>785</v>
      </c>
      <c r="C472" s="208" t="s">
        <v>59</v>
      </c>
      <c r="D472" s="208"/>
      <c r="E472" s="209"/>
      <c r="F472" s="209">
        <f>D471*F469</f>
        <v>200000</v>
      </c>
    </row>
    <row r="473" spans="1:6" x14ac:dyDescent="0.35">
      <c r="A473" s="206"/>
      <c r="B473" s="207"/>
      <c r="C473" s="208"/>
      <c r="D473" s="208"/>
      <c r="E473" s="210">
        <f>+E459</f>
        <v>3035.45</v>
      </c>
      <c r="F473" s="210">
        <f>+F472/E473</f>
        <v>65.888089080696446</v>
      </c>
    </row>
    <row r="474" spans="1:6" x14ac:dyDescent="0.35">
      <c r="A474" s="105"/>
      <c r="B474" s="106"/>
      <c r="C474" s="101"/>
      <c r="D474" s="101"/>
      <c r="E474" s="102"/>
      <c r="F474" s="102"/>
    </row>
    <row r="475" spans="1:6" x14ac:dyDescent="0.35">
      <c r="A475" s="105"/>
      <c r="B475" s="106"/>
      <c r="C475" s="101"/>
      <c r="D475" s="101"/>
      <c r="E475" s="102"/>
      <c r="F475" s="102"/>
    </row>
    <row r="476" spans="1:6" x14ac:dyDescent="0.35">
      <c r="A476" s="211" t="s">
        <v>10</v>
      </c>
      <c r="B476" s="212" t="s">
        <v>732</v>
      </c>
      <c r="C476" s="200" t="s">
        <v>2</v>
      </c>
      <c r="D476" s="202" t="s">
        <v>765</v>
      </c>
      <c r="E476" s="203" t="s">
        <v>766</v>
      </c>
      <c r="F476" s="203" t="s">
        <v>767</v>
      </c>
    </row>
    <row r="477" spans="1:6" x14ac:dyDescent="0.35">
      <c r="A477" s="213" t="s">
        <v>60</v>
      </c>
      <c r="B477" s="219" t="s">
        <v>734</v>
      </c>
      <c r="C477" s="124" t="s">
        <v>35</v>
      </c>
      <c r="D477" s="124">
        <v>1</v>
      </c>
      <c r="E477" s="117">
        <v>2100</v>
      </c>
      <c r="F477" s="117">
        <f>+D477*E477</f>
        <v>2100</v>
      </c>
    </row>
    <row r="478" spans="1:6" x14ac:dyDescent="0.35">
      <c r="A478" s="107"/>
      <c r="B478" s="112" t="s">
        <v>769</v>
      </c>
      <c r="C478" s="109"/>
      <c r="D478" s="109"/>
      <c r="E478" s="110"/>
      <c r="F478" s="110">
        <f>SUM(F477)</f>
        <v>2100</v>
      </c>
    </row>
    <row r="479" spans="1:6" x14ac:dyDescent="0.35">
      <c r="A479" s="111"/>
      <c r="B479" s="112" t="s">
        <v>770</v>
      </c>
      <c r="C479" s="118"/>
      <c r="D479" s="118"/>
      <c r="E479" s="119"/>
      <c r="F479" s="119"/>
    </row>
    <row r="480" spans="1:6" x14ac:dyDescent="0.35">
      <c r="A480" s="111"/>
      <c r="B480" s="120" t="s">
        <v>796</v>
      </c>
      <c r="C480" s="115" t="s">
        <v>772</v>
      </c>
      <c r="D480" s="116">
        <v>1</v>
      </c>
      <c r="E480" s="117">
        <v>7500</v>
      </c>
      <c r="F480" s="121">
        <f>+SUM(D480*E480)</f>
        <v>7500</v>
      </c>
    </row>
    <row r="481" spans="1:6" x14ac:dyDescent="0.35">
      <c r="A481" s="111"/>
      <c r="B481" s="112" t="s">
        <v>774</v>
      </c>
      <c r="C481" s="118"/>
      <c r="D481" s="118"/>
      <c r="E481" s="119"/>
      <c r="F481" s="122">
        <f>SUM(F480:F480)</f>
        <v>7500</v>
      </c>
    </row>
    <row r="482" spans="1:6" x14ac:dyDescent="0.35">
      <c r="A482" s="111"/>
      <c r="B482" s="112" t="s">
        <v>775</v>
      </c>
      <c r="C482" s="118"/>
      <c r="D482" s="118"/>
      <c r="E482" s="119"/>
      <c r="F482" s="122">
        <f>F478+F481</f>
        <v>9600</v>
      </c>
    </row>
    <row r="483" spans="1:6" x14ac:dyDescent="0.35">
      <c r="A483" s="111"/>
      <c r="B483" s="120" t="s">
        <v>776</v>
      </c>
      <c r="C483" s="111"/>
      <c r="D483" s="116">
        <v>1.25</v>
      </c>
      <c r="E483" s="117"/>
      <c r="F483" s="114">
        <f>F482*D483</f>
        <v>12000</v>
      </c>
    </row>
    <row r="484" spans="1:6" x14ac:dyDescent="0.35">
      <c r="A484" s="107"/>
      <c r="B484" s="123" t="s">
        <v>777</v>
      </c>
      <c r="C484" s="109"/>
      <c r="D484" s="125"/>
      <c r="E484" s="110"/>
      <c r="F484" s="117"/>
    </row>
    <row r="485" spans="1:6" x14ac:dyDescent="0.35">
      <c r="A485" s="107"/>
      <c r="B485" s="123"/>
      <c r="C485" s="109"/>
      <c r="D485" s="116">
        <v>1.25</v>
      </c>
      <c r="E485" s="110"/>
      <c r="F485" s="117"/>
    </row>
    <row r="486" spans="1:6" x14ac:dyDescent="0.35">
      <c r="A486" s="206" t="s">
        <v>60</v>
      </c>
      <c r="B486" s="207" t="s">
        <v>789</v>
      </c>
      <c r="C486" s="208" t="s">
        <v>35</v>
      </c>
      <c r="D486" s="208"/>
      <c r="E486" s="209"/>
      <c r="F486" s="209">
        <f>D485*F483</f>
        <v>15000</v>
      </c>
    </row>
    <row r="487" spans="1:6" x14ac:dyDescent="0.35">
      <c r="A487" s="206"/>
      <c r="B487" s="207"/>
      <c r="C487" s="208"/>
      <c r="D487" s="208"/>
      <c r="E487" s="210">
        <f>+E473</f>
        <v>3035.45</v>
      </c>
      <c r="F487" s="210">
        <f>+F486/E487</f>
        <v>4.9416066810522334</v>
      </c>
    </row>
    <row r="488" spans="1:6" x14ac:dyDescent="0.35">
      <c r="A488" s="126"/>
      <c r="B488" s="127"/>
      <c r="C488" s="128"/>
      <c r="D488" s="128"/>
      <c r="E488" s="129"/>
      <c r="F488" s="129"/>
    </row>
    <row r="489" spans="1:6" x14ac:dyDescent="0.35">
      <c r="A489" s="105"/>
      <c r="B489" s="106"/>
      <c r="C489" s="101"/>
      <c r="D489" s="101"/>
      <c r="E489" s="102"/>
      <c r="F489" s="102"/>
    </row>
    <row r="490" spans="1:6" x14ac:dyDescent="0.35">
      <c r="A490" s="107" t="s">
        <v>61</v>
      </c>
      <c r="B490" s="108" t="s">
        <v>797</v>
      </c>
      <c r="C490" s="109"/>
      <c r="D490" s="109"/>
      <c r="E490" s="110"/>
      <c r="F490" s="110"/>
    </row>
    <row r="491" spans="1:6" x14ac:dyDescent="0.35">
      <c r="A491" s="211"/>
      <c r="B491" s="212" t="s">
        <v>798</v>
      </c>
      <c r="C491" s="200" t="s">
        <v>2</v>
      </c>
      <c r="D491" s="202" t="s">
        <v>765</v>
      </c>
      <c r="E491" s="203" t="s">
        <v>766</v>
      </c>
      <c r="F491" s="203" t="s">
        <v>767</v>
      </c>
    </row>
    <row r="492" spans="1:6" x14ac:dyDescent="0.35">
      <c r="A492" s="220" t="s">
        <v>63</v>
      </c>
      <c r="B492" s="205" t="s">
        <v>64</v>
      </c>
      <c r="C492" s="124" t="s">
        <v>38</v>
      </c>
      <c r="D492" s="124">
        <v>1</v>
      </c>
      <c r="E492" s="117">
        <v>10100</v>
      </c>
      <c r="F492" s="117">
        <f>+D492*E492</f>
        <v>10100</v>
      </c>
    </row>
    <row r="493" spans="1:6" x14ac:dyDescent="0.35">
      <c r="A493" s="107"/>
      <c r="B493" s="112" t="s">
        <v>769</v>
      </c>
      <c r="C493" s="109"/>
      <c r="D493" s="109"/>
      <c r="E493" s="110"/>
      <c r="F493" s="110">
        <f>SUM(F492)</f>
        <v>10100</v>
      </c>
    </row>
    <row r="494" spans="1:6" x14ac:dyDescent="0.35">
      <c r="A494" s="111"/>
      <c r="B494" s="112" t="s">
        <v>770</v>
      </c>
      <c r="C494" s="118"/>
      <c r="D494" s="118"/>
      <c r="E494" s="119"/>
      <c r="F494" s="119"/>
    </row>
    <row r="495" spans="1:6" x14ac:dyDescent="0.35">
      <c r="A495" s="111"/>
      <c r="B495" s="120" t="s">
        <v>771</v>
      </c>
      <c r="C495" s="115" t="s">
        <v>772</v>
      </c>
      <c r="D495" s="116">
        <v>1</v>
      </c>
      <c r="E495" s="117">
        <v>7500</v>
      </c>
      <c r="F495" s="121">
        <f>+SUM(D495*E495)</f>
        <v>7500</v>
      </c>
    </row>
    <row r="496" spans="1:6" x14ac:dyDescent="0.35">
      <c r="A496" s="111"/>
      <c r="B496" s="112" t="s">
        <v>774</v>
      </c>
      <c r="C496" s="118"/>
      <c r="D496" s="118"/>
      <c r="E496" s="119"/>
      <c r="F496" s="122">
        <f>SUM(F495:F495)</f>
        <v>7500</v>
      </c>
    </row>
    <row r="497" spans="1:6" x14ac:dyDescent="0.35">
      <c r="A497" s="111"/>
      <c r="B497" s="112" t="s">
        <v>775</v>
      </c>
      <c r="C497" s="118"/>
      <c r="D497" s="118"/>
      <c r="E497" s="119"/>
      <c r="F497" s="122">
        <f>F493+F496</f>
        <v>17600</v>
      </c>
    </row>
    <row r="498" spans="1:6" x14ac:dyDescent="0.35">
      <c r="A498" s="111"/>
      <c r="B498" s="120" t="s">
        <v>776</v>
      </c>
      <c r="C498" s="111"/>
      <c r="D498" s="116">
        <v>1.25</v>
      </c>
      <c r="E498" s="117"/>
      <c r="F498" s="114">
        <f>F497*D498</f>
        <v>22000</v>
      </c>
    </row>
    <row r="499" spans="1:6" x14ac:dyDescent="0.35">
      <c r="A499" s="107"/>
      <c r="B499" s="123" t="s">
        <v>777</v>
      </c>
      <c r="C499" s="109"/>
      <c r="D499" s="125"/>
      <c r="E499" s="110"/>
      <c r="F499" s="117"/>
    </row>
    <row r="500" spans="1:6" x14ac:dyDescent="0.35">
      <c r="A500" s="107"/>
      <c r="B500" s="123"/>
      <c r="C500" s="109"/>
      <c r="D500" s="116">
        <v>1.25</v>
      </c>
      <c r="E500" s="110"/>
      <c r="F500" s="117"/>
    </row>
    <row r="501" spans="1:6" x14ac:dyDescent="0.35">
      <c r="A501" s="206" t="s">
        <v>63</v>
      </c>
      <c r="B501" s="207" t="s">
        <v>790</v>
      </c>
      <c r="C501" s="208" t="s">
        <v>38</v>
      </c>
      <c r="D501" s="208"/>
      <c r="E501" s="209"/>
      <c r="F501" s="209">
        <f>D500*F498</f>
        <v>27500</v>
      </c>
    </row>
    <row r="502" spans="1:6" x14ac:dyDescent="0.35">
      <c r="A502" s="206"/>
      <c r="B502" s="207"/>
      <c r="C502" s="208"/>
      <c r="D502" s="208"/>
      <c r="E502" s="210">
        <f>+E487</f>
        <v>3035.45</v>
      </c>
      <c r="F502" s="210">
        <f>+F501/E502</f>
        <v>9.0596122485957604</v>
      </c>
    </row>
    <row r="503" spans="1:6" x14ac:dyDescent="0.35">
      <c r="A503" s="126"/>
      <c r="B503" s="127"/>
      <c r="C503" s="128"/>
      <c r="D503" s="128"/>
      <c r="E503" s="129"/>
      <c r="F503" s="129"/>
    </row>
    <row r="504" spans="1:6" x14ac:dyDescent="0.35">
      <c r="A504" s="105"/>
      <c r="B504" s="106"/>
      <c r="C504" s="101"/>
      <c r="D504" s="101"/>
      <c r="E504" s="102"/>
      <c r="F504" s="102"/>
    </row>
    <row r="505" spans="1:6" x14ac:dyDescent="0.35">
      <c r="A505" s="221" t="s">
        <v>61</v>
      </c>
      <c r="B505" s="201" t="s">
        <v>797</v>
      </c>
      <c r="C505" s="200"/>
      <c r="D505" s="200"/>
      <c r="E505" s="203"/>
      <c r="F505" s="203"/>
    </row>
    <row r="506" spans="1:6" x14ac:dyDescent="0.35">
      <c r="A506" s="222" t="s">
        <v>65</v>
      </c>
      <c r="B506" s="223" t="s">
        <v>618</v>
      </c>
      <c r="C506" s="224"/>
      <c r="D506" s="202" t="s">
        <v>765</v>
      </c>
      <c r="E506" s="203" t="s">
        <v>766</v>
      </c>
      <c r="F506" s="203" t="s">
        <v>767</v>
      </c>
    </row>
    <row r="507" spans="1:6" x14ac:dyDescent="0.35">
      <c r="A507" s="225" t="s">
        <v>67</v>
      </c>
      <c r="B507" s="226" t="s">
        <v>1108</v>
      </c>
      <c r="C507" s="224" t="s">
        <v>38</v>
      </c>
      <c r="D507" s="124">
        <v>1</v>
      </c>
      <c r="E507" s="117">
        <v>4800</v>
      </c>
      <c r="F507" s="117">
        <f>+D507*E507</f>
        <v>4800</v>
      </c>
    </row>
    <row r="508" spans="1:6" x14ac:dyDescent="0.35">
      <c r="A508" s="107"/>
      <c r="B508" s="112" t="s">
        <v>769</v>
      </c>
      <c r="C508" s="109"/>
      <c r="D508" s="109"/>
      <c r="E508" s="110"/>
      <c r="F508" s="110">
        <f>SUM(F507)</f>
        <v>4800</v>
      </c>
    </row>
    <row r="509" spans="1:6" x14ac:dyDescent="0.35">
      <c r="A509" s="111"/>
      <c r="B509" s="112" t="s">
        <v>770</v>
      </c>
      <c r="C509" s="118"/>
      <c r="D509" s="118"/>
      <c r="E509" s="119"/>
      <c r="F509" s="119"/>
    </row>
    <row r="510" spans="1:6" x14ac:dyDescent="0.35">
      <c r="A510" s="111"/>
      <c r="B510" s="120" t="s">
        <v>771</v>
      </c>
      <c r="C510" s="115" t="s">
        <v>772</v>
      </c>
      <c r="D510" s="116">
        <v>4</v>
      </c>
      <c r="E510" s="117">
        <v>7500</v>
      </c>
      <c r="F510" s="121">
        <f>+SUM(D510*E510)</f>
        <v>30000</v>
      </c>
    </row>
    <row r="511" spans="1:6" x14ac:dyDescent="0.35">
      <c r="A511" s="111"/>
      <c r="B511" s="112" t="s">
        <v>774</v>
      </c>
      <c r="C511" s="118"/>
      <c r="D511" s="118"/>
      <c r="E511" s="119"/>
      <c r="F511" s="122">
        <f>SUM(F510:F510)</f>
        <v>30000</v>
      </c>
    </row>
    <row r="512" spans="1:6" x14ac:dyDescent="0.35">
      <c r="A512" s="111"/>
      <c r="B512" s="112" t="s">
        <v>775</v>
      </c>
      <c r="C512" s="118"/>
      <c r="D512" s="118"/>
      <c r="E512" s="119"/>
      <c r="F512" s="122">
        <f>F508+F511</f>
        <v>34800</v>
      </c>
    </row>
    <row r="513" spans="1:6" x14ac:dyDescent="0.35">
      <c r="A513" s="111"/>
      <c r="B513" s="120" t="s">
        <v>776</v>
      </c>
      <c r="C513" s="111"/>
      <c r="D513" s="116">
        <v>1.25</v>
      </c>
      <c r="E513" s="117"/>
      <c r="F513" s="114">
        <f>F512*D513</f>
        <v>43500</v>
      </c>
    </row>
    <row r="514" spans="1:6" x14ac:dyDescent="0.35">
      <c r="A514" s="107"/>
      <c r="B514" s="123" t="s">
        <v>777</v>
      </c>
      <c r="C514" s="109"/>
      <c r="D514" s="125"/>
      <c r="E514" s="110"/>
      <c r="F514" s="117"/>
    </row>
    <row r="515" spans="1:6" x14ac:dyDescent="0.35">
      <c r="A515" s="107"/>
      <c r="B515" s="123"/>
      <c r="C515" s="109"/>
      <c r="D515" s="116">
        <v>1.25</v>
      </c>
      <c r="E515" s="110"/>
      <c r="F515" s="117"/>
    </row>
    <row r="516" spans="1:6" x14ac:dyDescent="0.35">
      <c r="A516" s="206" t="s">
        <v>67</v>
      </c>
      <c r="B516" s="207" t="s">
        <v>790</v>
      </c>
      <c r="C516" s="208" t="s">
        <v>38</v>
      </c>
      <c r="D516" s="208"/>
      <c r="E516" s="209"/>
      <c r="F516" s="209">
        <f>D515*F513</f>
        <v>54375</v>
      </c>
    </row>
    <row r="517" spans="1:6" x14ac:dyDescent="0.35">
      <c r="A517" s="206"/>
      <c r="B517" s="207"/>
      <c r="C517" s="208"/>
      <c r="D517" s="208"/>
      <c r="E517" s="210">
        <f>+E502</f>
        <v>3035.45</v>
      </c>
      <c r="F517" s="210">
        <f>+F516/E517</f>
        <v>17.913324218814346</v>
      </c>
    </row>
    <row r="518" spans="1:6" x14ac:dyDescent="0.35">
      <c r="A518" s="105"/>
      <c r="B518" s="106"/>
      <c r="C518" s="101"/>
      <c r="D518" s="101"/>
      <c r="E518" s="102"/>
      <c r="F518" s="102"/>
    </row>
    <row r="519" spans="1:6" x14ac:dyDescent="0.35">
      <c r="A519" s="105"/>
      <c r="B519" s="106"/>
      <c r="C519" s="101"/>
      <c r="D519" s="101"/>
      <c r="E519" s="102"/>
      <c r="F519" s="102"/>
    </row>
    <row r="520" spans="1:6" x14ac:dyDescent="0.35">
      <c r="A520" s="221" t="s">
        <v>61</v>
      </c>
      <c r="B520" s="201" t="s">
        <v>797</v>
      </c>
      <c r="C520" s="200" t="s">
        <v>2</v>
      </c>
      <c r="D520" s="202" t="s">
        <v>765</v>
      </c>
      <c r="E520" s="203" t="s">
        <v>766</v>
      </c>
      <c r="F520" s="203" t="s">
        <v>767</v>
      </c>
    </row>
    <row r="521" spans="1:6" x14ac:dyDescent="0.35">
      <c r="A521" s="220" t="s">
        <v>742</v>
      </c>
      <c r="B521" s="227" t="s">
        <v>66</v>
      </c>
      <c r="C521" s="104"/>
      <c r="D521" s="104"/>
      <c r="E521" s="104"/>
      <c r="F521" s="104"/>
    </row>
    <row r="522" spans="1:6" x14ac:dyDescent="0.35">
      <c r="A522" s="220" t="s">
        <v>1109</v>
      </c>
      <c r="B522" s="214" t="s">
        <v>68</v>
      </c>
      <c r="C522" s="124" t="s">
        <v>38</v>
      </c>
      <c r="D522" s="124">
        <v>1</v>
      </c>
      <c r="E522" s="117">
        <v>3700</v>
      </c>
      <c r="F522" s="117">
        <f>+D522*E522</f>
        <v>3700</v>
      </c>
    </row>
    <row r="523" spans="1:6" x14ac:dyDescent="0.35">
      <c r="A523" s="107"/>
      <c r="B523" s="112" t="s">
        <v>769</v>
      </c>
      <c r="C523" s="109"/>
      <c r="D523" s="109"/>
      <c r="E523" s="110"/>
      <c r="F523" s="110">
        <f>SUM(F522)</f>
        <v>3700</v>
      </c>
    </row>
    <row r="524" spans="1:6" x14ac:dyDescent="0.35">
      <c r="A524" s="111"/>
      <c r="B524" s="112" t="s">
        <v>770</v>
      </c>
      <c r="C524" s="118"/>
      <c r="D524" s="118"/>
      <c r="E524" s="119"/>
      <c r="F524" s="119"/>
    </row>
    <row r="525" spans="1:6" x14ac:dyDescent="0.35">
      <c r="A525" s="111"/>
      <c r="B525" s="120" t="s">
        <v>771</v>
      </c>
      <c r="C525" s="115" t="s">
        <v>772</v>
      </c>
      <c r="D525" s="116">
        <v>1</v>
      </c>
      <c r="E525" s="117">
        <v>7500</v>
      </c>
      <c r="F525" s="121">
        <f>+SUM(D525*E525)</f>
        <v>7500</v>
      </c>
    </row>
    <row r="526" spans="1:6" x14ac:dyDescent="0.35">
      <c r="A526" s="111"/>
      <c r="B526" s="112" t="s">
        <v>774</v>
      </c>
      <c r="C526" s="118"/>
      <c r="D526" s="118"/>
      <c r="E526" s="119"/>
      <c r="F526" s="122">
        <f>SUM(F525:F525)</f>
        <v>7500</v>
      </c>
    </row>
    <row r="527" spans="1:6" x14ac:dyDescent="0.35">
      <c r="A527" s="111"/>
      <c r="B527" s="112" t="s">
        <v>775</v>
      </c>
      <c r="C527" s="118"/>
      <c r="D527" s="118"/>
      <c r="E527" s="119"/>
      <c r="F527" s="122">
        <f>F523+F526</f>
        <v>11200</v>
      </c>
    </row>
    <row r="528" spans="1:6" x14ac:dyDescent="0.35">
      <c r="A528" s="111"/>
      <c r="B528" s="120" t="s">
        <v>776</v>
      </c>
      <c r="C528" s="111"/>
      <c r="D528" s="116">
        <v>1.25</v>
      </c>
      <c r="E528" s="117"/>
      <c r="F528" s="114">
        <f>F527*D528</f>
        <v>14000</v>
      </c>
    </row>
    <row r="529" spans="1:6" x14ac:dyDescent="0.35">
      <c r="A529" s="107"/>
      <c r="B529" s="123" t="s">
        <v>777</v>
      </c>
      <c r="C529" s="109"/>
      <c r="D529" s="125"/>
      <c r="E529" s="110"/>
      <c r="F529" s="117"/>
    </row>
    <row r="530" spans="1:6" x14ac:dyDescent="0.35">
      <c r="A530" s="107"/>
      <c r="B530" s="123"/>
      <c r="C530" s="109"/>
      <c r="D530" s="116">
        <v>1.25</v>
      </c>
      <c r="E530" s="110"/>
      <c r="F530" s="117"/>
    </row>
    <row r="531" spans="1:6" x14ac:dyDescent="0.35">
      <c r="A531" s="206" t="s">
        <v>743</v>
      </c>
      <c r="B531" s="207" t="s">
        <v>790</v>
      </c>
      <c r="C531" s="208" t="s">
        <v>38</v>
      </c>
      <c r="D531" s="208"/>
      <c r="E531" s="209"/>
      <c r="F531" s="209">
        <f>D530*F528</f>
        <v>17500</v>
      </c>
    </row>
    <row r="532" spans="1:6" x14ac:dyDescent="0.35">
      <c r="A532" s="206"/>
      <c r="B532" s="207"/>
      <c r="C532" s="208"/>
      <c r="D532" s="208"/>
      <c r="E532" s="210">
        <f>+E517</f>
        <v>3035.45</v>
      </c>
      <c r="F532" s="210">
        <f>+F531/E532</f>
        <v>5.765207794560939</v>
      </c>
    </row>
    <row r="533" spans="1:6" x14ac:dyDescent="0.35">
      <c r="A533" s="126"/>
      <c r="B533" s="127"/>
      <c r="C533" s="128"/>
      <c r="D533" s="128"/>
      <c r="E533" s="129"/>
      <c r="F533" s="129"/>
    </row>
    <row r="534" spans="1:6" x14ac:dyDescent="0.35">
      <c r="A534" s="130"/>
      <c r="B534" s="131"/>
      <c r="C534" s="132"/>
      <c r="D534" s="132"/>
      <c r="E534" s="133"/>
      <c r="F534" s="133"/>
    </row>
    <row r="535" spans="1:6" x14ac:dyDescent="0.35">
      <c r="A535" s="221" t="s">
        <v>61</v>
      </c>
      <c r="B535" s="201" t="s">
        <v>797</v>
      </c>
      <c r="C535" s="200"/>
      <c r="D535" s="200"/>
      <c r="E535" s="203"/>
      <c r="F535" s="203"/>
    </row>
    <row r="536" spans="1:6" x14ac:dyDescent="0.35">
      <c r="A536" s="220" t="s">
        <v>742</v>
      </c>
      <c r="B536" s="227" t="s">
        <v>66</v>
      </c>
      <c r="C536" s="200" t="s">
        <v>2</v>
      </c>
      <c r="D536" s="202" t="s">
        <v>765</v>
      </c>
      <c r="E536" s="203" t="s">
        <v>766</v>
      </c>
      <c r="F536" s="203" t="s">
        <v>767</v>
      </c>
    </row>
    <row r="537" spans="1:6" x14ac:dyDescent="0.35">
      <c r="A537" s="220" t="s">
        <v>1110</v>
      </c>
      <c r="B537" s="214" t="s">
        <v>619</v>
      </c>
      <c r="C537" s="124" t="s">
        <v>38</v>
      </c>
      <c r="D537" s="124">
        <v>1</v>
      </c>
      <c r="E537" s="117">
        <v>3700</v>
      </c>
      <c r="F537" s="117">
        <f>+D537*E537</f>
        <v>3700</v>
      </c>
    </row>
    <row r="538" spans="1:6" x14ac:dyDescent="0.35">
      <c r="A538" s="107"/>
      <c r="B538" s="112" t="s">
        <v>769</v>
      </c>
      <c r="C538" s="109"/>
      <c r="D538" s="109"/>
      <c r="E538" s="110"/>
      <c r="F538" s="110">
        <f>SUM(F537)</f>
        <v>3700</v>
      </c>
    </row>
    <row r="539" spans="1:6" x14ac:dyDescent="0.35">
      <c r="A539" s="111"/>
      <c r="B539" s="112" t="s">
        <v>770</v>
      </c>
      <c r="C539" s="118"/>
      <c r="D539" s="118"/>
      <c r="E539" s="119"/>
      <c r="F539" s="119"/>
    </row>
    <row r="540" spans="1:6" x14ac:dyDescent="0.35">
      <c r="A540" s="111"/>
      <c r="B540" s="120" t="s">
        <v>771</v>
      </c>
      <c r="C540" s="115" t="s">
        <v>772</v>
      </c>
      <c r="D540" s="116">
        <v>1</v>
      </c>
      <c r="E540" s="117">
        <v>7500</v>
      </c>
      <c r="F540" s="121">
        <f>+SUM(D540*E540)</f>
        <v>7500</v>
      </c>
    </row>
    <row r="541" spans="1:6" x14ac:dyDescent="0.35">
      <c r="A541" s="111"/>
      <c r="B541" s="112" t="s">
        <v>774</v>
      </c>
      <c r="C541" s="118"/>
      <c r="D541" s="118"/>
      <c r="E541" s="119"/>
      <c r="F541" s="122">
        <f>SUM(F540:F540)</f>
        <v>7500</v>
      </c>
    </row>
    <row r="542" spans="1:6" x14ac:dyDescent="0.35">
      <c r="A542" s="111"/>
      <c r="B542" s="112" t="s">
        <v>775</v>
      </c>
      <c r="C542" s="118"/>
      <c r="D542" s="118"/>
      <c r="E542" s="119"/>
      <c r="F542" s="122">
        <f>F538+F541</f>
        <v>11200</v>
      </c>
    </row>
    <row r="543" spans="1:6" x14ac:dyDescent="0.35">
      <c r="A543" s="111"/>
      <c r="B543" s="120" t="s">
        <v>776</v>
      </c>
      <c r="C543" s="111"/>
      <c r="D543" s="116">
        <v>1.25</v>
      </c>
      <c r="E543" s="117"/>
      <c r="F543" s="114">
        <f>F542*D543</f>
        <v>14000</v>
      </c>
    </row>
    <row r="544" spans="1:6" x14ac:dyDescent="0.35">
      <c r="A544" s="107"/>
      <c r="B544" s="123" t="s">
        <v>777</v>
      </c>
      <c r="C544" s="109"/>
      <c r="D544" s="125"/>
      <c r="E544" s="110"/>
      <c r="F544" s="117"/>
    </row>
    <row r="545" spans="1:6" x14ac:dyDescent="0.35">
      <c r="A545" s="107"/>
      <c r="B545" s="123"/>
      <c r="C545" s="109"/>
      <c r="D545" s="116">
        <v>1.25</v>
      </c>
      <c r="E545" s="110"/>
      <c r="F545" s="117"/>
    </row>
    <row r="546" spans="1:6" x14ac:dyDescent="0.35">
      <c r="A546" s="206" t="s">
        <v>1110</v>
      </c>
      <c r="B546" s="207" t="s">
        <v>790</v>
      </c>
      <c r="C546" s="208" t="s">
        <v>38</v>
      </c>
      <c r="D546" s="208"/>
      <c r="E546" s="209"/>
      <c r="F546" s="209">
        <f>D545*F543</f>
        <v>17500</v>
      </c>
    </row>
    <row r="547" spans="1:6" x14ac:dyDescent="0.35">
      <c r="A547" s="206"/>
      <c r="B547" s="207"/>
      <c r="C547" s="208"/>
      <c r="D547" s="208"/>
      <c r="E547" s="210">
        <f>+E532</f>
        <v>3035.45</v>
      </c>
      <c r="F547" s="210">
        <f>+F546/E547</f>
        <v>5.765207794560939</v>
      </c>
    </row>
    <row r="548" spans="1:6" x14ac:dyDescent="0.35">
      <c r="A548" s="126"/>
      <c r="B548" s="127"/>
      <c r="C548" s="128"/>
      <c r="D548" s="128"/>
      <c r="E548" s="129"/>
      <c r="F548" s="129"/>
    </row>
    <row r="549" spans="1:6" x14ac:dyDescent="0.35">
      <c r="A549" s="130"/>
      <c r="B549" s="131"/>
      <c r="C549" s="132"/>
      <c r="D549" s="132"/>
      <c r="E549" s="133"/>
      <c r="F549" s="133"/>
    </row>
    <row r="550" spans="1:6" x14ac:dyDescent="0.35">
      <c r="A550" s="221" t="s">
        <v>61</v>
      </c>
      <c r="B550" s="201" t="s">
        <v>797</v>
      </c>
      <c r="C550" s="200"/>
      <c r="D550" s="200"/>
      <c r="E550" s="203"/>
      <c r="F550" s="203"/>
    </row>
    <row r="551" spans="1:6" x14ac:dyDescent="0.35">
      <c r="A551" s="220" t="s">
        <v>742</v>
      </c>
      <c r="B551" s="227" t="s">
        <v>66</v>
      </c>
      <c r="C551" s="200" t="s">
        <v>2</v>
      </c>
      <c r="D551" s="202" t="s">
        <v>765</v>
      </c>
      <c r="E551" s="203" t="s">
        <v>766</v>
      </c>
      <c r="F551" s="203" t="s">
        <v>767</v>
      </c>
    </row>
    <row r="552" spans="1:6" x14ac:dyDescent="0.35">
      <c r="A552" s="220" t="s">
        <v>1111</v>
      </c>
      <c r="B552" s="214" t="s">
        <v>799</v>
      </c>
      <c r="C552" s="124" t="s">
        <v>38</v>
      </c>
      <c r="D552" s="124">
        <v>1</v>
      </c>
      <c r="E552" s="117">
        <v>21650</v>
      </c>
      <c r="F552" s="117">
        <f>+D552*E552</f>
        <v>21650</v>
      </c>
    </row>
    <row r="553" spans="1:6" x14ac:dyDescent="0.35">
      <c r="A553" s="107"/>
      <c r="B553" s="112" t="s">
        <v>769</v>
      </c>
      <c r="C553" s="109"/>
      <c r="D553" s="109"/>
      <c r="E553" s="110"/>
      <c r="F553" s="110">
        <f>SUM(F552)</f>
        <v>21650</v>
      </c>
    </row>
    <row r="554" spans="1:6" x14ac:dyDescent="0.35">
      <c r="A554" s="111"/>
      <c r="B554" s="112" t="s">
        <v>770</v>
      </c>
      <c r="C554" s="118"/>
      <c r="D554" s="118"/>
      <c r="E554" s="119"/>
      <c r="F554" s="119"/>
    </row>
    <row r="555" spans="1:6" x14ac:dyDescent="0.35">
      <c r="A555" s="111"/>
      <c r="B555" s="120" t="s">
        <v>771</v>
      </c>
      <c r="C555" s="115" t="s">
        <v>772</v>
      </c>
      <c r="D555" s="116">
        <v>1</v>
      </c>
      <c r="E555" s="117">
        <v>7500</v>
      </c>
      <c r="F555" s="121">
        <f>+SUM(D555*E555)</f>
        <v>7500</v>
      </c>
    </row>
    <row r="556" spans="1:6" x14ac:dyDescent="0.35">
      <c r="A556" s="111"/>
      <c r="B556" s="112" t="s">
        <v>774</v>
      </c>
      <c r="C556" s="118"/>
      <c r="D556" s="118"/>
      <c r="E556" s="119"/>
      <c r="F556" s="122">
        <f>SUM(F555:F555)</f>
        <v>7500</v>
      </c>
    </row>
    <row r="557" spans="1:6" x14ac:dyDescent="0.35">
      <c r="A557" s="111"/>
      <c r="B557" s="112" t="s">
        <v>775</v>
      </c>
      <c r="C557" s="118"/>
      <c r="D557" s="118"/>
      <c r="E557" s="119"/>
      <c r="F557" s="122">
        <f>F553+F556</f>
        <v>29150</v>
      </c>
    </row>
    <row r="558" spans="1:6" x14ac:dyDescent="0.35">
      <c r="A558" s="111"/>
      <c r="B558" s="120" t="s">
        <v>776</v>
      </c>
      <c r="C558" s="111"/>
      <c r="D558" s="116">
        <v>1.25</v>
      </c>
      <c r="E558" s="117"/>
      <c r="F558" s="114">
        <f>F557*D558</f>
        <v>36437.5</v>
      </c>
    </row>
    <row r="559" spans="1:6" x14ac:dyDescent="0.35">
      <c r="A559" s="107"/>
      <c r="B559" s="123" t="s">
        <v>777</v>
      </c>
      <c r="C559" s="109"/>
      <c r="D559" s="125"/>
      <c r="E559" s="110"/>
      <c r="F559" s="117"/>
    </row>
    <row r="560" spans="1:6" x14ac:dyDescent="0.35">
      <c r="A560" s="107"/>
      <c r="B560" s="123"/>
      <c r="C560" s="109"/>
      <c r="D560" s="116">
        <v>1.25</v>
      </c>
      <c r="E560" s="110"/>
      <c r="F560" s="117"/>
    </row>
    <row r="561" spans="1:6" x14ac:dyDescent="0.35">
      <c r="A561" s="206" t="s">
        <v>1111</v>
      </c>
      <c r="B561" s="207" t="s">
        <v>790</v>
      </c>
      <c r="C561" s="208" t="s">
        <v>38</v>
      </c>
      <c r="D561" s="208"/>
      <c r="E561" s="209"/>
      <c r="F561" s="209">
        <f>D560*F558</f>
        <v>45546.875</v>
      </c>
    </row>
    <row r="562" spans="1:6" x14ac:dyDescent="0.35">
      <c r="A562" s="206"/>
      <c r="B562" s="207"/>
      <c r="C562" s="208"/>
      <c r="D562" s="208"/>
      <c r="E562" s="210">
        <f>+E547</f>
        <v>3035.45</v>
      </c>
      <c r="F562" s="210">
        <f>+F561/E562</f>
        <v>15.004982786736729</v>
      </c>
    </row>
    <row r="563" spans="1:6" x14ac:dyDescent="0.35">
      <c r="A563" s="126"/>
      <c r="B563" s="127"/>
      <c r="C563" s="128"/>
      <c r="D563" s="128"/>
      <c r="E563" s="129"/>
      <c r="F563" s="129"/>
    </row>
    <row r="564" spans="1:6" x14ac:dyDescent="0.35">
      <c r="A564" s="130"/>
      <c r="B564" s="131"/>
      <c r="C564" s="132"/>
      <c r="D564" s="132"/>
      <c r="E564" s="133"/>
      <c r="F564" s="133"/>
    </row>
    <row r="565" spans="1:6" x14ac:dyDescent="0.35">
      <c r="A565" s="107" t="s">
        <v>61</v>
      </c>
      <c r="B565" s="108" t="s">
        <v>797</v>
      </c>
      <c r="C565" s="109"/>
      <c r="D565" s="109"/>
      <c r="E565" s="110"/>
      <c r="F565" s="110"/>
    </row>
    <row r="566" spans="1:6" x14ac:dyDescent="0.35">
      <c r="A566" s="220" t="s">
        <v>742</v>
      </c>
      <c r="B566" s="227" t="s">
        <v>66</v>
      </c>
      <c r="C566" s="200" t="s">
        <v>2</v>
      </c>
      <c r="D566" s="202" t="s">
        <v>765</v>
      </c>
      <c r="E566" s="203" t="s">
        <v>766</v>
      </c>
      <c r="F566" s="203" t="s">
        <v>767</v>
      </c>
    </row>
    <row r="567" spans="1:6" x14ac:dyDescent="0.35">
      <c r="A567" s="220" t="s">
        <v>1112</v>
      </c>
      <c r="B567" s="214" t="s">
        <v>1113</v>
      </c>
      <c r="C567" s="124" t="s">
        <v>38</v>
      </c>
      <c r="D567" s="124">
        <v>1</v>
      </c>
      <c r="E567" s="117">
        <v>10100</v>
      </c>
      <c r="F567" s="117">
        <f>+D567*E567</f>
        <v>10100</v>
      </c>
    </row>
    <row r="568" spans="1:6" x14ac:dyDescent="0.35">
      <c r="A568" s="107"/>
      <c r="B568" s="112" t="s">
        <v>769</v>
      </c>
      <c r="C568" s="109"/>
      <c r="D568" s="109"/>
      <c r="E568" s="110"/>
      <c r="F568" s="110">
        <f>SUM(F567)</f>
        <v>10100</v>
      </c>
    </row>
    <row r="569" spans="1:6" x14ac:dyDescent="0.35">
      <c r="A569" s="111"/>
      <c r="B569" s="112" t="s">
        <v>770</v>
      </c>
      <c r="C569" s="118"/>
      <c r="D569" s="118"/>
      <c r="E569" s="119"/>
      <c r="F569" s="119"/>
    </row>
    <row r="570" spans="1:6" x14ac:dyDescent="0.35">
      <c r="A570" s="111"/>
      <c r="B570" s="120" t="s">
        <v>771</v>
      </c>
      <c r="C570" s="115" t="s">
        <v>772</v>
      </c>
      <c r="D570" s="116">
        <v>1</v>
      </c>
      <c r="E570" s="117">
        <v>7500</v>
      </c>
      <c r="F570" s="121">
        <f>+SUM(D570*E570)</f>
        <v>7500</v>
      </c>
    </row>
    <row r="571" spans="1:6" x14ac:dyDescent="0.35">
      <c r="A571" s="111"/>
      <c r="B571" s="112" t="s">
        <v>774</v>
      </c>
      <c r="C571" s="118"/>
      <c r="D571" s="118"/>
      <c r="E571" s="119"/>
      <c r="F571" s="122">
        <f>SUM(F570:F570)</f>
        <v>7500</v>
      </c>
    </row>
    <row r="572" spans="1:6" x14ac:dyDescent="0.35">
      <c r="A572" s="111"/>
      <c r="B572" s="112" t="s">
        <v>775</v>
      </c>
      <c r="C572" s="118"/>
      <c r="D572" s="118"/>
      <c r="E572" s="119"/>
      <c r="F572" s="122">
        <f>F568+F571</f>
        <v>17600</v>
      </c>
    </row>
    <row r="573" spans="1:6" x14ac:dyDescent="0.35">
      <c r="A573" s="111"/>
      <c r="B573" s="120" t="s">
        <v>776</v>
      </c>
      <c r="C573" s="111"/>
      <c r="D573" s="116">
        <v>1.25</v>
      </c>
      <c r="E573" s="117"/>
      <c r="F573" s="114">
        <f>F572*D573</f>
        <v>22000</v>
      </c>
    </row>
    <row r="574" spans="1:6" x14ac:dyDescent="0.35">
      <c r="A574" s="107"/>
      <c r="B574" s="123" t="s">
        <v>777</v>
      </c>
      <c r="C574" s="109"/>
      <c r="D574" s="125"/>
      <c r="E574" s="110"/>
      <c r="F574" s="117"/>
    </row>
    <row r="575" spans="1:6" x14ac:dyDescent="0.35">
      <c r="A575" s="107"/>
      <c r="B575" s="123"/>
      <c r="C575" s="109"/>
      <c r="D575" s="116">
        <v>1.25</v>
      </c>
      <c r="E575" s="110"/>
      <c r="F575" s="117"/>
    </row>
    <row r="576" spans="1:6" x14ac:dyDescent="0.35">
      <c r="A576" s="206" t="s">
        <v>1112</v>
      </c>
      <c r="B576" s="207" t="s">
        <v>790</v>
      </c>
      <c r="C576" s="208" t="s">
        <v>38</v>
      </c>
      <c r="D576" s="208"/>
      <c r="E576" s="209"/>
      <c r="F576" s="209">
        <f>D575*F573</f>
        <v>27500</v>
      </c>
    </row>
    <row r="577" spans="1:6" x14ac:dyDescent="0.35">
      <c r="A577" s="206"/>
      <c r="B577" s="207"/>
      <c r="C577" s="208"/>
      <c r="D577" s="208"/>
      <c r="E577" s="210">
        <f>+E562</f>
        <v>3035.45</v>
      </c>
      <c r="F577" s="210">
        <f>+F576/E577</f>
        <v>9.0596122485957604</v>
      </c>
    </row>
    <row r="578" spans="1:6" x14ac:dyDescent="0.35">
      <c r="A578" s="126"/>
      <c r="B578" s="127"/>
      <c r="C578" s="128"/>
      <c r="D578" s="128"/>
      <c r="E578" s="129"/>
      <c r="F578" s="129"/>
    </row>
    <row r="579" spans="1:6" x14ac:dyDescent="0.35">
      <c r="A579" s="105"/>
      <c r="B579" s="106"/>
      <c r="C579" s="101"/>
      <c r="D579" s="101"/>
      <c r="E579" s="102"/>
      <c r="F579" s="102"/>
    </row>
    <row r="580" spans="1:6" x14ac:dyDescent="0.35">
      <c r="A580" s="221" t="s">
        <v>61</v>
      </c>
      <c r="B580" s="201" t="s">
        <v>797</v>
      </c>
      <c r="C580" s="200"/>
      <c r="D580" s="200"/>
      <c r="E580" s="203"/>
      <c r="F580" s="203"/>
    </row>
    <row r="581" spans="1:6" x14ac:dyDescent="0.35">
      <c r="A581" s="220" t="s">
        <v>742</v>
      </c>
      <c r="B581" s="227" t="s">
        <v>66</v>
      </c>
      <c r="C581" s="200" t="s">
        <v>2</v>
      </c>
      <c r="D581" s="202" t="s">
        <v>765</v>
      </c>
      <c r="E581" s="203" t="s">
        <v>766</v>
      </c>
      <c r="F581" s="203" t="s">
        <v>767</v>
      </c>
    </row>
    <row r="582" spans="1:6" x14ac:dyDescent="0.35">
      <c r="A582" s="220" t="s">
        <v>1114</v>
      </c>
      <c r="B582" s="227" t="s">
        <v>617</v>
      </c>
      <c r="C582" s="200" t="s">
        <v>38</v>
      </c>
      <c r="D582" s="202">
        <v>1</v>
      </c>
      <c r="E582" s="203">
        <v>3700</v>
      </c>
      <c r="F582" s="203">
        <f>+D582*E582</f>
        <v>3700</v>
      </c>
    </row>
    <row r="583" spans="1:6" x14ac:dyDescent="0.35">
      <c r="A583" s="107"/>
      <c r="B583" s="112" t="s">
        <v>769</v>
      </c>
      <c r="C583" s="109"/>
      <c r="D583" s="109"/>
      <c r="E583" s="110"/>
      <c r="F583" s="110">
        <f>SUM(F582)</f>
        <v>3700</v>
      </c>
    </row>
    <row r="584" spans="1:6" x14ac:dyDescent="0.35">
      <c r="A584" s="111"/>
      <c r="B584" s="112" t="s">
        <v>770</v>
      </c>
      <c r="C584" s="118"/>
      <c r="D584" s="118"/>
      <c r="E584" s="119"/>
      <c r="F584" s="119"/>
    </row>
    <row r="585" spans="1:6" x14ac:dyDescent="0.35">
      <c r="A585" s="111"/>
      <c r="B585" s="120" t="s">
        <v>771</v>
      </c>
      <c r="C585" s="115" t="s">
        <v>772</v>
      </c>
      <c r="D585" s="116">
        <v>1</v>
      </c>
      <c r="E585" s="117">
        <v>7500</v>
      </c>
      <c r="F585" s="121">
        <f>+SUM(D585*E585)</f>
        <v>7500</v>
      </c>
    </row>
    <row r="586" spans="1:6" x14ac:dyDescent="0.35">
      <c r="A586" s="111"/>
      <c r="B586" s="112" t="s">
        <v>774</v>
      </c>
      <c r="C586" s="118"/>
      <c r="D586" s="118"/>
      <c r="E586" s="119"/>
      <c r="F586" s="122">
        <f>SUM(F585:F585)</f>
        <v>7500</v>
      </c>
    </row>
    <row r="587" spans="1:6" x14ac:dyDescent="0.35">
      <c r="A587" s="111"/>
      <c r="B587" s="112" t="s">
        <v>775</v>
      </c>
      <c r="C587" s="118"/>
      <c r="D587" s="118"/>
      <c r="E587" s="119"/>
      <c r="F587" s="122">
        <f>F583+F586</f>
        <v>11200</v>
      </c>
    </row>
    <row r="588" spans="1:6" x14ac:dyDescent="0.35">
      <c r="A588" s="111"/>
      <c r="B588" s="120" t="s">
        <v>776</v>
      </c>
      <c r="C588" s="111"/>
      <c r="D588" s="116">
        <v>1.25</v>
      </c>
      <c r="E588" s="117"/>
      <c r="F588" s="114">
        <f>F587*D588</f>
        <v>14000</v>
      </c>
    </row>
    <row r="589" spans="1:6" x14ac:dyDescent="0.35">
      <c r="A589" s="107"/>
      <c r="B589" s="123" t="s">
        <v>777</v>
      </c>
      <c r="C589" s="109"/>
      <c r="D589" s="125"/>
      <c r="E589" s="110"/>
      <c r="F589" s="117"/>
    </row>
    <row r="590" spans="1:6" x14ac:dyDescent="0.35">
      <c r="A590" s="107"/>
      <c r="B590" s="123"/>
      <c r="C590" s="109"/>
      <c r="D590" s="116">
        <v>1.25</v>
      </c>
      <c r="E590" s="110"/>
      <c r="F590" s="117"/>
    </row>
    <row r="591" spans="1:6" x14ac:dyDescent="0.35">
      <c r="A591" s="206" t="s">
        <v>1114</v>
      </c>
      <c r="B591" s="207" t="s">
        <v>790</v>
      </c>
      <c r="C591" s="208" t="s">
        <v>38</v>
      </c>
      <c r="D591" s="208"/>
      <c r="E591" s="209"/>
      <c r="F591" s="209">
        <f>D590*F588</f>
        <v>17500</v>
      </c>
    </row>
    <row r="592" spans="1:6" x14ac:dyDescent="0.35">
      <c r="A592" s="206"/>
      <c r="B592" s="207"/>
      <c r="C592" s="208"/>
      <c r="D592" s="208"/>
      <c r="E592" s="210">
        <f>+E577</f>
        <v>3035.45</v>
      </c>
      <c r="F592" s="210">
        <f>+F591/E592</f>
        <v>5.765207794560939</v>
      </c>
    </row>
    <row r="593" spans="1:6" x14ac:dyDescent="0.35">
      <c r="A593" s="105"/>
      <c r="B593" s="106"/>
      <c r="C593" s="101"/>
      <c r="D593" s="101"/>
      <c r="E593" s="102"/>
      <c r="F593" s="102"/>
    </row>
    <row r="594" spans="1:6" x14ac:dyDescent="0.35">
      <c r="A594" s="105"/>
      <c r="B594" s="106"/>
      <c r="C594" s="101"/>
      <c r="D594" s="101"/>
      <c r="E594" s="102"/>
      <c r="F594" s="102"/>
    </row>
    <row r="595" spans="1:6" x14ac:dyDescent="0.35">
      <c r="A595" s="107" t="s">
        <v>69</v>
      </c>
      <c r="B595" s="108" t="s">
        <v>70</v>
      </c>
      <c r="C595" s="109"/>
      <c r="D595" s="109"/>
      <c r="E595" s="110"/>
      <c r="F595" s="110"/>
    </row>
    <row r="596" spans="1:6" x14ac:dyDescent="0.35">
      <c r="A596" s="211" t="s">
        <v>71</v>
      </c>
      <c r="B596" s="201" t="s">
        <v>800</v>
      </c>
      <c r="C596" s="200" t="s">
        <v>2</v>
      </c>
      <c r="D596" s="202" t="s">
        <v>765</v>
      </c>
      <c r="E596" s="203" t="s">
        <v>766</v>
      </c>
      <c r="F596" s="203" t="s">
        <v>767</v>
      </c>
    </row>
    <row r="597" spans="1:6" x14ac:dyDescent="0.35">
      <c r="A597" s="220" t="s">
        <v>73</v>
      </c>
      <c r="B597" s="214" t="s">
        <v>801</v>
      </c>
      <c r="C597" s="124" t="s">
        <v>38</v>
      </c>
      <c r="D597" s="124"/>
      <c r="E597" s="117"/>
      <c r="F597" s="117"/>
    </row>
    <row r="598" spans="1:6" x14ac:dyDescent="0.35">
      <c r="A598" s="107"/>
      <c r="B598" s="112" t="s">
        <v>769</v>
      </c>
      <c r="C598" s="109"/>
      <c r="D598" s="109"/>
      <c r="E598" s="110"/>
      <c r="F598" s="110"/>
    </row>
    <row r="599" spans="1:6" x14ac:dyDescent="0.35">
      <c r="A599" s="111"/>
      <c r="B599" s="112" t="s">
        <v>802</v>
      </c>
      <c r="C599" s="118"/>
      <c r="D599" s="118"/>
      <c r="E599" s="119"/>
      <c r="F599" s="119"/>
    </row>
    <row r="600" spans="1:6" x14ac:dyDescent="0.25">
      <c r="A600" s="111"/>
      <c r="B600" s="134" t="s">
        <v>803</v>
      </c>
      <c r="C600" s="115" t="s">
        <v>804</v>
      </c>
      <c r="D600" s="135">
        <v>3</v>
      </c>
      <c r="E600" s="117">
        <v>51000</v>
      </c>
      <c r="F600" s="121">
        <f>+SUM(D600*E600)</f>
        <v>153000</v>
      </c>
    </row>
    <row r="601" spans="1:6" x14ac:dyDescent="0.25">
      <c r="A601" s="111"/>
      <c r="B601" s="134" t="s">
        <v>805</v>
      </c>
      <c r="C601" s="115" t="s">
        <v>38</v>
      </c>
      <c r="D601" s="135">
        <v>0.4</v>
      </c>
      <c r="E601" s="117">
        <v>55000</v>
      </c>
      <c r="F601" s="121">
        <f>+SUM(D601*E601)</f>
        <v>22000</v>
      </c>
    </row>
    <row r="602" spans="1:6" x14ac:dyDescent="0.25">
      <c r="A602" s="111"/>
      <c r="B602" s="134" t="s">
        <v>806</v>
      </c>
      <c r="C602" s="115" t="s">
        <v>38</v>
      </c>
      <c r="D602" s="135">
        <v>0.8</v>
      </c>
      <c r="E602" s="117">
        <v>16000</v>
      </c>
      <c r="F602" s="121">
        <f>+SUM(D602*E602)</f>
        <v>12800</v>
      </c>
    </row>
    <row r="603" spans="1:6" x14ac:dyDescent="0.25">
      <c r="A603" s="111"/>
      <c r="B603" s="134" t="s">
        <v>807</v>
      </c>
      <c r="C603" s="115"/>
      <c r="D603" s="135">
        <v>0.5</v>
      </c>
      <c r="E603" s="117">
        <v>1000</v>
      </c>
      <c r="F603" s="121">
        <f>+SUM(D603*E603)</f>
        <v>500</v>
      </c>
    </row>
    <row r="604" spans="1:6" x14ac:dyDescent="0.3">
      <c r="A604" s="111"/>
      <c r="B604" s="136" t="s">
        <v>769</v>
      </c>
      <c r="C604" s="115"/>
      <c r="D604" s="116"/>
      <c r="E604" s="117"/>
      <c r="F604" s="114">
        <f>SUM(F600:F603)</f>
        <v>188300</v>
      </c>
    </row>
    <row r="605" spans="1:6" x14ac:dyDescent="0.3">
      <c r="A605" s="111"/>
      <c r="B605" s="136" t="s">
        <v>808</v>
      </c>
      <c r="C605" s="115"/>
      <c r="D605" s="116"/>
      <c r="E605" s="117"/>
      <c r="F605" s="114"/>
    </row>
    <row r="606" spans="1:6" x14ac:dyDescent="0.25">
      <c r="A606" s="111"/>
      <c r="B606" s="134" t="s">
        <v>809</v>
      </c>
      <c r="C606" s="115" t="s">
        <v>772</v>
      </c>
      <c r="D606" s="228">
        <v>1</v>
      </c>
      <c r="E606" s="117">
        <v>5000</v>
      </c>
      <c r="F606" s="121">
        <f>+D606*E606</f>
        <v>5000</v>
      </c>
    </row>
    <row r="607" spans="1:6" x14ac:dyDescent="0.25">
      <c r="A607" s="111"/>
      <c r="B607" s="134" t="s">
        <v>810</v>
      </c>
      <c r="C607" s="115" t="s">
        <v>772</v>
      </c>
      <c r="D607" s="228">
        <v>1</v>
      </c>
      <c r="E607" s="117">
        <v>5000</v>
      </c>
      <c r="F607" s="121">
        <f>+D607*E607</f>
        <v>5000</v>
      </c>
    </row>
    <row r="608" spans="1:6" x14ac:dyDescent="0.25">
      <c r="A608" s="111"/>
      <c r="B608" s="134" t="s">
        <v>811</v>
      </c>
      <c r="C608" s="115" t="s">
        <v>772</v>
      </c>
      <c r="D608" s="228">
        <v>1</v>
      </c>
      <c r="E608" s="117">
        <v>10000</v>
      </c>
      <c r="F608" s="121">
        <f>+D608*E608</f>
        <v>10000</v>
      </c>
    </row>
    <row r="609" spans="1:6" x14ac:dyDescent="0.3">
      <c r="A609" s="111"/>
      <c r="B609" s="136" t="s">
        <v>774</v>
      </c>
      <c r="C609" s="115"/>
      <c r="D609" s="228"/>
      <c r="E609" s="117"/>
      <c r="F609" s="114">
        <f>SUM(F606:F608)</f>
        <v>20000</v>
      </c>
    </row>
    <row r="610" spans="1:6" x14ac:dyDescent="0.3">
      <c r="A610" s="111"/>
      <c r="B610" s="136" t="s">
        <v>775</v>
      </c>
      <c r="C610" s="115"/>
      <c r="D610" s="116"/>
      <c r="E610" s="117"/>
      <c r="F610" s="114">
        <f>F609+F604</f>
        <v>208300</v>
      </c>
    </row>
    <row r="611" spans="1:6" x14ac:dyDescent="0.25">
      <c r="A611" s="111"/>
      <c r="B611" s="134" t="s">
        <v>812</v>
      </c>
      <c r="C611" s="115"/>
      <c r="D611" s="116">
        <v>1.1499999999999999</v>
      </c>
      <c r="E611" s="117"/>
      <c r="F611" s="114">
        <f>+F610*D611</f>
        <v>239544.99999999997</v>
      </c>
    </row>
    <row r="612" spans="1:6" x14ac:dyDescent="0.25">
      <c r="A612" s="111"/>
      <c r="B612" s="134"/>
      <c r="C612" s="115"/>
      <c r="D612" s="116"/>
      <c r="E612" s="117"/>
      <c r="F612" s="114"/>
    </row>
    <row r="613" spans="1:6" x14ac:dyDescent="0.25">
      <c r="A613" s="111"/>
      <c r="B613" s="134" t="s">
        <v>813</v>
      </c>
      <c r="C613" s="115"/>
      <c r="D613" s="116">
        <v>1.1499999999999999</v>
      </c>
      <c r="E613" s="117"/>
      <c r="F613" s="114"/>
    </row>
    <row r="614" spans="1:6" x14ac:dyDescent="0.35">
      <c r="A614" s="206" t="s">
        <v>73</v>
      </c>
      <c r="B614" s="207" t="s">
        <v>790</v>
      </c>
      <c r="C614" s="208" t="s">
        <v>38</v>
      </c>
      <c r="D614" s="208"/>
      <c r="E614" s="209"/>
      <c r="F614" s="209">
        <f>+D613*F611</f>
        <v>275476.74999999994</v>
      </c>
    </row>
    <row r="615" spans="1:6" x14ac:dyDescent="0.35">
      <c r="A615" s="206"/>
      <c r="B615" s="207"/>
      <c r="C615" s="208"/>
      <c r="D615" s="208"/>
      <c r="E615" s="210">
        <f>+E592</f>
        <v>3035.45</v>
      </c>
      <c r="F615" s="210">
        <f>+F614/E615</f>
        <v>90.753183218303704</v>
      </c>
    </row>
    <row r="616" spans="1:6" x14ac:dyDescent="0.35">
      <c r="A616" s="126"/>
      <c r="B616" s="127"/>
      <c r="C616" s="128"/>
      <c r="D616" s="128"/>
      <c r="E616" s="129"/>
      <c r="F616" s="129"/>
    </row>
    <row r="617" spans="1:6" x14ac:dyDescent="0.35">
      <c r="A617" s="130"/>
      <c r="B617" s="131"/>
      <c r="C617" s="132"/>
      <c r="D617" s="132"/>
      <c r="E617" s="133"/>
      <c r="F617" s="133"/>
    </row>
    <row r="618" spans="1:6" x14ac:dyDescent="0.35">
      <c r="A618" s="107" t="s">
        <v>69</v>
      </c>
      <c r="B618" s="108" t="s">
        <v>70</v>
      </c>
      <c r="C618" s="109"/>
      <c r="D618" s="109"/>
      <c r="E618" s="110"/>
      <c r="F618" s="110"/>
    </row>
    <row r="619" spans="1:6" x14ac:dyDescent="0.35">
      <c r="A619" s="211" t="s">
        <v>71</v>
      </c>
      <c r="B619" s="201" t="s">
        <v>800</v>
      </c>
      <c r="C619" s="200" t="s">
        <v>2</v>
      </c>
      <c r="D619" s="202" t="s">
        <v>765</v>
      </c>
      <c r="E619" s="203" t="s">
        <v>766</v>
      </c>
      <c r="F619" s="203" t="s">
        <v>767</v>
      </c>
    </row>
    <row r="620" spans="1:6" x14ac:dyDescent="0.35">
      <c r="A620" s="220" t="s">
        <v>75</v>
      </c>
      <c r="B620" s="214" t="s">
        <v>814</v>
      </c>
      <c r="C620" s="124" t="s">
        <v>38</v>
      </c>
      <c r="D620" s="124"/>
      <c r="E620" s="117"/>
      <c r="F620" s="117"/>
    </row>
    <row r="621" spans="1:6" x14ac:dyDescent="0.35">
      <c r="A621" s="107"/>
      <c r="B621" s="112" t="s">
        <v>769</v>
      </c>
      <c r="C621" s="109"/>
      <c r="D621" s="109"/>
      <c r="E621" s="110"/>
      <c r="F621" s="110"/>
    </row>
    <row r="622" spans="1:6" x14ac:dyDescent="0.35">
      <c r="A622" s="111"/>
      <c r="B622" s="112" t="s">
        <v>802</v>
      </c>
      <c r="C622" s="118"/>
      <c r="D622" s="118"/>
      <c r="E622" s="119"/>
      <c r="F622" s="119"/>
    </row>
    <row r="623" spans="1:6" x14ac:dyDescent="0.25">
      <c r="A623" s="111"/>
      <c r="B623" s="134" t="s">
        <v>803</v>
      </c>
      <c r="C623" s="115" t="s">
        <v>804</v>
      </c>
      <c r="D623" s="135">
        <v>6</v>
      </c>
      <c r="E623" s="117">
        <v>51000</v>
      </c>
      <c r="F623" s="121">
        <f>+SUM(D623*E623)</f>
        <v>306000</v>
      </c>
    </row>
    <row r="624" spans="1:6" x14ac:dyDescent="0.25">
      <c r="A624" s="111"/>
      <c r="B624" s="134" t="s">
        <v>805</v>
      </c>
      <c r="C624" s="115" t="s">
        <v>38</v>
      </c>
      <c r="D624" s="116">
        <v>0.16</v>
      </c>
      <c r="E624" s="117">
        <v>55000</v>
      </c>
      <c r="F624" s="121">
        <f>+SUM(D624*E624)</f>
        <v>8800</v>
      </c>
    </row>
    <row r="625" spans="1:6" x14ac:dyDescent="0.25">
      <c r="A625" s="111"/>
      <c r="B625" s="134" t="s">
        <v>806</v>
      </c>
      <c r="C625" s="115" t="s">
        <v>38</v>
      </c>
      <c r="D625" s="116">
        <v>0.32</v>
      </c>
      <c r="E625" s="117">
        <v>16000</v>
      </c>
      <c r="F625" s="121">
        <f>+SUM(D625*E625)</f>
        <v>5120</v>
      </c>
    </row>
    <row r="626" spans="1:6" x14ac:dyDescent="0.25">
      <c r="A626" s="111"/>
      <c r="B626" s="134" t="s">
        <v>815</v>
      </c>
      <c r="C626" s="115" t="s">
        <v>38</v>
      </c>
      <c r="D626" s="135">
        <v>0.6</v>
      </c>
      <c r="E626" s="117">
        <v>135000</v>
      </c>
      <c r="F626" s="121">
        <f>+SUM(D626*E626)</f>
        <v>81000</v>
      </c>
    </row>
    <row r="627" spans="1:6" x14ac:dyDescent="0.25">
      <c r="A627" s="111"/>
      <c r="B627" s="134" t="s">
        <v>807</v>
      </c>
      <c r="C627" s="115"/>
      <c r="D627" s="135">
        <v>0.5</v>
      </c>
      <c r="E627" s="117">
        <v>1000</v>
      </c>
      <c r="F627" s="121">
        <f>+SUM(D627*E627)</f>
        <v>500</v>
      </c>
    </row>
    <row r="628" spans="1:6" x14ac:dyDescent="0.3">
      <c r="A628" s="111"/>
      <c r="B628" s="136" t="s">
        <v>769</v>
      </c>
      <c r="C628" s="115"/>
      <c r="D628" s="116"/>
      <c r="E628" s="117"/>
      <c r="F628" s="114">
        <f>SUM(F623:F627)</f>
        <v>401420</v>
      </c>
    </row>
    <row r="629" spans="1:6" x14ac:dyDescent="0.3">
      <c r="A629" s="111"/>
      <c r="B629" s="136" t="s">
        <v>808</v>
      </c>
      <c r="C629" s="115"/>
      <c r="D629" s="116"/>
      <c r="E629" s="117"/>
      <c r="F629" s="114"/>
    </row>
    <row r="630" spans="1:6" x14ac:dyDescent="0.25">
      <c r="A630" s="111"/>
      <c r="B630" s="134" t="s">
        <v>816</v>
      </c>
      <c r="C630" s="115" t="s">
        <v>772</v>
      </c>
      <c r="D630" s="228">
        <v>1</v>
      </c>
      <c r="E630" s="117">
        <v>5000</v>
      </c>
      <c r="F630" s="121">
        <f>+D630*E630</f>
        <v>5000</v>
      </c>
    </row>
    <row r="631" spans="1:6" x14ac:dyDescent="0.25">
      <c r="A631" s="111"/>
      <c r="B631" s="134" t="s">
        <v>817</v>
      </c>
      <c r="C631" s="115" t="s">
        <v>772</v>
      </c>
      <c r="D631" s="228">
        <v>1</v>
      </c>
      <c r="E631" s="117">
        <v>5000</v>
      </c>
      <c r="F631" s="121">
        <f>+D631*E631</f>
        <v>5000</v>
      </c>
    </row>
    <row r="632" spans="1:6" x14ac:dyDescent="0.25">
      <c r="A632" s="111"/>
      <c r="B632" s="134" t="s">
        <v>811</v>
      </c>
      <c r="C632" s="115" t="s">
        <v>772</v>
      </c>
      <c r="D632" s="228">
        <v>1</v>
      </c>
      <c r="E632" s="117">
        <v>10000</v>
      </c>
      <c r="F632" s="121">
        <f>+D632*E632</f>
        <v>10000</v>
      </c>
    </row>
    <row r="633" spans="1:6" x14ac:dyDescent="0.3">
      <c r="A633" s="111"/>
      <c r="B633" s="136" t="s">
        <v>774</v>
      </c>
      <c r="C633" s="115"/>
      <c r="D633" s="228"/>
      <c r="E633" s="117"/>
      <c r="F633" s="114">
        <f>SUM(F630:F632)</f>
        <v>20000</v>
      </c>
    </row>
    <row r="634" spans="1:6" x14ac:dyDescent="0.3">
      <c r="A634" s="111"/>
      <c r="B634" s="136" t="s">
        <v>775</v>
      </c>
      <c r="C634" s="115"/>
      <c r="D634" s="116"/>
      <c r="E634" s="117"/>
      <c r="F634" s="114">
        <f>F633+F628</f>
        <v>421420</v>
      </c>
    </row>
    <row r="635" spans="1:6" x14ac:dyDescent="0.25">
      <c r="A635" s="111"/>
      <c r="B635" s="134" t="s">
        <v>812</v>
      </c>
      <c r="C635" s="115"/>
      <c r="D635" s="116">
        <v>1.1499999999999999</v>
      </c>
      <c r="E635" s="117"/>
      <c r="F635" s="114">
        <f>+F634*D635</f>
        <v>484632.99999999994</v>
      </c>
    </row>
    <row r="636" spans="1:6" x14ac:dyDescent="0.25">
      <c r="A636" s="111"/>
      <c r="B636" s="134" t="s">
        <v>813</v>
      </c>
      <c r="C636" s="115"/>
      <c r="D636" s="116">
        <v>1.1499999999999999</v>
      </c>
      <c r="E636" s="117"/>
      <c r="F636" s="114"/>
    </row>
    <row r="637" spans="1:6" x14ac:dyDescent="0.35">
      <c r="A637" s="206" t="s">
        <v>75</v>
      </c>
      <c r="B637" s="207" t="s">
        <v>790</v>
      </c>
      <c r="C637" s="208" t="s">
        <v>38</v>
      </c>
      <c r="D637" s="208"/>
      <c r="E637" s="209"/>
      <c r="F637" s="209">
        <f>+D636*F635</f>
        <v>557327.94999999984</v>
      </c>
    </row>
    <row r="638" spans="1:6" x14ac:dyDescent="0.35">
      <c r="A638" s="206"/>
      <c r="B638" s="207"/>
      <c r="C638" s="208"/>
      <c r="D638" s="208"/>
      <c r="E638" s="210">
        <f>+E615</f>
        <v>3035.45</v>
      </c>
      <c r="F638" s="210">
        <f>+F637/E638</f>
        <v>183.6063680838096</v>
      </c>
    </row>
    <row r="639" spans="1:6" x14ac:dyDescent="0.35">
      <c r="A639" s="126"/>
      <c r="B639" s="127"/>
      <c r="C639" s="128"/>
      <c r="D639" s="128"/>
      <c r="E639" s="129"/>
      <c r="F639" s="129"/>
    </row>
    <row r="640" spans="1:6" x14ac:dyDescent="0.35">
      <c r="A640" s="130"/>
      <c r="B640" s="131"/>
      <c r="C640" s="132"/>
      <c r="D640" s="132"/>
      <c r="E640" s="133"/>
      <c r="F640" s="133"/>
    </row>
    <row r="641" spans="1:6" x14ac:dyDescent="0.35">
      <c r="A641" s="107" t="s">
        <v>69</v>
      </c>
      <c r="B641" s="108" t="s">
        <v>70</v>
      </c>
      <c r="C641" s="109"/>
      <c r="D641" s="109"/>
      <c r="E641" s="110"/>
      <c r="F641" s="110"/>
    </row>
    <row r="642" spans="1:6" x14ac:dyDescent="0.35">
      <c r="A642" s="211" t="s">
        <v>71</v>
      </c>
      <c r="B642" s="201" t="s">
        <v>800</v>
      </c>
      <c r="C642" s="200" t="s">
        <v>2</v>
      </c>
      <c r="D642" s="202" t="s">
        <v>765</v>
      </c>
      <c r="E642" s="203" t="s">
        <v>766</v>
      </c>
      <c r="F642" s="203" t="s">
        <v>767</v>
      </c>
    </row>
    <row r="643" spans="1:6" x14ac:dyDescent="0.35">
      <c r="A643" s="220" t="s">
        <v>77</v>
      </c>
      <c r="B643" s="214" t="s">
        <v>818</v>
      </c>
      <c r="C643" s="124" t="s">
        <v>38</v>
      </c>
      <c r="D643" s="124"/>
      <c r="E643" s="117"/>
      <c r="F643" s="117"/>
    </row>
    <row r="644" spans="1:6" x14ac:dyDescent="0.35">
      <c r="A644" s="107"/>
      <c r="B644" s="112" t="s">
        <v>769</v>
      </c>
      <c r="C644" s="109"/>
      <c r="D644" s="109"/>
      <c r="E644" s="110"/>
      <c r="F644" s="110"/>
    </row>
    <row r="645" spans="1:6" x14ac:dyDescent="0.35">
      <c r="A645" s="111"/>
      <c r="B645" s="112" t="s">
        <v>802</v>
      </c>
      <c r="C645" s="118"/>
      <c r="D645" s="118"/>
      <c r="E645" s="119"/>
      <c r="F645" s="119"/>
    </row>
    <row r="646" spans="1:6" x14ac:dyDescent="0.25">
      <c r="A646" s="111"/>
      <c r="B646" s="134" t="s">
        <v>803</v>
      </c>
      <c r="C646" s="115" t="s">
        <v>804</v>
      </c>
      <c r="D646" s="135">
        <v>6</v>
      </c>
      <c r="E646" s="117">
        <v>51000</v>
      </c>
      <c r="F646" s="121">
        <f>+SUM(D646*E646)</f>
        <v>306000</v>
      </c>
    </row>
    <row r="647" spans="1:6" x14ac:dyDescent="0.25">
      <c r="A647" s="111"/>
      <c r="B647" s="134" t="s">
        <v>805</v>
      </c>
      <c r="C647" s="115" t="s">
        <v>38</v>
      </c>
      <c r="D647" s="135">
        <v>0.4</v>
      </c>
      <c r="E647" s="117">
        <v>55000</v>
      </c>
      <c r="F647" s="121">
        <f>+SUM(D647*E647)</f>
        <v>22000</v>
      </c>
    </row>
    <row r="648" spans="1:6" x14ac:dyDescent="0.25">
      <c r="A648" s="111"/>
      <c r="B648" s="134" t="s">
        <v>806</v>
      </c>
      <c r="C648" s="115" t="s">
        <v>38</v>
      </c>
      <c r="D648" s="135">
        <v>0.8</v>
      </c>
      <c r="E648" s="117">
        <v>16000</v>
      </c>
      <c r="F648" s="121">
        <f>+SUM(D648*E648)</f>
        <v>12800</v>
      </c>
    </row>
    <row r="649" spans="1:6" x14ac:dyDescent="0.25">
      <c r="A649" s="111"/>
      <c r="B649" s="134" t="s">
        <v>819</v>
      </c>
      <c r="C649" s="115" t="s">
        <v>59</v>
      </c>
      <c r="D649" s="135">
        <v>2</v>
      </c>
      <c r="E649" s="117">
        <v>5000</v>
      </c>
      <c r="F649" s="121">
        <f>+SUM(D649*E649)</f>
        <v>10000</v>
      </c>
    </row>
    <row r="650" spans="1:6" x14ac:dyDescent="0.25">
      <c r="A650" s="111"/>
      <c r="B650" s="134" t="s">
        <v>807</v>
      </c>
      <c r="C650" s="115"/>
      <c r="D650" s="135">
        <v>0.5</v>
      </c>
      <c r="E650" s="117">
        <v>1000</v>
      </c>
      <c r="F650" s="121">
        <f>+SUM(D650*E650)</f>
        <v>500</v>
      </c>
    </row>
    <row r="651" spans="1:6" x14ac:dyDescent="0.3">
      <c r="A651" s="111"/>
      <c r="B651" s="136" t="s">
        <v>769</v>
      </c>
      <c r="C651" s="115"/>
      <c r="D651" s="116"/>
      <c r="E651" s="117"/>
      <c r="F651" s="114">
        <f>SUM(F646:F650)</f>
        <v>351300</v>
      </c>
    </row>
    <row r="652" spans="1:6" x14ac:dyDescent="0.3">
      <c r="A652" s="111"/>
      <c r="B652" s="136" t="s">
        <v>808</v>
      </c>
      <c r="C652" s="115"/>
      <c r="D652" s="116"/>
      <c r="E652" s="117"/>
      <c r="F652" s="114"/>
    </row>
    <row r="653" spans="1:6" x14ac:dyDescent="0.25">
      <c r="A653" s="111"/>
      <c r="B653" s="134" t="s">
        <v>820</v>
      </c>
      <c r="C653" s="115" t="s">
        <v>772</v>
      </c>
      <c r="D653" s="228">
        <v>0.5</v>
      </c>
      <c r="E653" s="117">
        <v>5000</v>
      </c>
      <c r="F653" s="121">
        <f>+D653*E653</f>
        <v>2500</v>
      </c>
    </row>
    <row r="654" spans="1:6" x14ac:dyDescent="0.25">
      <c r="A654" s="111"/>
      <c r="B654" s="134" t="s">
        <v>821</v>
      </c>
      <c r="C654" s="115" t="s">
        <v>772</v>
      </c>
      <c r="D654" s="228">
        <v>0.5</v>
      </c>
      <c r="E654" s="117">
        <v>5000</v>
      </c>
      <c r="F654" s="121">
        <f>+D654*E654</f>
        <v>2500</v>
      </c>
    </row>
    <row r="655" spans="1:6" x14ac:dyDescent="0.25">
      <c r="A655" s="111"/>
      <c r="B655" s="134" t="s">
        <v>822</v>
      </c>
      <c r="C655" s="115" t="s">
        <v>772</v>
      </c>
      <c r="D655" s="228">
        <v>0.5</v>
      </c>
      <c r="E655" s="117">
        <v>10000</v>
      </c>
      <c r="F655" s="121">
        <f>+D655*E655</f>
        <v>5000</v>
      </c>
    </row>
    <row r="656" spans="1:6" x14ac:dyDescent="0.25">
      <c r="A656" s="111"/>
      <c r="B656" s="134" t="s">
        <v>823</v>
      </c>
      <c r="C656" s="115" t="s">
        <v>772</v>
      </c>
      <c r="D656" s="228">
        <v>0.5</v>
      </c>
      <c r="E656" s="117">
        <v>10000</v>
      </c>
      <c r="F656" s="121">
        <f>+D656*E656</f>
        <v>5000</v>
      </c>
    </row>
    <row r="657" spans="1:6" x14ac:dyDescent="0.3">
      <c r="A657" s="111"/>
      <c r="B657" s="136" t="s">
        <v>774</v>
      </c>
      <c r="C657" s="115"/>
      <c r="D657" s="228"/>
      <c r="E657" s="117"/>
      <c r="F657" s="114">
        <f>SUM(F653:F656)</f>
        <v>15000</v>
      </c>
    </row>
    <row r="658" spans="1:6" x14ac:dyDescent="0.3">
      <c r="A658" s="111"/>
      <c r="B658" s="136" t="s">
        <v>775</v>
      </c>
      <c r="C658" s="115"/>
      <c r="D658" s="116"/>
      <c r="E658" s="117"/>
      <c r="F658" s="114">
        <f>F657+F651</f>
        <v>366300</v>
      </c>
    </row>
    <row r="659" spans="1:6" x14ac:dyDescent="0.25">
      <c r="A659" s="111"/>
      <c r="B659" s="134" t="s">
        <v>824</v>
      </c>
      <c r="C659" s="115"/>
      <c r="D659" s="116">
        <v>1.1000000000000001</v>
      </c>
      <c r="E659" s="117"/>
      <c r="F659" s="114">
        <f>+F658*D659</f>
        <v>402930.00000000006</v>
      </c>
    </row>
    <row r="660" spans="1:6" x14ac:dyDescent="0.25">
      <c r="A660" s="111"/>
      <c r="B660" s="134" t="s">
        <v>825</v>
      </c>
      <c r="C660" s="115"/>
      <c r="D660" s="116">
        <v>1.1000000000000001</v>
      </c>
      <c r="E660" s="117"/>
      <c r="F660" s="114"/>
    </row>
    <row r="661" spans="1:6" x14ac:dyDescent="0.35">
      <c r="A661" s="206" t="s">
        <v>77</v>
      </c>
      <c r="B661" s="207" t="s">
        <v>790</v>
      </c>
      <c r="C661" s="208" t="s">
        <v>38</v>
      </c>
      <c r="D661" s="208"/>
      <c r="E661" s="209"/>
      <c r="F661" s="209">
        <f>+D660*F659</f>
        <v>443223.00000000012</v>
      </c>
    </row>
    <row r="662" spans="1:6" x14ac:dyDescent="0.35">
      <c r="A662" s="206"/>
      <c r="B662" s="207"/>
      <c r="C662" s="208"/>
      <c r="D662" s="208"/>
      <c r="E662" s="210">
        <f>+E638</f>
        <v>3035.45</v>
      </c>
      <c r="F662" s="210">
        <f>+F661/E662</f>
        <v>146.01558253306763</v>
      </c>
    </row>
    <row r="663" spans="1:6" x14ac:dyDescent="0.35">
      <c r="A663" s="126"/>
      <c r="B663" s="127"/>
      <c r="C663" s="128"/>
      <c r="D663" s="128"/>
      <c r="E663" s="129"/>
      <c r="F663" s="129"/>
    </row>
    <row r="664" spans="1:6" x14ac:dyDescent="0.35">
      <c r="A664" s="130"/>
      <c r="B664" s="131"/>
      <c r="C664" s="132"/>
      <c r="D664" s="132"/>
      <c r="E664" s="133"/>
      <c r="F664" s="133"/>
    </row>
    <row r="665" spans="1:6" x14ac:dyDescent="0.35">
      <c r="A665" s="107" t="s">
        <v>69</v>
      </c>
      <c r="B665" s="108" t="s">
        <v>70</v>
      </c>
      <c r="C665" s="109"/>
      <c r="D665" s="109"/>
      <c r="E665" s="110"/>
      <c r="F665" s="110"/>
    </row>
    <row r="666" spans="1:6" x14ac:dyDescent="0.35">
      <c r="A666" s="211" t="s">
        <v>71</v>
      </c>
      <c r="B666" s="201" t="s">
        <v>800</v>
      </c>
      <c r="C666" s="200" t="s">
        <v>2</v>
      </c>
      <c r="D666" s="202" t="s">
        <v>765</v>
      </c>
      <c r="E666" s="203" t="s">
        <v>766</v>
      </c>
      <c r="F666" s="203" t="s">
        <v>767</v>
      </c>
    </row>
    <row r="667" spans="1:6" x14ac:dyDescent="0.35">
      <c r="A667" s="220" t="s">
        <v>78</v>
      </c>
      <c r="B667" s="214" t="s">
        <v>689</v>
      </c>
      <c r="C667" s="124" t="s">
        <v>38</v>
      </c>
      <c r="D667" s="124"/>
      <c r="E667" s="117"/>
      <c r="F667" s="117"/>
    </row>
    <row r="668" spans="1:6" x14ac:dyDescent="0.35">
      <c r="A668" s="107"/>
      <c r="B668" s="112" t="s">
        <v>769</v>
      </c>
      <c r="C668" s="109"/>
      <c r="D668" s="109"/>
      <c r="E668" s="110"/>
      <c r="F668" s="110"/>
    </row>
    <row r="669" spans="1:6" x14ac:dyDescent="0.35">
      <c r="A669" s="111"/>
      <c r="B669" s="112" t="s">
        <v>802</v>
      </c>
      <c r="C669" s="118"/>
      <c r="D669" s="118"/>
      <c r="E669" s="119"/>
      <c r="F669" s="119"/>
    </row>
    <row r="670" spans="1:6" x14ac:dyDescent="0.25">
      <c r="A670" s="111"/>
      <c r="B670" s="134" t="s">
        <v>803</v>
      </c>
      <c r="C670" s="115" t="s">
        <v>804</v>
      </c>
      <c r="D670" s="135">
        <v>6</v>
      </c>
      <c r="E670" s="117">
        <v>51000</v>
      </c>
      <c r="F670" s="121">
        <f>+SUM(D670*E670)</f>
        <v>306000</v>
      </c>
    </row>
    <row r="671" spans="1:6" x14ac:dyDescent="0.25">
      <c r="A671" s="111"/>
      <c r="B671" s="134" t="s">
        <v>805</v>
      </c>
      <c r="C671" s="115" t="s">
        <v>38</v>
      </c>
      <c r="D671" s="135">
        <v>0.4</v>
      </c>
      <c r="E671" s="117">
        <v>55000</v>
      </c>
      <c r="F671" s="121">
        <f>+SUM(D671*E671)</f>
        <v>22000</v>
      </c>
    </row>
    <row r="672" spans="1:6" x14ac:dyDescent="0.25">
      <c r="A672" s="111"/>
      <c r="B672" s="134" t="s">
        <v>806</v>
      </c>
      <c r="C672" s="115" t="s">
        <v>38</v>
      </c>
      <c r="D672" s="135">
        <v>0.8</v>
      </c>
      <c r="E672" s="117">
        <v>16000</v>
      </c>
      <c r="F672" s="121">
        <f>+SUM(D672*E672)</f>
        <v>12800</v>
      </c>
    </row>
    <row r="673" spans="1:6" x14ac:dyDescent="0.25">
      <c r="A673" s="111"/>
      <c r="B673" s="134" t="s">
        <v>807</v>
      </c>
      <c r="C673" s="115" t="s">
        <v>38</v>
      </c>
      <c r="D673" s="135">
        <v>0.5</v>
      </c>
      <c r="E673" s="117">
        <v>1000</v>
      </c>
      <c r="F673" s="121">
        <f>+SUM(D673*E673)</f>
        <v>500</v>
      </c>
    </row>
    <row r="674" spans="1:6" x14ac:dyDescent="0.3">
      <c r="A674" s="111"/>
      <c r="B674" s="136" t="s">
        <v>769</v>
      </c>
      <c r="C674" s="115"/>
      <c r="D674" s="116"/>
      <c r="E674" s="117"/>
      <c r="F674" s="114">
        <f>SUM(F670:F673)</f>
        <v>341300</v>
      </c>
    </row>
    <row r="675" spans="1:6" x14ac:dyDescent="0.3">
      <c r="A675" s="111"/>
      <c r="B675" s="136" t="s">
        <v>808</v>
      </c>
      <c r="C675" s="115"/>
      <c r="D675" s="116"/>
      <c r="E675" s="117"/>
      <c r="F675" s="114"/>
    </row>
    <row r="676" spans="1:6" x14ac:dyDescent="0.25">
      <c r="A676" s="111"/>
      <c r="B676" s="134" t="s">
        <v>820</v>
      </c>
      <c r="C676" s="115" t="s">
        <v>772</v>
      </c>
      <c r="D676" s="228">
        <v>8</v>
      </c>
      <c r="E676" s="117">
        <v>5000</v>
      </c>
      <c r="F676" s="121">
        <f>+D676*E676</f>
        <v>40000</v>
      </c>
    </row>
    <row r="677" spans="1:6" x14ac:dyDescent="0.25">
      <c r="A677" s="111"/>
      <c r="B677" s="134" t="s">
        <v>821</v>
      </c>
      <c r="C677" s="115" t="s">
        <v>772</v>
      </c>
      <c r="D677" s="228">
        <v>3</v>
      </c>
      <c r="E677" s="117">
        <v>5000</v>
      </c>
      <c r="F677" s="121">
        <f>+D677*E677</f>
        <v>15000</v>
      </c>
    </row>
    <row r="678" spans="1:6" x14ac:dyDescent="0.25">
      <c r="A678" s="111"/>
      <c r="B678" s="134" t="s">
        <v>823</v>
      </c>
      <c r="C678" s="115" t="s">
        <v>772</v>
      </c>
      <c r="D678" s="228">
        <v>8</v>
      </c>
      <c r="E678" s="117">
        <v>10000</v>
      </c>
      <c r="F678" s="121">
        <f>+D678*E678</f>
        <v>80000</v>
      </c>
    </row>
    <row r="679" spans="1:6" x14ac:dyDescent="0.3">
      <c r="A679" s="111"/>
      <c r="B679" s="136" t="s">
        <v>774</v>
      </c>
      <c r="C679" s="115"/>
      <c r="D679" s="228"/>
      <c r="E679" s="117"/>
      <c r="F679" s="114">
        <f>SUM(F676:F678)</f>
        <v>135000</v>
      </c>
    </row>
    <row r="680" spans="1:6" x14ac:dyDescent="0.3">
      <c r="A680" s="111"/>
      <c r="B680" s="136" t="s">
        <v>775</v>
      </c>
      <c r="C680" s="115"/>
      <c r="D680" s="116"/>
      <c r="E680" s="117"/>
      <c r="F680" s="114">
        <f>F679+F674</f>
        <v>476300</v>
      </c>
    </row>
    <row r="681" spans="1:6" x14ac:dyDescent="0.25">
      <c r="A681" s="111"/>
      <c r="B681" s="134" t="s">
        <v>812</v>
      </c>
      <c r="C681" s="115"/>
      <c r="D681" s="116">
        <v>1.1499999999999999</v>
      </c>
      <c r="E681" s="117"/>
      <c r="F681" s="114">
        <f>+F680*D681</f>
        <v>547745</v>
      </c>
    </row>
    <row r="682" spans="1:6" x14ac:dyDescent="0.25">
      <c r="A682" s="111"/>
      <c r="B682" s="134" t="s">
        <v>826</v>
      </c>
      <c r="C682" s="115"/>
      <c r="D682" s="116">
        <v>1.2</v>
      </c>
      <c r="E682" s="117"/>
      <c r="F682" s="114"/>
    </row>
    <row r="683" spans="1:6" x14ac:dyDescent="0.35">
      <c r="A683" s="206" t="s">
        <v>78</v>
      </c>
      <c r="B683" s="207" t="s">
        <v>790</v>
      </c>
      <c r="C683" s="208" t="s">
        <v>38</v>
      </c>
      <c r="D683" s="208"/>
      <c r="E683" s="209"/>
      <c r="F683" s="209">
        <f>+D682*F681</f>
        <v>657294</v>
      </c>
    </row>
    <row r="684" spans="1:6" x14ac:dyDescent="0.35">
      <c r="A684" s="206"/>
      <c r="B684" s="207"/>
      <c r="C684" s="208"/>
      <c r="D684" s="208"/>
      <c r="E684" s="210">
        <f>+E662</f>
        <v>3035.45</v>
      </c>
      <c r="F684" s="210">
        <f>+F683/E684</f>
        <v>216.53922812103644</v>
      </c>
    </row>
    <row r="685" spans="1:6" x14ac:dyDescent="0.35">
      <c r="A685" s="126"/>
      <c r="B685" s="127"/>
      <c r="C685" s="128"/>
      <c r="D685" s="128"/>
      <c r="E685" s="129"/>
      <c r="F685" s="129"/>
    </row>
    <row r="686" spans="1:6" x14ac:dyDescent="0.35">
      <c r="A686" s="105"/>
      <c r="B686" s="106"/>
      <c r="C686" s="101"/>
      <c r="D686" s="101"/>
      <c r="E686" s="102"/>
      <c r="F686" s="102"/>
    </row>
    <row r="687" spans="1:6" x14ac:dyDescent="0.35">
      <c r="A687" s="107" t="s">
        <v>69</v>
      </c>
      <c r="B687" s="108" t="s">
        <v>70</v>
      </c>
      <c r="C687" s="109"/>
      <c r="D687" s="109"/>
      <c r="E687" s="110"/>
      <c r="F687" s="110"/>
    </row>
    <row r="688" spans="1:6" x14ac:dyDescent="0.35">
      <c r="A688" s="211" t="s">
        <v>620</v>
      </c>
      <c r="B688" s="201" t="s">
        <v>761</v>
      </c>
      <c r="C688" s="200" t="s">
        <v>2</v>
      </c>
      <c r="D688" s="202" t="s">
        <v>765</v>
      </c>
      <c r="E688" s="203" t="s">
        <v>766</v>
      </c>
      <c r="F688" s="203" t="s">
        <v>767</v>
      </c>
    </row>
    <row r="689" spans="1:6" x14ac:dyDescent="0.35">
      <c r="A689" s="220"/>
      <c r="B689" s="214" t="s">
        <v>827</v>
      </c>
      <c r="C689" s="124" t="s">
        <v>38</v>
      </c>
      <c r="D689" s="124"/>
      <c r="E689" s="117"/>
      <c r="F689" s="117"/>
    </row>
    <row r="690" spans="1:6" x14ac:dyDescent="0.35">
      <c r="A690" s="220" t="s">
        <v>81</v>
      </c>
      <c r="B690" s="205" t="s">
        <v>828</v>
      </c>
      <c r="C690" s="109"/>
      <c r="D690" s="109"/>
      <c r="E690" s="110"/>
      <c r="F690" s="110"/>
    </row>
    <row r="691" spans="1:6" x14ac:dyDescent="0.35">
      <c r="A691" s="111"/>
      <c r="B691" s="112" t="s">
        <v>802</v>
      </c>
      <c r="C691" s="118"/>
      <c r="D691" s="118"/>
      <c r="E691" s="119"/>
      <c r="F691" s="119"/>
    </row>
    <row r="692" spans="1:6" x14ac:dyDescent="0.25">
      <c r="A692" s="111"/>
      <c r="B692" s="134" t="s">
        <v>803</v>
      </c>
      <c r="C692" s="115" t="s">
        <v>804</v>
      </c>
      <c r="D692" s="135">
        <v>7</v>
      </c>
      <c r="E692" s="117">
        <v>51000</v>
      </c>
      <c r="F692" s="121">
        <f t="shared" ref="F692:F699" si="0">+SUM(D692*E692)</f>
        <v>357000</v>
      </c>
    </row>
    <row r="693" spans="1:6" x14ac:dyDescent="0.25">
      <c r="A693" s="111"/>
      <c r="B693" s="134" t="s">
        <v>805</v>
      </c>
      <c r="C693" s="115" t="s">
        <v>38</v>
      </c>
      <c r="D693" s="135">
        <v>0.5</v>
      </c>
      <c r="E693" s="117">
        <v>55000</v>
      </c>
      <c r="F693" s="121">
        <f t="shared" si="0"/>
        <v>27500</v>
      </c>
    </row>
    <row r="694" spans="1:6" x14ac:dyDescent="0.25">
      <c r="A694" s="111"/>
      <c r="B694" s="134" t="s">
        <v>806</v>
      </c>
      <c r="C694" s="115" t="s">
        <v>38</v>
      </c>
      <c r="D694" s="135">
        <v>0.9</v>
      </c>
      <c r="E694" s="117">
        <v>16000</v>
      </c>
      <c r="F694" s="121">
        <f t="shared" si="0"/>
        <v>14400</v>
      </c>
    </row>
    <row r="695" spans="1:6" x14ac:dyDescent="0.25">
      <c r="A695" s="111"/>
      <c r="B695" s="120" t="s">
        <v>829</v>
      </c>
      <c r="C695" s="115" t="s">
        <v>59</v>
      </c>
      <c r="D695" s="135">
        <v>5.5</v>
      </c>
      <c r="E695" s="117">
        <v>60000</v>
      </c>
      <c r="F695" s="121">
        <f t="shared" si="0"/>
        <v>330000</v>
      </c>
    </row>
    <row r="696" spans="1:6" x14ac:dyDescent="0.25">
      <c r="A696" s="111"/>
      <c r="B696" s="120" t="s">
        <v>830</v>
      </c>
      <c r="C696" s="115" t="s">
        <v>59</v>
      </c>
      <c r="D696" s="135">
        <v>6</v>
      </c>
      <c r="E696" s="117">
        <v>7500</v>
      </c>
      <c r="F696" s="121">
        <f t="shared" si="0"/>
        <v>45000</v>
      </c>
    </row>
    <row r="697" spans="1:6" x14ac:dyDescent="0.25">
      <c r="A697" s="111"/>
      <c r="B697" s="120" t="s">
        <v>831</v>
      </c>
      <c r="C697" s="115" t="s">
        <v>832</v>
      </c>
      <c r="D697" s="135">
        <v>2</v>
      </c>
      <c r="E697" s="117">
        <v>8000</v>
      </c>
      <c r="F697" s="121">
        <f t="shared" si="0"/>
        <v>16000</v>
      </c>
    </row>
    <row r="698" spans="1:6" x14ac:dyDescent="0.25">
      <c r="A698" s="111"/>
      <c r="B698" s="120" t="s">
        <v>833</v>
      </c>
      <c r="C698" s="115" t="s">
        <v>832</v>
      </c>
      <c r="D698" s="135">
        <v>3</v>
      </c>
      <c r="E698" s="117">
        <v>5500</v>
      </c>
      <c r="F698" s="121">
        <f t="shared" si="0"/>
        <v>16500</v>
      </c>
    </row>
    <row r="699" spans="1:6" x14ac:dyDescent="0.25">
      <c r="A699" s="111"/>
      <c r="B699" s="120" t="s">
        <v>807</v>
      </c>
      <c r="C699" s="115" t="s">
        <v>38</v>
      </c>
      <c r="D699" s="135">
        <v>0.5</v>
      </c>
      <c r="E699" s="117">
        <v>1000</v>
      </c>
      <c r="F699" s="121">
        <f t="shared" si="0"/>
        <v>500</v>
      </c>
    </row>
    <row r="700" spans="1:6" x14ac:dyDescent="0.3">
      <c r="A700" s="111"/>
      <c r="B700" s="136" t="s">
        <v>769</v>
      </c>
      <c r="C700" s="115"/>
      <c r="D700" s="116"/>
      <c r="E700" s="117"/>
      <c r="F700" s="114">
        <f>SUM(F692:F699)</f>
        <v>806900</v>
      </c>
    </row>
    <row r="701" spans="1:6" x14ac:dyDescent="0.3">
      <c r="A701" s="111"/>
      <c r="B701" s="136" t="s">
        <v>808</v>
      </c>
      <c r="C701" s="115"/>
      <c r="D701" s="116"/>
      <c r="E701" s="117"/>
      <c r="F701" s="114"/>
    </row>
    <row r="702" spans="1:6" x14ac:dyDescent="0.25">
      <c r="A702" s="111"/>
      <c r="B702" s="134" t="s">
        <v>820</v>
      </c>
      <c r="C702" s="115" t="s">
        <v>772</v>
      </c>
      <c r="D702" s="228">
        <v>8</v>
      </c>
      <c r="E702" s="117">
        <v>7500</v>
      </c>
      <c r="F702" s="121">
        <f>+D702*E702</f>
        <v>60000</v>
      </c>
    </row>
    <row r="703" spans="1:6" x14ac:dyDescent="0.25">
      <c r="A703" s="111"/>
      <c r="B703" s="134" t="s">
        <v>821</v>
      </c>
      <c r="C703" s="115" t="s">
        <v>772</v>
      </c>
      <c r="D703" s="228">
        <v>3</v>
      </c>
      <c r="E703" s="117">
        <v>7500</v>
      </c>
      <c r="F703" s="121">
        <f>+D703*E703</f>
        <v>22500</v>
      </c>
    </row>
    <row r="704" spans="1:6" x14ac:dyDescent="0.25">
      <c r="A704" s="111"/>
      <c r="B704" s="134" t="s">
        <v>773</v>
      </c>
      <c r="C704" s="115" t="s">
        <v>772</v>
      </c>
      <c r="D704" s="228">
        <v>4</v>
      </c>
      <c r="E704" s="117">
        <v>15000</v>
      </c>
      <c r="F704" s="121">
        <f>+D704*E704</f>
        <v>60000</v>
      </c>
    </row>
    <row r="705" spans="1:6" x14ac:dyDescent="0.25">
      <c r="A705" s="111"/>
      <c r="B705" s="134" t="s">
        <v>834</v>
      </c>
      <c r="C705" s="115" t="s">
        <v>772</v>
      </c>
      <c r="D705" s="228">
        <v>4</v>
      </c>
      <c r="E705" s="117">
        <v>15000</v>
      </c>
      <c r="F705" s="121">
        <f>+D705*E705</f>
        <v>60000</v>
      </c>
    </row>
    <row r="706" spans="1:6" x14ac:dyDescent="0.25">
      <c r="A706" s="111"/>
      <c r="B706" s="134" t="s">
        <v>823</v>
      </c>
      <c r="C706" s="115" t="s">
        <v>772</v>
      </c>
      <c r="D706" s="228">
        <v>2</v>
      </c>
      <c r="E706" s="117">
        <v>15000</v>
      </c>
      <c r="F706" s="121">
        <f>+D706*E706</f>
        <v>30000</v>
      </c>
    </row>
    <row r="707" spans="1:6" x14ac:dyDescent="0.3">
      <c r="A707" s="111"/>
      <c r="B707" s="136" t="s">
        <v>774</v>
      </c>
      <c r="C707" s="115"/>
      <c r="D707" s="228"/>
      <c r="E707" s="117"/>
      <c r="F707" s="114">
        <f>SUM(F702:F706)</f>
        <v>232500</v>
      </c>
    </row>
    <row r="708" spans="1:6" x14ac:dyDescent="0.3">
      <c r="A708" s="111"/>
      <c r="B708" s="136" t="s">
        <v>775</v>
      </c>
      <c r="C708" s="115"/>
      <c r="D708" s="116"/>
      <c r="E708" s="117"/>
      <c r="F708" s="114">
        <f>F707+F700</f>
        <v>1039400</v>
      </c>
    </row>
    <row r="709" spans="1:6" x14ac:dyDescent="0.25">
      <c r="A709" s="111"/>
      <c r="B709" s="134" t="s">
        <v>776</v>
      </c>
      <c r="C709" s="115"/>
      <c r="D709" s="116">
        <v>1.25</v>
      </c>
      <c r="E709" s="117"/>
      <c r="F709" s="114">
        <f>+F708*D709</f>
        <v>1299250</v>
      </c>
    </row>
    <row r="710" spans="1:6" x14ac:dyDescent="0.25">
      <c r="A710" s="111"/>
      <c r="B710" s="134" t="s">
        <v>835</v>
      </c>
      <c r="C710" s="115"/>
      <c r="D710" s="116">
        <v>1.25</v>
      </c>
      <c r="E710" s="117"/>
      <c r="F710" s="114"/>
    </row>
    <row r="711" spans="1:6" x14ac:dyDescent="0.35">
      <c r="A711" s="229" t="s">
        <v>81</v>
      </c>
      <c r="B711" s="207" t="s">
        <v>790</v>
      </c>
      <c r="C711" s="208" t="s">
        <v>38</v>
      </c>
      <c r="D711" s="208"/>
      <c r="E711" s="209"/>
      <c r="F711" s="209">
        <f>+D710*F709</f>
        <v>1624062.5</v>
      </c>
    </row>
    <row r="712" spans="1:6" x14ac:dyDescent="0.35">
      <c r="A712" s="206"/>
      <c r="B712" s="207"/>
      <c r="C712" s="208"/>
      <c r="D712" s="208"/>
      <c r="E712" s="210">
        <f>+E684</f>
        <v>3035.45</v>
      </c>
      <c r="F712" s="210">
        <f>+F711/E712</f>
        <v>535.03187336309281</v>
      </c>
    </row>
    <row r="713" spans="1:6" x14ac:dyDescent="0.35">
      <c r="A713" s="126"/>
      <c r="B713" s="127"/>
      <c r="C713" s="128"/>
      <c r="D713" s="128"/>
      <c r="E713" s="129"/>
      <c r="F713" s="129"/>
    </row>
    <row r="714" spans="1:6" x14ac:dyDescent="0.35">
      <c r="A714" s="130"/>
      <c r="B714" s="131"/>
      <c r="C714" s="132"/>
      <c r="D714" s="132"/>
      <c r="E714" s="133"/>
      <c r="F714" s="133"/>
    </row>
    <row r="715" spans="1:6" x14ac:dyDescent="0.35">
      <c r="A715" s="107" t="s">
        <v>69</v>
      </c>
      <c r="B715" s="108" t="s">
        <v>70</v>
      </c>
      <c r="C715" s="109"/>
      <c r="D715" s="109"/>
      <c r="E715" s="110"/>
      <c r="F715" s="110"/>
    </row>
    <row r="716" spans="1:6" x14ac:dyDescent="0.35">
      <c r="A716" s="211" t="s">
        <v>620</v>
      </c>
      <c r="B716" s="201" t="s">
        <v>761</v>
      </c>
      <c r="C716" s="200" t="s">
        <v>2</v>
      </c>
      <c r="D716" s="202" t="s">
        <v>765</v>
      </c>
      <c r="E716" s="203" t="s">
        <v>766</v>
      </c>
      <c r="F716" s="203" t="s">
        <v>767</v>
      </c>
    </row>
    <row r="717" spans="1:6" x14ac:dyDescent="0.35">
      <c r="A717" s="220"/>
      <c r="B717" s="214" t="s">
        <v>827</v>
      </c>
      <c r="C717" s="124" t="s">
        <v>38</v>
      </c>
      <c r="D717" s="124"/>
      <c r="E717" s="117"/>
      <c r="F717" s="117"/>
    </row>
    <row r="718" spans="1:6" x14ac:dyDescent="0.35">
      <c r="A718" s="220" t="s">
        <v>82</v>
      </c>
      <c r="B718" s="214" t="s">
        <v>836</v>
      </c>
      <c r="C718" s="109"/>
      <c r="D718" s="109"/>
      <c r="E718" s="110"/>
      <c r="F718" s="110"/>
    </row>
    <row r="719" spans="1:6" x14ac:dyDescent="0.35">
      <c r="A719" s="111"/>
      <c r="B719" s="112" t="s">
        <v>802</v>
      </c>
      <c r="C719" s="118"/>
      <c r="D719" s="118"/>
      <c r="E719" s="119"/>
      <c r="F719" s="119"/>
    </row>
    <row r="720" spans="1:6" x14ac:dyDescent="0.25">
      <c r="A720" s="111"/>
      <c r="B720" s="134" t="s">
        <v>803</v>
      </c>
      <c r="C720" s="115" t="s">
        <v>804</v>
      </c>
      <c r="D720" s="135">
        <v>7</v>
      </c>
      <c r="E720" s="117">
        <v>51000</v>
      </c>
      <c r="F720" s="121">
        <f t="shared" ref="F720:F728" si="1">+SUM(D720*E720)</f>
        <v>357000</v>
      </c>
    </row>
    <row r="721" spans="1:6" x14ac:dyDescent="0.25">
      <c r="A721" s="111"/>
      <c r="B721" s="134" t="s">
        <v>805</v>
      </c>
      <c r="C721" s="115" t="s">
        <v>38</v>
      </c>
      <c r="D721" s="135">
        <v>0.5</v>
      </c>
      <c r="E721" s="117">
        <v>55000</v>
      </c>
      <c r="F721" s="121">
        <f t="shared" si="1"/>
        <v>27500</v>
      </c>
    </row>
    <row r="722" spans="1:6" x14ac:dyDescent="0.25">
      <c r="A722" s="111"/>
      <c r="B722" s="134" t="s">
        <v>806</v>
      </c>
      <c r="C722" s="115" t="s">
        <v>38</v>
      </c>
      <c r="D722" s="135">
        <v>0.9</v>
      </c>
      <c r="E722" s="117">
        <v>16000</v>
      </c>
      <c r="F722" s="121">
        <f t="shared" si="1"/>
        <v>14400</v>
      </c>
    </row>
    <row r="723" spans="1:6" x14ac:dyDescent="0.25">
      <c r="A723" s="111"/>
      <c r="B723" s="120" t="s">
        <v>829</v>
      </c>
      <c r="C723" s="115" t="s">
        <v>59</v>
      </c>
      <c r="D723" s="135">
        <v>6.5</v>
      </c>
      <c r="E723" s="117">
        <v>60000</v>
      </c>
      <c r="F723" s="121">
        <f t="shared" si="1"/>
        <v>390000</v>
      </c>
    </row>
    <row r="724" spans="1:6" x14ac:dyDescent="0.25">
      <c r="A724" s="111"/>
      <c r="B724" s="120" t="s">
        <v>837</v>
      </c>
      <c r="C724" s="115" t="s">
        <v>59</v>
      </c>
      <c r="D724" s="135">
        <v>11</v>
      </c>
      <c r="E724" s="117">
        <v>23000</v>
      </c>
      <c r="F724" s="121">
        <f t="shared" si="1"/>
        <v>253000</v>
      </c>
    </row>
    <row r="725" spans="1:6" x14ac:dyDescent="0.25">
      <c r="A725" s="111"/>
      <c r="B725" s="120" t="s">
        <v>830</v>
      </c>
      <c r="C725" s="115" t="s">
        <v>59</v>
      </c>
      <c r="D725" s="135">
        <v>6</v>
      </c>
      <c r="E725" s="117">
        <v>7500</v>
      </c>
      <c r="F725" s="121">
        <f t="shared" si="1"/>
        <v>45000</v>
      </c>
    </row>
    <row r="726" spans="1:6" x14ac:dyDescent="0.25">
      <c r="A726" s="111"/>
      <c r="B726" s="120" t="s">
        <v>831</v>
      </c>
      <c r="C726" s="115" t="s">
        <v>832</v>
      </c>
      <c r="D726" s="135">
        <v>2.5</v>
      </c>
      <c r="E726" s="117">
        <v>8000</v>
      </c>
      <c r="F726" s="121">
        <f t="shared" si="1"/>
        <v>20000</v>
      </c>
    </row>
    <row r="727" spans="1:6" x14ac:dyDescent="0.25">
      <c r="A727" s="111"/>
      <c r="B727" s="120" t="s">
        <v>833</v>
      </c>
      <c r="C727" s="115" t="s">
        <v>832</v>
      </c>
      <c r="D727" s="135">
        <v>3.5</v>
      </c>
      <c r="E727" s="117">
        <v>5500</v>
      </c>
      <c r="F727" s="121">
        <f t="shared" si="1"/>
        <v>19250</v>
      </c>
    </row>
    <row r="728" spans="1:6" x14ac:dyDescent="0.25">
      <c r="A728" s="111"/>
      <c r="B728" s="120" t="s">
        <v>807</v>
      </c>
      <c r="C728" s="115" t="s">
        <v>38</v>
      </c>
      <c r="D728" s="135">
        <v>0.5</v>
      </c>
      <c r="E728" s="117">
        <v>1000</v>
      </c>
      <c r="F728" s="121">
        <f t="shared" si="1"/>
        <v>500</v>
      </c>
    </row>
    <row r="729" spans="1:6" x14ac:dyDescent="0.3">
      <c r="A729" s="111"/>
      <c r="B729" s="136" t="s">
        <v>769</v>
      </c>
      <c r="C729" s="115"/>
      <c r="D729" s="116"/>
      <c r="E729" s="117"/>
      <c r="F729" s="114">
        <f>SUM(F720:F728)</f>
        <v>1126650</v>
      </c>
    </row>
    <row r="730" spans="1:6" x14ac:dyDescent="0.3">
      <c r="A730" s="111"/>
      <c r="B730" s="136" t="s">
        <v>808</v>
      </c>
      <c r="C730" s="115"/>
      <c r="D730" s="116"/>
      <c r="E730" s="117"/>
      <c r="F730" s="114"/>
    </row>
    <row r="731" spans="1:6" x14ac:dyDescent="0.25">
      <c r="A731" s="111"/>
      <c r="B731" s="134" t="s">
        <v>820</v>
      </c>
      <c r="C731" s="115" t="s">
        <v>772</v>
      </c>
      <c r="D731" s="228">
        <v>4</v>
      </c>
      <c r="E731" s="117">
        <v>7500</v>
      </c>
      <c r="F731" s="121">
        <f>+D731*E731</f>
        <v>30000</v>
      </c>
    </row>
    <row r="732" spans="1:6" x14ac:dyDescent="0.25">
      <c r="A732" s="111"/>
      <c r="B732" s="134" t="s">
        <v>821</v>
      </c>
      <c r="C732" s="115" t="s">
        <v>772</v>
      </c>
      <c r="D732" s="228">
        <v>1</v>
      </c>
      <c r="E732" s="117">
        <v>7500</v>
      </c>
      <c r="F732" s="121">
        <f>+D732*E732</f>
        <v>7500</v>
      </c>
    </row>
    <row r="733" spans="1:6" x14ac:dyDescent="0.25">
      <c r="A733" s="111"/>
      <c r="B733" s="134" t="s">
        <v>773</v>
      </c>
      <c r="C733" s="115" t="s">
        <v>772</v>
      </c>
      <c r="D733" s="228">
        <v>2</v>
      </c>
      <c r="E733" s="117">
        <v>15000</v>
      </c>
      <c r="F733" s="121">
        <f>+D733*E733</f>
        <v>30000</v>
      </c>
    </row>
    <row r="734" spans="1:6" x14ac:dyDescent="0.25">
      <c r="A734" s="111"/>
      <c r="B734" s="134" t="s">
        <v>834</v>
      </c>
      <c r="C734" s="115" t="s">
        <v>772</v>
      </c>
      <c r="D734" s="228">
        <v>2</v>
      </c>
      <c r="E734" s="117">
        <v>15000</v>
      </c>
      <c r="F734" s="121">
        <f>+D734*E734</f>
        <v>30000</v>
      </c>
    </row>
    <row r="735" spans="1:6" x14ac:dyDescent="0.25">
      <c r="A735" s="111"/>
      <c r="B735" s="134" t="s">
        <v>823</v>
      </c>
      <c r="C735" s="115" t="s">
        <v>772</v>
      </c>
      <c r="D735" s="228">
        <v>1</v>
      </c>
      <c r="E735" s="117">
        <v>15000</v>
      </c>
      <c r="F735" s="121">
        <f>+D735*E735</f>
        <v>15000</v>
      </c>
    </row>
    <row r="736" spans="1:6" x14ac:dyDescent="0.3">
      <c r="A736" s="111"/>
      <c r="B736" s="136" t="s">
        <v>774</v>
      </c>
      <c r="C736" s="115"/>
      <c r="D736" s="228"/>
      <c r="E736" s="117"/>
      <c r="F736" s="114">
        <f>SUM(F731:F735)</f>
        <v>112500</v>
      </c>
    </row>
    <row r="737" spans="1:6" x14ac:dyDescent="0.3">
      <c r="A737" s="111"/>
      <c r="B737" s="136" t="s">
        <v>775</v>
      </c>
      <c r="C737" s="115"/>
      <c r="D737" s="116"/>
      <c r="E737" s="117"/>
      <c r="F737" s="114">
        <f>F736+F729</f>
        <v>1239150</v>
      </c>
    </row>
    <row r="738" spans="1:6" x14ac:dyDescent="0.25">
      <c r="A738" s="111"/>
      <c r="B738" s="134" t="s">
        <v>776</v>
      </c>
      <c r="C738" s="115"/>
      <c r="D738" s="116">
        <v>1.25</v>
      </c>
      <c r="E738" s="117"/>
      <c r="F738" s="114">
        <f>+F737*D738</f>
        <v>1548937.5</v>
      </c>
    </row>
    <row r="739" spans="1:6" x14ac:dyDescent="0.25">
      <c r="A739" s="111"/>
      <c r="B739" s="134" t="s">
        <v>835</v>
      </c>
      <c r="C739" s="115"/>
      <c r="D739" s="116">
        <v>1.25</v>
      </c>
      <c r="E739" s="117"/>
      <c r="F739" s="114"/>
    </row>
    <row r="740" spans="1:6" x14ac:dyDescent="0.35">
      <c r="A740" s="229" t="s">
        <v>82</v>
      </c>
      <c r="B740" s="207" t="s">
        <v>790</v>
      </c>
      <c r="C740" s="208" t="s">
        <v>38</v>
      </c>
      <c r="D740" s="208"/>
      <c r="E740" s="209"/>
      <c r="F740" s="209">
        <f>+D739*F738</f>
        <v>1936171.875</v>
      </c>
    </row>
    <row r="741" spans="1:6" x14ac:dyDescent="0.35">
      <c r="A741" s="206"/>
      <c r="B741" s="207"/>
      <c r="C741" s="208"/>
      <c r="D741" s="208"/>
      <c r="E741" s="210">
        <f>+E712</f>
        <v>3035.45</v>
      </c>
      <c r="F741" s="210">
        <f>+F740/E741</f>
        <v>637.85332487769529</v>
      </c>
    </row>
    <row r="742" spans="1:6" x14ac:dyDescent="0.35">
      <c r="A742" s="126"/>
      <c r="B742" s="127"/>
      <c r="C742" s="128"/>
      <c r="D742" s="128"/>
      <c r="E742" s="129"/>
      <c r="F742" s="129"/>
    </row>
    <row r="743" spans="1:6" x14ac:dyDescent="0.35">
      <c r="A743" s="130"/>
      <c r="B743" s="131"/>
      <c r="C743" s="132"/>
      <c r="D743" s="132"/>
      <c r="E743" s="133"/>
      <c r="F743" s="133"/>
    </row>
    <row r="744" spans="1:6" x14ac:dyDescent="0.35">
      <c r="A744" s="107" t="s">
        <v>69</v>
      </c>
      <c r="B744" s="108" t="s">
        <v>70</v>
      </c>
      <c r="C744" s="109"/>
      <c r="D744" s="109"/>
      <c r="E744" s="110"/>
      <c r="F744" s="110"/>
    </row>
    <row r="745" spans="1:6" x14ac:dyDescent="0.35">
      <c r="A745" s="211" t="s">
        <v>620</v>
      </c>
      <c r="B745" s="201" t="s">
        <v>761</v>
      </c>
      <c r="C745" s="200" t="s">
        <v>2</v>
      </c>
      <c r="D745" s="202" t="s">
        <v>765</v>
      </c>
      <c r="E745" s="203" t="s">
        <v>766</v>
      </c>
      <c r="F745" s="203" t="s">
        <v>767</v>
      </c>
    </row>
    <row r="746" spans="1:6" x14ac:dyDescent="0.35">
      <c r="A746" s="220"/>
      <c r="B746" s="214" t="s">
        <v>827</v>
      </c>
      <c r="C746" s="124" t="s">
        <v>38</v>
      </c>
      <c r="D746" s="124"/>
      <c r="E746" s="117"/>
      <c r="F746" s="117"/>
    </row>
    <row r="747" spans="1:6" x14ac:dyDescent="0.35">
      <c r="A747" s="220" t="s">
        <v>84</v>
      </c>
      <c r="B747" s="214" t="s">
        <v>621</v>
      </c>
      <c r="C747" s="109"/>
      <c r="D747" s="109"/>
      <c r="E747" s="110"/>
      <c r="F747" s="110"/>
    </row>
    <row r="748" spans="1:6" x14ac:dyDescent="0.35">
      <c r="A748" s="111"/>
      <c r="B748" s="112" t="s">
        <v>802</v>
      </c>
      <c r="C748" s="118"/>
      <c r="D748" s="118"/>
      <c r="E748" s="119"/>
      <c r="F748" s="119"/>
    </row>
    <row r="749" spans="1:6" x14ac:dyDescent="0.25">
      <c r="A749" s="111"/>
      <c r="B749" s="134" t="s">
        <v>803</v>
      </c>
      <c r="C749" s="115" t="s">
        <v>804</v>
      </c>
      <c r="D749" s="135">
        <v>7</v>
      </c>
      <c r="E749" s="117">
        <v>51000</v>
      </c>
      <c r="F749" s="121">
        <f t="shared" ref="F749:F758" si="2">+SUM(D749*E749)</f>
        <v>357000</v>
      </c>
    </row>
    <row r="750" spans="1:6" x14ac:dyDescent="0.25">
      <c r="A750" s="111"/>
      <c r="B750" s="134" t="s">
        <v>805</v>
      </c>
      <c r="C750" s="115" t="s">
        <v>38</v>
      </c>
      <c r="D750" s="135">
        <v>0.4</v>
      </c>
      <c r="E750" s="117">
        <v>55000</v>
      </c>
      <c r="F750" s="121">
        <f t="shared" si="2"/>
        <v>22000</v>
      </c>
    </row>
    <row r="751" spans="1:6" x14ac:dyDescent="0.25">
      <c r="A751" s="111"/>
      <c r="B751" s="134" t="s">
        <v>806</v>
      </c>
      <c r="C751" s="115" t="s">
        <v>38</v>
      </c>
      <c r="D751" s="135">
        <v>0.8</v>
      </c>
      <c r="E751" s="117">
        <v>16000</v>
      </c>
      <c r="F751" s="121">
        <f t="shared" si="2"/>
        <v>12800</v>
      </c>
    </row>
    <row r="752" spans="1:6" x14ac:dyDescent="0.25">
      <c r="A752" s="111"/>
      <c r="B752" s="120" t="s">
        <v>829</v>
      </c>
      <c r="C752" s="115" t="s">
        <v>59</v>
      </c>
      <c r="D752" s="135">
        <v>9</v>
      </c>
      <c r="E752" s="117">
        <v>60000</v>
      </c>
      <c r="F752" s="121">
        <f t="shared" si="2"/>
        <v>540000</v>
      </c>
    </row>
    <row r="753" spans="1:6" x14ac:dyDescent="0.25">
      <c r="A753" s="111"/>
      <c r="B753" s="120" t="s">
        <v>837</v>
      </c>
      <c r="C753" s="115" t="s">
        <v>59</v>
      </c>
      <c r="D753" s="135">
        <v>9</v>
      </c>
      <c r="E753" s="117">
        <v>23000</v>
      </c>
      <c r="F753" s="121">
        <f t="shared" si="2"/>
        <v>207000</v>
      </c>
    </row>
    <row r="754" spans="1:6" x14ac:dyDescent="0.25">
      <c r="A754" s="111"/>
      <c r="B754" s="120" t="s">
        <v>830</v>
      </c>
      <c r="C754" s="115" t="s">
        <v>59</v>
      </c>
      <c r="D754" s="135">
        <v>5</v>
      </c>
      <c r="E754" s="117">
        <v>7500</v>
      </c>
      <c r="F754" s="121">
        <f t="shared" si="2"/>
        <v>37500</v>
      </c>
    </row>
    <row r="755" spans="1:6" x14ac:dyDescent="0.25">
      <c r="A755" s="111"/>
      <c r="B755" s="120" t="s">
        <v>838</v>
      </c>
      <c r="C755" s="115" t="s">
        <v>59</v>
      </c>
      <c r="D755" s="135">
        <v>10</v>
      </c>
      <c r="E755" s="117">
        <v>1600</v>
      </c>
      <c r="F755" s="121">
        <f t="shared" si="2"/>
        <v>16000</v>
      </c>
    </row>
    <row r="756" spans="1:6" x14ac:dyDescent="0.25">
      <c r="A756" s="111"/>
      <c r="B756" s="120" t="s">
        <v>831</v>
      </c>
      <c r="C756" s="115" t="s">
        <v>832</v>
      </c>
      <c r="D756" s="135">
        <v>5</v>
      </c>
      <c r="E756" s="117">
        <v>8000</v>
      </c>
      <c r="F756" s="121">
        <f t="shared" si="2"/>
        <v>40000</v>
      </c>
    </row>
    <row r="757" spans="1:6" x14ac:dyDescent="0.25">
      <c r="A757" s="111"/>
      <c r="B757" s="120" t="s">
        <v>833</v>
      </c>
      <c r="C757" s="115" t="s">
        <v>832</v>
      </c>
      <c r="D757" s="135">
        <v>1.5</v>
      </c>
      <c r="E757" s="117">
        <v>5500</v>
      </c>
      <c r="F757" s="121">
        <f t="shared" si="2"/>
        <v>8250</v>
      </c>
    </row>
    <row r="758" spans="1:6" x14ac:dyDescent="0.25">
      <c r="A758" s="111"/>
      <c r="B758" s="120" t="s">
        <v>807</v>
      </c>
      <c r="C758" s="115" t="s">
        <v>38</v>
      </c>
      <c r="D758" s="135">
        <v>0.5</v>
      </c>
      <c r="E758" s="117">
        <v>1000</v>
      </c>
      <c r="F758" s="121">
        <f t="shared" si="2"/>
        <v>500</v>
      </c>
    </row>
    <row r="759" spans="1:6" x14ac:dyDescent="0.3">
      <c r="A759" s="111"/>
      <c r="B759" s="136" t="s">
        <v>769</v>
      </c>
      <c r="C759" s="115"/>
      <c r="D759" s="116"/>
      <c r="E759" s="117"/>
      <c r="F759" s="114">
        <f>SUM(F749:F758)</f>
        <v>1241050</v>
      </c>
    </row>
    <row r="760" spans="1:6" x14ac:dyDescent="0.3">
      <c r="A760" s="111"/>
      <c r="B760" s="136" t="s">
        <v>808</v>
      </c>
      <c r="C760" s="115"/>
      <c r="D760" s="116"/>
      <c r="E760" s="117"/>
      <c r="F760" s="114"/>
    </row>
    <row r="761" spans="1:6" x14ac:dyDescent="0.25">
      <c r="A761" s="111"/>
      <c r="B761" s="134" t="s">
        <v>820</v>
      </c>
      <c r="C761" s="115" t="s">
        <v>772</v>
      </c>
      <c r="D761" s="228">
        <v>4</v>
      </c>
      <c r="E761" s="117">
        <v>7500</v>
      </c>
      <c r="F761" s="121">
        <f>+D761*E761</f>
        <v>30000</v>
      </c>
    </row>
    <row r="762" spans="1:6" x14ac:dyDescent="0.25">
      <c r="A762" s="111"/>
      <c r="B762" s="134" t="s">
        <v>821</v>
      </c>
      <c r="C762" s="115" t="s">
        <v>772</v>
      </c>
      <c r="D762" s="228">
        <v>0.25</v>
      </c>
      <c r="E762" s="117">
        <v>7500</v>
      </c>
      <c r="F762" s="121">
        <f>+D762*E762</f>
        <v>1875</v>
      </c>
    </row>
    <row r="763" spans="1:6" x14ac:dyDescent="0.25">
      <c r="A763" s="111"/>
      <c r="B763" s="134" t="s">
        <v>773</v>
      </c>
      <c r="C763" s="115" t="s">
        <v>772</v>
      </c>
      <c r="D763" s="228">
        <v>1.5</v>
      </c>
      <c r="E763" s="117">
        <v>15000</v>
      </c>
      <c r="F763" s="121">
        <f>+D763*E763</f>
        <v>22500</v>
      </c>
    </row>
    <row r="764" spans="1:6" x14ac:dyDescent="0.25">
      <c r="A764" s="111"/>
      <c r="B764" s="134" t="s">
        <v>834</v>
      </c>
      <c r="C764" s="115" t="s">
        <v>772</v>
      </c>
      <c r="D764" s="228">
        <v>0.5</v>
      </c>
      <c r="E764" s="117">
        <v>15000</v>
      </c>
      <c r="F764" s="121">
        <f>+D764*E764</f>
        <v>7500</v>
      </c>
    </row>
    <row r="765" spans="1:6" x14ac:dyDescent="0.25">
      <c r="A765" s="111"/>
      <c r="B765" s="134" t="s">
        <v>823</v>
      </c>
      <c r="C765" s="115" t="s">
        <v>772</v>
      </c>
      <c r="D765" s="228">
        <v>0.5</v>
      </c>
      <c r="E765" s="117">
        <v>15000</v>
      </c>
      <c r="F765" s="121">
        <f>+D765*E765</f>
        <v>7500</v>
      </c>
    </row>
    <row r="766" spans="1:6" x14ac:dyDescent="0.3">
      <c r="A766" s="111"/>
      <c r="B766" s="136" t="s">
        <v>774</v>
      </c>
      <c r="C766" s="115"/>
      <c r="D766" s="228"/>
      <c r="E766" s="117"/>
      <c r="F766" s="114">
        <f>SUM(F761:F765)</f>
        <v>69375</v>
      </c>
    </row>
    <row r="767" spans="1:6" x14ac:dyDescent="0.3">
      <c r="A767" s="111"/>
      <c r="B767" s="136" t="s">
        <v>775</v>
      </c>
      <c r="C767" s="115"/>
      <c r="D767" s="116"/>
      <c r="E767" s="117"/>
      <c r="F767" s="114">
        <f>F766+F759</f>
        <v>1310425</v>
      </c>
    </row>
    <row r="768" spans="1:6" x14ac:dyDescent="0.25">
      <c r="A768" s="111"/>
      <c r="B768" s="134" t="s">
        <v>812</v>
      </c>
      <c r="C768" s="115"/>
      <c r="D768" s="116">
        <v>1.1499999999999999</v>
      </c>
      <c r="E768" s="117"/>
      <c r="F768" s="114">
        <f>+F767*D768</f>
        <v>1506988.75</v>
      </c>
    </row>
    <row r="769" spans="1:6" x14ac:dyDescent="0.25">
      <c r="A769" s="111"/>
      <c r="B769" s="134" t="s">
        <v>813</v>
      </c>
      <c r="C769" s="115"/>
      <c r="D769" s="116">
        <v>1.1499999999999999</v>
      </c>
      <c r="E769" s="117"/>
      <c r="F769" s="114"/>
    </row>
    <row r="770" spans="1:6" x14ac:dyDescent="0.35">
      <c r="A770" s="229" t="s">
        <v>84</v>
      </c>
      <c r="B770" s="207" t="s">
        <v>790</v>
      </c>
      <c r="C770" s="208" t="s">
        <v>38</v>
      </c>
      <c r="D770" s="208"/>
      <c r="E770" s="209"/>
      <c r="F770" s="209">
        <f>+D769*F768</f>
        <v>1733037.0624999998</v>
      </c>
    </row>
    <row r="771" spans="1:6" x14ac:dyDescent="0.35">
      <c r="A771" s="206"/>
      <c r="B771" s="207"/>
      <c r="C771" s="208"/>
      <c r="D771" s="208"/>
      <c r="E771" s="210">
        <f>+E741</f>
        <v>3035.45</v>
      </c>
      <c r="F771" s="210">
        <f>+F770/E771</f>
        <v>570.93250177074231</v>
      </c>
    </row>
    <row r="772" spans="1:6" x14ac:dyDescent="0.35">
      <c r="A772" s="126"/>
      <c r="B772" s="127"/>
      <c r="C772" s="128"/>
      <c r="D772" s="128"/>
      <c r="E772" s="129"/>
      <c r="F772" s="129"/>
    </row>
    <row r="773" spans="1:6" x14ac:dyDescent="0.35">
      <c r="A773" s="105"/>
      <c r="B773" s="106"/>
      <c r="C773" s="101"/>
      <c r="D773" s="101"/>
      <c r="E773" s="102"/>
      <c r="F773" s="102"/>
    </row>
    <row r="774" spans="1:6" x14ac:dyDescent="0.35">
      <c r="A774" s="107" t="s">
        <v>69</v>
      </c>
      <c r="B774" s="108" t="s">
        <v>70</v>
      </c>
      <c r="C774" s="109"/>
      <c r="D774" s="109"/>
      <c r="E774" s="110"/>
      <c r="F774" s="110"/>
    </row>
    <row r="775" spans="1:6" x14ac:dyDescent="0.35">
      <c r="A775" s="211" t="s">
        <v>620</v>
      </c>
      <c r="B775" s="201" t="s">
        <v>761</v>
      </c>
      <c r="C775" s="200" t="s">
        <v>2</v>
      </c>
      <c r="D775" s="202" t="s">
        <v>765</v>
      </c>
      <c r="E775" s="203" t="s">
        <v>766</v>
      </c>
      <c r="F775" s="203" t="s">
        <v>767</v>
      </c>
    </row>
    <row r="776" spans="1:6" x14ac:dyDescent="0.35">
      <c r="A776" s="220"/>
      <c r="B776" s="214" t="s">
        <v>827</v>
      </c>
      <c r="C776" s="124" t="s">
        <v>38</v>
      </c>
      <c r="D776" s="124"/>
      <c r="E776" s="117"/>
      <c r="F776" s="117"/>
    </row>
    <row r="777" spans="1:6" x14ac:dyDescent="0.35">
      <c r="A777" s="220" t="s">
        <v>839</v>
      </c>
      <c r="B777" s="214" t="s">
        <v>86</v>
      </c>
      <c r="C777" s="109"/>
      <c r="D777" s="109"/>
      <c r="E777" s="110"/>
      <c r="F777" s="110"/>
    </row>
    <row r="778" spans="1:6" x14ac:dyDescent="0.35">
      <c r="A778" s="111"/>
      <c r="B778" s="112" t="s">
        <v>802</v>
      </c>
      <c r="C778" s="118"/>
      <c r="D778" s="118"/>
      <c r="E778" s="119"/>
      <c r="F778" s="119"/>
    </row>
    <row r="779" spans="1:6" x14ac:dyDescent="0.25">
      <c r="A779" s="111"/>
      <c r="B779" s="134" t="s">
        <v>803</v>
      </c>
      <c r="C779" s="115" t="s">
        <v>804</v>
      </c>
      <c r="D779" s="135">
        <v>7</v>
      </c>
      <c r="E779" s="117">
        <v>51000</v>
      </c>
      <c r="F779" s="121">
        <f t="shared" ref="F779:F784" si="3">+SUM(D779*E779)</f>
        <v>357000</v>
      </c>
    </row>
    <row r="780" spans="1:6" x14ac:dyDescent="0.25">
      <c r="A780" s="111"/>
      <c r="B780" s="134" t="s">
        <v>805</v>
      </c>
      <c r="C780" s="115" t="s">
        <v>38</v>
      </c>
      <c r="D780" s="135">
        <v>0.4</v>
      </c>
      <c r="E780" s="117">
        <v>55000</v>
      </c>
      <c r="F780" s="121">
        <f t="shared" si="3"/>
        <v>22000</v>
      </c>
    </row>
    <row r="781" spans="1:6" x14ac:dyDescent="0.25">
      <c r="A781" s="111"/>
      <c r="B781" s="134" t="s">
        <v>806</v>
      </c>
      <c r="C781" s="115" t="s">
        <v>38</v>
      </c>
      <c r="D781" s="135">
        <v>0.8</v>
      </c>
      <c r="E781" s="117">
        <v>16000</v>
      </c>
      <c r="F781" s="121">
        <f t="shared" si="3"/>
        <v>12800</v>
      </c>
    </row>
    <row r="782" spans="1:6" x14ac:dyDescent="0.25">
      <c r="A782" s="111"/>
      <c r="B782" s="120" t="s">
        <v>841</v>
      </c>
      <c r="C782" s="115" t="s">
        <v>59</v>
      </c>
      <c r="D782" s="135">
        <v>11</v>
      </c>
      <c r="E782" s="117">
        <v>23000</v>
      </c>
      <c r="F782" s="121">
        <f t="shared" si="3"/>
        <v>253000</v>
      </c>
    </row>
    <row r="783" spans="1:6" x14ac:dyDescent="0.35">
      <c r="A783" s="111"/>
      <c r="B783" s="120" t="s">
        <v>831</v>
      </c>
      <c r="C783" s="115" t="s">
        <v>832</v>
      </c>
      <c r="D783" s="116">
        <v>3</v>
      </c>
      <c r="E783" s="117">
        <v>8000</v>
      </c>
      <c r="F783" s="121">
        <f t="shared" si="3"/>
        <v>24000</v>
      </c>
    </row>
    <row r="784" spans="1:6" x14ac:dyDescent="0.35">
      <c r="A784" s="111"/>
      <c r="B784" s="120" t="s">
        <v>807</v>
      </c>
      <c r="C784" s="115" t="s">
        <v>38</v>
      </c>
      <c r="D784" s="116">
        <v>0.5</v>
      </c>
      <c r="E784" s="117">
        <v>1000</v>
      </c>
      <c r="F784" s="121">
        <f t="shared" si="3"/>
        <v>500</v>
      </c>
    </row>
    <row r="785" spans="1:6" x14ac:dyDescent="0.3">
      <c r="A785" s="111"/>
      <c r="B785" s="136" t="s">
        <v>769</v>
      </c>
      <c r="C785" s="115"/>
      <c r="D785" s="116"/>
      <c r="E785" s="117"/>
      <c r="F785" s="114">
        <f>SUM(F779:F784)</f>
        <v>669300</v>
      </c>
    </row>
    <row r="786" spans="1:6" x14ac:dyDescent="0.3">
      <c r="A786" s="111"/>
      <c r="B786" s="136" t="s">
        <v>808</v>
      </c>
      <c r="C786" s="115"/>
      <c r="D786" s="116"/>
      <c r="E786" s="117"/>
      <c r="F786" s="114"/>
    </row>
    <row r="787" spans="1:6" x14ac:dyDescent="0.25">
      <c r="A787" s="111"/>
      <c r="B787" s="134" t="s">
        <v>820</v>
      </c>
      <c r="C787" s="115" t="s">
        <v>772</v>
      </c>
      <c r="D787" s="228">
        <v>1.5</v>
      </c>
      <c r="E787" s="117">
        <v>7500</v>
      </c>
      <c r="F787" s="121">
        <f>+D787*E787</f>
        <v>11250</v>
      </c>
    </row>
    <row r="788" spans="1:6" x14ac:dyDescent="0.25">
      <c r="A788" s="111"/>
      <c r="B788" s="134" t="s">
        <v>821</v>
      </c>
      <c r="C788" s="115" t="s">
        <v>772</v>
      </c>
      <c r="D788" s="228">
        <v>1</v>
      </c>
      <c r="E788" s="117">
        <v>7500</v>
      </c>
      <c r="F788" s="121">
        <f>+D788*E788</f>
        <v>7500</v>
      </c>
    </row>
    <row r="789" spans="1:6" x14ac:dyDescent="0.25">
      <c r="A789" s="111"/>
      <c r="B789" s="134" t="s">
        <v>834</v>
      </c>
      <c r="C789" s="115" t="s">
        <v>772</v>
      </c>
      <c r="D789" s="228">
        <v>1</v>
      </c>
      <c r="E789" s="117">
        <v>15000</v>
      </c>
      <c r="F789" s="121">
        <f>+D789*E789</f>
        <v>15000</v>
      </c>
    </row>
    <row r="790" spans="1:6" x14ac:dyDescent="0.25">
      <c r="A790" s="111"/>
      <c r="B790" s="134" t="s">
        <v>823</v>
      </c>
      <c r="C790" s="115" t="s">
        <v>772</v>
      </c>
      <c r="D790" s="228">
        <v>1.5</v>
      </c>
      <c r="E790" s="117">
        <v>15000</v>
      </c>
      <c r="F790" s="121">
        <f>+D790*E790</f>
        <v>22500</v>
      </c>
    </row>
    <row r="791" spans="1:6" x14ac:dyDescent="0.3">
      <c r="A791" s="111"/>
      <c r="B791" s="136" t="s">
        <v>774</v>
      </c>
      <c r="C791" s="115"/>
      <c r="D791" s="228"/>
      <c r="E791" s="117"/>
      <c r="F791" s="114">
        <f>SUM(F787:F790)</f>
        <v>56250</v>
      </c>
    </row>
    <row r="792" spans="1:6" x14ac:dyDescent="0.3">
      <c r="A792" s="111"/>
      <c r="B792" s="136" t="s">
        <v>775</v>
      </c>
      <c r="C792" s="115"/>
      <c r="D792" s="116"/>
      <c r="E792" s="117"/>
      <c r="F792" s="114">
        <f>F791+F785</f>
        <v>725550</v>
      </c>
    </row>
    <row r="793" spans="1:6" x14ac:dyDescent="0.25">
      <c r="A793" s="111"/>
      <c r="B793" s="134" t="s">
        <v>812</v>
      </c>
      <c r="C793" s="115"/>
      <c r="D793" s="116">
        <v>1.1499999999999999</v>
      </c>
      <c r="E793" s="117"/>
      <c r="F793" s="114">
        <f>+F792*D793</f>
        <v>834382.49999999988</v>
      </c>
    </row>
    <row r="794" spans="1:6" x14ac:dyDescent="0.25">
      <c r="A794" s="111"/>
      <c r="B794" s="134" t="s">
        <v>826</v>
      </c>
      <c r="C794" s="115"/>
      <c r="D794" s="116">
        <v>1.2</v>
      </c>
      <c r="E794" s="117"/>
      <c r="F794" s="114"/>
    </row>
    <row r="795" spans="1:6" x14ac:dyDescent="0.35">
      <c r="A795" s="229" t="s">
        <v>839</v>
      </c>
      <c r="B795" s="207" t="s">
        <v>790</v>
      </c>
      <c r="C795" s="208" t="s">
        <v>38</v>
      </c>
      <c r="D795" s="208"/>
      <c r="E795" s="209"/>
      <c r="F795" s="209">
        <f>+D794*F793</f>
        <v>1001258.9999999998</v>
      </c>
    </row>
    <row r="796" spans="1:6" x14ac:dyDescent="0.35">
      <c r="A796" s="206"/>
      <c r="B796" s="207"/>
      <c r="C796" s="208"/>
      <c r="D796" s="208"/>
      <c r="E796" s="210">
        <f>+E771</f>
        <v>3035.45</v>
      </c>
      <c r="F796" s="210">
        <f>+F795/E796</f>
        <v>329.85521092424511</v>
      </c>
    </row>
    <row r="797" spans="1:6" x14ac:dyDescent="0.35">
      <c r="A797" s="105"/>
      <c r="B797" s="106"/>
      <c r="C797" s="101"/>
      <c r="D797" s="101"/>
      <c r="E797" s="102"/>
      <c r="F797" s="102"/>
    </row>
    <row r="798" spans="1:6" x14ac:dyDescent="0.35">
      <c r="A798" s="105"/>
      <c r="B798" s="106"/>
      <c r="C798" s="101"/>
      <c r="D798" s="101"/>
      <c r="E798" s="102"/>
      <c r="F798" s="102"/>
    </row>
    <row r="799" spans="1:6" x14ac:dyDescent="0.35">
      <c r="A799" s="107" t="s">
        <v>69</v>
      </c>
      <c r="B799" s="108" t="s">
        <v>70</v>
      </c>
      <c r="C799" s="109"/>
      <c r="D799" s="109"/>
      <c r="E799" s="110"/>
      <c r="F799" s="110"/>
    </row>
    <row r="800" spans="1:6" x14ac:dyDescent="0.35">
      <c r="A800" s="211" t="s">
        <v>620</v>
      </c>
      <c r="B800" s="201" t="s">
        <v>761</v>
      </c>
      <c r="C800" s="200" t="s">
        <v>2</v>
      </c>
      <c r="D800" s="202" t="s">
        <v>765</v>
      </c>
      <c r="E800" s="203" t="s">
        <v>766</v>
      </c>
      <c r="F800" s="203" t="s">
        <v>767</v>
      </c>
    </row>
    <row r="801" spans="1:6" x14ac:dyDescent="0.35">
      <c r="A801" s="220"/>
      <c r="B801" s="214" t="s">
        <v>827</v>
      </c>
      <c r="C801" s="124" t="s">
        <v>38</v>
      </c>
      <c r="D801" s="124"/>
      <c r="E801" s="117"/>
      <c r="F801" s="117"/>
    </row>
    <row r="802" spans="1:6" x14ac:dyDescent="0.35">
      <c r="A802" s="220" t="s">
        <v>87</v>
      </c>
      <c r="B802" s="214" t="s">
        <v>840</v>
      </c>
      <c r="C802" s="109"/>
      <c r="D802" s="109"/>
      <c r="E802" s="110"/>
      <c r="F802" s="110"/>
    </row>
    <row r="803" spans="1:6" x14ac:dyDescent="0.35">
      <c r="A803" s="111"/>
      <c r="B803" s="112" t="s">
        <v>802</v>
      </c>
      <c r="C803" s="118"/>
      <c r="D803" s="118"/>
      <c r="E803" s="119"/>
      <c r="F803" s="119"/>
    </row>
    <row r="804" spans="1:6" x14ac:dyDescent="0.25">
      <c r="A804" s="111"/>
      <c r="B804" s="134" t="s">
        <v>803</v>
      </c>
      <c r="C804" s="115" t="s">
        <v>804</v>
      </c>
      <c r="D804" s="135">
        <v>7</v>
      </c>
      <c r="E804" s="117">
        <v>51000</v>
      </c>
      <c r="F804" s="121">
        <f t="shared" ref="F804:F813" si="4">+SUM(D804*E804)</f>
        <v>357000</v>
      </c>
    </row>
    <row r="805" spans="1:6" x14ac:dyDescent="0.25">
      <c r="A805" s="111"/>
      <c r="B805" s="134" t="s">
        <v>805</v>
      </c>
      <c r="C805" s="115" t="s">
        <v>38</v>
      </c>
      <c r="D805" s="135">
        <v>0.5</v>
      </c>
      <c r="E805" s="117">
        <v>55000</v>
      </c>
      <c r="F805" s="121">
        <f t="shared" si="4"/>
        <v>27500</v>
      </c>
    </row>
    <row r="806" spans="1:6" x14ac:dyDescent="0.25">
      <c r="A806" s="111"/>
      <c r="B806" s="134" t="s">
        <v>806</v>
      </c>
      <c r="C806" s="115" t="s">
        <v>38</v>
      </c>
      <c r="D806" s="135">
        <v>0.9</v>
      </c>
      <c r="E806" s="117">
        <v>16000</v>
      </c>
      <c r="F806" s="121">
        <f t="shared" si="4"/>
        <v>14400</v>
      </c>
    </row>
    <row r="807" spans="1:6" x14ac:dyDescent="0.25">
      <c r="A807" s="111"/>
      <c r="B807" s="120" t="s">
        <v>829</v>
      </c>
      <c r="C807" s="115" t="s">
        <v>59</v>
      </c>
      <c r="D807" s="135">
        <v>6.5</v>
      </c>
      <c r="E807" s="117">
        <v>60000</v>
      </c>
      <c r="F807" s="121">
        <f t="shared" si="4"/>
        <v>390000</v>
      </c>
    </row>
    <row r="808" spans="1:6" x14ac:dyDescent="0.25">
      <c r="A808" s="111"/>
      <c r="B808" s="120" t="s">
        <v>837</v>
      </c>
      <c r="C808" s="115" t="s">
        <v>59</v>
      </c>
      <c r="D808" s="135">
        <v>11</v>
      </c>
      <c r="E808" s="117">
        <v>23000</v>
      </c>
      <c r="F808" s="121">
        <f t="shared" si="4"/>
        <v>253000</v>
      </c>
    </row>
    <row r="809" spans="1:6" x14ac:dyDescent="0.25">
      <c r="A809" s="111"/>
      <c r="B809" s="120" t="s">
        <v>830</v>
      </c>
      <c r="C809" s="115" t="s">
        <v>59</v>
      </c>
      <c r="D809" s="135">
        <v>6</v>
      </c>
      <c r="E809" s="117">
        <v>7500</v>
      </c>
      <c r="F809" s="121">
        <f t="shared" si="4"/>
        <v>45000</v>
      </c>
    </row>
    <row r="810" spans="1:6" x14ac:dyDescent="0.25">
      <c r="A810" s="111"/>
      <c r="B810" s="120" t="s">
        <v>838</v>
      </c>
      <c r="C810" s="115" t="s">
        <v>59</v>
      </c>
      <c r="D810" s="135">
        <v>15</v>
      </c>
      <c r="E810" s="117">
        <v>1600</v>
      </c>
      <c r="F810" s="121">
        <f t="shared" si="4"/>
        <v>24000</v>
      </c>
    </row>
    <row r="811" spans="1:6" x14ac:dyDescent="0.35">
      <c r="A811" s="111"/>
      <c r="B811" s="120" t="s">
        <v>831</v>
      </c>
      <c r="C811" s="115" t="s">
        <v>832</v>
      </c>
      <c r="D811" s="116">
        <v>3</v>
      </c>
      <c r="E811" s="117">
        <v>8000</v>
      </c>
      <c r="F811" s="121">
        <f t="shared" si="4"/>
        <v>24000</v>
      </c>
    </row>
    <row r="812" spans="1:6" x14ac:dyDescent="0.35">
      <c r="A812" s="111"/>
      <c r="B812" s="120" t="s">
        <v>833</v>
      </c>
      <c r="C812" s="115" t="s">
        <v>832</v>
      </c>
      <c r="D812" s="116">
        <v>3</v>
      </c>
      <c r="E812" s="117">
        <v>5500</v>
      </c>
      <c r="F812" s="121">
        <f t="shared" si="4"/>
        <v>16500</v>
      </c>
    </row>
    <row r="813" spans="1:6" x14ac:dyDescent="0.35">
      <c r="A813" s="111"/>
      <c r="B813" s="120" t="s">
        <v>807</v>
      </c>
      <c r="C813" s="115" t="s">
        <v>38</v>
      </c>
      <c r="D813" s="116">
        <v>0.5</v>
      </c>
      <c r="E813" s="117">
        <v>1000</v>
      </c>
      <c r="F813" s="121">
        <f t="shared" si="4"/>
        <v>500</v>
      </c>
    </row>
    <row r="814" spans="1:6" x14ac:dyDescent="0.3">
      <c r="A814" s="111"/>
      <c r="B814" s="136" t="s">
        <v>769</v>
      </c>
      <c r="C814" s="115"/>
      <c r="D814" s="116"/>
      <c r="E814" s="117"/>
      <c r="F814" s="114">
        <f>SUM(F804:F813)</f>
        <v>1151900</v>
      </c>
    </row>
    <row r="815" spans="1:6" x14ac:dyDescent="0.3">
      <c r="A815" s="111"/>
      <c r="B815" s="136" t="s">
        <v>808</v>
      </c>
      <c r="C815" s="115"/>
      <c r="D815" s="116"/>
      <c r="E815" s="117"/>
      <c r="F815" s="114"/>
    </row>
    <row r="816" spans="1:6" x14ac:dyDescent="0.25">
      <c r="A816" s="111"/>
      <c r="B816" s="134" t="s">
        <v>820</v>
      </c>
      <c r="C816" s="115" t="s">
        <v>772</v>
      </c>
      <c r="D816" s="228">
        <v>4</v>
      </c>
      <c r="E816" s="117">
        <v>7500</v>
      </c>
      <c r="F816" s="121">
        <f>+D816*E816</f>
        <v>30000</v>
      </c>
    </row>
    <row r="817" spans="1:6" x14ac:dyDescent="0.25">
      <c r="A817" s="111"/>
      <c r="B817" s="134" t="s">
        <v>821</v>
      </c>
      <c r="C817" s="115" t="s">
        <v>772</v>
      </c>
      <c r="D817" s="228">
        <v>1</v>
      </c>
      <c r="E817" s="117">
        <v>7500</v>
      </c>
      <c r="F817" s="121">
        <f>+D817*E817</f>
        <v>7500</v>
      </c>
    </row>
    <row r="818" spans="1:6" x14ac:dyDescent="0.25">
      <c r="A818" s="111"/>
      <c r="B818" s="134" t="s">
        <v>773</v>
      </c>
      <c r="C818" s="115" t="s">
        <v>772</v>
      </c>
      <c r="D818" s="228">
        <v>2</v>
      </c>
      <c r="E818" s="117">
        <v>15000</v>
      </c>
      <c r="F818" s="121">
        <f>+D818*E818</f>
        <v>30000</v>
      </c>
    </row>
    <row r="819" spans="1:6" x14ac:dyDescent="0.25">
      <c r="A819" s="111"/>
      <c r="B819" s="134" t="s">
        <v>834</v>
      </c>
      <c r="C819" s="115" t="s">
        <v>772</v>
      </c>
      <c r="D819" s="228">
        <v>2</v>
      </c>
      <c r="E819" s="117">
        <v>15000</v>
      </c>
      <c r="F819" s="121">
        <f>+D819*E819</f>
        <v>30000</v>
      </c>
    </row>
    <row r="820" spans="1:6" x14ac:dyDescent="0.25">
      <c r="A820" s="111"/>
      <c r="B820" s="134" t="s">
        <v>823</v>
      </c>
      <c r="C820" s="115" t="s">
        <v>772</v>
      </c>
      <c r="D820" s="228">
        <v>1</v>
      </c>
      <c r="E820" s="117">
        <v>15000</v>
      </c>
      <c r="F820" s="121">
        <f>+D820*E820</f>
        <v>15000</v>
      </c>
    </row>
    <row r="821" spans="1:6" x14ac:dyDescent="0.3">
      <c r="A821" s="111"/>
      <c r="B821" s="136" t="s">
        <v>774</v>
      </c>
      <c r="C821" s="115"/>
      <c r="D821" s="228"/>
      <c r="E821" s="117"/>
      <c r="F821" s="114">
        <f>SUM(F816:F820)</f>
        <v>112500</v>
      </c>
    </row>
    <row r="822" spans="1:6" x14ac:dyDescent="0.3">
      <c r="A822" s="111"/>
      <c r="B822" s="136" t="s">
        <v>775</v>
      </c>
      <c r="C822" s="115"/>
      <c r="D822" s="116"/>
      <c r="E822" s="117"/>
      <c r="F822" s="114">
        <f>F821+F814</f>
        <v>1264400</v>
      </c>
    </row>
    <row r="823" spans="1:6" x14ac:dyDescent="0.25">
      <c r="A823" s="111"/>
      <c r="B823" s="134" t="s">
        <v>776</v>
      </c>
      <c r="C823" s="115"/>
      <c r="D823" s="116">
        <v>1.25</v>
      </c>
      <c r="E823" s="117"/>
      <c r="F823" s="114">
        <f>+F822*D823</f>
        <v>1580500</v>
      </c>
    </row>
    <row r="824" spans="1:6" x14ac:dyDescent="0.25">
      <c r="A824" s="111"/>
      <c r="B824" s="134" t="s">
        <v>835</v>
      </c>
      <c r="C824" s="115"/>
      <c r="D824" s="116">
        <v>1.25</v>
      </c>
      <c r="E824" s="117"/>
      <c r="F824" s="114"/>
    </row>
    <row r="825" spans="1:6" x14ac:dyDescent="0.35">
      <c r="A825" s="229" t="s">
        <v>87</v>
      </c>
      <c r="B825" s="207" t="s">
        <v>790</v>
      </c>
      <c r="C825" s="208" t="s">
        <v>38</v>
      </c>
      <c r="D825" s="208"/>
      <c r="E825" s="209"/>
      <c r="F825" s="209">
        <f>+D824*F823</f>
        <v>1975625</v>
      </c>
    </row>
    <row r="826" spans="1:6" x14ac:dyDescent="0.35">
      <c r="A826" s="206"/>
      <c r="B826" s="207"/>
      <c r="C826" s="208"/>
      <c r="D826" s="208"/>
      <c r="E826" s="210">
        <f>+E796</f>
        <v>3035.45</v>
      </c>
      <c r="F826" s="210">
        <f>+F825/E826</f>
        <v>650.85077995025449</v>
      </c>
    </row>
    <row r="827" spans="1:6" ht="12.5" x14ac:dyDescent="0.35">
      <c r="A827" s="178"/>
      <c r="B827" s="104"/>
      <c r="C827" s="104"/>
      <c r="D827" s="104"/>
      <c r="E827" s="104"/>
      <c r="F827" s="104"/>
    </row>
    <row r="828" spans="1:6" ht="12.5" x14ac:dyDescent="0.35">
      <c r="A828" s="178"/>
      <c r="B828" s="104"/>
      <c r="C828" s="104"/>
      <c r="D828" s="104"/>
      <c r="E828" s="104"/>
      <c r="F828" s="104"/>
    </row>
    <row r="829" spans="1:6" x14ac:dyDescent="0.35">
      <c r="A829" s="107" t="s">
        <v>69</v>
      </c>
      <c r="B829" s="108" t="s">
        <v>70</v>
      </c>
      <c r="C829" s="109"/>
      <c r="D829" s="109"/>
      <c r="E829" s="110"/>
      <c r="F829" s="110"/>
    </row>
    <row r="830" spans="1:6" x14ac:dyDescent="0.35">
      <c r="A830" s="211" t="s">
        <v>620</v>
      </c>
      <c r="B830" s="201" t="s">
        <v>761</v>
      </c>
      <c r="C830" s="200" t="s">
        <v>2</v>
      </c>
      <c r="D830" s="202" t="s">
        <v>765</v>
      </c>
      <c r="E830" s="203" t="s">
        <v>766</v>
      </c>
      <c r="F830" s="203" t="s">
        <v>767</v>
      </c>
    </row>
    <row r="831" spans="1:6" x14ac:dyDescent="0.35">
      <c r="A831" s="230" t="s">
        <v>88</v>
      </c>
      <c r="B831" s="227" t="s">
        <v>676</v>
      </c>
      <c r="C831" s="124" t="s">
        <v>38</v>
      </c>
      <c r="D831" s="124"/>
      <c r="E831" s="117"/>
      <c r="F831" s="117"/>
    </row>
    <row r="832" spans="1:6" x14ac:dyDescent="0.35">
      <c r="A832" s="220" t="s">
        <v>89</v>
      </c>
      <c r="B832" s="214" t="s">
        <v>90</v>
      </c>
      <c r="C832" s="109"/>
      <c r="D832" s="109"/>
      <c r="E832" s="110"/>
      <c r="F832" s="110"/>
    </row>
    <row r="833" spans="1:6" x14ac:dyDescent="0.35">
      <c r="A833" s="111"/>
      <c r="B833" s="112" t="s">
        <v>802</v>
      </c>
      <c r="C833" s="118"/>
      <c r="D833" s="118"/>
      <c r="E833" s="119"/>
      <c r="F833" s="119"/>
    </row>
    <row r="834" spans="1:6" x14ac:dyDescent="0.25">
      <c r="A834" s="111"/>
      <c r="B834" s="134" t="s">
        <v>803</v>
      </c>
      <c r="C834" s="115" t="s">
        <v>804</v>
      </c>
      <c r="D834" s="135">
        <v>7</v>
      </c>
      <c r="E834" s="117">
        <v>51000</v>
      </c>
      <c r="F834" s="121">
        <f t="shared" ref="F834:F843" si="5">+SUM(D834*E834)</f>
        <v>357000</v>
      </c>
    </row>
    <row r="835" spans="1:6" x14ac:dyDescent="0.25">
      <c r="A835" s="111"/>
      <c r="B835" s="134" t="s">
        <v>805</v>
      </c>
      <c r="C835" s="115" t="s">
        <v>38</v>
      </c>
      <c r="D835" s="135">
        <v>0.5</v>
      </c>
      <c r="E835" s="117">
        <v>55000</v>
      </c>
      <c r="F835" s="121">
        <f t="shared" si="5"/>
        <v>27500</v>
      </c>
    </row>
    <row r="836" spans="1:6" x14ac:dyDescent="0.25">
      <c r="A836" s="111"/>
      <c r="B836" s="134" t="s">
        <v>806</v>
      </c>
      <c r="C836" s="115" t="s">
        <v>38</v>
      </c>
      <c r="D836" s="135">
        <v>0.9</v>
      </c>
      <c r="E836" s="117">
        <v>16000</v>
      </c>
      <c r="F836" s="121">
        <f t="shared" si="5"/>
        <v>14400</v>
      </c>
    </row>
    <row r="837" spans="1:6" x14ac:dyDescent="0.25">
      <c r="A837" s="111"/>
      <c r="B837" s="120" t="s">
        <v>829</v>
      </c>
      <c r="C837" s="115" t="s">
        <v>59</v>
      </c>
      <c r="D837" s="135">
        <v>6.5</v>
      </c>
      <c r="E837" s="117">
        <v>60000</v>
      </c>
      <c r="F837" s="121">
        <f t="shared" si="5"/>
        <v>390000</v>
      </c>
    </row>
    <row r="838" spans="1:6" x14ac:dyDescent="0.25">
      <c r="A838" s="111"/>
      <c r="B838" s="120" t="s">
        <v>837</v>
      </c>
      <c r="C838" s="115" t="s">
        <v>59</v>
      </c>
      <c r="D838" s="135">
        <v>11</v>
      </c>
      <c r="E838" s="117">
        <v>23000</v>
      </c>
      <c r="F838" s="121">
        <f t="shared" si="5"/>
        <v>253000</v>
      </c>
    </row>
    <row r="839" spans="1:6" x14ac:dyDescent="0.25">
      <c r="A839" s="111"/>
      <c r="B839" s="120" t="s">
        <v>830</v>
      </c>
      <c r="C839" s="115" t="s">
        <v>59</v>
      </c>
      <c r="D839" s="135">
        <v>6</v>
      </c>
      <c r="E839" s="117">
        <v>7500</v>
      </c>
      <c r="F839" s="121">
        <f t="shared" si="5"/>
        <v>45000</v>
      </c>
    </row>
    <row r="840" spans="1:6" x14ac:dyDescent="0.25">
      <c r="A840" s="111"/>
      <c r="B840" s="120" t="s">
        <v>838</v>
      </c>
      <c r="C840" s="115" t="s">
        <v>59</v>
      </c>
      <c r="D840" s="135">
        <v>15</v>
      </c>
      <c r="E840" s="117">
        <v>1600</v>
      </c>
      <c r="F840" s="121">
        <f t="shared" si="5"/>
        <v>24000</v>
      </c>
    </row>
    <row r="841" spans="1:6" x14ac:dyDescent="0.35">
      <c r="A841" s="111"/>
      <c r="B841" s="120" t="s">
        <v>831</v>
      </c>
      <c r="C841" s="115" t="s">
        <v>832</v>
      </c>
      <c r="D841" s="116">
        <v>3</v>
      </c>
      <c r="E841" s="117">
        <v>8000</v>
      </c>
      <c r="F841" s="121">
        <f t="shared" si="5"/>
        <v>24000</v>
      </c>
    </row>
    <row r="842" spans="1:6" x14ac:dyDescent="0.35">
      <c r="A842" s="111"/>
      <c r="B842" s="120" t="s">
        <v>833</v>
      </c>
      <c r="C842" s="115" t="s">
        <v>832</v>
      </c>
      <c r="D842" s="116">
        <v>3</v>
      </c>
      <c r="E842" s="117">
        <v>5500</v>
      </c>
      <c r="F842" s="121">
        <f t="shared" si="5"/>
        <v>16500</v>
      </c>
    </row>
    <row r="843" spans="1:6" x14ac:dyDescent="0.35">
      <c r="A843" s="111"/>
      <c r="B843" s="120" t="s">
        <v>807</v>
      </c>
      <c r="C843" s="115" t="s">
        <v>38</v>
      </c>
      <c r="D843" s="116">
        <v>0.5</v>
      </c>
      <c r="E843" s="117">
        <v>1000</v>
      </c>
      <c r="F843" s="121">
        <f t="shared" si="5"/>
        <v>500</v>
      </c>
    </row>
    <row r="844" spans="1:6" x14ac:dyDescent="0.3">
      <c r="A844" s="111"/>
      <c r="B844" s="136" t="s">
        <v>769</v>
      </c>
      <c r="C844" s="115"/>
      <c r="D844" s="116"/>
      <c r="E844" s="117"/>
      <c r="F844" s="114">
        <f>SUM(F834:F843)</f>
        <v>1151900</v>
      </c>
    </row>
    <row r="845" spans="1:6" x14ac:dyDescent="0.3">
      <c r="A845" s="111"/>
      <c r="B845" s="136" t="s">
        <v>808</v>
      </c>
      <c r="C845" s="115"/>
      <c r="D845" s="116"/>
      <c r="E845" s="117"/>
      <c r="F845" s="114"/>
    </row>
    <row r="846" spans="1:6" x14ac:dyDescent="0.25">
      <c r="A846" s="111"/>
      <c r="B846" s="134" t="s">
        <v>820</v>
      </c>
      <c r="C846" s="115" t="s">
        <v>772</v>
      </c>
      <c r="D846" s="228">
        <v>4</v>
      </c>
      <c r="E846" s="117">
        <v>7500</v>
      </c>
      <c r="F846" s="121">
        <f>+D846*E846</f>
        <v>30000</v>
      </c>
    </row>
    <row r="847" spans="1:6" x14ac:dyDescent="0.25">
      <c r="A847" s="111"/>
      <c r="B847" s="134" t="s">
        <v>821</v>
      </c>
      <c r="C847" s="115" t="s">
        <v>772</v>
      </c>
      <c r="D847" s="228">
        <v>1</v>
      </c>
      <c r="E847" s="117">
        <v>7500</v>
      </c>
      <c r="F847" s="121">
        <f>+D847*E847</f>
        <v>7500</v>
      </c>
    </row>
    <row r="848" spans="1:6" x14ac:dyDescent="0.25">
      <c r="A848" s="111"/>
      <c r="B848" s="134" t="s">
        <v>773</v>
      </c>
      <c r="C848" s="115" t="s">
        <v>772</v>
      </c>
      <c r="D848" s="228">
        <v>2</v>
      </c>
      <c r="E848" s="117">
        <v>15000</v>
      </c>
      <c r="F848" s="121">
        <f>+D848*E848</f>
        <v>30000</v>
      </c>
    </row>
    <row r="849" spans="1:6" x14ac:dyDescent="0.25">
      <c r="A849" s="111"/>
      <c r="B849" s="134" t="s">
        <v>834</v>
      </c>
      <c r="C849" s="115" t="s">
        <v>772</v>
      </c>
      <c r="D849" s="228">
        <v>2</v>
      </c>
      <c r="E849" s="117">
        <v>15000</v>
      </c>
      <c r="F849" s="121">
        <f>+D849*E849</f>
        <v>30000</v>
      </c>
    </row>
    <row r="850" spans="1:6" x14ac:dyDescent="0.25">
      <c r="A850" s="111"/>
      <c r="B850" s="134" t="s">
        <v>823</v>
      </c>
      <c r="C850" s="115" t="s">
        <v>772</v>
      </c>
      <c r="D850" s="228">
        <v>1</v>
      </c>
      <c r="E850" s="117">
        <v>15000</v>
      </c>
      <c r="F850" s="121">
        <f>+D850*E850</f>
        <v>15000</v>
      </c>
    </row>
    <row r="851" spans="1:6" x14ac:dyDescent="0.3">
      <c r="A851" s="111"/>
      <c r="B851" s="136" t="s">
        <v>774</v>
      </c>
      <c r="C851" s="115"/>
      <c r="D851" s="228"/>
      <c r="E851" s="117"/>
      <c r="F851" s="114">
        <f>SUM(F846:F850)</f>
        <v>112500</v>
      </c>
    </row>
    <row r="852" spans="1:6" x14ac:dyDescent="0.3">
      <c r="A852" s="111"/>
      <c r="B852" s="136" t="s">
        <v>775</v>
      </c>
      <c r="C852" s="115"/>
      <c r="D852" s="116"/>
      <c r="E852" s="117"/>
      <c r="F852" s="114">
        <f>F851+F844</f>
        <v>1264400</v>
      </c>
    </row>
    <row r="853" spans="1:6" x14ac:dyDescent="0.25">
      <c r="A853" s="111"/>
      <c r="B853" s="134" t="s">
        <v>776</v>
      </c>
      <c r="C853" s="115"/>
      <c r="D853" s="116">
        <v>1.25</v>
      </c>
      <c r="E853" s="117"/>
      <c r="F853" s="114">
        <f>+F852*D853</f>
        <v>1580500</v>
      </c>
    </row>
    <row r="854" spans="1:6" x14ac:dyDescent="0.25">
      <c r="A854" s="111"/>
      <c r="B854" s="134" t="s">
        <v>835</v>
      </c>
      <c r="C854" s="115"/>
      <c r="D854" s="116">
        <v>1.25</v>
      </c>
      <c r="E854" s="117"/>
      <c r="F854" s="114"/>
    </row>
    <row r="855" spans="1:6" x14ac:dyDescent="0.35">
      <c r="A855" s="229" t="s">
        <v>89</v>
      </c>
      <c r="B855" s="207" t="s">
        <v>790</v>
      </c>
      <c r="C855" s="208" t="s">
        <v>38</v>
      </c>
      <c r="D855" s="208"/>
      <c r="E855" s="209"/>
      <c r="F855" s="209">
        <f>+D854*F853</f>
        <v>1975625</v>
      </c>
    </row>
    <row r="856" spans="1:6" x14ac:dyDescent="0.35">
      <c r="A856" s="206"/>
      <c r="B856" s="207"/>
      <c r="C856" s="208"/>
      <c r="D856" s="208"/>
      <c r="E856" s="210">
        <f>+E826</f>
        <v>3035.45</v>
      </c>
      <c r="F856" s="210">
        <f>+F855/E856</f>
        <v>650.85077995025449</v>
      </c>
    </row>
    <row r="857" spans="1:6" x14ac:dyDescent="0.35">
      <c r="A857" s="126"/>
      <c r="B857" s="127"/>
      <c r="C857" s="128"/>
      <c r="D857" s="128"/>
      <c r="E857" s="129"/>
      <c r="F857" s="129"/>
    </row>
    <row r="858" spans="1:6" x14ac:dyDescent="0.35">
      <c r="A858" s="130"/>
      <c r="B858" s="131"/>
      <c r="C858" s="132"/>
      <c r="D858" s="132"/>
      <c r="E858" s="133"/>
      <c r="F858" s="133"/>
    </row>
    <row r="859" spans="1:6" x14ac:dyDescent="0.35">
      <c r="A859" s="107" t="s">
        <v>69</v>
      </c>
      <c r="B859" s="108" t="s">
        <v>70</v>
      </c>
      <c r="C859" s="109"/>
      <c r="D859" s="109"/>
      <c r="E859" s="110"/>
      <c r="F859" s="110"/>
    </row>
    <row r="860" spans="1:6" x14ac:dyDescent="0.35">
      <c r="A860" s="211" t="s">
        <v>620</v>
      </c>
      <c r="B860" s="201" t="s">
        <v>761</v>
      </c>
      <c r="C860" s="200" t="s">
        <v>2</v>
      </c>
      <c r="D860" s="202" t="s">
        <v>765</v>
      </c>
      <c r="E860" s="203" t="s">
        <v>766</v>
      </c>
      <c r="F860" s="203" t="s">
        <v>767</v>
      </c>
    </row>
    <row r="861" spans="1:6" x14ac:dyDescent="0.35">
      <c r="A861" s="230" t="s">
        <v>88</v>
      </c>
      <c r="B861" s="227" t="s">
        <v>676</v>
      </c>
      <c r="C861" s="124" t="s">
        <v>38</v>
      </c>
      <c r="D861" s="124"/>
      <c r="E861" s="117"/>
      <c r="F861" s="117"/>
    </row>
    <row r="862" spans="1:6" x14ac:dyDescent="0.35">
      <c r="A862" s="220" t="s">
        <v>91</v>
      </c>
      <c r="B862" s="214" t="s">
        <v>92</v>
      </c>
      <c r="C862" s="109"/>
      <c r="D862" s="109"/>
      <c r="E862" s="110"/>
      <c r="F862" s="110"/>
    </row>
    <row r="863" spans="1:6" x14ac:dyDescent="0.35">
      <c r="A863" s="111"/>
      <c r="B863" s="112" t="s">
        <v>802</v>
      </c>
      <c r="C863" s="118"/>
      <c r="D863" s="118"/>
      <c r="E863" s="119"/>
      <c r="F863" s="119"/>
    </row>
    <row r="864" spans="1:6" x14ac:dyDescent="0.25">
      <c r="A864" s="111"/>
      <c r="B864" s="134" t="s">
        <v>803</v>
      </c>
      <c r="C864" s="115" t="s">
        <v>804</v>
      </c>
      <c r="D864" s="135">
        <v>7</v>
      </c>
      <c r="E864" s="117">
        <v>51000</v>
      </c>
      <c r="F864" s="121">
        <f t="shared" ref="F864:F873" si="6">+SUM(D864*E864)</f>
        <v>357000</v>
      </c>
    </row>
    <row r="865" spans="1:6" x14ac:dyDescent="0.25">
      <c r="A865" s="111"/>
      <c r="B865" s="134" t="s">
        <v>805</v>
      </c>
      <c r="C865" s="115" t="s">
        <v>38</v>
      </c>
      <c r="D865" s="135">
        <v>0.5</v>
      </c>
      <c r="E865" s="117">
        <v>55000</v>
      </c>
      <c r="F865" s="121">
        <f t="shared" si="6"/>
        <v>27500</v>
      </c>
    </row>
    <row r="866" spans="1:6" x14ac:dyDescent="0.25">
      <c r="A866" s="111"/>
      <c r="B866" s="134" t="s">
        <v>806</v>
      </c>
      <c r="C866" s="115" t="s">
        <v>38</v>
      </c>
      <c r="D866" s="135">
        <v>0.9</v>
      </c>
      <c r="E866" s="117">
        <v>16000</v>
      </c>
      <c r="F866" s="121">
        <f t="shared" si="6"/>
        <v>14400</v>
      </c>
    </row>
    <row r="867" spans="1:6" x14ac:dyDescent="0.25">
      <c r="A867" s="111"/>
      <c r="B867" s="120" t="s">
        <v>829</v>
      </c>
      <c r="C867" s="115" t="s">
        <v>59</v>
      </c>
      <c r="D867" s="135">
        <v>6.5</v>
      </c>
      <c r="E867" s="117">
        <v>60000</v>
      </c>
      <c r="F867" s="121">
        <f t="shared" si="6"/>
        <v>390000</v>
      </c>
    </row>
    <row r="868" spans="1:6" x14ac:dyDescent="0.25">
      <c r="A868" s="111"/>
      <c r="B868" s="120" t="s">
        <v>837</v>
      </c>
      <c r="C868" s="115" t="s">
        <v>59</v>
      </c>
      <c r="D868" s="135">
        <v>11</v>
      </c>
      <c r="E868" s="117">
        <v>23000</v>
      </c>
      <c r="F868" s="121">
        <f t="shared" si="6"/>
        <v>253000</v>
      </c>
    </row>
    <row r="869" spans="1:6" x14ac:dyDescent="0.25">
      <c r="A869" s="111"/>
      <c r="B869" s="120" t="s">
        <v>830</v>
      </c>
      <c r="C869" s="115" t="s">
        <v>59</v>
      </c>
      <c r="D869" s="135">
        <v>6</v>
      </c>
      <c r="E869" s="117">
        <v>7500</v>
      </c>
      <c r="F869" s="121">
        <f t="shared" si="6"/>
        <v>45000</v>
      </c>
    </row>
    <row r="870" spans="1:6" x14ac:dyDescent="0.25">
      <c r="A870" s="111"/>
      <c r="B870" s="120" t="s">
        <v>838</v>
      </c>
      <c r="C870" s="115" t="s">
        <v>59</v>
      </c>
      <c r="D870" s="135">
        <v>15</v>
      </c>
      <c r="E870" s="117">
        <v>1600</v>
      </c>
      <c r="F870" s="121">
        <f t="shared" si="6"/>
        <v>24000</v>
      </c>
    </row>
    <row r="871" spans="1:6" x14ac:dyDescent="0.35">
      <c r="A871" s="111"/>
      <c r="B871" s="120" t="s">
        <v>831</v>
      </c>
      <c r="C871" s="115" t="s">
        <v>832</v>
      </c>
      <c r="D871" s="116">
        <v>3</v>
      </c>
      <c r="E871" s="117">
        <v>8000</v>
      </c>
      <c r="F871" s="121">
        <f t="shared" si="6"/>
        <v>24000</v>
      </c>
    </row>
    <row r="872" spans="1:6" x14ac:dyDescent="0.35">
      <c r="A872" s="111"/>
      <c r="B872" s="120" t="s">
        <v>833</v>
      </c>
      <c r="C872" s="115" t="s">
        <v>832</v>
      </c>
      <c r="D872" s="116">
        <v>3</v>
      </c>
      <c r="E872" s="117">
        <v>5500</v>
      </c>
      <c r="F872" s="121">
        <f t="shared" si="6"/>
        <v>16500</v>
      </c>
    </row>
    <row r="873" spans="1:6" x14ac:dyDescent="0.35">
      <c r="A873" s="111"/>
      <c r="B873" s="120" t="s">
        <v>807</v>
      </c>
      <c r="C873" s="115" t="s">
        <v>38</v>
      </c>
      <c r="D873" s="116">
        <v>0.5</v>
      </c>
      <c r="E873" s="117">
        <v>1000</v>
      </c>
      <c r="F873" s="121">
        <f t="shared" si="6"/>
        <v>500</v>
      </c>
    </row>
    <row r="874" spans="1:6" x14ac:dyDescent="0.3">
      <c r="A874" s="111"/>
      <c r="B874" s="136" t="s">
        <v>769</v>
      </c>
      <c r="C874" s="115"/>
      <c r="D874" s="116"/>
      <c r="E874" s="117"/>
      <c r="F874" s="114">
        <f>SUM(F864:F873)</f>
        <v>1151900</v>
      </c>
    </row>
    <row r="875" spans="1:6" x14ac:dyDescent="0.3">
      <c r="A875" s="111"/>
      <c r="B875" s="136" t="s">
        <v>808</v>
      </c>
      <c r="C875" s="115"/>
      <c r="D875" s="116"/>
      <c r="E875" s="117"/>
      <c r="F875" s="114"/>
    </row>
    <row r="876" spans="1:6" x14ac:dyDescent="0.25">
      <c r="A876" s="111"/>
      <c r="B876" s="134" t="s">
        <v>820</v>
      </c>
      <c r="C876" s="115" t="s">
        <v>772</v>
      </c>
      <c r="D876" s="228">
        <v>4</v>
      </c>
      <c r="E876" s="117">
        <v>7500</v>
      </c>
      <c r="F876" s="121">
        <f>+D876*E876</f>
        <v>30000</v>
      </c>
    </row>
    <row r="877" spans="1:6" x14ac:dyDescent="0.25">
      <c r="A877" s="111"/>
      <c r="B877" s="134" t="s">
        <v>821</v>
      </c>
      <c r="C877" s="115" t="s">
        <v>772</v>
      </c>
      <c r="D877" s="228">
        <v>1</v>
      </c>
      <c r="E877" s="117">
        <v>7500</v>
      </c>
      <c r="F877" s="121">
        <f>+D877*E877</f>
        <v>7500</v>
      </c>
    </row>
    <row r="878" spans="1:6" x14ac:dyDescent="0.25">
      <c r="A878" s="111"/>
      <c r="B878" s="134" t="s">
        <v>773</v>
      </c>
      <c r="C878" s="115" t="s">
        <v>772</v>
      </c>
      <c r="D878" s="228">
        <v>2</v>
      </c>
      <c r="E878" s="117">
        <v>15000</v>
      </c>
      <c r="F878" s="121">
        <f>+D878*E878</f>
        <v>30000</v>
      </c>
    </row>
    <row r="879" spans="1:6" x14ac:dyDescent="0.25">
      <c r="A879" s="111"/>
      <c r="B879" s="134" t="s">
        <v>834</v>
      </c>
      <c r="C879" s="115" t="s">
        <v>772</v>
      </c>
      <c r="D879" s="228">
        <v>2</v>
      </c>
      <c r="E879" s="117">
        <v>15000</v>
      </c>
      <c r="F879" s="121">
        <f>+D879*E879</f>
        <v>30000</v>
      </c>
    </row>
    <row r="880" spans="1:6" x14ac:dyDescent="0.25">
      <c r="A880" s="111"/>
      <c r="B880" s="134" t="s">
        <v>823</v>
      </c>
      <c r="C880" s="115" t="s">
        <v>772</v>
      </c>
      <c r="D880" s="228">
        <v>1</v>
      </c>
      <c r="E880" s="117">
        <v>15000</v>
      </c>
      <c r="F880" s="121">
        <f>+D880*E880</f>
        <v>15000</v>
      </c>
    </row>
    <row r="881" spans="1:6" x14ac:dyDescent="0.3">
      <c r="A881" s="111"/>
      <c r="B881" s="136" t="s">
        <v>774</v>
      </c>
      <c r="C881" s="115"/>
      <c r="D881" s="228"/>
      <c r="E881" s="117"/>
      <c r="F881" s="114">
        <f>SUM(F876:F880)</f>
        <v>112500</v>
      </c>
    </row>
    <row r="882" spans="1:6" x14ac:dyDescent="0.3">
      <c r="A882" s="111"/>
      <c r="B882" s="136" t="s">
        <v>775</v>
      </c>
      <c r="C882" s="115"/>
      <c r="D882" s="116"/>
      <c r="E882" s="117"/>
      <c r="F882" s="114">
        <f>F881+F874</f>
        <v>1264400</v>
      </c>
    </row>
    <row r="883" spans="1:6" x14ac:dyDescent="0.25">
      <c r="A883" s="111"/>
      <c r="B883" s="134" t="s">
        <v>776</v>
      </c>
      <c r="C883" s="115"/>
      <c r="D883" s="116">
        <v>1.25</v>
      </c>
      <c r="E883" s="117"/>
      <c r="F883" s="114">
        <f>+F882*D883</f>
        <v>1580500</v>
      </c>
    </row>
    <row r="884" spans="1:6" x14ac:dyDescent="0.25">
      <c r="A884" s="111"/>
      <c r="B884" s="134" t="s">
        <v>835</v>
      </c>
      <c r="C884" s="115"/>
      <c r="D884" s="116">
        <v>1.25</v>
      </c>
      <c r="E884" s="117"/>
      <c r="F884" s="114"/>
    </row>
    <row r="885" spans="1:6" x14ac:dyDescent="0.35">
      <c r="A885" s="229" t="s">
        <v>91</v>
      </c>
      <c r="B885" s="207" t="s">
        <v>790</v>
      </c>
      <c r="C885" s="208" t="s">
        <v>38</v>
      </c>
      <c r="D885" s="208"/>
      <c r="E885" s="209"/>
      <c r="F885" s="209">
        <f>+D884*F883</f>
        <v>1975625</v>
      </c>
    </row>
    <row r="886" spans="1:6" x14ac:dyDescent="0.35">
      <c r="A886" s="206"/>
      <c r="B886" s="207"/>
      <c r="C886" s="208"/>
      <c r="D886" s="208"/>
      <c r="E886" s="210">
        <f>+E856</f>
        <v>3035.45</v>
      </c>
      <c r="F886" s="210">
        <f>+F885/E886</f>
        <v>650.85077995025449</v>
      </c>
    </row>
    <row r="887" spans="1:6" x14ac:dyDescent="0.35">
      <c r="A887" s="126"/>
      <c r="B887" s="127"/>
      <c r="C887" s="128"/>
      <c r="D887" s="128"/>
      <c r="E887" s="129"/>
      <c r="F887" s="129"/>
    </row>
    <row r="888" spans="1:6" x14ac:dyDescent="0.35">
      <c r="A888" s="130"/>
      <c r="B888" s="131"/>
      <c r="C888" s="132"/>
      <c r="D888" s="132"/>
      <c r="E888" s="133"/>
      <c r="F888" s="133"/>
    </row>
    <row r="889" spans="1:6" x14ac:dyDescent="0.35">
      <c r="A889" s="107" t="s">
        <v>69</v>
      </c>
      <c r="B889" s="108" t="s">
        <v>70</v>
      </c>
      <c r="C889" s="109"/>
      <c r="D889" s="109"/>
      <c r="E889" s="110"/>
      <c r="F889" s="110"/>
    </row>
    <row r="890" spans="1:6" x14ac:dyDescent="0.35">
      <c r="A890" s="211" t="s">
        <v>620</v>
      </c>
      <c r="B890" s="201" t="s">
        <v>761</v>
      </c>
      <c r="C890" s="200" t="s">
        <v>2</v>
      </c>
      <c r="D890" s="202" t="s">
        <v>765</v>
      </c>
      <c r="E890" s="203" t="s">
        <v>766</v>
      </c>
      <c r="F890" s="203" t="s">
        <v>767</v>
      </c>
    </row>
    <row r="891" spans="1:6" x14ac:dyDescent="0.35">
      <c r="A891" s="230" t="s">
        <v>93</v>
      </c>
      <c r="B891" s="227" t="s">
        <v>94</v>
      </c>
      <c r="C891" s="124" t="s">
        <v>38</v>
      </c>
      <c r="D891" s="124"/>
      <c r="E891" s="117"/>
      <c r="F891" s="117"/>
    </row>
    <row r="892" spans="1:6" x14ac:dyDescent="0.35">
      <c r="A892" s="220" t="s">
        <v>95</v>
      </c>
      <c r="B892" s="214" t="s">
        <v>96</v>
      </c>
      <c r="C892" s="109"/>
      <c r="D892" s="109"/>
      <c r="E892" s="110"/>
      <c r="F892" s="110"/>
    </row>
    <row r="893" spans="1:6" x14ac:dyDescent="0.35">
      <c r="A893" s="111"/>
      <c r="B893" s="112" t="s">
        <v>802</v>
      </c>
      <c r="C893" s="118"/>
      <c r="D893" s="118"/>
      <c r="E893" s="119"/>
      <c r="F893" s="119"/>
    </row>
    <row r="894" spans="1:6" x14ac:dyDescent="0.25">
      <c r="A894" s="111"/>
      <c r="B894" s="134" t="s">
        <v>803</v>
      </c>
      <c r="C894" s="115" t="s">
        <v>804</v>
      </c>
      <c r="D894" s="135">
        <v>7</v>
      </c>
      <c r="E894" s="117">
        <v>51000</v>
      </c>
      <c r="F894" s="121">
        <f t="shared" ref="F894:F903" si="7">+SUM(D894*E894)</f>
        <v>357000</v>
      </c>
    </row>
    <row r="895" spans="1:6" x14ac:dyDescent="0.25">
      <c r="A895" s="111"/>
      <c r="B895" s="134" t="s">
        <v>805</v>
      </c>
      <c r="C895" s="115" t="s">
        <v>38</v>
      </c>
      <c r="D895" s="135">
        <v>0.5</v>
      </c>
      <c r="E895" s="117">
        <v>55000</v>
      </c>
      <c r="F895" s="121">
        <f t="shared" si="7"/>
        <v>27500</v>
      </c>
    </row>
    <row r="896" spans="1:6" x14ac:dyDescent="0.25">
      <c r="A896" s="111"/>
      <c r="B896" s="134" t="s">
        <v>806</v>
      </c>
      <c r="C896" s="115" t="s">
        <v>38</v>
      </c>
      <c r="D896" s="135">
        <v>0.9</v>
      </c>
      <c r="E896" s="117">
        <v>16000</v>
      </c>
      <c r="F896" s="121">
        <f t="shared" si="7"/>
        <v>14400</v>
      </c>
    </row>
    <row r="897" spans="1:6" x14ac:dyDescent="0.25">
      <c r="A897" s="111"/>
      <c r="B897" s="120" t="s">
        <v>842</v>
      </c>
      <c r="C897" s="115" t="s">
        <v>59</v>
      </c>
      <c r="D897" s="135">
        <v>6.5</v>
      </c>
      <c r="E897" s="117">
        <v>45000</v>
      </c>
      <c r="F897" s="121">
        <f t="shared" si="7"/>
        <v>292500</v>
      </c>
    </row>
    <row r="898" spans="1:6" x14ac:dyDescent="0.25">
      <c r="A898" s="111"/>
      <c r="B898" s="120" t="s">
        <v>837</v>
      </c>
      <c r="C898" s="115" t="s">
        <v>59</v>
      </c>
      <c r="D898" s="135">
        <v>11</v>
      </c>
      <c r="E898" s="117">
        <v>23000</v>
      </c>
      <c r="F898" s="121">
        <f t="shared" si="7"/>
        <v>253000</v>
      </c>
    </row>
    <row r="899" spans="1:6" x14ac:dyDescent="0.25">
      <c r="A899" s="111"/>
      <c r="B899" s="120" t="s">
        <v>830</v>
      </c>
      <c r="C899" s="115" t="s">
        <v>59</v>
      </c>
      <c r="D899" s="135">
        <v>20</v>
      </c>
      <c r="E899" s="117">
        <v>7500</v>
      </c>
      <c r="F899" s="121">
        <f t="shared" si="7"/>
        <v>150000</v>
      </c>
    </row>
    <row r="900" spans="1:6" x14ac:dyDescent="0.25">
      <c r="A900" s="111"/>
      <c r="B900" s="120" t="s">
        <v>838</v>
      </c>
      <c r="C900" s="115" t="s">
        <v>59</v>
      </c>
      <c r="D900" s="135">
        <v>15</v>
      </c>
      <c r="E900" s="117">
        <v>1600</v>
      </c>
      <c r="F900" s="121">
        <f t="shared" si="7"/>
        <v>24000</v>
      </c>
    </row>
    <row r="901" spans="1:6" x14ac:dyDescent="0.35">
      <c r="A901" s="111"/>
      <c r="B901" s="120" t="s">
        <v>831</v>
      </c>
      <c r="C901" s="115" t="s">
        <v>832</v>
      </c>
      <c r="D901" s="121">
        <v>12</v>
      </c>
      <c r="E901" s="117">
        <v>8000</v>
      </c>
      <c r="F901" s="121">
        <f t="shared" si="7"/>
        <v>96000</v>
      </c>
    </row>
    <row r="902" spans="1:6" x14ac:dyDescent="0.35">
      <c r="A902" s="111"/>
      <c r="B902" s="120" t="s">
        <v>833</v>
      </c>
      <c r="C902" s="115" t="s">
        <v>832</v>
      </c>
      <c r="D902" s="121">
        <v>12</v>
      </c>
      <c r="E902" s="117">
        <v>5500</v>
      </c>
      <c r="F902" s="121">
        <f t="shared" si="7"/>
        <v>66000</v>
      </c>
    </row>
    <row r="903" spans="1:6" x14ac:dyDescent="0.35">
      <c r="A903" s="111"/>
      <c r="B903" s="120" t="s">
        <v>807</v>
      </c>
      <c r="C903" s="115" t="s">
        <v>38</v>
      </c>
      <c r="D903" s="116">
        <v>0.5</v>
      </c>
      <c r="E903" s="117">
        <v>1000</v>
      </c>
      <c r="F903" s="121">
        <f t="shared" si="7"/>
        <v>500</v>
      </c>
    </row>
    <row r="904" spans="1:6" x14ac:dyDescent="0.3">
      <c r="A904" s="111"/>
      <c r="B904" s="136" t="s">
        <v>769</v>
      </c>
      <c r="C904" s="115"/>
      <c r="D904" s="116"/>
      <c r="E904" s="117"/>
      <c r="F904" s="114">
        <f>SUM(F894:F903)</f>
        <v>1280900</v>
      </c>
    </row>
    <row r="905" spans="1:6" x14ac:dyDescent="0.3">
      <c r="A905" s="111"/>
      <c r="B905" s="136" t="s">
        <v>808</v>
      </c>
      <c r="C905" s="115"/>
      <c r="D905" s="116"/>
      <c r="E905" s="117"/>
      <c r="F905" s="114"/>
    </row>
    <row r="906" spans="1:6" x14ac:dyDescent="0.25">
      <c r="A906" s="111"/>
      <c r="B906" s="134" t="s">
        <v>820</v>
      </c>
      <c r="C906" s="115" t="s">
        <v>772</v>
      </c>
      <c r="D906" s="228">
        <v>4</v>
      </c>
      <c r="E906" s="117">
        <v>7500</v>
      </c>
      <c r="F906" s="121">
        <f>+D906*E906</f>
        <v>30000</v>
      </c>
    </row>
    <row r="907" spans="1:6" x14ac:dyDescent="0.25">
      <c r="A907" s="111"/>
      <c r="B907" s="134" t="s">
        <v>821</v>
      </c>
      <c r="C907" s="115" t="s">
        <v>772</v>
      </c>
      <c r="D907" s="228">
        <v>4</v>
      </c>
      <c r="E907" s="117">
        <v>7500</v>
      </c>
      <c r="F907" s="121">
        <f>+D907*E907</f>
        <v>30000</v>
      </c>
    </row>
    <row r="908" spans="1:6" x14ac:dyDescent="0.25">
      <c r="A908" s="111"/>
      <c r="B908" s="134" t="s">
        <v>773</v>
      </c>
      <c r="C908" s="115" t="s">
        <v>772</v>
      </c>
      <c r="D908" s="228">
        <v>8</v>
      </c>
      <c r="E908" s="117">
        <v>15000</v>
      </c>
      <c r="F908" s="121">
        <f>+D908*E908</f>
        <v>120000</v>
      </c>
    </row>
    <row r="909" spans="1:6" x14ac:dyDescent="0.25">
      <c r="A909" s="111"/>
      <c r="B909" s="134" t="s">
        <v>834</v>
      </c>
      <c r="C909" s="115" t="s">
        <v>772</v>
      </c>
      <c r="D909" s="228">
        <v>8</v>
      </c>
      <c r="E909" s="117">
        <v>15000</v>
      </c>
      <c r="F909" s="121">
        <f>+D909*E909</f>
        <v>120000</v>
      </c>
    </row>
    <row r="910" spans="1:6" x14ac:dyDescent="0.25">
      <c r="A910" s="111"/>
      <c r="B910" s="134" t="s">
        <v>823</v>
      </c>
      <c r="C910" s="115" t="s">
        <v>772</v>
      </c>
      <c r="D910" s="228">
        <v>8</v>
      </c>
      <c r="E910" s="117">
        <v>15000</v>
      </c>
      <c r="F910" s="121">
        <f>+D910*E910</f>
        <v>120000</v>
      </c>
    </row>
    <row r="911" spans="1:6" x14ac:dyDescent="0.3">
      <c r="A911" s="111"/>
      <c r="B911" s="136" t="s">
        <v>774</v>
      </c>
      <c r="C911" s="115"/>
      <c r="D911" s="228"/>
      <c r="E911" s="117"/>
      <c r="F911" s="114">
        <f>SUM(F906:F910)</f>
        <v>420000</v>
      </c>
    </row>
    <row r="912" spans="1:6" x14ac:dyDescent="0.3">
      <c r="A912" s="111"/>
      <c r="B912" s="136" t="s">
        <v>775</v>
      </c>
      <c r="C912" s="115"/>
      <c r="D912" s="116"/>
      <c r="E912" s="117"/>
      <c r="F912" s="114">
        <f>F911+F904</f>
        <v>1700900</v>
      </c>
    </row>
    <row r="913" spans="1:6" x14ac:dyDescent="0.25">
      <c r="A913" s="111"/>
      <c r="B913" s="134" t="s">
        <v>776</v>
      </c>
      <c r="C913" s="115"/>
      <c r="D913" s="116">
        <v>1.25</v>
      </c>
      <c r="E913" s="117"/>
      <c r="F913" s="114">
        <f>+F912*D913</f>
        <v>2126125</v>
      </c>
    </row>
    <row r="914" spans="1:6" x14ac:dyDescent="0.25">
      <c r="A914" s="111"/>
      <c r="B914" s="134" t="s">
        <v>835</v>
      </c>
      <c r="C914" s="115"/>
      <c r="D914" s="116">
        <v>1.25</v>
      </c>
      <c r="E914" s="117"/>
      <c r="F914" s="114"/>
    </row>
    <row r="915" spans="1:6" x14ac:dyDescent="0.35">
      <c r="A915" s="229" t="s">
        <v>95</v>
      </c>
      <c r="B915" s="207" t="s">
        <v>790</v>
      </c>
      <c r="C915" s="208" t="s">
        <v>38</v>
      </c>
      <c r="D915" s="208"/>
      <c r="E915" s="209"/>
      <c r="F915" s="209">
        <f>+D914*F913</f>
        <v>2657656.25</v>
      </c>
    </row>
    <row r="916" spans="1:6" x14ac:dyDescent="0.35">
      <c r="A916" s="206"/>
      <c r="B916" s="207"/>
      <c r="C916" s="208"/>
      <c r="D916" s="208"/>
      <c r="E916" s="210">
        <f>+E886</f>
        <v>3035.45</v>
      </c>
      <c r="F916" s="210">
        <f>+F915/E916</f>
        <v>875.53945872934821</v>
      </c>
    </row>
    <row r="917" spans="1:6" x14ac:dyDescent="0.35">
      <c r="A917" s="126"/>
      <c r="B917" s="127"/>
      <c r="C917" s="128"/>
      <c r="D917" s="128"/>
      <c r="E917" s="129"/>
      <c r="F917" s="129"/>
    </row>
    <row r="918" spans="1:6" x14ac:dyDescent="0.35">
      <c r="A918" s="130"/>
      <c r="B918" s="131"/>
      <c r="C918" s="132"/>
      <c r="D918" s="132"/>
      <c r="E918" s="133"/>
      <c r="F918" s="133"/>
    </row>
    <row r="919" spans="1:6" x14ac:dyDescent="0.35">
      <c r="A919" s="107" t="s">
        <v>69</v>
      </c>
      <c r="B919" s="108" t="s">
        <v>70</v>
      </c>
      <c r="C919" s="109"/>
      <c r="D919" s="109"/>
      <c r="E919" s="110"/>
      <c r="F919" s="110"/>
    </row>
    <row r="920" spans="1:6" x14ac:dyDescent="0.35">
      <c r="A920" s="211" t="s">
        <v>620</v>
      </c>
      <c r="B920" s="201" t="s">
        <v>761</v>
      </c>
      <c r="C920" s="200" t="s">
        <v>2</v>
      </c>
      <c r="D920" s="202" t="s">
        <v>765</v>
      </c>
      <c r="E920" s="203" t="s">
        <v>766</v>
      </c>
      <c r="F920" s="203" t="s">
        <v>767</v>
      </c>
    </row>
    <row r="921" spans="1:6" x14ac:dyDescent="0.35">
      <c r="A921" s="230" t="s">
        <v>93</v>
      </c>
      <c r="B921" s="227" t="s">
        <v>94</v>
      </c>
      <c r="C921" s="124" t="s">
        <v>38</v>
      </c>
      <c r="D921" s="124"/>
      <c r="E921" s="117"/>
      <c r="F921" s="117"/>
    </row>
    <row r="922" spans="1:6" ht="15.75" customHeight="1" x14ac:dyDescent="0.35">
      <c r="A922" s="220" t="s">
        <v>97</v>
      </c>
      <c r="B922" s="214" t="s">
        <v>98</v>
      </c>
      <c r="C922" s="109"/>
      <c r="D922" s="109"/>
      <c r="E922" s="110"/>
      <c r="F922" s="110"/>
    </row>
    <row r="923" spans="1:6" x14ac:dyDescent="0.35">
      <c r="A923" s="111"/>
      <c r="B923" s="112" t="s">
        <v>802</v>
      </c>
      <c r="C923" s="118"/>
      <c r="D923" s="118"/>
      <c r="E923" s="119"/>
      <c r="F923" s="119"/>
    </row>
    <row r="924" spans="1:6" x14ac:dyDescent="0.25">
      <c r="A924" s="111"/>
      <c r="B924" s="134" t="s">
        <v>803</v>
      </c>
      <c r="C924" s="115" t="s">
        <v>804</v>
      </c>
      <c r="D924" s="135">
        <v>7</v>
      </c>
      <c r="E924" s="117">
        <v>51000</v>
      </c>
      <c r="F924" s="121">
        <f t="shared" ref="F924:F934" si="8">+SUM(D924*E924)</f>
        <v>357000</v>
      </c>
    </row>
    <row r="925" spans="1:6" x14ac:dyDescent="0.25">
      <c r="A925" s="111"/>
      <c r="B925" s="134" t="s">
        <v>805</v>
      </c>
      <c r="C925" s="115" t="s">
        <v>38</v>
      </c>
      <c r="D925" s="135">
        <v>0.5</v>
      </c>
      <c r="E925" s="117">
        <v>55000</v>
      </c>
      <c r="F925" s="121">
        <f t="shared" si="8"/>
        <v>27500</v>
      </c>
    </row>
    <row r="926" spans="1:6" x14ac:dyDescent="0.25">
      <c r="A926" s="111"/>
      <c r="B926" s="134" t="s">
        <v>806</v>
      </c>
      <c r="C926" s="115" t="s">
        <v>38</v>
      </c>
      <c r="D926" s="135">
        <v>0.9</v>
      </c>
      <c r="E926" s="117">
        <v>16000</v>
      </c>
      <c r="F926" s="121">
        <f t="shared" si="8"/>
        <v>14400</v>
      </c>
    </row>
    <row r="927" spans="1:6" x14ac:dyDescent="0.25">
      <c r="A927" s="111"/>
      <c r="B927" s="134" t="s">
        <v>843</v>
      </c>
      <c r="C927" s="115" t="s">
        <v>59</v>
      </c>
      <c r="D927" s="135">
        <v>9</v>
      </c>
      <c r="E927" s="117">
        <v>650</v>
      </c>
      <c r="F927" s="121">
        <f t="shared" si="8"/>
        <v>5850</v>
      </c>
    </row>
    <row r="928" spans="1:6" x14ac:dyDescent="0.25">
      <c r="A928" s="111"/>
      <c r="B928" s="120" t="s">
        <v>842</v>
      </c>
      <c r="C928" s="115" t="s">
        <v>59</v>
      </c>
      <c r="D928" s="135">
        <v>5</v>
      </c>
      <c r="E928" s="117">
        <v>45000</v>
      </c>
      <c r="F928" s="121">
        <f t="shared" si="8"/>
        <v>225000</v>
      </c>
    </row>
    <row r="929" spans="1:8" s="139" customFormat="1" x14ac:dyDescent="0.25">
      <c r="A929" s="109"/>
      <c r="B929" s="123" t="s">
        <v>837</v>
      </c>
      <c r="C929" s="124" t="s">
        <v>59</v>
      </c>
      <c r="D929" s="137">
        <v>10</v>
      </c>
      <c r="E929" s="117">
        <v>23000</v>
      </c>
      <c r="F929" s="117">
        <f t="shared" si="8"/>
        <v>230000</v>
      </c>
      <c r="G929" s="138"/>
      <c r="H929" s="177"/>
    </row>
    <row r="930" spans="1:8" x14ac:dyDescent="0.25">
      <c r="A930" s="111"/>
      <c r="B930" s="120" t="s">
        <v>830</v>
      </c>
      <c r="C930" s="115" t="s">
        <v>59</v>
      </c>
      <c r="D930" s="135">
        <v>15</v>
      </c>
      <c r="E930" s="117">
        <v>7500</v>
      </c>
      <c r="F930" s="121">
        <f t="shared" si="8"/>
        <v>112500</v>
      </c>
    </row>
    <row r="931" spans="1:8" x14ac:dyDescent="0.25">
      <c r="A931" s="111"/>
      <c r="B931" s="120" t="s">
        <v>838</v>
      </c>
      <c r="C931" s="115" t="s">
        <v>59</v>
      </c>
      <c r="D931" s="135">
        <v>10</v>
      </c>
      <c r="E931" s="117">
        <v>1600</v>
      </c>
      <c r="F931" s="121">
        <f t="shared" si="8"/>
        <v>16000</v>
      </c>
    </row>
    <row r="932" spans="1:8" x14ac:dyDescent="0.35">
      <c r="A932" s="111"/>
      <c r="B932" s="120" t="s">
        <v>831</v>
      </c>
      <c r="C932" s="115" t="s">
        <v>832</v>
      </c>
      <c r="D932" s="121">
        <v>10</v>
      </c>
      <c r="E932" s="117">
        <v>8000</v>
      </c>
      <c r="F932" s="121">
        <f t="shared" si="8"/>
        <v>80000</v>
      </c>
    </row>
    <row r="933" spans="1:8" x14ac:dyDescent="0.35">
      <c r="A933" s="111"/>
      <c r="B933" s="120" t="s">
        <v>833</v>
      </c>
      <c r="C933" s="115" t="s">
        <v>832</v>
      </c>
      <c r="D933" s="121">
        <v>10</v>
      </c>
      <c r="E933" s="117">
        <v>5500</v>
      </c>
      <c r="F933" s="121">
        <f t="shared" si="8"/>
        <v>55000</v>
      </c>
    </row>
    <row r="934" spans="1:8" x14ac:dyDescent="0.35">
      <c r="A934" s="111"/>
      <c r="B934" s="120" t="s">
        <v>807</v>
      </c>
      <c r="C934" s="115" t="s">
        <v>38</v>
      </c>
      <c r="D934" s="116">
        <v>0.5</v>
      </c>
      <c r="E934" s="117">
        <v>1000</v>
      </c>
      <c r="F934" s="121">
        <f t="shared" si="8"/>
        <v>500</v>
      </c>
    </row>
    <row r="935" spans="1:8" x14ac:dyDescent="0.3">
      <c r="A935" s="111"/>
      <c r="B935" s="136" t="s">
        <v>769</v>
      </c>
      <c r="C935" s="115"/>
      <c r="D935" s="116"/>
      <c r="E935" s="117"/>
      <c r="F935" s="114">
        <f>SUM(F924:F934)</f>
        <v>1123750</v>
      </c>
    </row>
    <row r="936" spans="1:8" x14ac:dyDescent="0.3">
      <c r="A936" s="111"/>
      <c r="B936" s="136" t="s">
        <v>808</v>
      </c>
      <c r="C936" s="115"/>
      <c r="D936" s="116"/>
      <c r="E936" s="117"/>
      <c r="F936" s="114"/>
    </row>
    <row r="937" spans="1:8" x14ac:dyDescent="0.25">
      <c r="A937" s="111"/>
      <c r="B937" s="134" t="s">
        <v>820</v>
      </c>
      <c r="C937" s="115" t="s">
        <v>772</v>
      </c>
      <c r="D937" s="228">
        <v>4</v>
      </c>
      <c r="E937" s="117">
        <v>7500</v>
      </c>
      <c r="F937" s="121">
        <f>+D937*E937</f>
        <v>30000</v>
      </c>
    </row>
    <row r="938" spans="1:8" x14ac:dyDescent="0.25">
      <c r="A938" s="111"/>
      <c r="B938" s="134" t="s">
        <v>821</v>
      </c>
      <c r="C938" s="115" t="s">
        <v>772</v>
      </c>
      <c r="D938" s="228">
        <v>4</v>
      </c>
      <c r="E938" s="117">
        <v>7500</v>
      </c>
      <c r="F938" s="121">
        <f>+D938*E938</f>
        <v>30000</v>
      </c>
    </row>
    <row r="939" spans="1:8" x14ac:dyDescent="0.25">
      <c r="A939" s="111"/>
      <c r="B939" s="134" t="s">
        <v>773</v>
      </c>
      <c r="C939" s="115" t="s">
        <v>772</v>
      </c>
      <c r="D939" s="228">
        <v>4</v>
      </c>
      <c r="E939" s="117">
        <v>15000</v>
      </c>
      <c r="F939" s="121">
        <f>+D939*E939</f>
        <v>60000</v>
      </c>
    </row>
    <row r="940" spans="1:8" x14ac:dyDescent="0.25">
      <c r="A940" s="111"/>
      <c r="B940" s="134" t="s">
        <v>834</v>
      </c>
      <c r="C940" s="115" t="s">
        <v>772</v>
      </c>
      <c r="D940" s="228">
        <v>2</v>
      </c>
      <c r="E940" s="117">
        <v>15000</v>
      </c>
      <c r="F940" s="121">
        <f>+D940*E940</f>
        <v>30000</v>
      </c>
    </row>
    <row r="941" spans="1:8" x14ac:dyDescent="0.25">
      <c r="A941" s="111"/>
      <c r="B941" s="134" t="s">
        <v>823</v>
      </c>
      <c r="C941" s="115" t="s">
        <v>772</v>
      </c>
      <c r="D941" s="228">
        <v>1.5</v>
      </c>
      <c r="E941" s="117">
        <v>15000</v>
      </c>
      <c r="F941" s="121">
        <f>+D941*E941</f>
        <v>22500</v>
      </c>
    </row>
    <row r="942" spans="1:8" x14ac:dyDescent="0.3">
      <c r="A942" s="111"/>
      <c r="B942" s="136" t="s">
        <v>774</v>
      </c>
      <c r="C942" s="115"/>
      <c r="D942" s="228"/>
      <c r="E942" s="117"/>
      <c r="F942" s="114">
        <f>SUM(F937:F941)</f>
        <v>172500</v>
      </c>
    </row>
    <row r="943" spans="1:8" x14ac:dyDescent="0.3">
      <c r="A943" s="111"/>
      <c r="B943" s="136" t="s">
        <v>775</v>
      </c>
      <c r="C943" s="115"/>
      <c r="D943" s="116"/>
      <c r="E943" s="117"/>
      <c r="F943" s="114">
        <f>F942+F935</f>
        <v>1296250</v>
      </c>
    </row>
    <row r="944" spans="1:8" x14ac:dyDescent="0.25">
      <c r="A944" s="111"/>
      <c r="B944" s="134" t="s">
        <v>812</v>
      </c>
      <c r="C944" s="115"/>
      <c r="D944" s="116">
        <v>1.1499999999999999</v>
      </c>
      <c r="E944" s="117"/>
      <c r="F944" s="114">
        <f>+F943*D944</f>
        <v>1490687.5</v>
      </c>
    </row>
    <row r="945" spans="1:6" x14ac:dyDescent="0.25">
      <c r="A945" s="111"/>
      <c r="B945" s="134" t="s">
        <v>835</v>
      </c>
      <c r="C945" s="115"/>
      <c r="D945" s="116">
        <v>1.25</v>
      </c>
      <c r="E945" s="117"/>
      <c r="F945" s="114"/>
    </row>
    <row r="946" spans="1:6" x14ac:dyDescent="0.35">
      <c r="A946" s="229" t="s">
        <v>97</v>
      </c>
      <c r="B946" s="207" t="s">
        <v>790</v>
      </c>
      <c r="C946" s="208" t="s">
        <v>38</v>
      </c>
      <c r="D946" s="208"/>
      <c r="E946" s="209"/>
      <c r="F946" s="209">
        <f>+D945*F944</f>
        <v>1863359.375</v>
      </c>
    </row>
    <row r="947" spans="1:6" x14ac:dyDescent="0.35">
      <c r="A947" s="206"/>
      <c r="B947" s="207"/>
      <c r="C947" s="208"/>
      <c r="D947" s="208"/>
      <c r="E947" s="210">
        <f>+E916</f>
        <v>3035.45</v>
      </c>
      <c r="F947" s="210">
        <f>+F946/E947</f>
        <v>613.86594244675427</v>
      </c>
    </row>
    <row r="948" spans="1:6" x14ac:dyDescent="0.35">
      <c r="A948" s="126"/>
      <c r="B948" s="127"/>
      <c r="C948" s="128"/>
      <c r="D948" s="128"/>
      <c r="E948" s="129"/>
      <c r="F948" s="129"/>
    </row>
    <row r="949" spans="1:6" x14ac:dyDescent="0.35">
      <c r="A949" s="130"/>
      <c r="B949" s="131"/>
      <c r="C949" s="132"/>
      <c r="D949" s="132"/>
      <c r="E949" s="133"/>
      <c r="F949" s="133"/>
    </row>
    <row r="950" spans="1:6" x14ac:dyDescent="0.35">
      <c r="A950" s="107" t="s">
        <v>69</v>
      </c>
      <c r="B950" s="108" t="s">
        <v>70</v>
      </c>
      <c r="C950" s="109"/>
      <c r="D950" s="109"/>
      <c r="E950" s="110"/>
      <c r="F950" s="110"/>
    </row>
    <row r="951" spans="1:6" x14ac:dyDescent="0.35">
      <c r="A951" s="211" t="s">
        <v>620</v>
      </c>
      <c r="B951" s="201" t="s">
        <v>761</v>
      </c>
      <c r="C951" s="200" t="s">
        <v>2</v>
      </c>
      <c r="D951" s="202" t="s">
        <v>765</v>
      </c>
      <c r="E951" s="203" t="s">
        <v>766</v>
      </c>
      <c r="F951" s="203" t="s">
        <v>767</v>
      </c>
    </row>
    <row r="952" spans="1:6" x14ac:dyDescent="0.35">
      <c r="A952" s="230" t="s">
        <v>84</v>
      </c>
      <c r="B952" s="227" t="s">
        <v>94</v>
      </c>
      <c r="C952" s="124" t="s">
        <v>38</v>
      </c>
      <c r="D952" s="124"/>
      <c r="E952" s="117"/>
      <c r="F952" s="117"/>
    </row>
    <row r="953" spans="1:6" x14ac:dyDescent="0.35">
      <c r="A953" s="220" t="s">
        <v>99</v>
      </c>
      <c r="B953" s="214" t="s">
        <v>844</v>
      </c>
      <c r="C953" s="109"/>
      <c r="D953" s="109"/>
      <c r="E953" s="110"/>
      <c r="F953" s="110"/>
    </row>
    <row r="954" spans="1:6" x14ac:dyDescent="0.35">
      <c r="A954" s="111"/>
      <c r="B954" s="112" t="s">
        <v>802</v>
      </c>
      <c r="C954" s="118"/>
      <c r="D954" s="118"/>
      <c r="E954" s="119"/>
      <c r="F954" s="119"/>
    </row>
    <row r="955" spans="1:6" x14ac:dyDescent="0.25">
      <c r="A955" s="111"/>
      <c r="B955" s="134" t="s">
        <v>803</v>
      </c>
      <c r="C955" s="115" t="s">
        <v>804</v>
      </c>
      <c r="D955" s="135">
        <v>7</v>
      </c>
      <c r="E955" s="117">
        <v>51000</v>
      </c>
      <c r="F955" s="121">
        <f t="shared" ref="F955:F964" si="9">+SUM(D955*E955)</f>
        <v>357000</v>
      </c>
    </row>
    <row r="956" spans="1:6" x14ac:dyDescent="0.25">
      <c r="A956" s="111"/>
      <c r="B956" s="134" t="s">
        <v>805</v>
      </c>
      <c r="C956" s="115" t="s">
        <v>38</v>
      </c>
      <c r="D956" s="135">
        <v>0.5</v>
      </c>
      <c r="E956" s="117">
        <v>55000</v>
      </c>
      <c r="F956" s="121">
        <f t="shared" si="9"/>
        <v>27500</v>
      </c>
    </row>
    <row r="957" spans="1:6" x14ac:dyDescent="0.25">
      <c r="A957" s="111"/>
      <c r="B957" s="134" t="s">
        <v>806</v>
      </c>
      <c r="C957" s="115" t="s">
        <v>38</v>
      </c>
      <c r="D957" s="135">
        <v>0.9</v>
      </c>
      <c r="E957" s="117">
        <v>16000</v>
      </c>
      <c r="F957" s="121">
        <f t="shared" si="9"/>
        <v>14400</v>
      </c>
    </row>
    <row r="958" spans="1:6" x14ac:dyDescent="0.25">
      <c r="A958" s="111"/>
      <c r="B958" s="120" t="s">
        <v>842</v>
      </c>
      <c r="C958" s="115" t="s">
        <v>59</v>
      </c>
      <c r="D958" s="135">
        <v>6.5</v>
      </c>
      <c r="E958" s="117">
        <v>45000</v>
      </c>
      <c r="F958" s="121">
        <f t="shared" si="9"/>
        <v>292500</v>
      </c>
    </row>
    <row r="959" spans="1:6" x14ac:dyDescent="0.25">
      <c r="A959" s="111"/>
      <c r="B959" s="120" t="s">
        <v>837</v>
      </c>
      <c r="C959" s="115" t="s">
        <v>59</v>
      </c>
      <c r="D959" s="135">
        <v>11</v>
      </c>
      <c r="E959" s="117">
        <v>23000</v>
      </c>
      <c r="F959" s="121">
        <f t="shared" si="9"/>
        <v>253000</v>
      </c>
    </row>
    <row r="960" spans="1:6" x14ac:dyDescent="0.25">
      <c r="A960" s="111"/>
      <c r="B960" s="120" t="s">
        <v>830</v>
      </c>
      <c r="C960" s="115" t="s">
        <v>59</v>
      </c>
      <c r="D960" s="137">
        <v>10</v>
      </c>
      <c r="E960" s="117">
        <v>7500</v>
      </c>
      <c r="F960" s="121">
        <f t="shared" si="9"/>
        <v>75000</v>
      </c>
    </row>
    <row r="961" spans="1:6" x14ac:dyDescent="0.25">
      <c r="A961" s="111"/>
      <c r="B961" s="120" t="s">
        <v>838</v>
      </c>
      <c r="C961" s="115" t="s">
        <v>59</v>
      </c>
      <c r="D961" s="135">
        <v>15</v>
      </c>
      <c r="E961" s="117">
        <v>1600</v>
      </c>
      <c r="F961" s="121">
        <f t="shared" si="9"/>
        <v>24000</v>
      </c>
    </row>
    <row r="962" spans="1:6" x14ac:dyDescent="0.35">
      <c r="A962" s="111"/>
      <c r="B962" s="120" t="s">
        <v>831</v>
      </c>
      <c r="C962" s="115" t="s">
        <v>832</v>
      </c>
      <c r="D962" s="140">
        <v>2.5</v>
      </c>
      <c r="E962" s="117">
        <v>8000</v>
      </c>
      <c r="F962" s="121">
        <f t="shared" si="9"/>
        <v>20000</v>
      </c>
    </row>
    <row r="963" spans="1:6" x14ac:dyDescent="0.35">
      <c r="A963" s="111"/>
      <c r="B963" s="120" t="s">
        <v>833</v>
      </c>
      <c r="C963" s="115" t="s">
        <v>832</v>
      </c>
      <c r="D963" s="140">
        <v>2.5</v>
      </c>
      <c r="E963" s="117">
        <v>5500</v>
      </c>
      <c r="F963" s="121">
        <f t="shared" si="9"/>
        <v>13750</v>
      </c>
    </row>
    <row r="964" spans="1:6" x14ac:dyDescent="0.35">
      <c r="A964" s="111"/>
      <c r="B964" s="120" t="s">
        <v>807</v>
      </c>
      <c r="C964" s="115" t="s">
        <v>38</v>
      </c>
      <c r="D964" s="116">
        <v>0.5</v>
      </c>
      <c r="E964" s="117">
        <v>1000</v>
      </c>
      <c r="F964" s="121">
        <f t="shared" si="9"/>
        <v>500</v>
      </c>
    </row>
    <row r="965" spans="1:6" x14ac:dyDescent="0.3">
      <c r="A965" s="111"/>
      <c r="B965" s="136" t="s">
        <v>769</v>
      </c>
      <c r="C965" s="115"/>
      <c r="D965" s="116"/>
      <c r="E965" s="117"/>
      <c r="F965" s="114">
        <f>SUM(F955:F964)</f>
        <v>1077650</v>
      </c>
    </row>
    <row r="966" spans="1:6" x14ac:dyDescent="0.3">
      <c r="A966" s="111"/>
      <c r="B966" s="136" t="s">
        <v>808</v>
      </c>
      <c r="C966" s="115"/>
      <c r="D966" s="116"/>
      <c r="E966" s="117"/>
      <c r="F966" s="114"/>
    </row>
    <row r="967" spans="1:6" x14ac:dyDescent="0.25">
      <c r="A967" s="111"/>
      <c r="B967" s="134" t="s">
        <v>820</v>
      </c>
      <c r="C967" s="115" t="s">
        <v>772</v>
      </c>
      <c r="D967" s="228">
        <v>2</v>
      </c>
      <c r="E967" s="117">
        <v>7500</v>
      </c>
      <c r="F967" s="121">
        <f>+D967*E967</f>
        <v>15000</v>
      </c>
    </row>
    <row r="968" spans="1:6" x14ac:dyDescent="0.25">
      <c r="A968" s="111"/>
      <c r="B968" s="134" t="s">
        <v>821</v>
      </c>
      <c r="C968" s="115" t="s">
        <v>772</v>
      </c>
      <c r="D968" s="228">
        <v>2</v>
      </c>
      <c r="E968" s="117">
        <v>7500</v>
      </c>
      <c r="F968" s="121">
        <f>+D968*E968</f>
        <v>15000</v>
      </c>
    </row>
    <row r="969" spans="1:6" x14ac:dyDescent="0.25">
      <c r="A969" s="111"/>
      <c r="B969" s="134" t="s">
        <v>773</v>
      </c>
      <c r="C969" s="115" t="s">
        <v>772</v>
      </c>
      <c r="D969" s="228">
        <v>1.5</v>
      </c>
      <c r="E969" s="117">
        <v>15000</v>
      </c>
      <c r="F969" s="121">
        <f>+D969*E969</f>
        <v>22500</v>
      </c>
    </row>
    <row r="970" spans="1:6" x14ac:dyDescent="0.25">
      <c r="A970" s="111"/>
      <c r="B970" s="134" t="s">
        <v>834</v>
      </c>
      <c r="C970" s="115" t="s">
        <v>772</v>
      </c>
      <c r="D970" s="228">
        <v>1</v>
      </c>
      <c r="E970" s="117">
        <v>15000</v>
      </c>
      <c r="F970" s="121">
        <f>+D970*E970</f>
        <v>15000</v>
      </c>
    </row>
    <row r="971" spans="1:6" x14ac:dyDescent="0.25">
      <c r="A971" s="111"/>
      <c r="B971" s="134" t="s">
        <v>823</v>
      </c>
      <c r="C971" s="115" t="s">
        <v>772</v>
      </c>
      <c r="D971" s="228">
        <v>1.5</v>
      </c>
      <c r="E971" s="117">
        <v>15000</v>
      </c>
      <c r="F971" s="121">
        <f>+D971*E971</f>
        <v>22500</v>
      </c>
    </row>
    <row r="972" spans="1:6" x14ac:dyDescent="0.3">
      <c r="A972" s="111"/>
      <c r="B972" s="136" t="s">
        <v>774</v>
      </c>
      <c r="C972" s="115"/>
      <c r="D972" s="228"/>
      <c r="E972" s="117"/>
      <c r="F972" s="114">
        <f>SUM(F967:F971)</f>
        <v>90000</v>
      </c>
    </row>
    <row r="973" spans="1:6" x14ac:dyDescent="0.3">
      <c r="A973" s="111"/>
      <c r="B973" s="136" t="s">
        <v>775</v>
      </c>
      <c r="C973" s="115"/>
      <c r="D973" s="116"/>
      <c r="E973" s="117"/>
      <c r="F973" s="114">
        <f>F972+F965</f>
        <v>1167650</v>
      </c>
    </row>
    <row r="974" spans="1:6" x14ac:dyDescent="0.25">
      <c r="A974" s="111"/>
      <c r="B974" s="134" t="s">
        <v>776</v>
      </c>
      <c r="C974" s="115"/>
      <c r="D974" s="116">
        <v>1.1499999999999999</v>
      </c>
      <c r="E974" s="117"/>
      <c r="F974" s="114">
        <f>+F973*D974</f>
        <v>1342797.5</v>
      </c>
    </row>
    <row r="975" spans="1:6" x14ac:dyDescent="0.25">
      <c r="A975" s="111"/>
      <c r="B975" s="134" t="s">
        <v>835</v>
      </c>
      <c r="C975" s="115"/>
      <c r="D975" s="116">
        <v>1.25</v>
      </c>
      <c r="E975" s="117"/>
      <c r="F975" s="114"/>
    </row>
    <row r="976" spans="1:6" x14ac:dyDescent="0.35">
      <c r="A976" s="229" t="s">
        <v>99</v>
      </c>
      <c r="B976" s="207" t="s">
        <v>790</v>
      </c>
      <c r="C976" s="208" t="s">
        <v>38</v>
      </c>
      <c r="D976" s="208"/>
      <c r="E976" s="209"/>
      <c r="F976" s="209">
        <f>+D975*F974</f>
        <v>1678496.875</v>
      </c>
    </row>
    <row r="977" spans="1:8" x14ac:dyDescent="0.35">
      <c r="A977" s="206"/>
      <c r="B977" s="207"/>
      <c r="C977" s="208"/>
      <c r="D977" s="208"/>
      <c r="E977" s="210">
        <f>+E947</f>
        <v>3035.45</v>
      </c>
      <c r="F977" s="210">
        <f>+F976/E977</f>
        <v>552.96475810835295</v>
      </c>
    </row>
    <row r="978" spans="1:8" s="139" customFormat="1" x14ac:dyDescent="0.35">
      <c r="A978" s="126"/>
      <c r="B978" s="127"/>
      <c r="C978" s="128"/>
      <c r="D978" s="128"/>
      <c r="E978" s="176"/>
      <c r="F978" s="176"/>
      <c r="G978" s="138"/>
      <c r="H978" s="177"/>
    </row>
    <row r="979" spans="1:8" s="139" customFormat="1" x14ac:dyDescent="0.35">
      <c r="A979" s="130"/>
      <c r="B979" s="131"/>
      <c r="C979" s="132"/>
      <c r="D979" s="132"/>
      <c r="E979" s="179"/>
      <c r="F979" s="179"/>
      <c r="G979" s="138"/>
      <c r="H979" s="177"/>
    </row>
    <row r="980" spans="1:8" x14ac:dyDescent="0.35">
      <c r="A980" s="107" t="s">
        <v>69</v>
      </c>
      <c r="B980" s="108" t="s">
        <v>70</v>
      </c>
      <c r="C980" s="109"/>
      <c r="D980" s="109"/>
      <c r="E980" s="110"/>
      <c r="F980" s="110"/>
    </row>
    <row r="981" spans="1:8" x14ac:dyDescent="0.35">
      <c r="A981" s="211" t="s">
        <v>620</v>
      </c>
      <c r="B981" s="201" t="s">
        <v>761</v>
      </c>
      <c r="C981" s="200" t="s">
        <v>2</v>
      </c>
      <c r="D981" s="202" t="s">
        <v>765</v>
      </c>
      <c r="E981" s="203" t="s">
        <v>766</v>
      </c>
      <c r="F981" s="203" t="s">
        <v>767</v>
      </c>
    </row>
    <row r="982" spans="1:8" x14ac:dyDescent="0.35">
      <c r="A982" s="230" t="s">
        <v>84</v>
      </c>
      <c r="B982" s="227" t="s">
        <v>94</v>
      </c>
      <c r="C982" s="124" t="s">
        <v>38</v>
      </c>
      <c r="D982" s="124"/>
      <c r="E982" s="117"/>
      <c r="F982" s="117"/>
    </row>
    <row r="983" spans="1:8" x14ac:dyDescent="0.35">
      <c r="A983" s="220" t="s">
        <v>100</v>
      </c>
      <c r="B983" s="214" t="s">
        <v>101</v>
      </c>
      <c r="C983" s="109"/>
      <c r="D983" s="109"/>
      <c r="E983" s="110"/>
      <c r="F983" s="110"/>
    </row>
    <row r="984" spans="1:8" x14ac:dyDescent="0.35">
      <c r="A984" s="111"/>
      <c r="B984" s="112" t="s">
        <v>802</v>
      </c>
      <c r="C984" s="118"/>
      <c r="D984" s="118"/>
      <c r="E984" s="119"/>
      <c r="F984" s="119"/>
    </row>
    <row r="985" spans="1:8" x14ac:dyDescent="0.25">
      <c r="A985" s="111"/>
      <c r="B985" s="134" t="s">
        <v>803</v>
      </c>
      <c r="C985" s="115" t="s">
        <v>804</v>
      </c>
      <c r="D985" s="135">
        <v>7</v>
      </c>
      <c r="E985" s="117">
        <v>51000</v>
      </c>
      <c r="F985" s="121">
        <f t="shared" ref="F985:F994" si="10">+SUM(D985*E985)</f>
        <v>357000</v>
      </c>
    </row>
    <row r="986" spans="1:8" x14ac:dyDescent="0.25">
      <c r="A986" s="111"/>
      <c r="B986" s="134" t="s">
        <v>805</v>
      </c>
      <c r="C986" s="115" t="s">
        <v>38</v>
      </c>
      <c r="D986" s="135">
        <v>0.5</v>
      </c>
      <c r="E986" s="117">
        <v>55000</v>
      </c>
      <c r="F986" s="121">
        <f t="shared" si="10"/>
        <v>27500</v>
      </c>
    </row>
    <row r="987" spans="1:8" x14ac:dyDescent="0.25">
      <c r="A987" s="111"/>
      <c r="B987" s="134" t="s">
        <v>806</v>
      </c>
      <c r="C987" s="115" t="s">
        <v>38</v>
      </c>
      <c r="D987" s="135">
        <v>0.9</v>
      </c>
      <c r="E987" s="117">
        <v>16000</v>
      </c>
      <c r="F987" s="121">
        <f t="shared" si="10"/>
        <v>14400</v>
      </c>
    </row>
    <row r="988" spans="1:8" x14ac:dyDescent="0.25">
      <c r="A988" s="111"/>
      <c r="B988" s="120" t="s">
        <v>842</v>
      </c>
      <c r="C988" s="115" t="s">
        <v>59</v>
      </c>
      <c r="D988" s="135">
        <v>6.5</v>
      </c>
      <c r="E988" s="117">
        <v>45000</v>
      </c>
      <c r="F988" s="121">
        <f t="shared" si="10"/>
        <v>292500</v>
      </c>
    </row>
    <row r="989" spans="1:8" x14ac:dyDescent="0.25">
      <c r="A989" s="111"/>
      <c r="B989" s="120" t="s">
        <v>837</v>
      </c>
      <c r="C989" s="115" t="s">
        <v>59</v>
      </c>
      <c r="D989" s="135">
        <v>11</v>
      </c>
      <c r="E989" s="117">
        <v>23000</v>
      </c>
      <c r="F989" s="121">
        <f t="shared" si="10"/>
        <v>253000</v>
      </c>
    </row>
    <row r="990" spans="1:8" x14ac:dyDescent="0.25">
      <c r="A990" s="111"/>
      <c r="B990" s="120" t="s">
        <v>830</v>
      </c>
      <c r="C990" s="115" t="s">
        <v>59</v>
      </c>
      <c r="D990" s="137">
        <v>10</v>
      </c>
      <c r="E990" s="117">
        <v>7500</v>
      </c>
      <c r="F990" s="121">
        <f t="shared" si="10"/>
        <v>75000</v>
      </c>
    </row>
    <row r="991" spans="1:8" x14ac:dyDescent="0.25">
      <c r="A991" s="111"/>
      <c r="B991" s="120" t="s">
        <v>838</v>
      </c>
      <c r="C991" s="115" t="s">
        <v>59</v>
      </c>
      <c r="D991" s="135">
        <v>15</v>
      </c>
      <c r="E991" s="117">
        <v>1600</v>
      </c>
      <c r="F991" s="121">
        <f t="shared" si="10"/>
        <v>24000</v>
      </c>
    </row>
    <row r="992" spans="1:8" x14ac:dyDescent="0.35">
      <c r="A992" s="111"/>
      <c r="B992" s="120" t="s">
        <v>831</v>
      </c>
      <c r="C992" s="115" t="s">
        <v>832</v>
      </c>
      <c r="D992" s="140">
        <v>2.5</v>
      </c>
      <c r="E992" s="117">
        <v>8000</v>
      </c>
      <c r="F992" s="121">
        <f t="shared" si="10"/>
        <v>20000</v>
      </c>
    </row>
    <row r="993" spans="1:6" x14ac:dyDescent="0.35">
      <c r="A993" s="111"/>
      <c r="B993" s="120" t="s">
        <v>833</v>
      </c>
      <c r="C993" s="115" t="s">
        <v>832</v>
      </c>
      <c r="D993" s="140">
        <v>2.5</v>
      </c>
      <c r="E993" s="117">
        <v>5500</v>
      </c>
      <c r="F993" s="121">
        <f t="shared" si="10"/>
        <v>13750</v>
      </c>
    </row>
    <row r="994" spans="1:6" x14ac:dyDescent="0.35">
      <c r="A994" s="111"/>
      <c r="B994" s="120" t="s">
        <v>807</v>
      </c>
      <c r="C994" s="115" t="s">
        <v>38</v>
      </c>
      <c r="D994" s="116">
        <v>0.5</v>
      </c>
      <c r="E994" s="117">
        <v>1000</v>
      </c>
      <c r="F994" s="121">
        <f t="shared" si="10"/>
        <v>500</v>
      </c>
    </row>
    <row r="995" spans="1:6" x14ac:dyDescent="0.3">
      <c r="A995" s="111"/>
      <c r="B995" s="136" t="s">
        <v>769</v>
      </c>
      <c r="C995" s="115"/>
      <c r="D995" s="116"/>
      <c r="E995" s="117"/>
      <c r="F995" s="114">
        <f>SUM(F985:F994)</f>
        <v>1077650</v>
      </c>
    </row>
    <row r="996" spans="1:6" x14ac:dyDescent="0.3">
      <c r="A996" s="111"/>
      <c r="B996" s="136" t="s">
        <v>808</v>
      </c>
      <c r="C996" s="115"/>
      <c r="D996" s="116"/>
      <c r="E996" s="117"/>
      <c r="F996" s="114"/>
    </row>
    <row r="997" spans="1:6" x14ac:dyDescent="0.25">
      <c r="A997" s="111"/>
      <c r="B997" s="134" t="s">
        <v>820</v>
      </c>
      <c r="C997" s="115" t="s">
        <v>772</v>
      </c>
      <c r="D997" s="228">
        <v>2</v>
      </c>
      <c r="E997" s="117">
        <v>7500</v>
      </c>
      <c r="F997" s="121">
        <f>+D997*E997</f>
        <v>15000</v>
      </c>
    </row>
    <row r="998" spans="1:6" x14ac:dyDescent="0.25">
      <c r="A998" s="111"/>
      <c r="B998" s="134" t="s">
        <v>821</v>
      </c>
      <c r="C998" s="115" t="s">
        <v>772</v>
      </c>
      <c r="D998" s="228">
        <v>2</v>
      </c>
      <c r="E998" s="117">
        <v>7500</v>
      </c>
      <c r="F998" s="121">
        <f>+D998*E998</f>
        <v>15000</v>
      </c>
    </row>
    <row r="999" spans="1:6" x14ac:dyDescent="0.25">
      <c r="A999" s="111"/>
      <c r="B999" s="134" t="s">
        <v>773</v>
      </c>
      <c r="C999" s="115" t="s">
        <v>772</v>
      </c>
      <c r="D999" s="228">
        <v>1.5</v>
      </c>
      <c r="E999" s="117">
        <v>15000</v>
      </c>
      <c r="F999" s="121">
        <f>+D999*E999</f>
        <v>22500</v>
      </c>
    </row>
    <row r="1000" spans="1:6" x14ac:dyDescent="0.25">
      <c r="A1000" s="111"/>
      <c r="B1000" s="134" t="s">
        <v>834</v>
      </c>
      <c r="C1000" s="115" t="s">
        <v>772</v>
      </c>
      <c r="D1000" s="228">
        <v>1</v>
      </c>
      <c r="E1000" s="117">
        <v>15000</v>
      </c>
      <c r="F1000" s="121">
        <f>+D1000*E1000</f>
        <v>15000</v>
      </c>
    </row>
    <row r="1001" spans="1:6" x14ac:dyDescent="0.25">
      <c r="A1001" s="111"/>
      <c r="B1001" s="134" t="s">
        <v>823</v>
      </c>
      <c r="C1001" s="115" t="s">
        <v>772</v>
      </c>
      <c r="D1001" s="228">
        <v>1.5</v>
      </c>
      <c r="E1001" s="117">
        <v>15000</v>
      </c>
      <c r="F1001" s="121">
        <f>+D1001*E1001</f>
        <v>22500</v>
      </c>
    </row>
    <row r="1002" spans="1:6" x14ac:dyDescent="0.3">
      <c r="A1002" s="111"/>
      <c r="B1002" s="136" t="s">
        <v>774</v>
      </c>
      <c r="C1002" s="115"/>
      <c r="D1002" s="228"/>
      <c r="E1002" s="117"/>
      <c r="F1002" s="114">
        <f>SUM(F997:F1001)</f>
        <v>90000</v>
      </c>
    </row>
    <row r="1003" spans="1:6" x14ac:dyDescent="0.3">
      <c r="A1003" s="111"/>
      <c r="B1003" s="136" t="s">
        <v>775</v>
      </c>
      <c r="C1003" s="115"/>
      <c r="D1003" s="116"/>
      <c r="E1003" s="117"/>
      <c r="F1003" s="114">
        <f>F1002+F995</f>
        <v>1167650</v>
      </c>
    </row>
    <row r="1004" spans="1:6" x14ac:dyDescent="0.25">
      <c r="A1004" s="111"/>
      <c r="B1004" s="134" t="s">
        <v>824</v>
      </c>
      <c r="C1004" s="115"/>
      <c r="D1004" s="116">
        <v>1.1000000000000001</v>
      </c>
      <c r="E1004" s="117"/>
      <c r="F1004" s="114">
        <f>+F1003*D1004</f>
        <v>1284415</v>
      </c>
    </row>
    <row r="1005" spans="1:6" x14ac:dyDescent="0.25">
      <c r="A1005" s="111"/>
      <c r="B1005" s="134" t="s">
        <v>813</v>
      </c>
      <c r="C1005" s="115"/>
      <c r="D1005" s="116">
        <v>1.1499999999999999</v>
      </c>
      <c r="E1005" s="117"/>
      <c r="F1005" s="114"/>
    </row>
    <row r="1006" spans="1:6" x14ac:dyDescent="0.35">
      <c r="A1006" s="229" t="s">
        <v>100</v>
      </c>
      <c r="B1006" s="207" t="s">
        <v>790</v>
      </c>
      <c r="C1006" s="208" t="s">
        <v>38</v>
      </c>
      <c r="D1006" s="208"/>
      <c r="E1006" s="209"/>
      <c r="F1006" s="209">
        <f>+D1005*F1004</f>
        <v>1477077.25</v>
      </c>
    </row>
    <row r="1007" spans="1:6" x14ac:dyDescent="0.35">
      <c r="A1007" s="206"/>
      <c r="B1007" s="207"/>
      <c r="C1007" s="208"/>
      <c r="D1007" s="208"/>
      <c r="E1007" s="210">
        <f>+E977</f>
        <v>3035.45</v>
      </c>
      <c r="F1007" s="210">
        <f>+F1006/E1007</f>
        <v>486.60898713535062</v>
      </c>
    </row>
    <row r="1008" spans="1:6" x14ac:dyDescent="0.35">
      <c r="A1008" s="126"/>
      <c r="B1008" s="127"/>
      <c r="C1008" s="128"/>
      <c r="D1008" s="128"/>
      <c r="E1008" s="129"/>
      <c r="F1008" s="129"/>
    </row>
    <row r="1009" spans="1:6" x14ac:dyDescent="0.35">
      <c r="A1009" s="130"/>
      <c r="B1009" s="131"/>
      <c r="C1009" s="132"/>
      <c r="D1009" s="132"/>
      <c r="E1009" s="133"/>
      <c r="F1009" s="133"/>
    </row>
    <row r="1010" spans="1:6" x14ac:dyDescent="0.35">
      <c r="A1010" s="107" t="s">
        <v>69</v>
      </c>
      <c r="B1010" s="108" t="s">
        <v>70</v>
      </c>
      <c r="C1010" s="109"/>
      <c r="D1010" s="109"/>
      <c r="E1010" s="110"/>
      <c r="F1010" s="110"/>
    </row>
    <row r="1011" spans="1:6" x14ac:dyDescent="0.35">
      <c r="A1011" s="211" t="s">
        <v>620</v>
      </c>
      <c r="B1011" s="201" t="s">
        <v>761</v>
      </c>
      <c r="C1011" s="200" t="s">
        <v>2</v>
      </c>
      <c r="D1011" s="202" t="s">
        <v>765</v>
      </c>
      <c r="E1011" s="203" t="s">
        <v>766</v>
      </c>
      <c r="F1011" s="203" t="s">
        <v>767</v>
      </c>
    </row>
    <row r="1012" spans="1:6" x14ac:dyDescent="0.35">
      <c r="A1012" s="230" t="s">
        <v>93</v>
      </c>
      <c r="B1012" s="227" t="s">
        <v>94</v>
      </c>
      <c r="C1012" s="124"/>
      <c r="D1012" s="124"/>
      <c r="E1012" s="117"/>
      <c r="F1012" s="117"/>
    </row>
    <row r="1013" spans="1:6" x14ac:dyDescent="0.35">
      <c r="A1013" s="220" t="s">
        <v>102</v>
      </c>
      <c r="B1013" s="214" t="s">
        <v>714</v>
      </c>
      <c r="C1013" s="124" t="s">
        <v>35</v>
      </c>
      <c r="D1013" s="124"/>
      <c r="E1013" s="117"/>
      <c r="F1013" s="117"/>
    </row>
    <row r="1014" spans="1:6" x14ac:dyDescent="0.35">
      <c r="A1014" s="111"/>
      <c r="B1014" s="112" t="s">
        <v>802</v>
      </c>
      <c r="C1014" s="118"/>
      <c r="D1014" s="118"/>
      <c r="E1014" s="119"/>
      <c r="F1014" s="119"/>
    </row>
    <row r="1015" spans="1:6" x14ac:dyDescent="0.25">
      <c r="A1015" s="111"/>
      <c r="B1015" s="134" t="s">
        <v>843</v>
      </c>
      <c r="C1015" s="115" t="s">
        <v>59</v>
      </c>
      <c r="D1015" s="135">
        <v>9</v>
      </c>
      <c r="E1015" s="117">
        <v>650</v>
      </c>
      <c r="F1015" s="121">
        <f>+SUM(D1015*E1015)</f>
        <v>5850</v>
      </c>
    </row>
    <row r="1016" spans="1:6" x14ac:dyDescent="0.3">
      <c r="A1016" s="111"/>
      <c r="B1016" s="136" t="s">
        <v>769</v>
      </c>
      <c r="C1016" s="115"/>
      <c r="D1016" s="116"/>
      <c r="E1016" s="117"/>
      <c r="F1016" s="114">
        <f>SUM(F1015:F1015)</f>
        <v>5850</v>
      </c>
    </row>
    <row r="1017" spans="1:6" x14ac:dyDescent="0.3">
      <c r="A1017" s="111"/>
      <c r="B1017" s="136" t="s">
        <v>808</v>
      </c>
      <c r="C1017" s="115"/>
      <c r="D1017" s="116"/>
      <c r="E1017" s="117"/>
      <c r="F1017" s="114"/>
    </row>
    <row r="1018" spans="1:6" x14ac:dyDescent="0.25">
      <c r="A1018" s="111"/>
      <c r="B1018" s="134" t="s">
        <v>820</v>
      </c>
      <c r="C1018" s="115" t="s">
        <v>772</v>
      </c>
      <c r="D1018" s="228">
        <v>0.5</v>
      </c>
      <c r="E1018" s="117">
        <v>7500</v>
      </c>
      <c r="F1018" s="121">
        <f>+D1018*E1018</f>
        <v>3750</v>
      </c>
    </row>
    <row r="1019" spans="1:6" x14ac:dyDescent="0.25">
      <c r="A1019" s="111"/>
      <c r="B1019" s="134" t="s">
        <v>821</v>
      </c>
      <c r="C1019" s="115" t="s">
        <v>772</v>
      </c>
      <c r="D1019" s="228">
        <v>0.5</v>
      </c>
      <c r="E1019" s="117">
        <v>7500</v>
      </c>
      <c r="F1019" s="121">
        <f>+D1019*E1019</f>
        <v>3750</v>
      </c>
    </row>
    <row r="1020" spans="1:6" x14ac:dyDescent="0.3">
      <c r="A1020" s="111"/>
      <c r="B1020" s="136" t="s">
        <v>774</v>
      </c>
      <c r="C1020" s="115"/>
      <c r="D1020" s="228"/>
      <c r="E1020" s="117"/>
      <c r="F1020" s="114">
        <f>SUM(F1018:F1019)</f>
        <v>7500</v>
      </c>
    </row>
    <row r="1021" spans="1:6" x14ac:dyDescent="0.3">
      <c r="A1021" s="111"/>
      <c r="B1021" s="136" t="s">
        <v>775</v>
      </c>
      <c r="C1021" s="115"/>
      <c r="D1021" s="116"/>
      <c r="E1021" s="117"/>
      <c r="F1021" s="114">
        <f>F1020+F1016</f>
        <v>13350</v>
      </c>
    </row>
    <row r="1022" spans="1:6" x14ac:dyDescent="0.25">
      <c r="A1022" s="111"/>
      <c r="B1022" s="134" t="s">
        <v>776</v>
      </c>
      <c r="C1022" s="115"/>
      <c r="D1022" s="116">
        <v>1.25</v>
      </c>
      <c r="E1022" s="117"/>
      <c r="F1022" s="114">
        <f>+F1021*D1022</f>
        <v>16687.5</v>
      </c>
    </row>
    <row r="1023" spans="1:6" x14ac:dyDescent="0.25">
      <c r="A1023" s="111"/>
      <c r="B1023" s="134" t="s">
        <v>835</v>
      </c>
      <c r="C1023" s="115"/>
      <c r="D1023" s="116">
        <v>1.25</v>
      </c>
      <c r="E1023" s="117"/>
      <c r="F1023" s="114"/>
    </row>
    <row r="1024" spans="1:6" x14ac:dyDescent="0.35">
      <c r="A1024" s="229" t="s">
        <v>102</v>
      </c>
      <c r="B1024" s="207" t="s">
        <v>789</v>
      </c>
      <c r="C1024" s="208" t="s">
        <v>35</v>
      </c>
      <c r="D1024" s="208"/>
      <c r="E1024" s="209"/>
      <c r="F1024" s="209">
        <f>+D1023*F1022</f>
        <v>20859.375</v>
      </c>
    </row>
    <row r="1025" spans="1:6" x14ac:dyDescent="0.35">
      <c r="A1025" s="206"/>
      <c r="B1025" s="207"/>
      <c r="C1025" s="208"/>
      <c r="D1025" s="208"/>
      <c r="E1025" s="210">
        <f>+E1007</f>
        <v>3035.45</v>
      </c>
      <c r="F1025" s="210">
        <f>+F1024/E1025</f>
        <v>6.8719217908382619</v>
      </c>
    </row>
    <row r="1026" spans="1:6" x14ac:dyDescent="0.35">
      <c r="A1026" s="126"/>
      <c r="B1026" s="127"/>
      <c r="C1026" s="128"/>
      <c r="D1026" s="128"/>
      <c r="E1026" s="129"/>
      <c r="F1026" s="129"/>
    </row>
    <row r="1027" spans="1:6" x14ac:dyDescent="0.35">
      <c r="A1027" s="130"/>
      <c r="B1027" s="131"/>
      <c r="C1027" s="132"/>
      <c r="D1027" s="132"/>
      <c r="E1027" s="133"/>
      <c r="F1027" s="133"/>
    </row>
    <row r="1028" spans="1:6" x14ac:dyDescent="0.35">
      <c r="A1028" s="107" t="s">
        <v>69</v>
      </c>
      <c r="B1028" s="108" t="s">
        <v>70</v>
      </c>
      <c r="C1028" s="109"/>
      <c r="D1028" s="109"/>
      <c r="E1028" s="110"/>
      <c r="F1028" s="110"/>
    </row>
    <row r="1029" spans="1:6" x14ac:dyDescent="0.35">
      <c r="A1029" s="211" t="s">
        <v>620</v>
      </c>
      <c r="B1029" s="201" t="s">
        <v>761</v>
      </c>
      <c r="C1029" s="200" t="s">
        <v>2</v>
      </c>
      <c r="D1029" s="202" t="s">
        <v>765</v>
      </c>
      <c r="E1029" s="203" t="s">
        <v>766</v>
      </c>
      <c r="F1029" s="203" t="s">
        <v>767</v>
      </c>
    </row>
    <row r="1030" spans="1:6" x14ac:dyDescent="0.35">
      <c r="A1030" s="230" t="s">
        <v>93</v>
      </c>
      <c r="B1030" s="227" t="s">
        <v>94</v>
      </c>
      <c r="C1030" s="124"/>
      <c r="D1030" s="124"/>
      <c r="E1030" s="117"/>
      <c r="F1030" s="117"/>
    </row>
    <row r="1031" spans="1:6" x14ac:dyDescent="0.35">
      <c r="A1031" s="220" t="s">
        <v>103</v>
      </c>
      <c r="B1031" s="214" t="s">
        <v>658</v>
      </c>
      <c r="C1031" s="124" t="s">
        <v>35</v>
      </c>
      <c r="D1031" s="124"/>
      <c r="E1031" s="117"/>
      <c r="F1031" s="117"/>
    </row>
    <row r="1032" spans="1:6" x14ac:dyDescent="0.35">
      <c r="A1032" s="111"/>
      <c r="B1032" s="112" t="s">
        <v>802</v>
      </c>
      <c r="C1032" s="118"/>
      <c r="D1032" s="118"/>
      <c r="E1032" s="119"/>
      <c r="F1032" s="119"/>
    </row>
    <row r="1033" spans="1:6" x14ac:dyDescent="0.25">
      <c r="A1033" s="111"/>
      <c r="B1033" s="134" t="s">
        <v>843</v>
      </c>
      <c r="C1033" s="115" t="s">
        <v>59</v>
      </c>
      <c r="D1033" s="135">
        <v>12</v>
      </c>
      <c r="E1033" s="117">
        <v>650</v>
      </c>
      <c r="F1033" s="121">
        <f>+SUM(D1033*E1033)</f>
        <v>7800</v>
      </c>
    </row>
    <row r="1034" spans="1:6" x14ac:dyDescent="0.3">
      <c r="A1034" s="111"/>
      <c r="B1034" s="136" t="s">
        <v>769</v>
      </c>
      <c r="C1034" s="115"/>
      <c r="D1034" s="116"/>
      <c r="E1034" s="117"/>
      <c r="F1034" s="114">
        <f>SUM(F1033:F1033)</f>
        <v>7800</v>
      </c>
    </row>
    <row r="1035" spans="1:6" x14ac:dyDescent="0.3">
      <c r="A1035" s="111"/>
      <c r="B1035" s="136" t="s">
        <v>808</v>
      </c>
      <c r="C1035" s="115"/>
      <c r="D1035" s="116"/>
      <c r="E1035" s="117"/>
      <c r="F1035" s="114"/>
    </row>
    <row r="1036" spans="1:6" x14ac:dyDescent="0.25">
      <c r="A1036" s="111"/>
      <c r="B1036" s="134" t="s">
        <v>820</v>
      </c>
      <c r="C1036" s="115" t="s">
        <v>772</v>
      </c>
      <c r="D1036" s="228">
        <v>0.75</v>
      </c>
      <c r="E1036" s="117">
        <v>7500</v>
      </c>
      <c r="F1036" s="121">
        <f>+D1036*E1036</f>
        <v>5625</v>
      </c>
    </row>
    <row r="1037" spans="1:6" x14ac:dyDescent="0.25">
      <c r="A1037" s="111"/>
      <c r="B1037" s="134" t="s">
        <v>821</v>
      </c>
      <c r="C1037" s="115" t="s">
        <v>772</v>
      </c>
      <c r="D1037" s="228">
        <v>0.75</v>
      </c>
      <c r="E1037" s="117">
        <v>7500</v>
      </c>
      <c r="F1037" s="121">
        <f>+D1037*E1037</f>
        <v>5625</v>
      </c>
    </row>
    <row r="1038" spans="1:6" x14ac:dyDescent="0.3">
      <c r="A1038" s="111"/>
      <c r="B1038" s="136" t="s">
        <v>774</v>
      </c>
      <c r="C1038" s="115"/>
      <c r="D1038" s="228"/>
      <c r="E1038" s="117"/>
      <c r="F1038" s="114">
        <f>SUM(F1036:F1037)</f>
        <v>11250</v>
      </c>
    </row>
    <row r="1039" spans="1:6" x14ac:dyDescent="0.3">
      <c r="A1039" s="111"/>
      <c r="B1039" s="136" t="s">
        <v>775</v>
      </c>
      <c r="C1039" s="115"/>
      <c r="D1039" s="116"/>
      <c r="E1039" s="117"/>
      <c r="F1039" s="114">
        <f>F1038+F1034</f>
        <v>19050</v>
      </c>
    </row>
    <row r="1040" spans="1:6" x14ac:dyDescent="0.25">
      <c r="A1040" s="111"/>
      <c r="B1040" s="134" t="s">
        <v>776</v>
      </c>
      <c r="C1040" s="115"/>
      <c r="D1040" s="116">
        <v>1.25</v>
      </c>
      <c r="E1040" s="117"/>
      <c r="F1040" s="114">
        <f>+F1039*D1040</f>
        <v>23812.5</v>
      </c>
    </row>
    <row r="1041" spans="1:6" x14ac:dyDescent="0.25">
      <c r="A1041" s="111"/>
      <c r="B1041" s="134" t="s">
        <v>835</v>
      </c>
      <c r="C1041" s="115"/>
      <c r="D1041" s="116">
        <v>1.25</v>
      </c>
      <c r="E1041" s="117"/>
      <c r="F1041" s="114"/>
    </row>
    <row r="1042" spans="1:6" x14ac:dyDescent="0.35">
      <c r="A1042" s="229" t="s">
        <v>103</v>
      </c>
      <c r="B1042" s="207" t="s">
        <v>789</v>
      </c>
      <c r="C1042" s="208" t="s">
        <v>35</v>
      </c>
      <c r="D1042" s="208"/>
      <c r="E1042" s="209"/>
      <c r="F1042" s="209">
        <f>+D1041*F1040</f>
        <v>29765.625</v>
      </c>
    </row>
    <row r="1043" spans="1:6" x14ac:dyDescent="0.35">
      <c r="A1043" s="206"/>
      <c r="B1043" s="207"/>
      <c r="C1043" s="208"/>
      <c r="D1043" s="208"/>
      <c r="E1043" s="210">
        <f>+E1025</f>
        <v>3035.45</v>
      </c>
      <c r="F1043" s="210">
        <f>+F1042/E1043</f>
        <v>9.8060007577130257</v>
      </c>
    </row>
    <row r="1044" spans="1:6" ht="12.5" x14ac:dyDescent="0.35">
      <c r="A1044" s="178"/>
      <c r="B1044" s="104"/>
      <c r="C1044" s="104"/>
      <c r="D1044" s="104"/>
      <c r="E1044" s="104"/>
      <c r="F1044" s="104"/>
    </row>
    <row r="1045" spans="1:6" ht="12.5" x14ac:dyDescent="0.35">
      <c r="A1045" s="178"/>
      <c r="B1045" s="104"/>
      <c r="C1045" s="104"/>
      <c r="D1045" s="104"/>
      <c r="E1045" s="104"/>
      <c r="F1045" s="104"/>
    </row>
    <row r="1046" spans="1:6" x14ac:dyDescent="0.35">
      <c r="A1046" s="107" t="s">
        <v>69</v>
      </c>
      <c r="B1046" s="108" t="s">
        <v>70</v>
      </c>
      <c r="C1046" s="109"/>
      <c r="D1046" s="109"/>
      <c r="E1046" s="110"/>
      <c r="F1046" s="110"/>
    </row>
    <row r="1047" spans="1:6" x14ac:dyDescent="0.35">
      <c r="A1047" s="211" t="s">
        <v>620</v>
      </c>
      <c r="B1047" s="201" t="s">
        <v>761</v>
      </c>
      <c r="C1047" s="200" t="s">
        <v>2</v>
      </c>
      <c r="D1047" s="202" t="s">
        <v>765</v>
      </c>
      <c r="E1047" s="203" t="s">
        <v>766</v>
      </c>
      <c r="F1047" s="203" t="s">
        <v>767</v>
      </c>
    </row>
    <row r="1048" spans="1:6" x14ac:dyDescent="0.35">
      <c r="A1048" s="230"/>
      <c r="B1048" s="227" t="s">
        <v>94</v>
      </c>
      <c r="C1048" s="124" t="s">
        <v>38</v>
      </c>
      <c r="D1048" s="124"/>
      <c r="E1048" s="117"/>
      <c r="F1048" s="117"/>
    </row>
    <row r="1049" spans="1:6" x14ac:dyDescent="0.35">
      <c r="A1049" s="220" t="s">
        <v>105</v>
      </c>
      <c r="B1049" s="214" t="s">
        <v>104</v>
      </c>
      <c r="C1049" s="109"/>
      <c r="D1049" s="109"/>
      <c r="E1049" s="110"/>
      <c r="F1049" s="110"/>
    </row>
    <row r="1050" spans="1:6" x14ac:dyDescent="0.35">
      <c r="A1050" s="111"/>
      <c r="B1050" s="112" t="s">
        <v>802</v>
      </c>
      <c r="C1050" s="118"/>
      <c r="D1050" s="118"/>
      <c r="E1050" s="119"/>
      <c r="F1050" s="119"/>
    </row>
    <row r="1051" spans="1:6" x14ac:dyDescent="0.25">
      <c r="A1051" s="111"/>
      <c r="B1051" s="134" t="s">
        <v>803</v>
      </c>
      <c r="C1051" s="115" t="s">
        <v>804</v>
      </c>
      <c r="D1051" s="135">
        <v>7</v>
      </c>
      <c r="E1051" s="117">
        <v>51000</v>
      </c>
      <c r="F1051" s="121">
        <f t="shared" ref="F1051:F1061" si="11">+SUM(D1051*E1051)</f>
        <v>357000</v>
      </c>
    </row>
    <row r="1052" spans="1:6" x14ac:dyDescent="0.25">
      <c r="A1052" s="111"/>
      <c r="B1052" s="134" t="s">
        <v>805</v>
      </c>
      <c r="C1052" s="115" t="s">
        <v>38</v>
      </c>
      <c r="D1052" s="135">
        <v>0.5</v>
      </c>
      <c r="E1052" s="117">
        <v>55000</v>
      </c>
      <c r="F1052" s="121">
        <f t="shared" si="11"/>
        <v>27500</v>
      </c>
    </row>
    <row r="1053" spans="1:6" x14ac:dyDescent="0.25">
      <c r="A1053" s="111"/>
      <c r="B1053" s="134" t="s">
        <v>806</v>
      </c>
      <c r="C1053" s="115" t="s">
        <v>38</v>
      </c>
      <c r="D1053" s="135">
        <v>0.9</v>
      </c>
      <c r="E1053" s="117">
        <v>16000</v>
      </c>
      <c r="F1053" s="121">
        <f t="shared" si="11"/>
        <v>14400</v>
      </c>
    </row>
    <row r="1054" spans="1:6" x14ac:dyDescent="0.25">
      <c r="A1054" s="111"/>
      <c r="B1054" s="134" t="s">
        <v>843</v>
      </c>
      <c r="C1054" s="115" t="s">
        <v>59</v>
      </c>
      <c r="D1054" s="135">
        <v>9</v>
      </c>
      <c r="E1054" s="117">
        <v>650</v>
      </c>
      <c r="F1054" s="121">
        <f t="shared" si="11"/>
        <v>5850</v>
      </c>
    </row>
    <row r="1055" spans="1:6" x14ac:dyDescent="0.25">
      <c r="A1055" s="111"/>
      <c r="B1055" s="120" t="s">
        <v>842</v>
      </c>
      <c r="C1055" s="115" t="s">
        <v>59</v>
      </c>
      <c r="D1055" s="135">
        <v>5</v>
      </c>
      <c r="E1055" s="117">
        <v>45000</v>
      </c>
      <c r="F1055" s="121">
        <f t="shared" si="11"/>
        <v>225000</v>
      </c>
    </row>
    <row r="1056" spans="1:6" x14ac:dyDescent="0.25">
      <c r="A1056" s="109"/>
      <c r="B1056" s="123" t="s">
        <v>837</v>
      </c>
      <c r="C1056" s="124" t="s">
        <v>59</v>
      </c>
      <c r="D1056" s="137">
        <v>10</v>
      </c>
      <c r="E1056" s="117">
        <v>23000</v>
      </c>
      <c r="F1056" s="117">
        <f t="shared" si="11"/>
        <v>230000</v>
      </c>
    </row>
    <row r="1057" spans="1:6" x14ac:dyDescent="0.25">
      <c r="A1057" s="111"/>
      <c r="B1057" s="120" t="s">
        <v>830</v>
      </c>
      <c r="C1057" s="115" t="s">
        <v>59</v>
      </c>
      <c r="D1057" s="135">
        <v>15</v>
      </c>
      <c r="E1057" s="117">
        <v>7500</v>
      </c>
      <c r="F1057" s="121">
        <f t="shared" si="11"/>
        <v>112500</v>
      </c>
    </row>
    <row r="1058" spans="1:6" x14ac:dyDescent="0.25">
      <c r="A1058" s="111"/>
      <c r="B1058" s="120" t="s">
        <v>838</v>
      </c>
      <c r="C1058" s="115" t="s">
        <v>59</v>
      </c>
      <c r="D1058" s="135">
        <v>10</v>
      </c>
      <c r="E1058" s="117">
        <v>1600</v>
      </c>
      <c r="F1058" s="121">
        <f t="shared" si="11"/>
        <v>16000</v>
      </c>
    </row>
    <row r="1059" spans="1:6" x14ac:dyDescent="0.35">
      <c r="A1059" s="111"/>
      <c r="B1059" s="120" t="s">
        <v>831</v>
      </c>
      <c r="C1059" s="115" t="s">
        <v>832</v>
      </c>
      <c r="D1059" s="121">
        <v>10</v>
      </c>
      <c r="E1059" s="117">
        <v>8000</v>
      </c>
      <c r="F1059" s="121">
        <f t="shared" si="11"/>
        <v>80000</v>
      </c>
    </row>
    <row r="1060" spans="1:6" x14ac:dyDescent="0.35">
      <c r="A1060" s="111"/>
      <c r="B1060" s="120" t="s">
        <v>833</v>
      </c>
      <c r="C1060" s="115" t="s">
        <v>832</v>
      </c>
      <c r="D1060" s="121">
        <v>10</v>
      </c>
      <c r="E1060" s="117">
        <v>5500</v>
      </c>
      <c r="F1060" s="121">
        <f t="shared" si="11"/>
        <v>55000</v>
      </c>
    </row>
    <row r="1061" spans="1:6" x14ac:dyDescent="0.35">
      <c r="A1061" s="111"/>
      <c r="B1061" s="120" t="s">
        <v>807</v>
      </c>
      <c r="C1061" s="115" t="s">
        <v>38</v>
      </c>
      <c r="D1061" s="116">
        <v>0.5</v>
      </c>
      <c r="E1061" s="117">
        <v>1000</v>
      </c>
      <c r="F1061" s="121">
        <f t="shared" si="11"/>
        <v>500</v>
      </c>
    </row>
    <row r="1062" spans="1:6" x14ac:dyDescent="0.3">
      <c r="A1062" s="111"/>
      <c r="B1062" s="136" t="s">
        <v>769</v>
      </c>
      <c r="C1062" s="115"/>
      <c r="D1062" s="116"/>
      <c r="E1062" s="117"/>
      <c r="F1062" s="114">
        <f>SUM(F1051:F1061)</f>
        <v>1123750</v>
      </c>
    </row>
    <row r="1063" spans="1:6" x14ac:dyDescent="0.3">
      <c r="A1063" s="111"/>
      <c r="B1063" s="136" t="s">
        <v>808</v>
      </c>
      <c r="C1063" s="115"/>
      <c r="D1063" s="116"/>
      <c r="E1063" s="117"/>
      <c r="F1063" s="114"/>
    </row>
    <row r="1064" spans="1:6" x14ac:dyDescent="0.25">
      <c r="A1064" s="111"/>
      <c r="B1064" s="134" t="s">
        <v>820</v>
      </c>
      <c r="C1064" s="115" t="s">
        <v>772</v>
      </c>
      <c r="D1064" s="228">
        <v>4</v>
      </c>
      <c r="E1064" s="117">
        <v>7500</v>
      </c>
      <c r="F1064" s="121">
        <f>+D1064*E1064</f>
        <v>30000</v>
      </c>
    </row>
    <row r="1065" spans="1:6" x14ac:dyDescent="0.25">
      <c r="A1065" s="111"/>
      <c r="B1065" s="134" t="s">
        <v>821</v>
      </c>
      <c r="C1065" s="115" t="s">
        <v>772</v>
      </c>
      <c r="D1065" s="228">
        <v>4</v>
      </c>
      <c r="E1065" s="117">
        <v>7500</v>
      </c>
      <c r="F1065" s="121">
        <f>+D1065*E1065</f>
        <v>30000</v>
      </c>
    </row>
    <row r="1066" spans="1:6" x14ac:dyDescent="0.25">
      <c r="A1066" s="111"/>
      <c r="B1066" s="134" t="s">
        <v>773</v>
      </c>
      <c r="C1066" s="115" t="s">
        <v>772</v>
      </c>
      <c r="D1066" s="228">
        <v>4</v>
      </c>
      <c r="E1066" s="117">
        <v>15000</v>
      </c>
      <c r="F1066" s="121">
        <f>+D1066*E1066</f>
        <v>60000</v>
      </c>
    </row>
    <row r="1067" spans="1:6" x14ac:dyDescent="0.25">
      <c r="A1067" s="111"/>
      <c r="B1067" s="134" t="s">
        <v>834</v>
      </c>
      <c r="C1067" s="115" t="s">
        <v>772</v>
      </c>
      <c r="D1067" s="228">
        <v>8</v>
      </c>
      <c r="E1067" s="117">
        <v>15000</v>
      </c>
      <c r="F1067" s="121">
        <f>+D1067*E1067</f>
        <v>120000</v>
      </c>
    </row>
    <row r="1068" spans="1:6" x14ac:dyDescent="0.25">
      <c r="A1068" s="111"/>
      <c r="B1068" s="134" t="s">
        <v>823</v>
      </c>
      <c r="C1068" s="115" t="s">
        <v>772</v>
      </c>
      <c r="D1068" s="228">
        <v>8</v>
      </c>
      <c r="E1068" s="117">
        <v>15000</v>
      </c>
      <c r="F1068" s="121">
        <f>+D1068*E1068</f>
        <v>120000</v>
      </c>
    </row>
    <row r="1069" spans="1:6" x14ac:dyDescent="0.3">
      <c r="A1069" s="111"/>
      <c r="B1069" s="136" t="s">
        <v>774</v>
      </c>
      <c r="C1069" s="115"/>
      <c r="D1069" s="228"/>
      <c r="E1069" s="117"/>
      <c r="F1069" s="114">
        <f>SUM(F1064:F1068)</f>
        <v>360000</v>
      </c>
    </row>
    <row r="1070" spans="1:6" x14ac:dyDescent="0.3">
      <c r="A1070" s="111"/>
      <c r="B1070" s="136" t="s">
        <v>775</v>
      </c>
      <c r="C1070" s="115"/>
      <c r="D1070" s="116"/>
      <c r="E1070" s="117"/>
      <c r="F1070" s="114">
        <f>F1069+F1062</f>
        <v>1483750</v>
      </c>
    </row>
    <row r="1071" spans="1:6" x14ac:dyDescent="0.25">
      <c r="A1071" s="111"/>
      <c r="B1071" s="134" t="s">
        <v>776</v>
      </c>
      <c r="C1071" s="115"/>
      <c r="D1071" s="116">
        <v>1.25</v>
      </c>
      <c r="E1071" s="117"/>
      <c r="F1071" s="114">
        <f>+F1070*D1071</f>
        <v>1854687.5</v>
      </c>
    </row>
    <row r="1072" spans="1:6" x14ac:dyDescent="0.25">
      <c r="A1072" s="111"/>
      <c r="B1072" s="134" t="s">
        <v>835</v>
      </c>
      <c r="C1072" s="115"/>
      <c r="D1072" s="116">
        <v>1.25</v>
      </c>
      <c r="E1072" s="117"/>
      <c r="F1072" s="114"/>
    </row>
    <row r="1073" spans="1:6" x14ac:dyDescent="0.35">
      <c r="A1073" s="229" t="s">
        <v>105</v>
      </c>
      <c r="B1073" s="207" t="s">
        <v>790</v>
      </c>
      <c r="C1073" s="208" t="s">
        <v>38</v>
      </c>
      <c r="D1073" s="208"/>
      <c r="E1073" s="209"/>
      <c r="F1073" s="209">
        <f>+D1072*F1071</f>
        <v>2318359.375</v>
      </c>
    </row>
    <row r="1074" spans="1:6" x14ac:dyDescent="0.35">
      <c r="A1074" s="206"/>
      <c r="B1074" s="207"/>
      <c r="C1074" s="208"/>
      <c r="D1074" s="208"/>
      <c r="E1074" s="210">
        <f>+E1043</f>
        <v>3035.45</v>
      </c>
      <c r="F1074" s="210">
        <f>+F1073/E1074</f>
        <v>763.76134510533859</v>
      </c>
    </row>
    <row r="1075" spans="1:6" x14ac:dyDescent="0.35">
      <c r="A1075" s="126"/>
      <c r="B1075" s="127"/>
      <c r="C1075" s="128"/>
      <c r="D1075" s="128"/>
      <c r="E1075" s="129"/>
      <c r="F1075" s="129"/>
    </row>
    <row r="1076" spans="1:6" x14ac:dyDescent="0.35">
      <c r="A1076" s="130"/>
      <c r="B1076" s="131"/>
      <c r="C1076" s="132"/>
      <c r="D1076" s="132"/>
      <c r="E1076" s="133"/>
      <c r="F1076" s="133"/>
    </row>
    <row r="1077" spans="1:6" x14ac:dyDescent="0.35">
      <c r="A1077" s="107" t="s">
        <v>69</v>
      </c>
      <c r="B1077" s="108" t="s">
        <v>70</v>
      </c>
      <c r="C1077" s="109"/>
      <c r="D1077" s="109"/>
      <c r="E1077" s="110"/>
      <c r="F1077" s="110"/>
    </row>
    <row r="1078" spans="1:6" x14ac:dyDescent="0.35">
      <c r="A1078" s="211" t="s">
        <v>620</v>
      </c>
      <c r="B1078" s="201" t="s">
        <v>761</v>
      </c>
      <c r="C1078" s="200" t="s">
        <v>2</v>
      </c>
      <c r="D1078" s="202" t="s">
        <v>765</v>
      </c>
      <c r="E1078" s="203" t="s">
        <v>766</v>
      </c>
      <c r="F1078" s="203" t="s">
        <v>767</v>
      </c>
    </row>
    <row r="1079" spans="1:6" x14ac:dyDescent="0.3">
      <c r="A1079" s="230" t="s">
        <v>106</v>
      </c>
      <c r="B1079" s="231" t="s">
        <v>845</v>
      </c>
      <c r="C1079" s="124" t="s">
        <v>38</v>
      </c>
      <c r="D1079" s="124"/>
      <c r="E1079" s="117"/>
      <c r="F1079" s="117"/>
    </row>
    <row r="1080" spans="1:6" x14ac:dyDescent="0.35">
      <c r="A1080" s="232" t="s">
        <v>1115</v>
      </c>
      <c r="B1080" s="214" t="s">
        <v>1116</v>
      </c>
      <c r="C1080" s="109"/>
      <c r="D1080" s="109"/>
      <c r="E1080" s="110"/>
      <c r="F1080" s="110"/>
    </row>
    <row r="1081" spans="1:6" x14ac:dyDescent="0.35">
      <c r="A1081" s="111"/>
      <c r="B1081" s="112" t="s">
        <v>802</v>
      </c>
      <c r="C1081" s="118"/>
      <c r="D1081" s="118"/>
      <c r="E1081" s="119"/>
      <c r="F1081" s="119"/>
    </row>
    <row r="1082" spans="1:6" x14ac:dyDescent="0.25">
      <c r="A1082" s="111"/>
      <c r="B1082" s="134" t="s">
        <v>803</v>
      </c>
      <c r="C1082" s="115" t="s">
        <v>804</v>
      </c>
      <c r="D1082" s="135">
        <v>7</v>
      </c>
      <c r="E1082" s="117">
        <v>51000</v>
      </c>
      <c r="F1082" s="121">
        <f t="shared" ref="F1082:F1091" si="12">+SUM(D1082*E1082)</f>
        <v>357000</v>
      </c>
    </row>
    <row r="1083" spans="1:6" x14ac:dyDescent="0.25">
      <c r="A1083" s="111"/>
      <c r="B1083" s="134" t="s">
        <v>805</v>
      </c>
      <c r="C1083" s="115" t="s">
        <v>38</v>
      </c>
      <c r="D1083" s="135">
        <v>0.4</v>
      </c>
      <c r="E1083" s="117">
        <v>55000</v>
      </c>
      <c r="F1083" s="121">
        <f t="shared" si="12"/>
        <v>22000</v>
      </c>
    </row>
    <row r="1084" spans="1:6" x14ac:dyDescent="0.25">
      <c r="A1084" s="111"/>
      <c r="B1084" s="134" t="s">
        <v>806</v>
      </c>
      <c r="C1084" s="115" t="s">
        <v>38</v>
      </c>
      <c r="D1084" s="135">
        <v>0.8</v>
      </c>
      <c r="E1084" s="117">
        <v>16000</v>
      </c>
      <c r="F1084" s="121">
        <f t="shared" si="12"/>
        <v>12800</v>
      </c>
    </row>
    <row r="1085" spans="1:6" x14ac:dyDescent="0.25">
      <c r="A1085" s="111"/>
      <c r="B1085" s="120" t="s">
        <v>829</v>
      </c>
      <c r="C1085" s="115" t="s">
        <v>59</v>
      </c>
      <c r="D1085" s="135">
        <v>5</v>
      </c>
      <c r="E1085" s="117">
        <v>60000</v>
      </c>
      <c r="F1085" s="121">
        <f t="shared" si="12"/>
        <v>300000</v>
      </c>
    </row>
    <row r="1086" spans="1:6" x14ac:dyDescent="0.25">
      <c r="A1086" s="109"/>
      <c r="B1086" s="123" t="s">
        <v>837</v>
      </c>
      <c r="C1086" s="124" t="s">
        <v>59</v>
      </c>
      <c r="D1086" s="137">
        <v>10</v>
      </c>
      <c r="E1086" s="117">
        <v>23000</v>
      </c>
      <c r="F1086" s="117">
        <f t="shared" si="12"/>
        <v>230000</v>
      </c>
    </row>
    <row r="1087" spans="1:6" x14ac:dyDescent="0.25">
      <c r="A1087" s="111"/>
      <c r="B1087" s="120" t="s">
        <v>830</v>
      </c>
      <c r="C1087" s="115" t="s">
        <v>59</v>
      </c>
      <c r="D1087" s="135">
        <v>15</v>
      </c>
      <c r="E1087" s="117">
        <v>7500</v>
      </c>
      <c r="F1087" s="121">
        <f t="shared" si="12"/>
        <v>112500</v>
      </c>
    </row>
    <row r="1088" spans="1:6" x14ac:dyDescent="0.25">
      <c r="A1088" s="111"/>
      <c r="B1088" s="120" t="s">
        <v>838</v>
      </c>
      <c r="C1088" s="115" t="s">
        <v>59</v>
      </c>
      <c r="D1088" s="135">
        <v>10</v>
      </c>
      <c r="E1088" s="117">
        <v>1600</v>
      </c>
      <c r="F1088" s="121">
        <f t="shared" si="12"/>
        <v>16000</v>
      </c>
    </row>
    <row r="1089" spans="1:6" x14ac:dyDescent="0.35">
      <c r="A1089" s="111"/>
      <c r="B1089" s="120" t="s">
        <v>831</v>
      </c>
      <c r="C1089" s="115" t="s">
        <v>832</v>
      </c>
      <c r="D1089" s="121">
        <v>5</v>
      </c>
      <c r="E1089" s="117">
        <v>8000</v>
      </c>
      <c r="F1089" s="121">
        <f t="shared" si="12"/>
        <v>40000</v>
      </c>
    </row>
    <row r="1090" spans="1:6" x14ac:dyDescent="0.35">
      <c r="A1090" s="111"/>
      <c r="B1090" s="120" t="s">
        <v>833</v>
      </c>
      <c r="C1090" s="115" t="s">
        <v>832</v>
      </c>
      <c r="D1090" s="121">
        <v>5</v>
      </c>
      <c r="E1090" s="117">
        <v>5500</v>
      </c>
      <c r="F1090" s="121">
        <f t="shared" si="12"/>
        <v>27500</v>
      </c>
    </row>
    <row r="1091" spans="1:6" x14ac:dyDescent="0.35">
      <c r="A1091" s="111"/>
      <c r="B1091" s="120" t="s">
        <v>807</v>
      </c>
      <c r="C1091" s="115" t="s">
        <v>38</v>
      </c>
      <c r="D1091" s="116">
        <v>0.5</v>
      </c>
      <c r="E1091" s="117">
        <v>1000</v>
      </c>
      <c r="F1091" s="121">
        <f t="shared" si="12"/>
        <v>500</v>
      </c>
    </row>
    <row r="1092" spans="1:6" x14ac:dyDescent="0.3">
      <c r="A1092" s="111"/>
      <c r="B1092" s="136" t="s">
        <v>769</v>
      </c>
      <c r="C1092" s="115"/>
      <c r="D1092" s="116"/>
      <c r="E1092" s="117"/>
      <c r="F1092" s="114">
        <f>SUM(F1082:F1091)</f>
        <v>1118300</v>
      </c>
    </row>
    <row r="1093" spans="1:6" x14ac:dyDescent="0.3">
      <c r="A1093" s="111"/>
      <c r="B1093" s="136" t="s">
        <v>808</v>
      </c>
      <c r="C1093" s="115"/>
      <c r="D1093" s="116"/>
      <c r="E1093" s="117"/>
      <c r="F1093" s="114"/>
    </row>
    <row r="1094" spans="1:6" x14ac:dyDescent="0.25">
      <c r="A1094" s="111"/>
      <c r="B1094" s="134" t="s">
        <v>820</v>
      </c>
      <c r="C1094" s="115" t="s">
        <v>772</v>
      </c>
      <c r="D1094" s="228">
        <v>4</v>
      </c>
      <c r="E1094" s="117">
        <v>7500</v>
      </c>
      <c r="F1094" s="121">
        <f>+D1094*E1094</f>
        <v>30000</v>
      </c>
    </row>
    <row r="1095" spans="1:6" x14ac:dyDescent="0.25">
      <c r="A1095" s="111"/>
      <c r="B1095" s="134" t="s">
        <v>821</v>
      </c>
      <c r="C1095" s="115" t="s">
        <v>772</v>
      </c>
      <c r="D1095" s="228">
        <v>4</v>
      </c>
      <c r="E1095" s="117">
        <v>7500</v>
      </c>
      <c r="F1095" s="121">
        <f>+D1095*E1095</f>
        <v>30000</v>
      </c>
    </row>
    <row r="1096" spans="1:6" x14ac:dyDescent="0.25">
      <c r="A1096" s="111"/>
      <c r="B1096" s="134" t="s">
        <v>773</v>
      </c>
      <c r="C1096" s="115" t="s">
        <v>772</v>
      </c>
      <c r="D1096" s="228">
        <v>4</v>
      </c>
      <c r="E1096" s="117">
        <v>15000</v>
      </c>
      <c r="F1096" s="121">
        <f>+D1096*E1096</f>
        <v>60000</v>
      </c>
    </row>
    <row r="1097" spans="1:6" x14ac:dyDescent="0.25">
      <c r="A1097" s="111"/>
      <c r="B1097" s="134" t="s">
        <v>834</v>
      </c>
      <c r="C1097" s="115" t="s">
        <v>772</v>
      </c>
      <c r="D1097" s="228">
        <v>8</v>
      </c>
      <c r="E1097" s="117">
        <v>15000</v>
      </c>
      <c r="F1097" s="121">
        <f>+D1097*E1097</f>
        <v>120000</v>
      </c>
    </row>
    <row r="1098" spans="1:6" x14ac:dyDescent="0.25">
      <c r="A1098" s="111"/>
      <c r="B1098" s="134" t="s">
        <v>823</v>
      </c>
      <c r="C1098" s="115" t="s">
        <v>772</v>
      </c>
      <c r="D1098" s="228">
        <v>8</v>
      </c>
      <c r="E1098" s="117">
        <v>15000</v>
      </c>
      <c r="F1098" s="121">
        <f>+D1098*E1098</f>
        <v>120000</v>
      </c>
    </row>
    <row r="1099" spans="1:6" x14ac:dyDescent="0.3">
      <c r="A1099" s="111"/>
      <c r="B1099" s="136" t="s">
        <v>774</v>
      </c>
      <c r="C1099" s="115"/>
      <c r="D1099" s="228"/>
      <c r="E1099" s="117"/>
      <c r="F1099" s="114">
        <f>SUM(F1094:F1098)</f>
        <v>360000</v>
      </c>
    </row>
    <row r="1100" spans="1:6" x14ac:dyDescent="0.3">
      <c r="A1100" s="111"/>
      <c r="B1100" s="136" t="s">
        <v>775</v>
      </c>
      <c r="C1100" s="115"/>
      <c r="D1100" s="116"/>
      <c r="E1100" s="117"/>
      <c r="F1100" s="114">
        <f>F1099+F1092</f>
        <v>1478300</v>
      </c>
    </row>
    <row r="1101" spans="1:6" x14ac:dyDescent="0.25">
      <c r="A1101" s="111"/>
      <c r="B1101" s="134" t="s">
        <v>776</v>
      </c>
      <c r="C1101" s="115"/>
      <c r="D1101" s="116">
        <v>1.25</v>
      </c>
      <c r="E1101" s="117"/>
      <c r="F1101" s="114">
        <f>+F1100*D1101</f>
        <v>1847875</v>
      </c>
    </row>
    <row r="1102" spans="1:6" x14ac:dyDescent="0.25">
      <c r="A1102" s="111"/>
      <c r="B1102" s="134" t="s">
        <v>835</v>
      </c>
      <c r="C1102" s="115"/>
      <c r="D1102" s="116">
        <v>1.25</v>
      </c>
      <c r="E1102" s="117"/>
      <c r="F1102" s="114"/>
    </row>
    <row r="1103" spans="1:6" x14ac:dyDescent="0.35">
      <c r="A1103" s="233" t="s">
        <v>1115</v>
      </c>
      <c r="B1103" s="207" t="s">
        <v>790</v>
      </c>
      <c r="C1103" s="208" t="s">
        <v>38</v>
      </c>
      <c r="D1103" s="208"/>
      <c r="E1103" s="209"/>
      <c r="F1103" s="209">
        <f>+D1102*F1101</f>
        <v>2309843.75</v>
      </c>
    </row>
    <row r="1104" spans="1:6" x14ac:dyDescent="0.35">
      <c r="A1104" s="206"/>
      <c r="B1104" s="207"/>
      <c r="C1104" s="208"/>
      <c r="D1104" s="208"/>
      <c r="E1104" s="210">
        <f>+E1074</f>
        <v>3035.45</v>
      </c>
      <c r="F1104" s="210">
        <f>+F1103/E1104</f>
        <v>760.95595381244959</v>
      </c>
    </row>
    <row r="1105" spans="1:8" x14ac:dyDescent="0.35">
      <c r="A1105" s="126"/>
      <c r="B1105" s="127"/>
      <c r="C1105" s="128"/>
      <c r="D1105" s="128"/>
      <c r="E1105" s="129"/>
      <c r="F1105" s="129"/>
    </row>
    <row r="1106" spans="1:8" s="139" customFormat="1" x14ac:dyDescent="0.35">
      <c r="A1106" s="130"/>
      <c r="B1106" s="131"/>
      <c r="C1106" s="132"/>
      <c r="D1106" s="132"/>
      <c r="E1106" s="133"/>
      <c r="F1106" s="133"/>
      <c r="G1106" s="138"/>
      <c r="H1106" s="177"/>
    </row>
    <row r="1107" spans="1:8" x14ac:dyDescent="0.35">
      <c r="A1107" s="107" t="s">
        <v>69</v>
      </c>
      <c r="B1107" s="108" t="s">
        <v>70</v>
      </c>
      <c r="C1107" s="109"/>
      <c r="D1107" s="109"/>
      <c r="E1107" s="110"/>
      <c r="F1107" s="110"/>
    </row>
    <row r="1108" spans="1:8" x14ac:dyDescent="0.35">
      <c r="A1108" s="211" t="s">
        <v>620</v>
      </c>
      <c r="B1108" s="201" t="s">
        <v>761</v>
      </c>
      <c r="C1108" s="200" t="s">
        <v>2</v>
      </c>
      <c r="D1108" s="202" t="s">
        <v>765</v>
      </c>
      <c r="E1108" s="203" t="s">
        <v>766</v>
      </c>
      <c r="F1108" s="203" t="s">
        <v>767</v>
      </c>
    </row>
    <row r="1109" spans="1:8" x14ac:dyDescent="0.3">
      <c r="A1109" s="230" t="s">
        <v>657</v>
      </c>
      <c r="B1109" s="234" t="s">
        <v>107</v>
      </c>
      <c r="C1109" s="124" t="s">
        <v>38</v>
      </c>
      <c r="D1109" s="124"/>
      <c r="E1109" s="117"/>
      <c r="F1109" s="117"/>
    </row>
    <row r="1110" spans="1:8" x14ac:dyDescent="0.35">
      <c r="A1110" s="232" t="s">
        <v>1117</v>
      </c>
      <c r="B1110" s="214" t="s">
        <v>108</v>
      </c>
      <c r="C1110" s="109"/>
      <c r="D1110" s="109"/>
      <c r="E1110" s="110"/>
      <c r="F1110" s="110"/>
    </row>
    <row r="1111" spans="1:8" x14ac:dyDescent="0.35">
      <c r="A1111" s="111"/>
      <c r="B1111" s="112" t="s">
        <v>802</v>
      </c>
      <c r="C1111" s="118"/>
      <c r="D1111" s="118"/>
      <c r="E1111" s="119"/>
      <c r="F1111" s="119"/>
    </row>
    <row r="1112" spans="1:8" x14ac:dyDescent="0.25">
      <c r="A1112" s="111"/>
      <c r="B1112" s="134" t="s">
        <v>803</v>
      </c>
      <c r="C1112" s="115" t="s">
        <v>804</v>
      </c>
      <c r="D1112" s="135">
        <v>7</v>
      </c>
      <c r="E1112" s="117">
        <v>51000</v>
      </c>
      <c r="F1112" s="121">
        <f t="shared" ref="F1112:F1121" si="13">+SUM(D1112*E1112)</f>
        <v>357000</v>
      </c>
    </row>
    <row r="1113" spans="1:8" x14ac:dyDescent="0.25">
      <c r="A1113" s="111"/>
      <c r="B1113" s="134" t="s">
        <v>805</v>
      </c>
      <c r="C1113" s="115" t="s">
        <v>38</v>
      </c>
      <c r="D1113" s="135">
        <v>0.4</v>
      </c>
      <c r="E1113" s="117">
        <v>55000</v>
      </c>
      <c r="F1113" s="121">
        <f t="shared" si="13"/>
        <v>22000</v>
      </c>
    </row>
    <row r="1114" spans="1:8" x14ac:dyDescent="0.25">
      <c r="A1114" s="111"/>
      <c r="B1114" s="134" t="s">
        <v>806</v>
      </c>
      <c r="C1114" s="115" t="s">
        <v>38</v>
      </c>
      <c r="D1114" s="135">
        <v>0.8</v>
      </c>
      <c r="E1114" s="117">
        <v>16000</v>
      </c>
      <c r="F1114" s="121">
        <f t="shared" si="13"/>
        <v>12800</v>
      </c>
    </row>
    <row r="1115" spans="1:8" x14ac:dyDescent="0.25">
      <c r="A1115" s="111"/>
      <c r="B1115" s="120" t="s">
        <v>842</v>
      </c>
      <c r="C1115" s="115" t="s">
        <v>59</v>
      </c>
      <c r="D1115" s="135">
        <v>5</v>
      </c>
      <c r="E1115" s="117">
        <v>45000</v>
      </c>
      <c r="F1115" s="121">
        <f t="shared" si="13"/>
        <v>225000</v>
      </c>
    </row>
    <row r="1116" spans="1:8" x14ac:dyDescent="0.25">
      <c r="A1116" s="109"/>
      <c r="B1116" s="123" t="s">
        <v>837</v>
      </c>
      <c r="C1116" s="124" t="s">
        <v>59</v>
      </c>
      <c r="D1116" s="137">
        <v>10</v>
      </c>
      <c r="E1116" s="117">
        <v>23000</v>
      </c>
      <c r="F1116" s="117">
        <f t="shared" si="13"/>
        <v>230000</v>
      </c>
    </row>
    <row r="1117" spans="1:8" x14ac:dyDescent="0.25">
      <c r="A1117" s="111"/>
      <c r="B1117" s="120" t="s">
        <v>830</v>
      </c>
      <c r="C1117" s="115" t="s">
        <v>59</v>
      </c>
      <c r="D1117" s="135">
        <v>18</v>
      </c>
      <c r="E1117" s="117">
        <v>7500</v>
      </c>
      <c r="F1117" s="121">
        <f t="shared" si="13"/>
        <v>135000</v>
      </c>
    </row>
    <row r="1118" spans="1:8" x14ac:dyDescent="0.25">
      <c r="A1118" s="111"/>
      <c r="B1118" s="120" t="s">
        <v>838</v>
      </c>
      <c r="C1118" s="115" t="s">
        <v>59</v>
      </c>
      <c r="D1118" s="135">
        <v>15</v>
      </c>
      <c r="E1118" s="117">
        <v>1600</v>
      </c>
      <c r="F1118" s="121">
        <f t="shared" si="13"/>
        <v>24000</v>
      </c>
    </row>
    <row r="1119" spans="1:8" x14ac:dyDescent="0.35">
      <c r="A1119" s="111"/>
      <c r="B1119" s="120" t="s">
        <v>831</v>
      </c>
      <c r="C1119" s="115" t="s">
        <v>832</v>
      </c>
      <c r="D1119" s="121">
        <v>10</v>
      </c>
      <c r="E1119" s="117">
        <v>8000</v>
      </c>
      <c r="F1119" s="121">
        <f t="shared" si="13"/>
        <v>80000</v>
      </c>
    </row>
    <row r="1120" spans="1:8" x14ac:dyDescent="0.35">
      <c r="A1120" s="111"/>
      <c r="B1120" s="120" t="s">
        <v>833</v>
      </c>
      <c r="C1120" s="115" t="s">
        <v>832</v>
      </c>
      <c r="D1120" s="121">
        <v>10</v>
      </c>
      <c r="E1120" s="117">
        <v>5500</v>
      </c>
      <c r="F1120" s="121">
        <f t="shared" si="13"/>
        <v>55000</v>
      </c>
    </row>
    <row r="1121" spans="1:6" x14ac:dyDescent="0.35">
      <c r="A1121" s="111"/>
      <c r="B1121" s="120" t="s">
        <v>807</v>
      </c>
      <c r="C1121" s="115" t="s">
        <v>38</v>
      </c>
      <c r="D1121" s="116">
        <v>0.5</v>
      </c>
      <c r="E1121" s="117">
        <v>1000</v>
      </c>
      <c r="F1121" s="121">
        <f t="shared" si="13"/>
        <v>500</v>
      </c>
    </row>
    <row r="1122" spans="1:6" x14ac:dyDescent="0.3">
      <c r="A1122" s="111"/>
      <c r="B1122" s="136" t="s">
        <v>769</v>
      </c>
      <c r="C1122" s="115"/>
      <c r="D1122" s="116"/>
      <c r="E1122" s="117"/>
      <c r="F1122" s="114">
        <f>SUM(F1112:F1121)</f>
        <v>1141300</v>
      </c>
    </row>
    <row r="1123" spans="1:6" x14ac:dyDescent="0.3">
      <c r="A1123" s="111"/>
      <c r="B1123" s="136" t="s">
        <v>808</v>
      </c>
      <c r="C1123" s="115"/>
      <c r="D1123" s="116"/>
      <c r="E1123" s="117"/>
      <c r="F1123" s="114"/>
    </row>
    <row r="1124" spans="1:6" x14ac:dyDescent="0.25">
      <c r="A1124" s="111"/>
      <c r="B1124" s="134" t="s">
        <v>820</v>
      </c>
      <c r="C1124" s="115" t="s">
        <v>772</v>
      </c>
      <c r="D1124" s="228">
        <v>2</v>
      </c>
      <c r="E1124" s="117">
        <v>7500</v>
      </c>
      <c r="F1124" s="121">
        <f>+D1124*E1124</f>
        <v>15000</v>
      </c>
    </row>
    <row r="1125" spans="1:6" x14ac:dyDescent="0.25">
      <c r="A1125" s="111"/>
      <c r="B1125" s="134" t="s">
        <v>821</v>
      </c>
      <c r="C1125" s="115" t="s">
        <v>772</v>
      </c>
      <c r="D1125" s="228">
        <v>2</v>
      </c>
      <c r="E1125" s="117">
        <v>7500</v>
      </c>
      <c r="F1125" s="121">
        <f>+D1125*E1125</f>
        <v>15000</v>
      </c>
    </row>
    <row r="1126" spans="1:6" x14ac:dyDescent="0.25">
      <c r="A1126" s="111"/>
      <c r="B1126" s="134" t="s">
        <v>773</v>
      </c>
      <c r="C1126" s="115" t="s">
        <v>772</v>
      </c>
      <c r="D1126" s="228">
        <v>2</v>
      </c>
      <c r="E1126" s="117">
        <v>15000</v>
      </c>
      <c r="F1126" s="121">
        <f>+D1126*E1126</f>
        <v>30000</v>
      </c>
    </row>
    <row r="1127" spans="1:6" x14ac:dyDescent="0.25">
      <c r="A1127" s="111"/>
      <c r="B1127" s="134" t="s">
        <v>834</v>
      </c>
      <c r="C1127" s="115" t="s">
        <v>772</v>
      </c>
      <c r="D1127" s="228">
        <v>1.5</v>
      </c>
      <c r="E1127" s="117">
        <v>15000</v>
      </c>
      <c r="F1127" s="121">
        <f>+D1127*E1127</f>
        <v>22500</v>
      </c>
    </row>
    <row r="1128" spans="1:6" x14ac:dyDescent="0.25">
      <c r="A1128" s="111"/>
      <c r="B1128" s="134" t="s">
        <v>823</v>
      </c>
      <c r="C1128" s="115" t="s">
        <v>772</v>
      </c>
      <c r="D1128" s="228">
        <v>4</v>
      </c>
      <c r="E1128" s="117">
        <v>15000</v>
      </c>
      <c r="F1128" s="121">
        <f>+D1128*E1128</f>
        <v>60000</v>
      </c>
    </row>
    <row r="1129" spans="1:6" x14ac:dyDescent="0.3">
      <c r="A1129" s="111"/>
      <c r="B1129" s="136" t="s">
        <v>774</v>
      </c>
      <c r="C1129" s="115"/>
      <c r="D1129" s="228"/>
      <c r="E1129" s="117"/>
      <c r="F1129" s="114">
        <f>SUM(F1124:F1128)</f>
        <v>142500</v>
      </c>
    </row>
    <row r="1130" spans="1:6" x14ac:dyDescent="0.3">
      <c r="A1130" s="111"/>
      <c r="B1130" s="136" t="s">
        <v>775</v>
      </c>
      <c r="C1130" s="115"/>
      <c r="D1130" s="116"/>
      <c r="E1130" s="117"/>
      <c r="F1130" s="114">
        <f>F1129+F1122</f>
        <v>1283800</v>
      </c>
    </row>
    <row r="1131" spans="1:6" x14ac:dyDescent="0.25">
      <c r="A1131" s="111"/>
      <c r="B1131" s="134" t="s">
        <v>812</v>
      </c>
      <c r="C1131" s="115"/>
      <c r="D1131" s="116">
        <v>1.1499999999999999</v>
      </c>
      <c r="E1131" s="117"/>
      <c r="F1131" s="114">
        <f>+F1130*D1131</f>
        <v>1476370</v>
      </c>
    </row>
    <row r="1132" spans="1:6" x14ac:dyDescent="0.25">
      <c r="A1132" s="111"/>
      <c r="B1132" s="134" t="s">
        <v>826</v>
      </c>
      <c r="C1132" s="115"/>
      <c r="D1132" s="116">
        <v>1.2</v>
      </c>
      <c r="E1132" s="117"/>
      <c r="F1132" s="114"/>
    </row>
    <row r="1133" spans="1:6" x14ac:dyDescent="0.35">
      <c r="A1133" s="233" t="s">
        <v>1117</v>
      </c>
      <c r="B1133" s="207" t="s">
        <v>790</v>
      </c>
      <c r="C1133" s="208" t="s">
        <v>38</v>
      </c>
      <c r="D1133" s="208"/>
      <c r="E1133" s="209"/>
      <c r="F1133" s="209">
        <f>+D1132*F1131</f>
        <v>1771644</v>
      </c>
    </row>
    <row r="1134" spans="1:6" x14ac:dyDescent="0.35">
      <c r="A1134" s="206"/>
      <c r="B1134" s="207"/>
      <c r="C1134" s="208"/>
      <c r="D1134" s="208"/>
      <c r="E1134" s="210">
        <f>+E1104</f>
        <v>3035.45</v>
      </c>
      <c r="F1134" s="210">
        <f>+F1133/E1134</f>
        <v>583.65118845640677</v>
      </c>
    </row>
    <row r="1135" spans="1:6" x14ac:dyDescent="0.35">
      <c r="A1135" s="126"/>
      <c r="B1135" s="127"/>
      <c r="C1135" s="128"/>
      <c r="D1135" s="128"/>
      <c r="E1135" s="129"/>
      <c r="F1135" s="129"/>
    </row>
    <row r="1136" spans="1:6" x14ac:dyDescent="0.35">
      <c r="A1136" s="130"/>
      <c r="B1136" s="131"/>
      <c r="C1136" s="132"/>
      <c r="D1136" s="132"/>
      <c r="E1136" s="133"/>
      <c r="F1136" s="133"/>
    </row>
    <row r="1137" spans="1:6" x14ac:dyDescent="0.35">
      <c r="A1137" s="107" t="s">
        <v>69</v>
      </c>
      <c r="B1137" s="108" t="s">
        <v>70</v>
      </c>
      <c r="C1137" s="109"/>
      <c r="D1137" s="109"/>
      <c r="E1137" s="110"/>
      <c r="F1137" s="110"/>
    </row>
    <row r="1138" spans="1:6" x14ac:dyDescent="0.35">
      <c r="A1138" s="211" t="s">
        <v>620</v>
      </c>
      <c r="B1138" s="201" t="s">
        <v>761</v>
      </c>
      <c r="C1138" s="200" t="s">
        <v>2</v>
      </c>
      <c r="D1138" s="202" t="s">
        <v>765</v>
      </c>
      <c r="E1138" s="203" t="s">
        <v>766</v>
      </c>
      <c r="F1138" s="203" t="s">
        <v>767</v>
      </c>
    </row>
    <row r="1139" spans="1:6" x14ac:dyDescent="0.3">
      <c r="A1139" s="230" t="s">
        <v>657</v>
      </c>
      <c r="B1139" s="234" t="s">
        <v>107</v>
      </c>
      <c r="C1139" s="124" t="s">
        <v>38</v>
      </c>
      <c r="D1139" s="124"/>
      <c r="E1139" s="117"/>
      <c r="F1139" s="117"/>
    </row>
    <row r="1140" spans="1:6" x14ac:dyDescent="0.35">
      <c r="A1140" s="232" t="s">
        <v>1118</v>
      </c>
      <c r="B1140" s="214" t="s">
        <v>846</v>
      </c>
      <c r="C1140" s="109"/>
      <c r="D1140" s="109"/>
      <c r="E1140" s="110"/>
      <c r="F1140" s="110"/>
    </row>
    <row r="1141" spans="1:6" x14ac:dyDescent="0.35">
      <c r="A1141" s="111"/>
      <c r="B1141" s="112" t="s">
        <v>802</v>
      </c>
      <c r="C1141" s="118"/>
      <c r="D1141" s="118"/>
      <c r="E1141" s="119"/>
      <c r="F1141" s="119"/>
    </row>
    <row r="1142" spans="1:6" x14ac:dyDescent="0.25">
      <c r="A1142" s="111"/>
      <c r="B1142" s="134" t="s">
        <v>803</v>
      </c>
      <c r="C1142" s="115" t="s">
        <v>804</v>
      </c>
      <c r="D1142" s="135">
        <v>7</v>
      </c>
      <c r="E1142" s="117">
        <v>51000</v>
      </c>
      <c r="F1142" s="121">
        <f t="shared" ref="F1142:F1151" si="14">+SUM(D1142*E1142)</f>
        <v>357000</v>
      </c>
    </row>
    <row r="1143" spans="1:6" x14ac:dyDescent="0.25">
      <c r="A1143" s="111"/>
      <c r="B1143" s="134" t="s">
        <v>805</v>
      </c>
      <c r="C1143" s="115" t="s">
        <v>38</v>
      </c>
      <c r="D1143" s="135">
        <v>0.4</v>
      </c>
      <c r="E1143" s="117">
        <v>55000</v>
      </c>
      <c r="F1143" s="121">
        <f t="shared" si="14"/>
        <v>22000</v>
      </c>
    </row>
    <row r="1144" spans="1:6" x14ac:dyDescent="0.25">
      <c r="A1144" s="111"/>
      <c r="B1144" s="134" t="s">
        <v>806</v>
      </c>
      <c r="C1144" s="115" t="s">
        <v>38</v>
      </c>
      <c r="D1144" s="135">
        <v>0.8</v>
      </c>
      <c r="E1144" s="117">
        <v>16000</v>
      </c>
      <c r="F1144" s="121">
        <f t="shared" si="14"/>
        <v>12800</v>
      </c>
    </row>
    <row r="1145" spans="1:6" x14ac:dyDescent="0.25">
      <c r="A1145" s="111"/>
      <c r="B1145" s="120" t="s">
        <v>842</v>
      </c>
      <c r="C1145" s="115" t="s">
        <v>59</v>
      </c>
      <c r="D1145" s="135">
        <v>5</v>
      </c>
      <c r="E1145" s="117">
        <v>45000</v>
      </c>
      <c r="F1145" s="121">
        <f t="shared" si="14"/>
        <v>225000</v>
      </c>
    </row>
    <row r="1146" spans="1:6" x14ac:dyDescent="0.25">
      <c r="A1146" s="109"/>
      <c r="B1146" s="123" t="s">
        <v>837</v>
      </c>
      <c r="C1146" s="124" t="s">
        <v>59</v>
      </c>
      <c r="D1146" s="137">
        <v>10</v>
      </c>
      <c r="E1146" s="117">
        <v>23000</v>
      </c>
      <c r="F1146" s="117">
        <f t="shared" si="14"/>
        <v>230000</v>
      </c>
    </row>
    <row r="1147" spans="1:6" x14ac:dyDescent="0.25">
      <c r="A1147" s="111"/>
      <c r="B1147" s="120" t="s">
        <v>830</v>
      </c>
      <c r="C1147" s="115" t="s">
        <v>59</v>
      </c>
      <c r="D1147" s="135">
        <v>18</v>
      </c>
      <c r="E1147" s="117">
        <v>7500</v>
      </c>
      <c r="F1147" s="121">
        <f t="shared" si="14"/>
        <v>135000</v>
      </c>
    </row>
    <row r="1148" spans="1:6" x14ac:dyDescent="0.25">
      <c r="A1148" s="111"/>
      <c r="B1148" s="120" t="s">
        <v>838</v>
      </c>
      <c r="C1148" s="115" t="s">
        <v>59</v>
      </c>
      <c r="D1148" s="135">
        <v>15</v>
      </c>
      <c r="E1148" s="117">
        <v>1600</v>
      </c>
      <c r="F1148" s="121">
        <f t="shared" si="14"/>
        <v>24000</v>
      </c>
    </row>
    <row r="1149" spans="1:6" x14ac:dyDescent="0.35">
      <c r="A1149" s="111"/>
      <c r="B1149" s="120" t="s">
        <v>831</v>
      </c>
      <c r="C1149" s="115" t="s">
        <v>832</v>
      </c>
      <c r="D1149" s="121">
        <v>10</v>
      </c>
      <c r="E1149" s="117">
        <v>8000</v>
      </c>
      <c r="F1149" s="121">
        <f t="shared" si="14"/>
        <v>80000</v>
      </c>
    </row>
    <row r="1150" spans="1:6" x14ac:dyDescent="0.35">
      <c r="A1150" s="111"/>
      <c r="B1150" s="120" t="s">
        <v>833</v>
      </c>
      <c r="C1150" s="115" t="s">
        <v>832</v>
      </c>
      <c r="D1150" s="121">
        <v>10</v>
      </c>
      <c r="E1150" s="117">
        <v>5500</v>
      </c>
      <c r="F1150" s="121">
        <f t="shared" si="14"/>
        <v>55000</v>
      </c>
    </row>
    <row r="1151" spans="1:6" x14ac:dyDescent="0.35">
      <c r="A1151" s="111"/>
      <c r="B1151" s="120" t="s">
        <v>807</v>
      </c>
      <c r="C1151" s="115" t="s">
        <v>38</v>
      </c>
      <c r="D1151" s="116">
        <v>0.5</v>
      </c>
      <c r="E1151" s="117">
        <v>1000</v>
      </c>
      <c r="F1151" s="121">
        <f t="shared" si="14"/>
        <v>500</v>
      </c>
    </row>
    <row r="1152" spans="1:6" x14ac:dyDescent="0.3">
      <c r="A1152" s="111"/>
      <c r="B1152" s="136" t="s">
        <v>769</v>
      </c>
      <c r="C1152" s="115"/>
      <c r="D1152" s="116"/>
      <c r="E1152" s="117"/>
      <c r="F1152" s="114">
        <f>SUM(F1142:F1151)</f>
        <v>1141300</v>
      </c>
    </row>
    <row r="1153" spans="1:6" x14ac:dyDescent="0.3">
      <c r="A1153" s="111"/>
      <c r="B1153" s="136" t="s">
        <v>808</v>
      </c>
      <c r="C1153" s="115"/>
      <c r="D1153" s="116"/>
      <c r="E1153" s="117"/>
      <c r="F1153" s="114"/>
    </row>
    <row r="1154" spans="1:6" x14ac:dyDescent="0.25">
      <c r="A1154" s="111"/>
      <c r="B1154" s="134" t="s">
        <v>820</v>
      </c>
      <c r="C1154" s="115" t="s">
        <v>772</v>
      </c>
      <c r="D1154" s="228">
        <v>2</v>
      </c>
      <c r="E1154" s="117">
        <v>7500</v>
      </c>
      <c r="F1154" s="121">
        <f>+D1154*E1154</f>
        <v>15000</v>
      </c>
    </row>
    <row r="1155" spans="1:6" x14ac:dyDescent="0.25">
      <c r="A1155" s="111"/>
      <c r="B1155" s="134" t="s">
        <v>821</v>
      </c>
      <c r="C1155" s="115" t="s">
        <v>772</v>
      </c>
      <c r="D1155" s="228">
        <v>2</v>
      </c>
      <c r="E1155" s="117">
        <v>7500</v>
      </c>
      <c r="F1155" s="121">
        <f>+D1155*E1155</f>
        <v>15000</v>
      </c>
    </row>
    <row r="1156" spans="1:6" x14ac:dyDescent="0.25">
      <c r="A1156" s="111"/>
      <c r="B1156" s="134" t="s">
        <v>773</v>
      </c>
      <c r="C1156" s="115" t="s">
        <v>772</v>
      </c>
      <c r="D1156" s="228">
        <v>2</v>
      </c>
      <c r="E1156" s="117">
        <v>15000</v>
      </c>
      <c r="F1156" s="121">
        <f>+D1156*E1156</f>
        <v>30000</v>
      </c>
    </row>
    <row r="1157" spans="1:6" x14ac:dyDescent="0.25">
      <c r="A1157" s="111"/>
      <c r="B1157" s="134" t="s">
        <v>834</v>
      </c>
      <c r="C1157" s="115" t="s">
        <v>772</v>
      </c>
      <c r="D1157" s="228">
        <v>1.5</v>
      </c>
      <c r="E1157" s="117">
        <v>15000</v>
      </c>
      <c r="F1157" s="121">
        <f>+D1157*E1157</f>
        <v>22500</v>
      </c>
    </row>
    <row r="1158" spans="1:6" x14ac:dyDescent="0.25">
      <c r="A1158" s="111"/>
      <c r="B1158" s="134" t="s">
        <v>823</v>
      </c>
      <c r="C1158" s="115" t="s">
        <v>772</v>
      </c>
      <c r="D1158" s="228">
        <v>4</v>
      </c>
      <c r="E1158" s="117">
        <v>15000</v>
      </c>
      <c r="F1158" s="121">
        <f>+D1158*E1158</f>
        <v>60000</v>
      </c>
    </row>
    <row r="1159" spans="1:6" x14ac:dyDescent="0.3">
      <c r="A1159" s="111"/>
      <c r="B1159" s="136" t="s">
        <v>774</v>
      </c>
      <c r="C1159" s="115"/>
      <c r="D1159" s="228"/>
      <c r="E1159" s="117"/>
      <c r="F1159" s="114">
        <f>SUM(F1154:F1158)</f>
        <v>142500</v>
      </c>
    </row>
    <row r="1160" spans="1:6" x14ac:dyDescent="0.3">
      <c r="A1160" s="111"/>
      <c r="B1160" s="136" t="s">
        <v>775</v>
      </c>
      <c r="C1160" s="115"/>
      <c r="D1160" s="116"/>
      <c r="E1160" s="117"/>
      <c r="F1160" s="114">
        <f>F1159+F1152</f>
        <v>1283800</v>
      </c>
    </row>
    <row r="1161" spans="1:6" x14ac:dyDescent="0.25">
      <c r="A1161" s="111"/>
      <c r="B1161" s="134" t="s">
        <v>812</v>
      </c>
      <c r="C1161" s="115"/>
      <c r="D1161" s="116">
        <v>1.1499999999999999</v>
      </c>
      <c r="E1161" s="117"/>
      <c r="F1161" s="114">
        <f>+F1160*D1161</f>
        <v>1476370</v>
      </c>
    </row>
    <row r="1162" spans="1:6" x14ac:dyDescent="0.25">
      <c r="A1162" s="111"/>
      <c r="B1162" s="134" t="s">
        <v>826</v>
      </c>
      <c r="C1162" s="115"/>
      <c r="D1162" s="116">
        <v>1.2</v>
      </c>
      <c r="E1162" s="117"/>
      <c r="F1162" s="114"/>
    </row>
    <row r="1163" spans="1:6" x14ac:dyDescent="0.35">
      <c r="A1163" s="233" t="s">
        <v>1118</v>
      </c>
      <c r="B1163" s="207" t="s">
        <v>790</v>
      </c>
      <c r="C1163" s="208" t="s">
        <v>38</v>
      </c>
      <c r="D1163" s="208"/>
      <c r="E1163" s="209"/>
      <c r="F1163" s="209">
        <f>+D1162*F1161</f>
        <v>1771644</v>
      </c>
    </row>
    <row r="1164" spans="1:6" x14ac:dyDescent="0.35">
      <c r="A1164" s="206"/>
      <c r="B1164" s="207"/>
      <c r="C1164" s="208"/>
      <c r="D1164" s="208"/>
      <c r="E1164" s="210">
        <f>+E1134</f>
        <v>3035.45</v>
      </c>
      <c r="F1164" s="210">
        <f>+F1163/E1164</f>
        <v>583.65118845640677</v>
      </c>
    </row>
    <row r="1165" spans="1:6" x14ac:dyDescent="0.35">
      <c r="A1165" s="126"/>
      <c r="B1165" s="127"/>
      <c r="C1165" s="128"/>
      <c r="D1165" s="128"/>
      <c r="E1165" s="129"/>
      <c r="F1165" s="129"/>
    </row>
    <row r="1166" spans="1:6" x14ac:dyDescent="0.35">
      <c r="A1166" s="130"/>
      <c r="B1166" s="131"/>
      <c r="C1166" s="132"/>
      <c r="D1166" s="132"/>
      <c r="E1166" s="133"/>
      <c r="F1166" s="133"/>
    </row>
    <row r="1167" spans="1:6" x14ac:dyDescent="0.35">
      <c r="A1167" s="107" t="s">
        <v>69</v>
      </c>
      <c r="B1167" s="108" t="s">
        <v>70</v>
      </c>
      <c r="C1167" s="109"/>
      <c r="D1167" s="109"/>
      <c r="E1167" s="110"/>
      <c r="F1167" s="110"/>
    </row>
    <row r="1168" spans="1:6" x14ac:dyDescent="0.35">
      <c r="A1168" s="211" t="s">
        <v>620</v>
      </c>
      <c r="B1168" s="201" t="s">
        <v>761</v>
      </c>
      <c r="C1168" s="200" t="s">
        <v>2</v>
      </c>
      <c r="D1168" s="202" t="s">
        <v>765</v>
      </c>
      <c r="E1168" s="203" t="s">
        <v>766</v>
      </c>
      <c r="F1168" s="203" t="s">
        <v>767</v>
      </c>
    </row>
    <row r="1169" spans="1:6" x14ac:dyDescent="0.3">
      <c r="A1169" s="230" t="s">
        <v>657</v>
      </c>
      <c r="B1169" s="234" t="s">
        <v>107</v>
      </c>
      <c r="C1169" s="124" t="s">
        <v>38</v>
      </c>
      <c r="D1169" s="124"/>
      <c r="E1169" s="117"/>
      <c r="F1169" s="117"/>
    </row>
    <row r="1170" spans="1:6" x14ac:dyDescent="0.35">
      <c r="A1170" s="232" t="s">
        <v>1119</v>
      </c>
      <c r="B1170" s="214" t="s">
        <v>109</v>
      </c>
      <c r="C1170" s="109"/>
      <c r="D1170" s="109"/>
      <c r="E1170" s="110"/>
      <c r="F1170" s="110"/>
    </row>
    <row r="1171" spans="1:6" x14ac:dyDescent="0.35">
      <c r="A1171" s="111"/>
      <c r="B1171" s="112" t="s">
        <v>802</v>
      </c>
      <c r="C1171" s="118"/>
      <c r="D1171" s="118"/>
      <c r="E1171" s="119"/>
      <c r="F1171" s="119"/>
    </row>
    <row r="1172" spans="1:6" x14ac:dyDescent="0.25">
      <c r="A1172" s="111"/>
      <c r="B1172" s="134" t="s">
        <v>803</v>
      </c>
      <c r="C1172" s="115" t="s">
        <v>804</v>
      </c>
      <c r="D1172" s="135">
        <v>7</v>
      </c>
      <c r="E1172" s="117">
        <v>51000</v>
      </c>
      <c r="F1172" s="121">
        <f t="shared" ref="F1172:F1180" si="15">+SUM(D1172*E1172)</f>
        <v>357000</v>
      </c>
    </row>
    <row r="1173" spans="1:6" x14ac:dyDescent="0.25">
      <c r="A1173" s="111"/>
      <c r="B1173" s="134" t="s">
        <v>805</v>
      </c>
      <c r="C1173" s="115" t="s">
        <v>38</v>
      </c>
      <c r="D1173" s="135">
        <v>0.5</v>
      </c>
      <c r="E1173" s="117">
        <v>55000</v>
      </c>
      <c r="F1173" s="121">
        <f t="shared" si="15"/>
        <v>27500</v>
      </c>
    </row>
    <row r="1174" spans="1:6" x14ac:dyDescent="0.25">
      <c r="A1174" s="111"/>
      <c r="B1174" s="134" t="s">
        <v>806</v>
      </c>
      <c r="C1174" s="115" t="s">
        <v>38</v>
      </c>
      <c r="D1174" s="135">
        <v>0.9</v>
      </c>
      <c r="E1174" s="117">
        <v>16000</v>
      </c>
      <c r="F1174" s="121">
        <f t="shared" si="15"/>
        <v>14400</v>
      </c>
    </row>
    <row r="1175" spans="1:6" x14ac:dyDescent="0.25">
      <c r="A1175" s="111"/>
      <c r="B1175" s="120" t="s">
        <v>829</v>
      </c>
      <c r="C1175" s="115" t="s">
        <v>59</v>
      </c>
      <c r="D1175" s="135">
        <v>5</v>
      </c>
      <c r="E1175" s="117">
        <v>60000</v>
      </c>
      <c r="F1175" s="121">
        <f t="shared" si="15"/>
        <v>300000</v>
      </c>
    </row>
    <row r="1176" spans="1:6" x14ac:dyDescent="0.25">
      <c r="A1176" s="111"/>
      <c r="B1176" s="120" t="s">
        <v>830</v>
      </c>
      <c r="C1176" s="115" t="s">
        <v>59</v>
      </c>
      <c r="D1176" s="135">
        <v>20</v>
      </c>
      <c r="E1176" s="117">
        <v>7500</v>
      </c>
      <c r="F1176" s="121">
        <f t="shared" si="15"/>
        <v>150000</v>
      </c>
    </row>
    <row r="1177" spans="1:6" x14ac:dyDescent="0.25">
      <c r="A1177" s="111"/>
      <c r="B1177" s="120" t="s">
        <v>838</v>
      </c>
      <c r="C1177" s="115" t="s">
        <v>59</v>
      </c>
      <c r="D1177" s="135">
        <v>15</v>
      </c>
      <c r="E1177" s="117">
        <v>1600</v>
      </c>
      <c r="F1177" s="121">
        <f t="shared" si="15"/>
        <v>24000</v>
      </c>
    </row>
    <row r="1178" spans="1:6" x14ac:dyDescent="0.35">
      <c r="A1178" s="111"/>
      <c r="B1178" s="120" t="s">
        <v>831</v>
      </c>
      <c r="C1178" s="115" t="s">
        <v>832</v>
      </c>
      <c r="D1178" s="121">
        <v>20</v>
      </c>
      <c r="E1178" s="117">
        <v>8000</v>
      </c>
      <c r="F1178" s="121">
        <f t="shared" si="15"/>
        <v>160000</v>
      </c>
    </row>
    <row r="1179" spans="1:6" x14ac:dyDescent="0.35">
      <c r="A1179" s="111"/>
      <c r="B1179" s="120" t="s">
        <v>833</v>
      </c>
      <c r="C1179" s="115" t="s">
        <v>832</v>
      </c>
      <c r="D1179" s="121">
        <v>20</v>
      </c>
      <c r="E1179" s="117">
        <v>5500</v>
      </c>
      <c r="F1179" s="121">
        <f t="shared" si="15"/>
        <v>110000</v>
      </c>
    </row>
    <row r="1180" spans="1:6" x14ac:dyDescent="0.35">
      <c r="A1180" s="111"/>
      <c r="B1180" s="120" t="s">
        <v>807</v>
      </c>
      <c r="C1180" s="115" t="s">
        <v>38</v>
      </c>
      <c r="D1180" s="116">
        <v>0.5</v>
      </c>
      <c r="E1180" s="117">
        <v>1000</v>
      </c>
      <c r="F1180" s="121">
        <f t="shared" si="15"/>
        <v>500</v>
      </c>
    </row>
    <row r="1181" spans="1:6" x14ac:dyDescent="0.3">
      <c r="A1181" s="111"/>
      <c r="B1181" s="136" t="s">
        <v>769</v>
      </c>
      <c r="C1181" s="115"/>
      <c r="D1181" s="116"/>
      <c r="E1181" s="117"/>
      <c r="F1181" s="114">
        <f>SUM(F1172:F1180)</f>
        <v>1143400</v>
      </c>
    </row>
    <row r="1182" spans="1:6" x14ac:dyDescent="0.3">
      <c r="A1182" s="111"/>
      <c r="B1182" s="136" t="s">
        <v>808</v>
      </c>
      <c r="C1182" s="115"/>
      <c r="D1182" s="116"/>
      <c r="E1182" s="117"/>
      <c r="F1182" s="114"/>
    </row>
    <row r="1183" spans="1:6" x14ac:dyDescent="0.25">
      <c r="A1183" s="111"/>
      <c r="B1183" s="134" t="s">
        <v>820</v>
      </c>
      <c r="C1183" s="115" t="s">
        <v>772</v>
      </c>
      <c r="D1183" s="228">
        <v>4</v>
      </c>
      <c r="E1183" s="117">
        <v>7500</v>
      </c>
      <c r="F1183" s="121">
        <f>+D1183*E1183</f>
        <v>30000</v>
      </c>
    </row>
    <row r="1184" spans="1:6" x14ac:dyDescent="0.25">
      <c r="A1184" s="111"/>
      <c r="B1184" s="134" t="s">
        <v>821</v>
      </c>
      <c r="C1184" s="115" t="s">
        <v>772</v>
      </c>
      <c r="D1184" s="228">
        <v>4</v>
      </c>
      <c r="E1184" s="117">
        <v>7500</v>
      </c>
      <c r="F1184" s="121">
        <f>+D1184*E1184</f>
        <v>30000</v>
      </c>
    </row>
    <row r="1185" spans="1:8" x14ac:dyDescent="0.25">
      <c r="A1185" s="111"/>
      <c r="B1185" s="134" t="s">
        <v>773</v>
      </c>
      <c r="C1185" s="115" t="s">
        <v>772</v>
      </c>
      <c r="D1185" s="228">
        <v>4</v>
      </c>
      <c r="E1185" s="117">
        <v>15000</v>
      </c>
      <c r="F1185" s="121">
        <f>+D1185*E1185</f>
        <v>60000</v>
      </c>
    </row>
    <row r="1186" spans="1:8" x14ac:dyDescent="0.25">
      <c r="A1186" s="111"/>
      <c r="B1186" s="134" t="s">
        <v>834</v>
      </c>
      <c r="C1186" s="115" t="s">
        <v>772</v>
      </c>
      <c r="D1186" s="228">
        <v>2.5</v>
      </c>
      <c r="E1186" s="117">
        <v>15000</v>
      </c>
      <c r="F1186" s="121">
        <f>+D1186*E1186</f>
        <v>37500</v>
      </c>
    </row>
    <row r="1187" spans="1:8" x14ac:dyDescent="0.25">
      <c r="A1187" s="111"/>
      <c r="B1187" s="134" t="s">
        <v>823</v>
      </c>
      <c r="C1187" s="115" t="s">
        <v>772</v>
      </c>
      <c r="D1187" s="228">
        <v>4</v>
      </c>
      <c r="E1187" s="117">
        <v>15000</v>
      </c>
      <c r="F1187" s="121">
        <f>+D1187*E1187</f>
        <v>60000</v>
      </c>
    </row>
    <row r="1188" spans="1:8" x14ac:dyDescent="0.3">
      <c r="A1188" s="111"/>
      <c r="B1188" s="136" t="s">
        <v>774</v>
      </c>
      <c r="C1188" s="115"/>
      <c r="D1188" s="228"/>
      <c r="E1188" s="117"/>
      <c r="F1188" s="114">
        <f>SUM(F1183:F1187)</f>
        <v>217500</v>
      </c>
    </row>
    <row r="1189" spans="1:8" x14ac:dyDescent="0.3">
      <c r="A1189" s="111"/>
      <c r="B1189" s="136" t="s">
        <v>775</v>
      </c>
      <c r="C1189" s="115"/>
      <c r="D1189" s="116"/>
      <c r="E1189" s="117"/>
      <c r="F1189" s="114">
        <f>F1188+F1181</f>
        <v>1360900</v>
      </c>
    </row>
    <row r="1190" spans="1:8" x14ac:dyDescent="0.25">
      <c r="A1190" s="111"/>
      <c r="B1190" s="134" t="s">
        <v>776</v>
      </c>
      <c r="C1190" s="115"/>
      <c r="D1190" s="116">
        <v>1.25</v>
      </c>
      <c r="E1190" s="117"/>
      <c r="F1190" s="114">
        <f>+F1189*D1190</f>
        <v>1701125</v>
      </c>
    </row>
    <row r="1191" spans="1:8" x14ac:dyDescent="0.25">
      <c r="A1191" s="111"/>
      <c r="B1191" s="134" t="s">
        <v>835</v>
      </c>
      <c r="C1191" s="115"/>
      <c r="D1191" s="116">
        <v>1.25</v>
      </c>
      <c r="E1191" s="117"/>
      <c r="F1191" s="114"/>
    </row>
    <row r="1192" spans="1:8" x14ac:dyDescent="0.35">
      <c r="A1192" s="233" t="s">
        <v>1119</v>
      </c>
      <c r="B1192" s="207" t="s">
        <v>790</v>
      </c>
      <c r="C1192" s="208" t="s">
        <v>38</v>
      </c>
      <c r="D1192" s="208"/>
      <c r="E1192" s="209"/>
      <c r="F1192" s="209">
        <f>+D1191*F1190</f>
        <v>2126406.25</v>
      </c>
    </row>
    <row r="1193" spans="1:8" x14ac:dyDescent="0.35">
      <c r="A1193" s="206"/>
      <c r="B1193" s="207"/>
      <c r="C1193" s="208"/>
      <c r="D1193" s="208"/>
      <c r="E1193" s="210">
        <f>+E1164</f>
        <v>3035.45</v>
      </c>
      <c r="F1193" s="210">
        <f>+F1192/E1193</f>
        <v>700.52422210874829</v>
      </c>
    </row>
    <row r="1194" spans="1:8" x14ac:dyDescent="0.35">
      <c r="A1194" s="126"/>
      <c r="B1194" s="127"/>
      <c r="C1194" s="128"/>
      <c r="D1194" s="128"/>
      <c r="E1194" s="176"/>
      <c r="F1194" s="176"/>
      <c r="G1194" s="138"/>
      <c r="H1194" s="177"/>
    </row>
    <row r="1195" spans="1:8" x14ac:dyDescent="0.35">
      <c r="A1195" s="105"/>
      <c r="B1195" s="106"/>
      <c r="C1195" s="101"/>
      <c r="D1195" s="101"/>
      <c r="E1195" s="161"/>
      <c r="F1195" s="161"/>
      <c r="G1195" s="138"/>
      <c r="H1195" s="177"/>
    </row>
    <row r="1196" spans="1:8" x14ac:dyDescent="0.35">
      <c r="A1196" s="107" t="s">
        <v>69</v>
      </c>
      <c r="B1196" s="108" t="s">
        <v>70</v>
      </c>
      <c r="C1196" s="109"/>
      <c r="D1196" s="109"/>
      <c r="E1196" s="110"/>
      <c r="F1196" s="110"/>
      <c r="G1196" s="138"/>
      <c r="H1196" s="177"/>
    </row>
    <row r="1197" spans="1:8" x14ac:dyDescent="0.35">
      <c r="A1197" s="211" t="s">
        <v>620</v>
      </c>
      <c r="B1197" s="201" t="s">
        <v>761</v>
      </c>
      <c r="C1197" s="200" t="s">
        <v>2</v>
      </c>
      <c r="D1197" s="202" t="s">
        <v>765</v>
      </c>
      <c r="E1197" s="203" t="s">
        <v>766</v>
      </c>
      <c r="F1197" s="203" t="s">
        <v>767</v>
      </c>
      <c r="G1197" s="138"/>
      <c r="H1197" s="177"/>
    </row>
    <row r="1198" spans="1:8" x14ac:dyDescent="0.3">
      <c r="A1198" s="230" t="s">
        <v>657</v>
      </c>
      <c r="B1198" s="234" t="s">
        <v>107</v>
      </c>
      <c r="C1198" s="124" t="s">
        <v>38</v>
      </c>
      <c r="D1198" s="124"/>
      <c r="E1198" s="117"/>
      <c r="F1198" s="117"/>
      <c r="G1198" s="138"/>
      <c r="H1198" s="177"/>
    </row>
    <row r="1199" spans="1:8" x14ac:dyDescent="0.35">
      <c r="A1199" s="232" t="s">
        <v>1119</v>
      </c>
      <c r="B1199" s="214" t="s">
        <v>1345</v>
      </c>
      <c r="C1199" s="109"/>
      <c r="D1199" s="109"/>
      <c r="E1199" s="110"/>
      <c r="F1199" s="110"/>
      <c r="G1199" s="138"/>
      <c r="H1199" s="177"/>
    </row>
    <row r="1200" spans="1:8" x14ac:dyDescent="0.35">
      <c r="A1200" s="111"/>
      <c r="B1200" s="112" t="s">
        <v>802</v>
      </c>
      <c r="C1200" s="118"/>
      <c r="D1200" s="118"/>
      <c r="E1200" s="119"/>
      <c r="F1200" s="119"/>
      <c r="G1200" s="138"/>
      <c r="H1200" s="177"/>
    </row>
    <row r="1201" spans="1:8" x14ac:dyDescent="0.25">
      <c r="A1201" s="111"/>
      <c r="B1201" s="134" t="s">
        <v>803</v>
      </c>
      <c r="C1201" s="115" t="s">
        <v>804</v>
      </c>
      <c r="D1201" s="135">
        <v>7</v>
      </c>
      <c r="E1201" s="117">
        <v>51000</v>
      </c>
      <c r="F1201" s="121">
        <f t="shared" ref="F1201:F1209" si="16">+SUM(D1201*E1201)</f>
        <v>357000</v>
      </c>
      <c r="G1201" s="138"/>
      <c r="H1201" s="177"/>
    </row>
    <row r="1202" spans="1:8" x14ac:dyDescent="0.25">
      <c r="A1202" s="111"/>
      <c r="B1202" s="134" t="s">
        <v>805</v>
      </c>
      <c r="C1202" s="115" t="s">
        <v>38</v>
      </c>
      <c r="D1202" s="135">
        <v>0.5</v>
      </c>
      <c r="E1202" s="117">
        <v>55000</v>
      </c>
      <c r="F1202" s="121">
        <f t="shared" si="16"/>
        <v>27500</v>
      </c>
      <c r="G1202" s="138"/>
      <c r="H1202" s="177"/>
    </row>
    <row r="1203" spans="1:8" x14ac:dyDescent="0.25">
      <c r="A1203" s="111"/>
      <c r="B1203" s="134" t="s">
        <v>806</v>
      </c>
      <c r="C1203" s="115" t="s">
        <v>38</v>
      </c>
      <c r="D1203" s="135">
        <v>0.9</v>
      </c>
      <c r="E1203" s="117">
        <v>16000</v>
      </c>
      <c r="F1203" s="121">
        <f t="shared" si="16"/>
        <v>14400</v>
      </c>
      <c r="G1203" s="138"/>
      <c r="H1203" s="177"/>
    </row>
    <row r="1204" spans="1:8" x14ac:dyDescent="0.25">
      <c r="A1204" s="111"/>
      <c r="B1204" s="120" t="s">
        <v>829</v>
      </c>
      <c r="C1204" s="115" t="s">
        <v>59</v>
      </c>
      <c r="D1204" s="135">
        <v>5</v>
      </c>
      <c r="E1204" s="117">
        <v>60000</v>
      </c>
      <c r="F1204" s="121">
        <f t="shared" si="16"/>
        <v>300000</v>
      </c>
      <c r="G1204" s="138"/>
      <c r="H1204" s="177"/>
    </row>
    <row r="1205" spans="1:8" x14ac:dyDescent="0.25">
      <c r="A1205" s="111"/>
      <c r="B1205" s="120" t="s">
        <v>830</v>
      </c>
      <c r="C1205" s="115" t="s">
        <v>59</v>
      </c>
      <c r="D1205" s="135">
        <v>20</v>
      </c>
      <c r="E1205" s="117">
        <v>7500</v>
      </c>
      <c r="F1205" s="121">
        <f t="shared" si="16"/>
        <v>150000</v>
      </c>
      <c r="G1205" s="138"/>
      <c r="H1205" s="177"/>
    </row>
    <row r="1206" spans="1:8" x14ac:dyDescent="0.25">
      <c r="A1206" s="111"/>
      <c r="B1206" s="120" t="s">
        <v>838</v>
      </c>
      <c r="C1206" s="115" t="s">
        <v>59</v>
      </c>
      <c r="D1206" s="135">
        <v>15</v>
      </c>
      <c r="E1206" s="117">
        <v>1600</v>
      </c>
      <c r="F1206" s="121">
        <f t="shared" si="16"/>
        <v>24000</v>
      </c>
      <c r="G1206" s="138"/>
      <c r="H1206" s="177"/>
    </row>
    <row r="1207" spans="1:8" x14ac:dyDescent="0.35">
      <c r="A1207" s="111"/>
      <c r="B1207" s="120" t="s">
        <v>831</v>
      </c>
      <c r="C1207" s="115" t="s">
        <v>832</v>
      </c>
      <c r="D1207" s="121">
        <v>20</v>
      </c>
      <c r="E1207" s="117">
        <v>8000</v>
      </c>
      <c r="F1207" s="121">
        <f t="shared" si="16"/>
        <v>160000</v>
      </c>
      <c r="G1207" s="138"/>
      <c r="H1207" s="177"/>
    </row>
    <row r="1208" spans="1:8" x14ac:dyDescent="0.35">
      <c r="A1208" s="111"/>
      <c r="B1208" s="120" t="s">
        <v>833</v>
      </c>
      <c r="C1208" s="115" t="s">
        <v>832</v>
      </c>
      <c r="D1208" s="121">
        <v>20</v>
      </c>
      <c r="E1208" s="117">
        <v>5500</v>
      </c>
      <c r="F1208" s="121">
        <f t="shared" si="16"/>
        <v>110000</v>
      </c>
      <c r="G1208" s="138"/>
      <c r="H1208" s="177"/>
    </row>
    <row r="1209" spans="1:8" x14ac:dyDescent="0.35">
      <c r="A1209" s="111"/>
      <c r="B1209" s="120" t="s">
        <v>807</v>
      </c>
      <c r="C1209" s="115" t="s">
        <v>38</v>
      </c>
      <c r="D1209" s="116">
        <v>0.5</v>
      </c>
      <c r="E1209" s="117">
        <v>1000</v>
      </c>
      <c r="F1209" s="121">
        <f t="shared" si="16"/>
        <v>500</v>
      </c>
      <c r="G1209" s="138"/>
      <c r="H1209" s="177"/>
    </row>
    <row r="1210" spans="1:8" x14ac:dyDescent="0.3">
      <c r="A1210" s="111"/>
      <c r="B1210" s="136" t="s">
        <v>769</v>
      </c>
      <c r="C1210" s="115"/>
      <c r="D1210" s="116"/>
      <c r="E1210" s="117"/>
      <c r="F1210" s="114">
        <f>SUM(F1201:F1209)</f>
        <v>1143400</v>
      </c>
      <c r="G1210" s="138"/>
      <c r="H1210" s="177"/>
    </row>
    <row r="1211" spans="1:8" x14ac:dyDescent="0.3">
      <c r="A1211" s="111"/>
      <c r="B1211" s="136" t="s">
        <v>808</v>
      </c>
      <c r="C1211" s="115"/>
      <c r="D1211" s="116"/>
      <c r="E1211" s="117"/>
      <c r="F1211" s="114"/>
      <c r="G1211" s="138"/>
      <c r="H1211" s="177"/>
    </row>
    <row r="1212" spans="1:8" x14ac:dyDescent="0.25">
      <c r="A1212" s="111"/>
      <c r="B1212" s="134" t="s">
        <v>820</v>
      </c>
      <c r="C1212" s="115" t="s">
        <v>772</v>
      </c>
      <c r="D1212" s="228">
        <v>4</v>
      </c>
      <c r="E1212" s="117">
        <v>7500</v>
      </c>
      <c r="F1212" s="121">
        <f>+D1212*E1212</f>
        <v>30000</v>
      </c>
      <c r="G1212" s="138"/>
      <c r="H1212" s="177"/>
    </row>
    <row r="1213" spans="1:8" x14ac:dyDescent="0.25">
      <c r="A1213" s="111"/>
      <c r="B1213" s="134" t="s">
        <v>821</v>
      </c>
      <c r="C1213" s="115" t="s">
        <v>772</v>
      </c>
      <c r="D1213" s="228">
        <v>4</v>
      </c>
      <c r="E1213" s="117">
        <v>7500</v>
      </c>
      <c r="F1213" s="121">
        <f>+D1213*E1213</f>
        <v>30000</v>
      </c>
      <c r="G1213" s="138"/>
      <c r="H1213" s="177"/>
    </row>
    <row r="1214" spans="1:8" x14ac:dyDescent="0.25">
      <c r="A1214" s="111"/>
      <c r="B1214" s="134" t="s">
        <v>773</v>
      </c>
      <c r="C1214" s="115" t="s">
        <v>772</v>
      </c>
      <c r="D1214" s="228">
        <v>4</v>
      </c>
      <c r="E1214" s="117">
        <v>15000</v>
      </c>
      <c r="F1214" s="121">
        <f>+D1214*E1214</f>
        <v>60000</v>
      </c>
      <c r="G1214" s="138"/>
      <c r="H1214" s="177"/>
    </row>
    <row r="1215" spans="1:8" x14ac:dyDescent="0.25">
      <c r="A1215" s="111"/>
      <c r="B1215" s="134" t="s">
        <v>834</v>
      </c>
      <c r="C1215" s="115" t="s">
        <v>772</v>
      </c>
      <c r="D1215" s="228">
        <v>2.5</v>
      </c>
      <c r="E1215" s="117">
        <v>15000</v>
      </c>
      <c r="F1215" s="121">
        <f>+D1215*E1215</f>
        <v>37500</v>
      </c>
      <c r="G1215" s="138"/>
      <c r="H1215" s="177"/>
    </row>
    <row r="1216" spans="1:8" x14ac:dyDescent="0.25">
      <c r="A1216" s="111"/>
      <c r="B1216" s="134" t="s">
        <v>823</v>
      </c>
      <c r="C1216" s="115" t="s">
        <v>772</v>
      </c>
      <c r="D1216" s="228">
        <v>4</v>
      </c>
      <c r="E1216" s="117">
        <v>15000</v>
      </c>
      <c r="F1216" s="121">
        <f>+D1216*E1216</f>
        <v>60000</v>
      </c>
      <c r="G1216" s="138"/>
      <c r="H1216" s="177"/>
    </row>
    <row r="1217" spans="1:8" x14ac:dyDescent="0.3">
      <c r="A1217" s="111"/>
      <c r="B1217" s="136" t="s">
        <v>774</v>
      </c>
      <c r="C1217" s="115"/>
      <c r="D1217" s="228"/>
      <c r="E1217" s="117"/>
      <c r="F1217" s="114">
        <f>SUM(F1212:F1216)</f>
        <v>217500</v>
      </c>
      <c r="G1217" s="138"/>
      <c r="H1217" s="177"/>
    </row>
    <row r="1218" spans="1:8" x14ac:dyDescent="0.3">
      <c r="A1218" s="111"/>
      <c r="B1218" s="136" t="s">
        <v>775</v>
      </c>
      <c r="C1218" s="115"/>
      <c r="D1218" s="116"/>
      <c r="E1218" s="117"/>
      <c r="F1218" s="114">
        <f>F1217+F1210</f>
        <v>1360900</v>
      </c>
      <c r="G1218" s="138"/>
      <c r="H1218" s="177"/>
    </row>
    <row r="1219" spans="1:8" x14ac:dyDescent="0.25">
      <c r="A1219" s="111"/>
      <c r="B1219" s="134" t="s">
        <v>776</v>
      </c>
      <c r="C1219" s="115"/>
      <c r="D1219" s="116">
        <v>1.2</v>
      </c>
      <c r="E1219" s="117"/>
      <c r="F1219" s="114">
        <f>+F1218*D1219</f>
        <v>1633080</v>
      </c>
      <c r="G1219" s="138"/>
      <c r="H1219" s="177"/>
    </row>
    <row r="1220" spans="1:8" x14ac:dyDescent="0.25">
      <c r="A1220" s="111"/>
      <c r="B1220" s="134" t="s">
        <v>835</v>
      </c>
      <c r="C1220" s="115"/>
      <c r="D1220" s="116">
        <v>1.2</v>
      </c>
      <c r="E1220" s="117"/>
      <c r="F1220" s="114"/>
      <c r="G1220" s="138"/>
      <c r="H1220" s="177"/>
    </row>
    <row r="1221" spans="1:8" x14ac:dyDescent="0.35">
      <c r="A1221" s="233" t="s">
        <v>1119</v>
      </c>
      <c r="B1221" s="207" t="s">
        <v>790</v>
      </c>
      <c r="C1221" s="208" t="s">
        <v>38</v>
      </c>
      <c r="D1221" s="208"/>
      <c r="E1221" s="209"/>
      <c r="F1221" s="209">
        <f>+D1220*F1219</f>
        <v>1959696</v>
      </c>
      <c r="G1221" s="138"/>
      <c r="H1221" s="177"/>
    </row>
    <row r="1222" spans="1:8" x14ac:dyDescent="0.35">
      <c r="A1222" s="206"/>
      <c r="B1222" s="207"/>
      <c r="C1222" s="208"/>
      <c r="D1222" s="208"/>
      <c r="E1222" s="210">
        <f>+E1193</f>
        <v>3035.45</v>
      </c>
      <c r="F1222" s="210">
        <f>+F1221/E1222</f>
        <v>645.60312309542246</v>
      </c>
      <c r="G1222" s="138"/>
      <c r="H1222" s="177"/>
    </row>
    <row r="1223" spans="1:8" x14ac:dyDescent="0.35">
      <c r="A1223" s="105"/>
      <c r="B1223" s="106"/>
      <c r="C1223" s="101"/>
      <c r="D1223" s="101"/>
      <c r="E1223" s="161"/>
      <c r="F1223" s="161"/>
      <c r="G1223" s="138"/>
      <c r="H1223" s="177"/>
    </row>
    <row r="1224" spans="1:8" x14ac:dyDescent="0.35">
      <c r="A1224" s="105"/>
      <c r="B1224" s="106"/>
      <c r="C1224" s="101"/>
      <c r="D1224" s="101"/>
      <c r="E1224" s="161"/>
      <c r="F1224" s="161"/>
      <c r="G1224" s="138"/>
      <c r="H1224" s="177"/>
    </row>
    <row r="1225" spans="1:8" x14ac:dyDescent="0.35">
      <c r="A1225" s="225" t="s">
        <v>110</v>
      </c>
      <c r="B1225" s="205" t="s">
        <v>111</v>
      </c>
      <c r="C1225" s="200" t="s">
        <v>2</v>
      </c>
      <c r="D1225" s="202" t="s">
        <v>765</v>
      </c>
      <c r="E1225" s="203" t="s">
        <v>766</v>
      </c>
      <c r="F1225" s="203" t="s">
        <v>767</v>
      </c>
    </row>
    <row r="1226" spans="1:8" x14ac:dyDescent="0.3">
      <c r="A1226" s="232" t="s">
        <v>112</v>
      </c>
      <c r="B1226" s="235" t="s">
        <v>113</v>
      </c>
      <c r="C1226" s="124"/>
      <c r="D1226" s="124"/>
      <c r="E1226" s="117"/>
      <c r="F1226" s="117"/>
    </row>
    <row r="1227" spans="1:8" x14ac:dyDescent="0.35">
      <c r="A1227" s="111"/>
      <c r="B1227" s="112" t="s">
        <v>802</v>
      </c>
      <c r="C1227" s="118"/>
      <c r="D1227" s="118"/>
      <c r="E1227" s="119"/>
      <c r="F1227" s="119"/>
    </row>
    <row r="1228" spans="1:8" x14ac:dyDescent="0.25">
      <c r="A1228" s="111"/>
      <c r="B1228" s="134" t="s">
        <v>847</v>
      </c>
      <c r="C1228" s="115" t="s">
        <v>35</v>
      </c>
      <c r="D1228" s="135">
        <v>1</v>
      </c>
      <c r="E1228" s="117">
        <v>55000</v>
      </c>
      <c r="F1228" s="121">
        <f>+SUM(D1228*E1228)</f>
        <v>55000</v>
      </c>
    </row>
    <row r="1229" spans="1:8" x14ac:dyDescent="0.3">
      <c r="A1229" s="111"/>
      <c r="B1229" s="136" t="s">
        <v>769</v>
      </c>
      <c r="C1229" s="115"/>
      <c r="D1229" s="116"/>
      <c r="E1229" s="117"/>
      <c r="F1229" s="114">
        <f>SUM(F1228:F1228)</f>
        <v>55000</v>
      </c>
    </row>
    <row r="1230" spans="1:8" x14ac:dyDescent="0.3">
      <c r="A1230" s="111"/>
      <c r="B1230" s="136" t="s">
        <v>808</v>
      </c>
      <c r="C1230" s="115"/>
      <c r="D1230" s="116"/>
      <c r="E1230" s="117"/>
      <c r="F1230" s="114"/>
    </row>
    <row r="1231" spans="1:8" x14ac:dyDescent="0.25">
      <c r="A1231" s="111"/>
      <c r="B1231" s="134" t="s">
        <v>821</v>
      </c>
      <c r="C1231" s="115" t="s">
        <v>772</v>
      </c>
      <c r="D1231" s="228">
        <v>0.12</v>
      </c>
      <c r="E1231" s="117">
        <v>7500</v>
      </c>
      <c r="F1231" s="121">
        <f>+D1231*E1231</f>
        <v>900</v>
      </c>
    </row>
    <row r="1232" spans="1:8" x14ac:dyDescent="0.3">
      <c r="A1232" s="111"/>
      <c r="B1232" s="136" t="s">
        <v>774</v>
      </c>
      <c r="C1232" s="115"/>
      <c r="D1232" s="228"/>
      <c r="E1232" s="117"/>
      <c r="F1232" s="114">
        <f>SUM(F1231:F1231)</f>
        <v>900</v>
      </c>
    </row>
    <row r="1233" spans="1:6" x14ac:dyDescent="0.3">
      <c r="A1233" s="111"/>
      <c r="B1233" s="136" t="s">
        <v>775</v>
      </c>
      <c r="C1233" s="115"/>
      <c r="D1233" s="116"/>
      <c r="E1233" s="117"/>
      <c r="F1233" s="114">
        <f>F1232+F1229</f>
        <v>55900</v>
      </c>
    </row>
    <row r="1234" spans="1:6" x14ac:dyDescent="0.25">
      <c r="A1234" s="111"/>
      <c r="B1234" s="134" t="s">
        <v>824</v>
      </c>
      <c r="C1234" s="115"/>
      <c r="D1234" s="116">
        <v>1.1000000000000001</v>
      </c>
      <c r="E1234" s="117"/>
      <c r="F1234" s="114">
        <f>+F1233*D1234</f>
        <v>61490.000000000007</v>
      </c>
    </row>
    <row r="1235" spans="1:6" x14ac:dyDescent="0.25">
      <c r="A1235" s="111"/>
      <c r="B1235" s="134" t="s">
        <v>825</v>
      </c>
      <c r="C1235" s="115"/>
      <c r="D1235" s="116">
        <v>1.1000000000000001</v>
      </c>
      <c r="E1235" s="117"/>
      <c r="F1235" s="114"/>
    </row>
    <row r="1236" spans="1:6" x14ac:dyDescent="0.35">
      <c r="A1236" s="233" t="s">
        <v>112</v>
      </c>
      <c r="B1236" s="207" t="s">
        <v>789</v>
      </c>
      <c r="C1236" s="208" t="s">
        <v>35</v>
      </c>
      <c r="D1236" s="208"/>
      <c r="E1236" s="209"/>
      <c r="F1236" s="209">
        <f>+D1235*F1234</f>
        <v>67639.000000000015</v>
      </c>
    </row>
    <row r="1237" spans="1:6" x14ac:dyDescent="0.35">
      <c r="A1237" s="206"/>
      <c r="B1237" s="207"/>
      <c r="C1237" s="208"/>
      <c r="D1237" s="208"/>
      <c r="E1237" s="210">
        <f>+E1193</f>
        <v>3035.45</v>
      </c>
      <c r="F1237" s="210">
        <f>+F1236/E1237</f>
        <v>22.283022286646137</v>
      </c>
    </row>
    <row r="1238" spans="1:6" x14ac:dyDescent="0.35">
      <c r="A1238" s="126"/>
      <c r="B1238" s="127"/>
      <c r="C1238" s="128"/>
      <c r="D1238" s="128"/>
      <c r="E1238" s="176"/>
      <c r="F1238" s="176"/>
    </row>
    <row r="1239" spans="1:6" x14ac:dyDescent="0.35">
      <c r="A1239" s="130"/>
      <c r="B1239" s="131"/>
      <c r="C1239" s="132"/>
      <c r="D1239" s="132"/>
      <c r="E1239" s="179"/>
      <c r="F1239" s="179"/>
    </row>
    <row r="1240" spans="1:6" x14ac:dyDescent="0.35">
      <c r="A1240" s="225" t="s">
        <v>110</v>
      </c>
      <c r="B1240" s="205" t="s">
        <v>111</v>
      </c>
      <c r="C1240" s="200" t="s">
        <v>2</v>
      </c>
      <c r="D1240" s="202" t="s">
        <v>765</v>
      </c>
      <c r="E1240" s="203" t="s">
        <v>766</v>
      </c>
      <c r="F1240" s="203" t="s">
        <v>767</v>
      </c>
    </row>
    <row r="1241" spans="1:6" x14ac:dyDescent="0.3">
      <c r="A1241" s="232" t="s">
        <v>114</v>
      </c>
      <c r="B1241" s="235" t="s">
        <v>849</v>
      </c>
      <c r="C1241" s="124" t="s">
        <v>38</v>
      </c>
      <c r="D1241" s="124"/>
      <c r="E1241" s="117"/>
      <c r="F1241" s="117"/>
    </row>
    <row r="1242" spans="1:6" x14ac:dyDescent="0.35">
      <c r="A1242" s="111"/>
      <c r="B1242" s="112" t="s">
        <v>802</v>
      </c>
      <c r="C1242" s="118"/>
      <c r="D1242" s="118"/>
      <c r="E1242" s="119"/>
      <c r="F1242" s="119"/>
    </row>
    <row r="1243" spans="1:6" x14ac:dyDescent="0.25">
      <c r="A1243" s="111"/>
      <c r="B1243" s="134" t="s">
        <v>850</v>
      </c>
      <c r="C1243" s="115" t="s">
        <v>38</v>
      </c>
      <c r="D1243" s="135">
        <v>1</v>
      </c>
      <c r="E1243" s="117">
        <v>135000</v>
      </c>
      <c r="F1243" s="121">
        <f>+SUM(D1243*E1243)</f>
        <v>135000</v>
      </c>
    </row>
    <row r="1244" spans="1:6" x14ac:dyDescent="0.3">
      <c r="A1244" s="111"/>
      <c r="B1244" s="136" t="s">
        <v>769</v>
      </c>
      <c r="C1244" s="115"/>
      <c r="D1244" s="116"/>
      <c r="E1244" s="117"/>
      <c r="F1244" s="114">
        <f>SUM(F1243:F1243)</f>
        <v>135000</v>
      </c>
    </row>
    <row r="1245" spans="1:6" x14ac:dyDescent="0.3">
      <c r="A1245" s="111"/>
      <c r="B1245" s="136" t="s">
        <v>808</v>
      </c>
      <c r="C1245" s="115"/>
      <c r="D1245" s="116"/>
      <c r="E1245" s="117"/>
      <c r="F1245" s="114"/>
    </row>
    <row r="1246" spans="1:6" x14ac:dyDescent="0.25">
      <c r="A1246" s="111"/>
      <c r="B1246" s="134" t="s">
        <v>821</v>
      </c>
      <c r="C1246" s="115" t="s">
        <v>772</v>
      </c>
      <c r="D1246" s="228">
        <v>0.25</v>
      </c>
      <c r="E1246" s="117">
        <v>7500</v>
      </c>
      <c r="F1246" s="121">
        <f>+D1246*E1246</f>
        <v>1875</v>
      </c>
    </row>
    <row r="1247" spans="1:6" x14ac:dyDescent="0.25">
      <c r="A1247" s="111"/>
      <c r="B1247" s="134" t="s">
        <v>851</v>
      </c>
      <c r="C1247" s="115" t="s">
        <v>772</v>
      </c>
      <c r="D1247" s="228">
        <v>1</v>
      </c>
      <c r="E1247" s="117">
        <v>15000</v>
      </c>
      <c r="F1247" s="121">
        <f>+D1247*E1247</f>
        <v>15000</v>
      </c>
    </row>
    <row r="1248" spans="1:6" x14ac:dyDescent="0.3">
      <c r="A1248" s="111"/>
      <c r="B1248" s="136" t="s">
        <v>774</v>
      </c>
      <c r="C1248" s="115"/>
      <c r="D1248" s="228"/>
      <c r="E1248" s="117"/>
      <c r="F1248" s="114">
        <f>SUM(F1246:F1247)</f>
        <v>16875</v>
      </c>
    </row>
    <row r="1249" spans="1:6" x14ac:dyDescent="0.3">
      <c r="A1249" s="111"/>
      <c r="B1249" s="136" t="s">
        <v>775</v>
      </c>
      <c r="C1249" s="115"/>
      <c r="D1249" s="116"/>
      <c r="E1249" s="117"/>
      <c r="F1249" s="114">
        <f>F1248+F1244</f>
        <v>151875</v>
      </c>
    </row>
    <row r="1250" spans="1:6" x14ac:dyDescent="0.25">
      <c r="A1250" s="111"/>
      <c r="B1250" s="134" t="s">
        <v>792</v>
      </c>
      <c r="C1250" s="115"/>
      <c r="D1250" s="116">
        <v>1.05</v>
      </c>
      <c r="E1250" s="117"/>
      <c r="F1250" s="114">
        <f>+F1249*D1250</f>
        <v>159468.75</v>
      </c>
    </row>
    <row r="1251" spans="1:6" x14ac:dyDescent="0.25">
      <c r="A1251" s="111"/>
      <c r="B1251" s="134" t="s">
        <v>848</v>
      </c>
      <c r="C1251" s="115"/>
      <c r="D1251" s="116">
        <v>1.05</v>
      </c>
      <c r="E1251" s="117"/>
      <c r="F1251" s="114"/>
    </row>
    <row r="1252" spans="1:6" x14ac:dyDescent="0.35">
      <c r="A1252" s="233" t="s">
        <v>114</v>
      </c>
      <c r="B1252" s="207" t="s">
        <v>790</v>
      </c>
      <c r="C1252" s="208" t="s">
        <v>38</v>
      </c>
      <c r="D1252" s="208"/>
      <c r="E1252" s="209"/>
      <c r="F1252" s="209">
        <f>+D1251*F1250</f>
        <v>167442.1875</v>
      </c>
    </row>
    <row r="1253" spans="1:6" x14ac:dyDescent="0.35">
      <c r="A1253" s="206"/>
      <c r="B1253" s="207"/>
      <c r="C1253" s="208"/>
      <c r="D1253" s="208"/>
      <c r="E1253" s="210">
        <f>+E1237</f>
        <v>3035.45</v>
      </c>
      <c r="F1253" s="210">
        <f>+F1252/E1253</f>
        <v>55.16222882933338</v>
      </c>
    </row>
    <row r="1254" spans="1:6" x14ac:dyDescent="0.35">
      <c r="A1254" s="126"/>
      <c r="B1254" s="127"/>
      <c r="C1254" s="128"/>
      <c r="D1254" s="128"/>
      <c r="E1254" s="176"/>
      <c r="F1254" s="176"/>
    </row>
    <row r="1255" spans="1:6" x14ac:dyDescent="0.35">
      <c r="A1255" s="130"/>
      <c r="B1255" s="131"/>
      <c r="C1255" s="132"/>
      <c r="D1255" s="132"/>
      <c r="E1255" s="179"/>
      <c r="F1255" s="179"/>
    </row>
    <row r="1256" spans="1:6" x14ac:dyDescent="0.35">
      <c r="A1256" s="225" t="s">
        <v>110</v>
      </c>
      <c r="B1256" s="205" t="s">
        <v>111</v>
      </c>
      <c r="C1256" s="200" t="s">
        <v>2</v>
      </c>
      <c r="D1256" s="202" t="s">
        <v>765</v>
      </c>
      <c r="E1256" s="203" t="s">
        <v>766</v>
      </c>
      <c r="F1256" s="203" t="s">
        <v>767</v>
      </c>
    </row>
    <row r="1257" spans="1:6" x14ac:dyDescent="0.3">
      <c r="A1257" s="232" t="s">
        <v>114</v>
      </c>
      <c r="B1257" s="235" t="s">
        <v>625</v>
      </c>
      <c r="C1257" s="124" t="s">
        <v>35</v>
      </c>
      <c r="D1257" s="124"/>
      <c r="E1257" s="117"/>
      <c r="F1257" s="117"/>
    </row>
    <row r="1258" spans="1:6" x14ac:dyDescent="0.35">
      <c r="A1258" s="111"/>
      <c r="B1258" s="112" t="s">
        <v>802</v>
      </c>
      <c r="C1258" s="118"/>
      <c r="D1258" s="118"/>
      <c r="E1258" s="119"/>
      <c r="F1258" s="119"/>
    </row>
    <row r="1259" spans="1:6" x14ac:dyDescent="0.25">
      <c r="A1259" s="111"/>
      <c r="B1259" s="134" t="s">
        <v>852</v>
      </c>
      <c r="C1259" s="115" t="s">
        <v>853</v>
      </c>
      <c r="D1259" s="135">
        <v>0.05</v>
      </c>
      <c r="E1259" s="117">
        <v>2500</v>
      </c>
      <c r="F1259" s="121">
        <f>+SUM(D1259*E1259)</f>
        <v>125</v>
      </c>
    </row>
    <row r="1260" spans="1:6" x14ac:dyDescent="0.3">
      <c r="A1260" s="111"/>
      <c r="B1260" s="136" t="s">
        <v>769</v>
      </c>
      <c r="C1260" s="115"/>
      <c r="D1260" s="116"/>
      <c r="E1260" s="117"/>
      <c r="F1260" s="114">
        <f>SUM(F1259:F1259)</f>
        <v>125</v>
      </c>
    </row>
    <row r="1261" spans="1:6" x14ac:dyDescent="0.3">
      <c r="A1261" s="111"/>
      <c r="B1261" s="136" t="s">
        <v>808</v>
      </c>
      <c r="C1261" s="115"/>
      <c r="D1261" s="116"/>
      <c r="E1261" s="117"/>
      <c r="F1261" s="114"/>
    </row>
    <row r="1262" spans="1:6" x14ac:dyDescent="0.25">
      <c r="A1262" s="111"/>
      <c r="B1262" s="134" t="s">
        <v>851</v>
      </c>
      <c r="C1262" s="115" t="s">
        <v>772</v>
      </c>
      <c r="D1262" s="228">
        <v>0.2</v>
      </c>
      <c r="E1262" s="117">
        <v>15000</v>
      </c>
      <c r="F1262" s="121">
        <f>+D1262*E1262</f>
        <v>3000</v>
      </c>
    </row>
    <row r="1263" spans="1:6" x14ac:dyDescent="0.3">
      <c r="A1263" s="111"/>
      <c r="B1263" s="136" t="s">
        <v>774</v>
      </c>
      <c r="C1263" s="115"/>
      <c r="D1263" s="228"/>
      <c r="E1263" s="117"/>
      <c r="F1263" s="114">
        <f>SUM(F1262:F1262)</f>
        <v>3000</v>
      </c>
    </row>
    <row r="1264" spans="1:6" x14ac:dyDescent="0.3">
      <c r="A1264" s="111"/>
      <c r="B1264" s="136" t="s">
        <v>775</v>
      </c>
      <c r="C1264" s="115"/>
      <c r="D1264" s="116"/>
      <c r="E1264" s="117"/>
      <c r="F1264" s="114">
        <f>F1263+F1260</f>
        <v>3125</v>
      </c>
    </row>
    <row r="1265" spans="1:6" x14ac:dyDescent="0.25">
      <c r="A1265" s="111"/>
      <c r="B1265" s="134" t="s">
        <v>776</v>
      </c>
      <c r="C1265" s="115"/>
      <c r="D1265" s="116">
        <v>1.25</v>
      </c>
      <c r="E1265" s="117"/>
      <c r="F1265" s="114">
        <f>+F1264*D1265</f>
        <v>3906.25</v>
      </c>
    </row>
    <row r="1266" spans="1:6" x14ac:dyDescent="0.25">
      <c r="A1266" s="111"/>
      <c r="B1266" s="134" t="s">
        <v>835</v>
      </c>
      <c r="C1266" s="115"/>
      <c r="D1266" s="116">
        <v>1.25</v>
      </c>
      <c r="E1266" s="117"/>
      <c r="F1266" s="114"/>
    </row>
    <row r="1267" spans="1:6" x14ac:dyDescent="0.35">
      <c r="A1267" s="233" t="s">
        <v>114</v>
      </c>
      <c r="B1267" s="207" t="s">
        <v>789</v>
      </c>
      <c r="C1267" s="208" t="s">
        <v>35</v>
      </c>
      <c r="D1267" s="208"/>
      <c r="E1267" s="209"/>
      <c r="F1267" s="209">
        <f>+D1266*F1265</f>
        <v>4882.8125</v>
      </c>
    </row>
    <row r="1268" spans="1:6" x14ac:dyDescent="0.35">
      <c r="A1268" s="206"/>
      <c r="B1268" s="207"/>
      <c r="C1268" s="208"/>
      <c r="D1268" s="208"/>
      <c r="E1268" s="210">
        <f>+E1253</f>
        <v>3035.45</v>
      </c>
      <c r="F1268" s="210">
        <f>+F1267/E1268</f>
        <v>1.6085959248216906</v>
      </c>
    </row>
    <row r="1269" spans="1:6" x14ac:dyDescent="0.35">
      <c r="A1269" s="126"/>
      <c r="B1269" s="127"/>
      <c r="C1269" s="128"/>
      <c r="D1269" s="128"/>
      <c r="E1269" s="176"/>
      <c r="F1269" s="176"/>
    </row>
    <row r="1270" spans="1:6" x14ac:dyDescent="0.35">
      <c r="A1270" s="105"/>
      <c r="B1270" s="106"/>
      <c r="C1270" s="101"/>
      <c r="D1270" s="101"/>
      <c r="E1270" s="161"/>
      <c r="F1270" s="161"/>
    </row>
    <row r="1271" spans="1:6" x14ac:dyDescent="0.35">
      <c r="A1271" s="225" t="s">
        <v>117</v>
      </c>
      <c r="B1271" s="205" t="s">
        <v>118</v>
      </c>
      <c r="C1271" s="200" t="s">
        <v>2</v>
      </c>
      <c r="D1271" s="202" t="s">
        <v>765</v>
      </c>
      <c r="E1271" s="203" t="s">
        <v>766</v>
      </c>
      <c r="F1271" s="203" t="s">
        <v>767</v>
      </c>
    </row>
    <row r="1272" spans="1:6" x14ac:dyDescent="0.35">
      <c r="A1272" s="232" t="s">
        <v>119</v>
      </c>
      <c r="B1272" s="214" t="s">
        <v>627</v>
      </c>
      <c r="C1272" s="124" t="s">
        <v>27</v>
      </c>
      <c r="D1272" s="124"/>
      <c r="E1272" s="117"/>
      <c r="F1272" s="117"/>
    </row>
    <row r="1273" spans="1:6" x14ac:dyDescent="0.35">
      <c r="A1273" s="111"/>
      <c r="B1273" s="112" t="s">
        <v>802</v>
      </c>
      <c r="C1273" s="118"/>
      <c r="D1273" s="118"/>
      <c r="E1273" s="119"/>
      <c r="F1273" s="119"/>
    </row>
    <row r="1274" spans="1:6" x14ac:dyDescent="0.25">
      <c r="A1274" s="111"/>
      <c r="B1274" s="134" t="s">
        <v>854</v>
      </c>
      <c r="C1274" s="115" t="s">
        <v>853</v>
      </c>
      <c r="D1274" s="135">
        <v>0.2</v>
      </c>
      <c r="E1274" s="117">
        <v>2500</v>
      </c>
      <c r="F1274" s="121">
        <f>+SUM(D1274*E1274)</f>
        <v>500</v>
      </c>
    </row>
    <row r="1275" spans="1:6" x14ac:dyDescent="0.3">
      <c r="A1275" s="111"/>
      <c r="B1275" s="136" t="s">
        <v>769</v>
      </c>
      <c r="C1275" s="115"/>
      <c r="D1275" s="116"/>
      <c r="E1275" s="117"/>
      <c r="F1275" s="114">
        <f>SUM(F1274:F1274)</f>
        <v>500</v>
      </c>
    </row>
    <row r="1276" spans="1:6" x14ac:dyDescent="0.3">
      <c r="A1276" s="111"/>
      <c r="B1276" s="136" t="s">
        <v>808</v>
      </c>
      <c r="C1276" s="115"/>
      <c r="D1276" s="116"/>
      <c r="E1276" s="117"/>
      <c r="F1276" s="114"/>
    </row>
    <row r="1277" spans="1:6" x14ac:dyDescent="0.25">
      <c r="A1277" s="111"/>
      <c r="B1277" s="134" t="s">
        <v>851</v>
      </c>
      <c r="C1277" s="115" t="s">
        <v>772</v>
      </c>
      <c r="D1277" s="228">
        <v>0.2</v>
      </c>
      <c r="E1277" s="117">
        <v>15000</v>
      </c>
      <c r="F1277" s="121">
        <f>+D1277*E1277</f>
        <v>3000</v>
      </c>
    </row>
    <row r="1278" spans="1:6" x14ac:dyDescent="0.3">
      <c r="A1278" s="111"/>
      <c r="B1278" s="136" t="s">
        <v>774</v>
      </c>
      <c r="C1278" s="115"/>
      <c r="D1278" s="228"/>
      <c r="E1278" s="117"/>
      <c r="F1278" s="114">
        <f>SUM(F1277:F1277)</f>
        <v>3000</v>
      </c>
    </row>
    <row r="1279" spans="1:6" x14ac:dyDescent="0.3">
      <c r="A1279" s="111"/>
      <c r="B1279" s="136" t="s">
        <v>775</v>
      </c>
      <c r="C1279" s="115"/>
      <c r="D1279" s="116"/>
      <c r="E1279" s="117"/>
      <c r="F1279" s="114">
        <f>F1278+F1275</f>
        <v>3500</v>
      </c>
    </row>
    <row r="1280" spans="1:6" x14ac:dyDescent="0.25">
      <c r="A1280" s="111"/>
      <c r="B1280" s="134" t="s">
        <v>776</v>
      </c>
      <c r="C1280" s="115"/>
      <c r="D1280" s="116">
        <v>1.25</v>
      </c>
      <c r="E1280" s="117"/>
      <c r="F1280" s="114">
        <f>+F1279*D1280</f>
        <v>4375</v>
      </c>
    </row>
    <row r="1281" spans="1:6" x14ac:dyDescent="0.25">
      <c r="A1281" s="111"/>
      <c r="B1281" s="134" t="s">
        <v>835</v>
      </c>
      <c r="C1281" s="115"/>
      <c r="D1281" s="116">
        <v>1.25</v>
      </c>
      <c r="E1281" s="117"/>
      <c r="F1281" s="114"/>
    </row>
    <row r="1282" spans="1:6" x14ac:dyDescent="0.35">
      <c r="A1282" s="233" t="s">
        <v>119</v>
      </c>
      <c r="B1282" s="207" t="s">
        <v>784</v>
      </c>
      <c r="C1282" s="208" t="s">
        <v>27</v>
      </c>
      <c r="D1282" s="208"/>
      <c r="E1282" s="209"/>
      <c r="F1282" s="209">
        <f>+D1281*F1280</f>
        <v>5468.75</v>
      </c>
    </row>
    <row r="1283" spans="1:6" x14ac:dyDescent="0.35">
      <c r="A1283" s="206"/>
      <c r="B1283" s="207"/>
      <c r="C1283" s="208"/>
      <c r="D1283" s="208"/>
      <c r="E1283" s="210">
        <f>+E1268</f>
        <v>3035.45</v>
      </c>
      <c r="F1283" s="210">
        <f>+F1282/E1283</f>
        <v>1.8016274358002933</v>
      </c>
    </row>
    <row r="1284" spans="1:6" x14ac:dyDescent="0.35">
      <c r="A1284" s="126"/>
      <c r="B1284" s="127"/>
      <c r="C1284" s="128"/>
      <c r="D1284" s="128"/>
      <c r="E1284" s="176"/>
      <c r="F1284" s="176"/>
    </row>
    <row r="1285" spans="1:6" x14ac:dyDescent="0.35">
      <c r="A1285" s="105"/>
      <c r="B1285" s="106"/>
      <c r="C1285" s="101"/>
      <c r="D1285" s="101"/>
      <c r="E1285" s="161"/>
      <c r="F1285" s="161"/>
    </row>
    <row r="1286" spans="1:6" x14ac:dyDescent="0.35">
      <c r="A1286" s="236" t="s">
        <v>117</v>
      </c>
      <c r="B1286" s="201" t="s">
        <v>118</v>
      </c>
      <c r="C1286" s="200" t="s">
        <v>2</v>
      </c>
      <c r="D1286" s="202" t="s">
        <v>765</v>
      </c>
      <c r="E1286" s="203" t="s">
        <v>766</v>
      </c>
      <c r="F1286" s="203" t="s">
        <v>767</v>
      </c>
    </row>
    <row r="1287" spans="1:6" x14ac:dyDescent="0.3">
      <c r="A1287" s="232" t="s">
        <v>121</v>
      </c>
      <c r="B1287" s="231" t="s">
        <v>122</v>
      </c>
      <c r="C1287" s="124" t="s">
        <v>35</v>
      </c>
      <c r="D1287" s="141"/>
      <c r="E1287" s="110"/>
      <c r="F1287" s="110"/>
    </row>
    <row r="1288" spans="1:6" x14ac:dyDescent="0.3">
      <c r="A1288" s="232" t="s">
        <v>123</v>
      </c>
      <c r="B1288" s="231" t="s">
        <v>855</v>
      </c>
      <c r="C1288" s="118"/>
      <c r="D1288" s="124"/>
      <c r="E1288" s="117"/>
      <c r="F1288" s="117"/>
    </row>
    <row r="1289" spans="1:6" x14ac:dyDescent="0.35">
      <c r="A1289" s="111"/>
      <c r="B1289" s="112" t="s">
        <v>802</v>
      </c>
      <c r="C1289" s="118"/>
      <c r="D1289" s="118"/>
      <c r="E1289" s="119"/>
      <c r="F1289" s="119"/>
    </row>
    <row r="1290" spans="1:6" x14ac:dyDescent="0.35">
      <c r="A1290" s="111"/>
      <c r="B1290" s="120" t="s">
        <v>856</v>
      </c>
      <c r="C1290" s="115" t="s">
        <v>38</v>
      </c>
      <c r="D1290" s="115">
        <v>0.05</v>
      </c>
      <c r="E1290" s="119">
        <v>55000</v>
      </c>
      <c r="F1290" s="142">
        <f>D1290*E1290</f>
        <v>2750</v>
      </c>
    </row>
    <row r="1291" spans="1:6" x14ac:dyDescent="0.35">
      <c r="A1291" s="111"/>
      <c r="B1291" s="120" t="s">
        <v>857</v>
      </c>
      <c r="C1291" s="115" t="s">
        <v>804</v>
      </c>
      <c r="D1291" s="115">
        <v>0.17</v>
      </c>
      <c r="E1291" s="117">
        <v>51000</v>
      </c>
      <c r="F1291" s="142">
        <f>D1291*E1291</f>
        <v>8670</v>
      </c>
    </row>
    <row r="1292" spans="1:6" x14ac:dyDescent="0.25">
      <c r="A1292" s="111"/>
      <c r="B1292" s="134" t="s">
        <v>858</v>
      </c>
      <c r="C1292" s="115" t="s">
        <v>59</v>
      </c>
      <c r="D1292" s="135">
        <v>100</v>
      </c>
      <c r="E1292" s="117">
        <v>92</v>
      </c>
      <c r="F1292" s="142">
        <f>D1292*E1292</f>
        <v>9200</v>
      </c>
    </row>
    <row r="1293" spans="1:6" x14ac:dyDescent="0.25">
      <c r="A1293" s="111"/>
      <c r="B1293" s="134" t="s">
        <v>807</v>
      </c>
      <c r="C1293" s="118"/>
      <c r="D1293" s="135">
        <v>0.5</v>
      </c>
      <c r="E1293" s="117">
        <v>1000</v>
      </c>
      <c r="F1293" s="142">
        <f>D1293*E1293</f>
        <v>500</v>
      </c>
    </row>
    <row r="1294" spans="1:6" x14ac:dyDescent="0.3">
      <c r="A1294" s="111"/>
      <c r="B1294" s="136" t="s">
        <v>769</v>
      </c>
      <c r="C1294" s="118"/>
      <c r="D1294" s="116"/>
      <c r="E1294" s="117"/>
      <c r="F1294" s="114">
        <f>SUM(F1290:F1293)</f>
        <v>21120</v>
      </c>
    </row>
    <row r="1295" spans="1:6" x14ac:dyDescent="0.3">
      <c r="A1295" s="111"/>
      <c r="B1295" s="136" t="s">
        <v>808</v>
      </c>
      <c r="C1295" s="115"/>
      <c r="D1295" s="116"/>
      <c r="E1295" s="117"/>
      <c r="F1295" s="114"/>
    </row>
    <row r="1296" spans="1:6" x14ac:dyDescent="0.25">
      <c r="A1296" s="111"/>
      <c r="B1296" s="134" t="s">
        <v>820</v>
      </c>
      <c r="C1296" s="115" t="s">
        <v>772</v>
      </c>
      <c r="D1296" s="116">
        <v>0.05</v>
      </c>
      <c r="E1296" s="117">
        <v>7500</v>
      </c>
      <c r="F1296" s="121">
        <f>D1296*E1296</f>
        <v>375</v>
      </c>
    </row>
    <row r="1297" spans="1:6" x14ac:dyDescent="0.25">
      <c r="A1297" s="111"/>
      <c r="B1297" s="134" t="s">
        <v>821</v>
      </c>
      <c r="C1297" s="115" t="s">
        <v>772</v>
      </c>
      <c r="D1297" s="116">
        <v>0.05</v>
      </c>
      <c r="E1297" s="117">
        <v>7500</v>
      </c>
      <c r="F1297" s="121">
        <f>D1297*E1297</f>
        <v>375</v>
      </c>
    </row>
    <row r="1298" spans="1:6" x14ac:dyDescent="0.25">
      <c r="A1298" s="111"/>
      <c r="B1298" s="134" t="s">
        <v>851</v>
      </c>
      <c r="C1298" s="115" t="s">
        <v>772</v>
      </c>
      <c r="D1298" s="228">
        <v>1.2</v>
      </c>
      <c r="E1298" s="117">
        <v>15000</v>
      </c>
      <c r="F1298" s="121">
        <f>D1298*E1298</f>
        <v>18000</v>
      </c>
    </row>
    <row r="1299" spans="1:6" x14ac:dyDescent="0.3">
      <c r="A1299" s="111"/>
      <c r="B1299" s="136" t="s">
        <v>774</v>
      </c>
      <c r="C1299" s="115"/>
      <c r="D1299" s="228"/>
      <c r="E1299" s="117"/>
      <c r="F1299" s="114">
        <f>SUM(F1296:F1298)</f>
        <v>18750</v>
      </c>
    </row>
    <row r="1300" spans="1:6" x14ac:dyDescent="0.3">
      <c r="A1300" s="111"/>
      <c r="B1300" s="136" t="s">
        <v>775</v>
      </c>
      <c r="C1300" s="115"/>
      <c r="D1300" s="116"/>
      <c r="E1300" s="117"/>
      <c r="F1300" s="114">
        <f>F1299+F1294</f>
        <v>39870</v>
      </c>
    </row>
    <row r="1301" spans="1:6" x14ac:dyDescent="0.25">
      <c r="A1301" s="111"/>
      <c r="B1301" s="134" t="s">
        <v>792</v>
      </c>
      <c r="C1301" s="115"/>
      <c r="D1301" s="116">
        <v>1.05</v>
      </c>
      <c r="E1301" s="117"/>
      <c r="F1301" s="114">
        <f>+F1300*D1301</f>
        <v>41863.5</v>
      </c>
    </row>
    <row r="1302" spans="1:6" x14ac:dyDescent="0.25">
      <c r="A1302" s="111"/>
      <c r="B1302" s="134" t="s">
        <v>848</v>
      </c>
      <c r="C1302" s="115"/>
      <c r="D1302" s="116">
        <v>1.05</v>
      </c>
      <c r="E1302" s="117"/>
      <c r="F1302" s="114"/>
    </row>
    <row r="1303" spans="1:6" x14ac:dyDescent="0.35">
      <c r="A1303" s="233" t="s">
        <v>123</v>
      </c>
      <c r="B1303" s="207" t="s">
        <v>789</v>
      </c>
      <c r="C1303" s="208" t="s">
        <v>35</v>
      </c>
      <c r="D1303" s="208"/>
      <c r="E1303" s="209"/>
      <c r="F1303" s="209">
        <f>+D1302*F1301</f>
        <v>43956.675000000003</v>
      </c>
    </row>
    <row r="1304" spans="1:6" x14ac:dyDescent="0.35">
      <c r="A1304" s="206"/>
      <c r="B1304" s="207"/>
      <c r="C1304" s="208"/>
      <c r="D1304" s="208"/>
      <c r="E1304" s="210">
        <f>+E1283</f>
        <v>3035.45</v>
      </c>
      <c r="F1304" s="210">
        <f>+F1303/E1304</f>
        <v>14.481106590456113</v>
      </c>
    </row>
    <row r="1305" spans="1:6" x14ac:dyDescent="0.35">
      <c r="A1305" s="126"/>
      <c r="B1305" s="127"/>
      <c r="C1305" s="128"/>
      <c r="D1305" s="128"/>
      <c r="E1305" s="176"/>
      <c r="F1305" s="176"/>
    </row>
    <row r="1306" spans="1:6" x14ac:dyDescent="0.35">
      <c r="A1306" s="130"/>
      <c r="B1306" s="131"/>
      <c r="C1306" s="132"/>
      <c r="D1306" s="132"/>
      <c r="E1306" s="179"/>
      <c r="F1306" s="179"/>
    </row>
    <row r="1307" spans="1:6" x14ac:dyDescent="0.35">
      <c r="A1307" s="236" t="s">
        <v>117</v>
      </c>
      <c r="B1307" s="201" t="s">
        <v>118</v>
      </c>
      <c r="C1307" s="200" t="s">
        <v>2</v>
      </c>
      <c r="D1307" s="202" t="s">
        <v>765</v>
      </c>
      <c r="E1307" s="203" t="s">
        <v>766</v>
      </c>
      <c r="F1307" s="203" t="s">
        <v>767</v>
      </c>
    </row>
    <row r="1308" spans="1:6" x14ac:dyDescent="0.3">
      <c r="A1308" s="232" t="s">
        <v>121</v>
      </c>
      <c r="B1308" s="231" t="s">
        <v>122</v>
      </c>
      <c r="C1308" s="124" t="s">
        <v>35</v>
      </c>
      <c r="D1308" s="141"/>
      <c r="E1308" s="110"/>
      <c r="F1308" s="110"/>
    </row>
    <row r="1309" spans="1:6" x14ac:dyDescent="0.3">
      <c r="A1309" s="232" t="s">
        <v>124</v>
      </c>
      <c r="B1309" s="231" t="s">
        <v>859</v>
      </c>
      <c r="C1309" s="118"/>
      <c r="D1309" s="124"/>
      <c r="E1309" s="117"/>
      <c r="F1309" s="117"/>
    </row>
    <row r="1310" spans="1:6" x14ac:dyDescent="0.35">
      <c r="A1310" s="111"/>
      <c r="B1310" s="112" t="s">
        <v>802</v>
      </c>
      <c r="C1310" s="118"/>
      <c r="D1310" s="118"/>
      <c r="E1310" s="119"/>
      <c r="F1310" s="119"/>
    </row>
    <row r="1311" spans="1:6" x14ac:dyDescent="0.35">
      <c r="A1311" s="111"/>
      <c r="B1311" s="120" t="s">
        <v>856</v>
      </c>
      <c r="C1311" s="115" t="s">
        <v>38</v>
      </c>
      <c r="D1311" s="115">
        <v>0.05</v>
      </c>
      <c r="E1311" s="119">
        <v>55000</v>
      </c>
      <c r="F1311" s="142">
        <f>D1311*E1311</f>
        <v>2750</v>
      </c>
    </row>
    <row r="1312" spans="1:6" x14ac:dyDescent="0.35">
      <c r="A1312" s="111"/>
      <c r="B1312" s="120" t="s">
        <v>857</v>
      </c>
      <c r="C1312" s="115" t="s">
        <v>804</v>
      </c>
      <c r="D1312" s="115">
        <v>0.23</v>
      </c>
      <c r="E1312" s="117">
        <v>51000</v>
      </c>
      <c r="F1312" s="142">
        <f>D1312*E1312</f>
        <v>11730</v>
      </c>
    </row>
    <row r="1313" spans="1:6" x14ac:dyDescent="0.25">
      <c r="A1313" s="111"/>
      <c r="B1313" s="134" t="s">
        <v>858</v>
      </c>
      <c r="C1313" s="115" t="s">
        <v>59</v>
      </c>
      <c r="D1313" s="135">
        <v>200</v>
      </c>
      <c r="E1313" s="117">
        <v>92</v>
      </c>
      <c r="F1313" s="142">
        <f>D1313*E1313</f>
        <v>18400</v>
      </c>
    </row>
    <row r="1314" spans="1:6" x14ac:dyDescent="0.25">
      <c r="A1314" s="111"/>
      <c r="B1314" s="134" t="s">
        <v>807</v>
      </c>
      <c r="C1314" s="118"/>
      <c r="D1314" s="135">
        <v>0.5</v>
      </c>
      <c r="E1314" s="117">
        <v>1000</v>
      </c>
      <c r="F1314" s="142">
        <f>D1314*E1314</f>
        <v>500</v>
      </c>
    </row>
    <row r="1315" spans="1:6" x14ac:dyDescent="0.3">
      <c r="A1315" s="111"/>
      <c r="B1315" s="136" t="s">
        <v>769</v>
      </c>
      <c r="C1315" s="118"/>
      <c r="D1315" s="116"/>
      <c r="E1315" s="117"/>
      <c r="F1315" s="114">
        <f>SUM(F1311:F1314)</f>
        <v>33380</v>
      </c>
    </row>
    <row r="1316" spans="1:6" x14ac:dyDescent="0.3">
      <c r="A1316" s="111"/>
      <c r="B1316" s="136" t="s">
        <v>808</v>
      </c>
      <c r="C1316" s="115"/>
      <c r="D1316" s="116"/>
      <c r="E1316" s="117"/>
      <c r="F1316" s="114"/>
    </row>
    <row r="1317" spans="1:6" x14ac:dyDescent="0.25">
      <c r="A1317" s="111"/>
      <c r="B1317" s="134" t="s">
        <v>820</v>
      </c>
      <c r="C1317" s="115" t="s">
        <v>772</v>
      </c>
      <c r="D1317" s="116">
        <v>0.05</v>
      </c>
      <c r="E1317" s="117">
        <v>7500</v>
      </c>
      <c r="F1317" s="121">
        <f>D1317*E1317</f>
        <v>375</v>
      </c>
    </row>
    <row r="1318" spans="1:6" x14ac:dyDescent="0.25">
      <c r="A1318" s="111"/>
      <c r="B1318" s="134" t="s">
        <v>821</v>
      </c>
      <c r="C1318" s="115" t="s">
        <v>772</v>
      </c>
      <c r="D1318" s="116">
        <v>0.05</v>
      </c>
      <c r="E1318" s="117">
        <v>7500</v>
      </c>
      <c r="F1318" s="121">
        <f>D1318*E1318</f>
        <v>375</v>
      </c>
    </row>
    <row r="1319" spans="1:6" x14ac:dyDescent="0.25">
      <c r="A1319" s="111"/>
      <c r="B1319" s="134" t="s">
        <v>851</v>
      </c>
      <c r="C1319" s="115" t="s">
        <v>772</v>
      </c>
      <c r="D1319" s="228">
        <v>1.2</v>
      </c>
      <c r="E1319" s="117">
        <v>15000</v>
      </c>
      <c r="F1319" s="121">
        <f>D1319*E1319</f>
        <v>18000</v>
      </c>
    </row>
    <row r="1320" spans="1:6" x14ac:dyDescent="0.3">
      <c r="A1320" s="111"/>
      <c r="B1320" s="136" t="s">
        <v>774</v>
      </c>
      <c r="C1320" s="115"/>
      <c r="D1320" s="228"/>
      <c r="E1320" s="117"/>
      <c r="F1320" s="114">
        <f>SUM(F1317:F1319)</f>
        <v>18750</v>
      </c>
    </row>
    <row r="1321" spans="1:6" x14ac:dyDescent="0.3">
      <c r="A1321" s="111"/>
      <c r="B1321" s="136" t="s">
        <v>775</v>
      </c>
      <c r="C1321" s="115"/>
      <c r="D1321" s="116"/>
      <c r="E1321" s="117"/>
      <c r="F1321" s="114">
        <f>F1320+F1315</f>
        <v>52130</v>
      </c>
    </row>
    <row r="1322" spans="1:6" x14ac:dyDescent="0.25">
      <c r="A1322" s="111"/>
      <c r="B1322" s="134" t="s">
        <v>792</v>
      </c>
      <c r="C1322" s="115"/>
      <c r="D1322" s="116">
        <v>1.05</v>
      </c>
      <c r="E1322" s="117"/>
      <c r="F1322" s="114">
        <f>+F1321*D1322</f>
        <v>54736.5</v>
      </c>
    </row>
    <row r="1323" spans="1:6" x14ac:dyDescent="0.25">
      <c r="A1323" s="111"/>
      <c r="B1323" s="134" t="s">
        <v>848</v>
      </c>
      <c r="C1323" s="115"/>
      <c r="D1323" s="116">
        <v>1.05</v>
      </c>
      <c r="E1323" s="117"/>
      <c r="F1323" s="114"/>
    </row>
    <row r="1324" spans="1:6" x14ac:dyDescent="0.35">
      <c r="A1324" s="233" t="s">
        <v>124</v>
      </c>
      <c r="B1324" s="207" t="s">
        <v>789</v>
      </c>
      <c r="C1324" s="208" t="s">
        <v>35</v>
      </c>
      <c r="D1324" s="208"/>
      <c r="E1324" s="209"/>
      <c r="F1324" s="209">
        <f>+D1323*F1322</f>
        <v>57473.325000000004</v>
      </c>
    </row>
    <row r="1325" spans="1:6" x14ac:dyDescent="0.35">
      <c r="A1325" s="206"/>
      <c r="B1325" s="207"/>
      <c r="C1325" s="208"/>
      <c r="D1325" s="208"/>
      <c r="E1325" s="210">
        <f>+E1304</f>
        <v>3035.45</v>
      </c>
      <c r="F1325" s="210">
        <f>+F1324/E1325</f>
        <v>18.93403778681909</v>
      </c>
    </row>
    <row r="1326" spans="1:6" x14ac:dyDescent="0.35">
      <c r="A1326" s="126"/>
      <c r="B1326" s="127"/>
      <c r="C1326" s="128"/>
      <c r="D1326" s="128"/>
      <c r="E1326" s="129"/>
      <c r="F1326" s="129"/>
    </row>
    <row r="1327" spans="1:6" x14ac:dyDescent="0.35">
      <c r="A1327" s="130"/>
      <c r="B1327" s="131"/>
      <c r="C1327" s="132"/>
      <c r="D1327" s="132"/>
      <c r="E1327" s="133"/>
      <c r="F1327" s="133"/>
    </row>
    <row r="1328" spans="1:6" x14ac:dyDescent="0.35">
      <c r="A1328" s="236" t="s">
        <v>117</v>
      </c>
      <c r="B1328" s="201" t="s">
        <v>118</v>
      </c>
      <c r="C1328" s="200" t="s">
        <v>2</v>
      </c>
      <c r="D1328" s="202" t="s">
        <v>765</v>
      </c>
      <c r="E1328" s="203" t="s">
        <v>766</v>
      </c>
      <c r="F1328" s="203" t="s">
        <v>767</v>
      </c>
    </row>
    <row r="1329" spans="1:6" x14ac:dyDescent="0.3">
      <c r="A1329" s="232" t="s">
        <v>121</v>
      </c>
      <c r="B1329" s="231" t="s">
        <v>122</v>
      </c>
      <c r="C1329" s="124" t="s">
        <v>35</v>
      </c>
      <c r="D1329" s="141"/>
      <c r="E1329" s="110"/>
      <c r="F1329" s="110"/>
    </row>
    <row r="1330" spans="1:6" x14ac:dyDescent="0.3">
      <c r="A1330" s="232" t="s">
        <v>125</v>
      </c>
      <c r="B1330" s="231" t="s">
        <v>860</v>
      </c>
      <c r="C1330" s="118"/>
      <c r="D1330" s="124"/>
      <c r="E1330" s="117"/>
      <c r="F1330" s="117"/>
    </row>
    <row r="1331" spans="1:6" x14ac:dyDescent="0.35">
      <c r="A1331" s="111"/>
      <c r="B1331" s="112" t="s">
        <v>802</v>
      </c>
      <c r="C1331" s="118"/>
      <c r="D1331" s="118"/>
      <c r="E1331" s="119"/>
      <c r="F1331" s="119"/>
    </row>
    <row r="1332" spans="1:6" x14ac:dyDescent="0.35">
      <c r="A1332" s="111"/>
      <c r="B1332" s="120" t="s">
        <v>856</v>
      </c>
      <c r="C1332" s="115" t="s">
        <v>38</v>
      </c>
      <c r="D1332" s="115">
        <v>0.05</v>
      </c>
      <c r="E1332" s="119">
        <v>55000</v>
      </c>
      <c r="F1332" s="142">
        <f>D1332*E1332</f>
        <v>2750</v>
      </c>
    </row>
    <row r="1333" spans="1:6" x14ac:dyDescent="0.35">
      <c r="A1333" s="111"/>
      <c r="B1333" s="120" t="s">
        <v>857</v>
      </c>
      <c r="C1333" s="115" t="s">
        <v>804</v>
      </c>
      <c r="D1333" s="115">
        <v>0.35</v>
      </c>
      <c r="E1333" s="117">
        <v>51000</v>
      </c>
      <c r="F1333" s="142">
        <f>D1333*E1333</f>
        <v>17850</v>
      </c>
    </row>
    <row r="1334" spans="1:6" x14ac:dyDescent="0.25">
      <c r="A1334" s="111"/>
      <c r="B1334" s="134" t="s">
        <v>858</v>
      </c>
      <c r="C1334" s="115" t="s">
        <v>59</v>
      </c>
      <c r="D1334" s="135">
        <v>300</v>
      </c>
      <c r="E1334" s="117">
        <v>92</v>
      </c>
      <c r="F1334" s="142">
        <f>D1334*E1334</f>
        <v>27600</v>
      </c>
    </row>
    <row r="1335" spans="1:6" x14ac:dyDescent="0.25">
      <c r="A1335" s="111"/>
      <c r="B1335" s="134" t="s">
        <v>807</v>
      </c>
      <c r="C1335" s="118"/>
      <c r="D1335" s="135">
        <v>0.5</v>
      </c>
      <c r="E1335" s="117">
        <v>1000</v>
      </c>
      <c r="F1335" s="142">
        <f>D1335*E1335</f>
        <v>500</v>
      </c>
    </row>
    <row r="1336" spans="1:6" x14ac:dyDescent="0.3">
      <c r="A1336" s="111"/>
      <c r="B1336" s="136" t="s">
        <v>769</v>
      </c>
      <c r="C1336" s="118"/>
      <c r="D1336" s="116"/>
      <c r="E1336" s="117"/>
      <c r="F1336" s="114">
        <f>SUM(F1332:F1335)</f>
        <v>48700</v>
      </c>
    </row>
    <row r="1337" spans="1:6" x14ac:dyDescent="0.3">
      <c r="A1337" s="111"/>
      <c r="B1337" s="136" t="s">
        <v>808</v>
      </c>
      <c r="C1337" s="115"/>
      <c r="D1337" s="116"/>
      <c r="E1337" s="117"/>
      <c r="F1337" s="114"/>
    </row>
    <row r="1338" spans="1:6" x14ac:dyDescent="0.25">
      <c r="A1338" s="111"/>
      <c r="B1338" s="134" t="s">
        <v>820</v>
      </c>
      <c r="C1338" s="115" t="s">
        <v>772</v>
      </c>
      <c r="D1338" s="116">
        <v>0.5</v>
      </c>
      <c r="E1338" s="117">
        <v>7500</v>
      </c>
      <c r="F1338" s="121">
        <f>D1338*E1338</f>
        <v>3750</v>
      </c>
    </row>
    <row r="1339" spans="1:6" x14ac:dyDescent="0.25">
      <c r="A1339" s="111"/>
      <c r="B1339" s="134" t="s">
        <v>821</v>
      </c>
      <c r="C1339" s="115" t="s">
        <v>772</v>
      </c>
      <c r="D1339" s="116">
        <v>0.5</v>
      </c>
      <c r="E1339" s="117">
        <v>7500</v>
      </c>
      <c r="F1339" s="121">
        <f>D1339*E1339</f>
        <v>3750</v>
      </c>
    </row>
    <row r="1340" spans="1:6" x14ac:dyDescent="0.25">
      <c r="A1340" s="111"/>
      <c r="B1340" s="134" t="s">
        <v>851</v>
      </c>
      <c r="C1340" s="115" t="s">
        <v>772</v>
      </c>
      <c r="D1340" s="228">
        <v>1.2</v>
      </c>
      <c r="E1340" s="117">
        <v>15000</v>
      </c>
      <c r="F1340" s="121">
        <f>D1340*E1340</f>
        <v>18000</v>
      </c>
    </row>
    <row r="1341" spans="1:6" x14ac:dyDescent="0.3">
      <c r="A1341" s="111"/>
      <c r="B1341" s="136" t="s">
        <v>774</v>
      </c>
      <c r="C1341" s="115"/>
      <c r="D1341" s="228"/>
      <c r="E1341" s="117"/>
      <c r="F1341" s="114">
        <f>SUM(F1338:F1340)</f>
        <v>25500</v>
      </c>
    </row>
    <row r="1342" spans="1:6" x14ac:dyDescent="0.3">
      <c r="A1342" s="111"/>
      <c r="B1342" s="136" t="s">
        <v>775</v>
      </c>
      <c r="C1342" s="115"/>
      <c r="D1342" s="116"/>
      <c r="E1342" s="117"/>
      <c r="F1342" s="114">
        <f>F1341+F1336</f>
        <v>74200</v>
      </c>
    </row>
    <row r="1343" spans="1:6" x14ac:dyDescent="0.25">
      <c r="A1343" s="111"/>
      <c r="B1343" s="134" t="s">
        <v>824</v>
      </c>
      <c r="C1343" s="115"/>
      <c r="D1343" s="116">
        <v>1.1000000000000001</v>
      </c>
      <c r="E1343" s="117"/>
      <c r="F1343" s="114">
        <f>+F1342*D1343</f>
        <v>81620</v>
      </c>
    </row>
    <row r="1344" spans="1:6" x14ac:dyDescent="0.25">
      <c r="A1344" s="111"/>
      <c r="B1344" s="134" t="s">
        <v>813</v>
      </c>
      <c r="C1344" s="115"/>
      <c r="D1344" s="116">
        <v>1.1499999999999999</v>
      </c>
      <c r="E1344" s="117"/>
      <c r="F1344" s="114"/>
    </row>
    <row r="1345" spans="1:6" x14ac:dyDescent="0.35">
      <c r="A1345" s="233" t="s">
        <v>125</v>
      </c>
      <c r="B1345" s="207" t="s">
        <v>789</v>
      </c>
      <c r="C1345" s="208" t="s">
        <v>35</v>
      </c>
      <c r="D1345" s="208"/>
      <c r="E1345" s="209"/>
      <c r="F1345" s="209">
        <f>+D1344*F1343</f>
        <v>93863</v>
      </c>
    </row>
    <row r="1346" spans="1:6" x14ac:dyDescent="0.35">
      <c r="A1346" s="206"/>
      <c r="B1346" s="207"/>
      <c r="C1346" s="208"/>
      <c r="D1346" s="208"/>
      <c r="E1346" s="210">
        <f>+E1325</f>
        <v>3035.45</v>
      </c>
      <c r="F1346" s="210">
        <f>+F1345/E1346</f>
        <v>30.92226852690705</v>
      </c>
    </row>
    <row r="1347" spans="1:6" x14ac:dyDescent="0.35">
      <c r="A1347" s="126"/>
      <c r="B1347" s="127"/>
      <c r="C1347" s="128"/>
      <c r="D1347" s="128"/>
      <c r="E1347" s="129"/>
      <c r="F1347" s="129"/>
    </row>
    <row r="1348" spans="1:6" x14ac:dyDescent="0.35">
      <c r="A1348" s="130"/>
      <c r="B1348" s="131"/>
      <c r="C1348" s="132"/>
      <c r="D1348" s="132"/>
      <c r="E1348" s="133"/>
      <c r="F1348" s="133"/>
    </row>
    <row r="1349" spans="1:6" x14ac:dyDescent="0.35">
      <c r="A1349" s="236" t="s">
        <v>117</v>
      </c>
      <c r="B1349" s="201" t="s">
        <v>118</v>
      </c>
      <c r="C1349" s="200" t="s">
        <v>2</v>
      </c>
      <c r="D1349" s="202" t="s">
        <v>765</v>
      </c>
      <c r="E1349" s="203" t="s">
        <v>766</v>
      </c>
      <c r="F1349" s="203" t="s">
        <v>767</v>
      </c>
    </row>
    <row r="1350" spans="1:6" x14ac:dyDescent="0.3">
      <c r="A1350" s="232" t="s">
        <v>126</v>
      </c>
      <c r="B1350" s="231" t="s">
        <v>861</v>
      </c>
      <c r="C1350" s="124" t="s">
        <v>35</v>
      </c>
      <c r="D1350" s="141"/>
      <c r="E1350" s="110"/>
      <c r="F1350" s="110"/>
    </row>
    <row r="1351" spans="1:6" x14ac:dyDescent="0.3">
      <c r="A1351" s="232" t="s">
        <v>128</v>
      </c>
      <c r="B1351" s="231" t="s">
        <v>862</v>
      </c>
      <c r="C1351" s="118"/>
      <c r="D1351" s="124"/>
      <c r="E1351" s="117"/>
      <c r="F1351" s="117"/>
    </row>
    <row r="1352" spans="1:6" x14ac:dyDescent="0.35">
      <c r="A1352" s="111"/>
      <c r="B1352" s="112" t="s">
        <v>802</v>
      </c>
      <c r="C1352" s="118"/>
      <c r="D1352" s="118"/>
      <c r="E1352" s="119"/>
      <c r="F1352" s="119"/>
    </row>
    <row r="1353" spans="1:6" x14ac:dyDescent="0.35">
      <c r="A1353" s="111"/>
      <c r="B1353" s="120" t="s">
        <v>856</v>
      </c>
      <c r="C1353" s="115" t="s">
        <v>38</v>
      </c>
      <c r="D1353" s="115">
        <v>0.05</v>
      </c>
      <c r="E1353" s="119">
        <v>55000</v>
      </c>
      <c r="F1353" s="142">
        <f>D1353*E1353</f>
        <v>2750</v>
      </c>
    </row>
    <row r="1354" spans="1:6" x14ac:dyDescent="0.35">
      <c r="A1354" s="111"/>
      <c r="B1354" s="120" t="s">
        <v>857</v>
      </c>
      <c r="C1354" s="115" t="s">
        <v>804</v>
      </c>
      <c r="D1354" s="115">
        <v>0.35</v>
      </c>
      <c r="E1354" s="117">
        <v>51000</v>
      </c>
      <c r="F1354" s="142">
        <f>D1354*E1354</f>
        <v>17850</v>
      </c>
    </row>
    <row r="1355" spans="1:6" x14ac:dyDescent="0.25">
      <c r="A1355" s="111"/>
      <c r="B1355" s="134" t="s">
        <v>863</v>
      </c>
      <c r="C1355" s="115" t="s">
        <v>59</v>
      </c>
      <c r="D1355" s="135">
        <v>101</v>
      </c>
      <c r="E1355" s="117">
        <v>400</v>
      </c>
      <c r="F1355" s="142">
        <f>D1355*E1355</f>
        <v>40400</v>
      </c>
    </row>
    <row r="1356" spans="1:6" x14ac:dyDescent="0.25">
      <c r="A1356" s="111"/>
      <c r="B1356" s="134" t="s">
        <v>807</v>
      </c>
      <c r="C1356" s="118"/>
      <c r="D1356" s="135">
        <v>0.5</v>
      </c>
      <c r="E1356" s="117">
        <v>1000</v>
      </c>
      <c r="F1356" s="142">
        <f>D1356*E1356</f>
        <v>500</v>
      </c>
    </row>
    <row r="1357" spans="1:6" x14ac:dyDescent="0.3">
      <c r="A1357" s="111"/>
      <c r="B1357" s="136" t="s">
        <v>769</v>
      </c>
      <c r="C1357" s="118"/>
      <c r="D1357" s="116"/>
      <c r="E1357" s="117"/>
      <c r="F1357" s="114">
        <f>SUM(F1353:F1356)</f>
        <v>61500</v>
      </c>
    </row>
    <row r="1358" spans="1:6" x14ac:dyDescent="0.3">
      <c r="A1358" s="111"/>
      <c r="B1358" s="136" t="s">
        <v>808</v>
      </c>
      <c r="C1358" s="115"/>
      <c r="D1358" s="116"/>
      <c r="E1358" s="117"/>
      <c r="F1358" s="114"/>
    </row>
    <row r="1359" spans="1:6" x14ac:dyDescent="0.25">
      <c r="A1359" s="111"/>
      <c r="B1359" s="134" t="s">
        <v>820</v>
      </c>
      <c r="C1359" s="115" t="s">
        <v>772</v>
      </c>
      <c r="D1359" s="116">
        <v>0.5</v>
      </c>
      <c r="E1359" s="117">
        <v>7500</v>
      </c>
      <c r="F1359" s="121">
        <f>D1359*E1359</f>
        <v>3750</v>
      </c>
    </row>
    <row r="1360" spans="1:6" x14ac:dyDescent="0.25">
      <c r="A1360" s="111"/>
      <c r="B1360" s="134" t="s">
        <v>821</v>
      </c>
      <c r="C1360" s="115" t="s">
        <v>772</v>
      </c>
      <c r="D1360" s="116">
        <v>0.5</v>
      </c>
      <c r="E1360" s="117">
        <v>7500</v>
      </c>
      <c r="F1360" s="121">
        <f>D1360*E1360</f>
        <v>3750</v>
      </c>
    </row>
    <row r="1361" spans="1:6" x14ac:dyDescent="0.25">
      <c r="A1361" s="111"/>
      <c r="B1361" s="134" t="s">
        <v>851</v>
      </c>
      <c r="C1361" s="115" t="s">
        <v>772</v>
      </c>
      <c r="D1361" s="228">
        <v>1.2</v>
      </c>
      <c r="E1361" s="117">
        <v>15000</v>
      </c>
      <c r="F1361" s="121">
        <f>D1361*E1361</f>
        <v>18000</v>
      </c>
    </row>
    <row r="1362" spans="1:6" x14ac:dyDescent="0.3">
      <c r="A1362" s="111"/>
      <c r="B1362" s="136" t="s">
        <v>774</v>
      </c>
      <c r="C1362" s="115"/>
      <c r="D1362" s="228"/>
      <c r="E1362" s="117"/>
      <c r="F1362" s="114">
        <f>SUM(F1359:F1361)</f>
        <v>25500</v>
      </c>
    </row>
    <row r="1363" spans="1:6" x14ac:dyDescent="0.3">
      <c r="A1363" s="111"/>
      <c r="B1363" s="136" t="s">
        <v>775</v>
      </c>
      <c r="C1363" s="115"/>
      <c r="D1363" s="116"/>
      <c r="E1363" s="117"/>
      <c r="F1363" s="114">
        <f>F1362+F1357</f>
        <v>87000</v>
      </c>
    </row>
    <row r="1364" spans="1:6" x14ac:dyDescent="0.25">
      <c r="A1364" s="111"/>
      <c r="B1364" s="134" t="s">
        <v>824</v>
      </c>
      <c r="C1364" s="115"/>
      <c r="D1364" s="116">
        <v>1.1000000000000001</v>
      </c>
      <c r="E1364" s="117"/>
      <c r="F1364" s="114">
        <f>+F1363*D1364</f>
        <v>95700.000000000015</v>
      </c>
    </row>
    <row r="1365" spans="1:6" x14ac:dyDescent="0.25">
      <c r="A1365" s="111"/>
      <c r="B1365" s="134" t="s">
        <v>825</v>
      </c>
      <c r="C1365" s="115"/>
      <c r="D1365" s="116">
        <v>1.1000000000000001</v>
      </c>
      <c r="E1365" s="117"/>
      <c r="F1365" s="114"/>
    </row>
    <row r="1366" spans="1:6" x14ac:dyDescent="0.35">
      <c r="A1366" s="233" t="s">
        <v>128</v>
      </c>
      <c r="B1366" s="207" t="s">
        <v>789</v>
      </c>
      <c r="C1366" s="208" t="s">
        <v>35</v>
      </c>
      <c r="D1366" s="208"/>
      <c r="E1366" s="209"/>
      <c r="F1366" s="209">
        <f>+D1365*F1364</f>
        <v>105270.00000000003</v>
      </c>
    </row>
    <row r="1367" spans="1:6" x14ac:dyDescent="0.35">
      <c r="A1367" s="206"/>
      <c r="B1367" s="207"/>
      <c r="C1367" s="208"/>
      <c r="D1367" s="208"/>
      <c r="E1367" s="210">
        <f>+E1346</f>
        <v>3035.45</v>
      </c>
      <c r="F1367" s="210">
        <f>+F1366/E1367</f>
        <v>34.680195687624582</v>
      </c>
    </row>
    <row r="1368" spans="1:6" x14ac:dyDescent="0.35">
      <c r="A1368" s="126"/>
      <c r="B1368" s="127"/>
      <c r="C1368" s="128"/>
      <c r="D1368" s="128"/>
      <c r="E1368" s="129"/>
      <c r="F1368" s="129"/>
    </row>
    <row r="1369" spans="1:6" x14ac:dyDescent="0.35">
      <c r="A1369" s="130"/>
      <c r="B1369" s="131"/>
      <c r="C1369" s="132"/>
      <c r="D1369" s="132"/>
      <c r="E1369" s="133"/>
      <c r="F1369" s="133"/>
    </row>
    <row r="1370" spans="1:6" x14ac:dyDescent="0.35">
      <c r="A1370" s="236" t="s">
        <v>117</v>
      </c>
      <c r="B1370" s="201" t="s">
        <v>118</v>
      </c>
      <c r="C1370" s="200" t="s">
        <v>2</v>
      </c>
      <c r="D1370" s="202" t="s">
        <v>765</v>
      </c>
      <c r="E1370" s="203" t="s">
        <v>766</v>
      </c>
      <c r="F1370" s="203" t="s">
        <v>767</v>
      </c>
    </row>
    <row r="1371" spans="1:6" x14ac:dyDescent="0.3">
      <c r="A1371" s="232" t="s">
        <v>126</v>
      </c>
      <c r="B1371" s="231" t="s">
        <v>861</v>
      </c>
      <c r="C1371" s="124" t="s">
        <v>35</v>
      </c>
      <c r="D1371" s="141"/>
      <c r="E1371" s="110"/>
      <c r="F1371" s="110"/>
    </row>
    <row r="1372" spans="1:6" x14ac:dyDescent="0.3">
      <c r="A1372" s="232" t="s">
        <v>130</v>
      </c>
      <c r="B1372" s="231" t="s">
        <v>864</v>
      </c>
      <c r="C1372" s="118"/>
      <c r="D1372" s="124"/>
      <c r="E1372" s="117"/>
      <c r="F1372" s="117"/>
    </row>
    <row r="1373" spans="1:6" x14ac:dyDescent="0.35">
      <c r="A1373" s="111"/>
      <c r="B1373" s="112" t="s">
        <v>802</v>
      </c>
      <c r="C1373" s="118"/>
      <c r="D1373" s="118"/>
      <c r="E1373" s="119"/>
      <c r="F1373" s="119"/>
    </row>
    <row r="1374" spans="1:6" x14ac:dyDescent="0.35">
      <c r="A1374" s="111"/>
      <c r="B1374" s="120" t="s">
        <v>856</v>
      </c>
      <c r="C1374" s="115" t="s">
        <v>38</v>
      </c>
      <c r="D1374" s="115">
        <v>0.05</v>
      </c>
      <c r="E1374" s="119">
        <v>55000</v>
      </c>
      <c r="F1374" s="142">
        <f>D1374*E1374</f>
        <v>2750</v>
      </c>
    </row>
    <row r="1375" spans="1:6" x14ac:dyDescent="0.35">
      <c r="A1375" s="111"/>
      <c r="B1375" s="120" t="s">
        <v>857</v>
      </c>
      <c r="C1375" s="115" t="s">
        <v>804</v>
      </c>
      <c r="D1375" s="115">
        <v>0.35</v>
      </c>
      <c r="E1375" s="117">
        <v>51000</v>
      </c>
      <c r="F1375" s="142">
        <f>D1375*E1375</f>
        <v>17850</v>
      </c>
    </row>
    <row r="1376" spans="1:6" x14ac:dyDescent="0.25">
      <c r="A1376" s="111"/>
      <c r="B1376" s="134" t="s">
        <v>863</v>
      </c>
      <c r="C1376" s="115" t="s">
        <v>59</v>
      </c>
      <c r="D1376" s="135">
        <v>32</v>
      </c>
      <c r="E1376" s="117">
        <v>400</v>
      </c>
      <c r="F1376" s="142">
        <f>D1376*E1376</f>
        <v>12800</v>
      </c>
    </row>
    <row r="1377" spans="1:6" x14ac:dyDescent="0.25">
      <c r="A1377" s="111"/>
      <c r="B1377" s="134" t="s">
        <v>807</v>
      </c>
      <c r="C1377" s="118"/>
      <c r="D1377" s="135">
        <v>0.5</v>
      </c>
      <c r="E1377" s="117">
        <v>1000</v>
      </c>
      <c r="F1377" s="142">
        <f>D1377*E1377</f>
        <v>500</v>
      </c>
    </row>
    <row r="1378" spans="1:6" x14ac:dyDescent="0.3">
      <c r="A1378" s="111"/>
      <c r="B1378" s="136" t="s">
        <v>769</v>
      </c>
      <c r="C1378" s="118"/>
      <c r="D1378" s="116"/>
      <c r="E1378" s="117"/>
      <c r="F1378" s="114">
        <f>SUM(F1374:F1377)</f>
        <v>33900</v>
      </c>
    </row>
    <row r="1379" spans="1:6" x14ac:dyDescent="0.3">
      <c r="A1379" s="111"/>
      <c r="B1379" s="136" t="s">
        <v>808</v>
      </c>
      <c r="C1379" s="115"/>
      <c r="D1379" s="116"/>
      <c r="E1379" s="117"/>
      <c r="F1379" s="114"/>
    </row>
    <row r="1380" spans="1:6" x14ac:dyDescent="0.25">
      <c r="A1380" s="111"/>
      <c r="B1380" s="134" t="s">
        <v>820</v>
      </c>
      <c r="C1380" s="115" t="s">
        <v>772</v>
      </c>
      <c r="D1380" s="116">
        <v>0.5</v>
      </c>
      <c r="E1380" s="117">
        <v>7500</v>
      </c>
      <c r="F1380" s="121">
        <f>D1380*E1380</f>
        <v>3750</v>
      </c>
    </row>
    <row r="1381" spans="1:6" x14ac:dyDescent="0.25">
      <c r="A1381" s="111"/>
      <c r="B1381" s="134" t="s">
        <v>821</v>
      </c>
      <c r="C1381" s="115" t="s">
        <v>772</v>
      </c>
      <c r="D1381" s="116">
        <v>0.5</v>
      </c>
      <c r="E1381" s="117">
        <v>7500</v>
      </c>
      <c r="F1381" s="121">
        <f>D1381*E1381</f>
        <v>3750</v>
      </c>
    </row>
    <row r="1382" spans="1:6" x14ac:dyDescent="0.25">
      <c r="A1382" s="111"/>
      <c r="B1382" s="134" t="s">
        <v>851</v>
      </c>
      <c r="C1382" s="115" t="s">
        <v>772</v>
      </c>
      <c r="D1382" s="228">
        <v>1.5</v>
      </c>
      <c r="E1382" s="117">
        <v>15000</v>
      </c>
      <c r="F1382" s="121">
        <f>D1382*E1382</f>
        <v>22500</v>
      </c>
    </row>
    <row r="1383" spans="1:6" x14ac:dyDescent="0.3">
      <c r="A1383" s="111"/>
      <c r="B1383" s="136" t="s">
        <v>774</v>
      </c>
      <c r="C1383" s="115"/>
      <c r="D1383" s="228"/>
      <c r="E1383" s="117"/>
      <c r="F1383" s="114">
        <f>SUM(F1380:F1382)</f>
        <v>30000</v>
      </c>
    </row>
    <row r="1384" spans="1:6" x14ac:dyDescent="0.3">
      <c r="A1384" s="111"/>
      <c r="B1384" s="136" t="s">
        <v>775</v>
      </c>
      <c r="C1384" s="115"/>
      <c r="D1384" s="116"/>
      <c r="E1384" s="117"/>
      <c r="F1384" s="114">
        <f>F1383+F1378</f>
        <v>63900</v>
      </c>
    </row>
    <row r="1385" spans="1:6" x14ac:dyDescent="0.25">
      <c r="A1385" s="111"/>
      <c r="B1385" s="134" t="s">
        <v>776</v>
      </c>
      <c r="C1385" s="115"/>
      <c r="D1385" s="116">
        <v>1.25</v>
      </c>
      <c r="E1385" s="117"/>
      <c r="F1385" s="114">
        <f>+F1384*D1385</f>
        <v>79875</v>
      </c>
    </row>
    <row r="1386" spans="1:6" x14ac:dyDescent="0.25">
      <c r="A1386" s="111"/>
      <c r="B1386" s="134" t="s">
        <v>835</v>
      </c>
      <c r="C1386" s="115"/>
      <c r="D1386" s="116">
        <v>1.25</v>
      </c>
      <c r="E1386" s="117"/>
      <c r="F1386" s="114"/>
    </row>
    <row r="1387" spans="1:6" x14ac:dyDescent="0.35">
      <c r="A1387" s="233" t="s">
        <v>130</v>
      </c>
      <c r="B1387" s="207" t="s">
        <v>789</v>
      </c>
      <c r="C1387" s="208" t="s">
        <v>35</v>
      </c>
      <c r="D1387" s="208"/>
      <c r="E1387" s="209"/>
      <c r="F1387" s="209">
        <f>+D1386*F1385</f>
        <v>99843.75</v>
      </c>
    </row>
    <row r="1388" spans="1:6" x14ac:dyDescent="0.35">
      <c r="A1388" s="206"/>
      <c r="B1388" s="207"/>
      <c r="C1388" s="208"/>
      <c r="D1388" s="208"/>
      <c r="E1388" s="210">
        <f>+E1367</f>
        <v>3035.45</v>
      </c>
      <c r="F1388" s="210">
        <f>+F1387/E1388</f>
        <v>32.892569470753926</v>
      </c>
    </row>
    <row r="1389" spans="1:6" x14ac:dyDescent="0.35">
      <c r="A1389" s="126"/>
      <c r="B1389" s="127"/>
      <c r="C1389" s="128"/>
      <c r="D1389" s="128"/>
      <c r="E1389" s="129"/>
      <c r="F1389" s="129"/>
    </row>
    <row r="1390" spans="1:6" x14ac:dyDescent="0.35">
      <c r="A1390" s="130"/>
      <c r="B1390" s="131"/>
      <c r="C1390" s="132"/>
      <c r="D1390" s="132"/>
      <c r="E1390" s="133"/>
      <c r="F1390" s="133"/>
    </row>
    <row r="1391" spans="1:6" x14ac:dyDescent="0.35">
      <c r="A1391" s="236" t="s">
        <v>117</v>
      </c>
      <c r="B1391" s="201" t="s">
        <v>118</v>
      </c>
      <c r="C1391" s="200" t="s">
        <v>2</v>
      </c>
      <c r="D1391" s="202" t="s">
        <v>765</v>
      </c>
      <c r="E1391" s="203" t="s">
        <v>766</v>
      </c>
      <c r="F1391" s="203" t="s">
        <v>767</v>
      </c>
    </row>
    <row r="1392" spans="1:6" x14ac:dyDescent="0.3">
      <c r="A1392" s="232" t="s">
        <v>133</v>
      </c>
      <c r="B1392" s="231" t="s">
        <v>1357</v>
      </c>
      <c r="C1392" s="115" t="s">
        <v>35</v>
      </c>
      <c r="D1392" s="124"/>
      <c r="E1392" s="117"/>
      <c r="F1392" s="117"/>
    </row>
    <row r="1393" spans="1:6" x14ac:dyDescent="0.35">
      <c r="A1393" s="111"/>
      <c r="B1393" s="112" t="s">
        <v>802</v>
      </c>
      <c r="C1393" s="118"/>
      <c r="D1393" s="118"/>
      <c r="E1393" s="119"/>
      <c r="F1393" s="119"/>
    </row>
    <row r="1394" spans="1:6" x14ac:dyDescent="0.35">
      <c r="A1394" s="111"/>
      <c r="B1394" s="120" t="s">
        <v>856</v>
      </c>
      <c r="C1394" s="115" t="s">
        <v>38</v>
      </c>
      <c r="D1394" s="115">
        <v>0.05</v>
      </c>
      <c r="E1394" s="119">
        <v>55000</v>
      </c>
      <c r="F1394" s="142">
        <f>D1394*E1394</f>
        <v>2750</v>
      </c>
    </row>
    <row r="1395" spans="1:6" x14ac:dyDescent="0.35">
      <c r="A1395" s="111"/>
      <c r="B1395" s="120" t="s">
        <v>857</v>
      </c>
      <c r="C1395" s="115" t="s">
        <v>804</v>
      </c>
      <c r="D1395" s="115">
        <v>0.35</v>
      </c>
      <c r="E1395" s="117">
        <v>51000</v>
      </c>
      <c r="F1395" s="142">
        <f>D1395*E1395</f>
        <v>17850</v>
      </c>
    </row>
    <row r="1396" spans="1:6" x14ac:dyDescent="0.25">
      <c r="A1396" s="111"/>
      <c r="B1396" s="134" t="s">
        <v>865</v>
      </c>
      <c r="C1396" s="115" t="s">
        <v>59</v>
      </c>
      <c r="D1396" s="135">
        <v>12</v>
      </c>
      <c r="E1396" s="117">
        <v>3000</v>
      </c>
      <c r="F1396" s="142">
        <f>D1396*E1396</f>
        <v>36000</v>
      </c>
    </row>
    <row r="1397" spans="1:6" x14ac:dyDescent="0.25">
      <c r="A1397" s="111"/>
      <c r="B1397" s="134" t="s">
        <v>807</v>
      </c>
      <c r="C1397" s="118"/>
      <c r="D1397" s="135">
        <v>0.5</v>
      </c>
      <c r="E1397" s="117">
        <v>1000</v>
      </c>
      <c r="F1397" s="142">
        <f>D1397*E1397</f>
        <v>500</v>
      </c>
    </row>
    <row r="1398" spans="1:6" x14ac:dyDescent="0.3">
      <c r="A1398" s="111"/>
      <c r="B1398" s="136" t="s">
        <v>769</v>
      </c>
      <c r="C1398" s="118"/>
      <c r="D1398" s="116"/>
      <c r="E1398" s="117"/>
      <c r="F1398" s="114">
        <f>SUM(F1394:F1397)</f>
        <v>57100</v>
      </c>
    </row>
    <row r="1399" spans="1:6" x14ac:dyDescent="0.3">
      <c r="A1399" s="111"/>
      <c r="B1399" s="136" t="s">
        <v>808</v>
      </c>
      <c r="C1399" s="115"/>
      <c r="D1399" s="116"/>
      <c r="E1399" s="117"/>
      <c r="F1399" s="114"/>
    </row>
    <row r="1400" spans="1:6" x14ac:dyDescent="0.25">
      <c r="A1400" s="111"/>
      <c r="B1400" s="134" t="s">
        <v>820</v>
      </c>
      <c r="C1400" s="115" t="s">
        <v>772</v>
      </c>
      <c r="D1400" s="116">
        <v>0.15</v>
      </c>
      <c r="E1400" s="117">
        <v>7500</v>
      </c>
      <c r="F1400" s="121">
        <f>D1400*E1400</f>
        <v>1125</v>
      </c>
    </row>
    <row r="1401" spans="1:6" x14ac:dyDescent="0.25">
      <c r="A1401" s="111"/>
      <c r="B1401" s="134" t="s">
        <v>821</v>
      </c>
      <c r="C1401" s="115" t="s">
        <v>772</v>
      </c>
      <c r="D1401" s="116">
        <v>0.25</v>
      </c>
      <c r="E1401" s="117">
        <v>7500</v>
      </c>
      <c r="F1401" s="121">
        <f>D1401*E1401</f>
        <v>1875</v>
      </c>
    </row>
    <row r="1402" spans="1:6" x14ac:dyDescent="0.25">
      <c r="A1402" s="111"/>
      <c r="B1402" s="134" t="s">
        <v>851</v>
      </c>
      <c r="C1402" s="115" t="s">
        <v>772</v>
      </c>
      <c r="D1402" s="228">
        <v>1.5</v>
      </c>
      <c r="E1402" s="117">
        <v>15000</v>
      </c>
      <c r="F1402" s="121">
        <f>D1402*E1402</f>
        <v>22500</v>
      </c>
    </row>
    <row r="1403" spans="1:6" x14ac:dyDescent="0.3">
      <c r="A1403" s="111"/>
      <c r="B1403" s="136" t="s">
        <v>774</v>
      </c>
      <c r="C1403" s="115"/>
      <c r="D1403" s="228"/>
      <c r="E1403" s="117"/>
      <c r="F1403" s="114">
        <f>SUM(F1400:F1402)</f>
        <v>25500</v>
      </c>
    </row>
    <row r="1404" spans="1:6" x14ac:dyDescent="0.3">
      <c r="A1404" s="111"/>
      <c r="B1404" s="136" t="s">
        <v>775</v>
      </c>
      <c r="C1404" s="115"/>
      <c r="D1404" s="116"/>
      <c r="E1404" s="117"/>
      <c r="F1404" s="114">
        <f>F1403+F1398</f>
        <v>82600</v>
      </c>
    </row>
    <row r="1405" spans="1:6" x14ac:dyDescent="0.25">
      <c r="A1405" s="111"/>
      <c r="B1405" s="134" t="s">
        <v>792</v>
      </c>
      <c r="C1405" s="115"/>
      <c r="D1405" s="116">
        <v>1.05</v>
      </c>
      <c r="E1405" s="117"/>
      <c r="F1405" s="114">
        <f>+F1404*D1405</f>
        <v>86730</v>
      </c>
    </row>
    <row r="1406" spans="1:6" x14ac:dyDescent="0.25">
      <c r="A1406" s="111"/>
      <c r="B1406" s="134" t="s">
        <v>848</v>
      </c>
      <c r="C1406" s="115"/>
      <c r="D1406" s="116">
        <v>1.05</v>
      </c>
      <c r="E1406" s="117"/>
      <c r="F1406" s="114"/>
    </row>
    <row r="1407" spans="1:6" x14ac:dyDescent="0.35">
      <c r="A1407" s="233" t="s">
        <v>133</v>
      </c>
      <c r="B1407" s="207" t="s">
        <v>789</v>
      </c>
      <c r="C1407" s="208" t="s">
        <v>35</v>
      </c>
      <c r="D1407" s="208"/>
      <c r="E1407" s="209"/>
      <c r="F1407" s="209">
        <f>+D1406*F1405</f>
        <v>91066.5</v>
      </c>
    </row>
    <row r="1408" spans="1:6" x14ac:dyDescent="0.35">
      <c r="A1408" s="206"/>
      <c r="B1408" s="207"/>
      <c r="C1408" s="208"/>
      <c r="D1408" s="208"/>
      <c r="E1408" s="210">
        <f>+E1388</f>
        <v>3035.45</v>
      </c>
      <c r="F1408" s="210">
        <f>+F1407/E1408</f>
        <v>30.000988321336212</v>
      </c>
    </row>
    <row r="1409" spans="1:6" x14ac:dyDescent="0.35">
      <c r="A1409" s="126"/>
      <c r="B1409" s="127"/>
      <c r="C1409" s="128"/>
      <c r="D1409" s="128"/>
      <c r="E1409" s="129"/>
      <c r="F1409" s="129"/>
    </row>
    <row r="1410" spans="1:6" x14ac:dyDescent="0.35">
      <c r="A1410" s="130"/>
      <c r="B1410" s="131"/>
      <c r="C1410" s="132"/>
      <c r="D1410" s="132"/>
      <c r="E1410" s="133"/>
      <c r="F1410" s="133"/>
    </row>
    <row r="1411" spans="1:6" x14ac:dyDescent="0.35">
      <c r="A1411" s="236" t="s">
        <v>117</v>
      </c>
      <c r="B1411" s="201" t="s">
        <v>118</v>
      </c>
      <c r="C1411" s="200" t="s">
        <v>2</v>
      </c>
      <c r="D1411" s="202" t="s">
        <v>765</v>
      </c>
      <c r="E1411" s="203" t="s">
        <v>766</v>
      </c>
      <c r="F1411" s="203" t="s">
        <v>767</v>
      </c>
    </row>
    <row r="1412" spans="1:6" x14ac:dyDescent="0.3">
      <c r="A1412" s="232" t="s">
        <v>677</v>
      </c>
      <c r="B1412" s="231" t="s">
        <v>866</v>
      </c>
      <c r="C1412" s="124" t="s">
        <v>38</v>
      </c>
      <c r="D1412" s="141"/>
      <c r="E1412" s="110"/>
      <c r="F1412" s="110"/>
    </row>
    <row r="1413" spans="1:6" x14ac:dyDescent="0.35">
      <c r="A1413" s="232" t="s">
        <v>678</v>
      </c>
      <c r="B1413" s="214" t="s">
        <v>134</v>
      </c>
      <c r="C1413" s="124" t="s">
        <v>38</v>
      </c>
      <c r="D1413" s="124"/>
      <c r="E1413" s="117"/>
      <c r="F1413" s="117"/>
    </row>
    <row r="1414" spans="1:6" x14ac:dyDescent="0.35">
      <c r="A1414" s="232" t="s">
        <v>867</v>
      </c>
      <c r="B1414" s="214" t="s">
        <v>659</v>
      </c>
      <c r="C1414" s="118"/>
      <c r="D1414" s="124"/>
      <c r="E1414" s="117"/>
      <c r="F1414" s="117"/>
    </row>
    <row r="1415" spans="1:6" x14ac:dyDescent="0.35">
      <c r="A1415" s="111"/>
      <c r="B1415" s="112" t="s">
        <v>802</v>
      </c>
      <c r="C1415" s="118"/>
      <c r="D1415" s="118"/>
      <c r="E1415" s="119"/>
      <c r="F1415" s="119"/>
    </row>
    <row r="1416" spans="1:6" x14ac:dyDescent="0.35">
      <c r="A1416" s="111"/>
      <c r="B1416" s="120" t="s">
        <v>856</v>
      </c>
      <c r="C1416" s="115" t="s">
        <v>38</v>
      </c>
      <c r="D1416" s="115">
        <v>0.3</v>
      </c>
      <c r="E1416" s="119">
        <v>55000</v>
      </c>
      <c r="F1416" s="142">
        <f>D1416*E1416</f>
        <v>16500</v>
      </c>
    </row>
    <row r="1417" spans="1:6" x14ac:dyDescent="0.35">
      <c r="A1417" s="111"/>
      <c r="B1417" s="143" t="s">
        <v>815</v>
      </c>
      <c r="C1417" s="115" t="s">
        <v>38</v>
      </c>
      <c r="D1417" s="115">
        <v>1.2</v>
      </c>
      <c r="E1417" s="119">
        <v>135000</v>
      </c>
      <c r="F1417" s="142">
        <f>D1417*E1417</f>
        <v>162000</v>
      </c>
    </row>
    <row r="1418" spans="1:6" x14ac:dyDescent="0.25">
      <c r="A1418" s="111"/>
      <c r="B1418" s="120" t="s">
        <v>857</v>
      </c>
      <c r="C1418" s="115" t="s">
        <v>804</v>
      </c>
      <c r="D1418" s="135">
        <v>1.5</v>
      </c>
      <c r="E1418" s="117">
        <v>51000</v>
      </c>
      <c r="F1418" s="142">
        <f>D1418*E1418</f>
        <v>76500</v>
      </c>
    </row>
    <row r="1419" spans="1:6" x14ac:dyDescent="0.25">
      <c r="A1419" s="111"/>
      <c r="B1419" s="134" t="s">
        <v>807</v>
      </c>
      <c r="C1419" s="118"/>
      <c r="D1419" s="135">
        <v>0.5</v>
      </c>
      <c r="E1419" s="117">
        <v>1000</v>
      </c>
      <c r="F1419" s="142">
        <f>D1419*E1419</f>
        <v>500</v>
      </c>
    </row>
    <row r="1420" spans="1:6" x14ac:dyDescent="0.3">
      <c r="A1420" s="111"/>
      <c r="B1420" s="136" t="s">
        <v>769</v>
      </c>
      <c r="C1420" s="118"/>
      <c r="D1420" s="116"/>
      <c r="E1420" s="117"/>
      <c r="F1420" s="114">
        <f>SUM(F1416:F1419)</f>
        <v>255500</v>
      </c>
    </row>
    <row r="1421" spans="1:6" x14ac:dyDescent="0.3">
      <c r="A1421" s="111"/>
      <c r="B1421" s="136" t="s">
        <v>808</v>
      </c>
      <c r="C1421" s="115"/>
      <c r="D1421" s="116"/>
      <c r="E1421" s="117"/>
      <c r="F1421" s="114"/>
    </row>
    <row r="1422" spans="1:6" x14ac:dyDescent="0.25">
      <c r="A1422" s="111"/>
      <c r="B1422" s="134" t="s">
        <v>820</v>
      </c>
      <c r="C1422" s="115" t="s">
        <v>772</v>
      </c>
      <c r="D1422" s="116">
        <v>2</v>
      </c>
      <c r="E1422" s="117">
        <v>7500</v>
      </c>
      <c r="F1422" s="121">
        <f>D1422*E1422</f>
        <v>15000</v>
      </c>
    </row>
    <row r="1423" spans="1:6" x14ac:dyDescent="0.25">
      <c r="A1423" s="111"/>
      <c r="B1423" s="134" t="s">
        <v>821</v>
      </c>
      <c r="C1423" s="115" t="s">
        <v>772</v>
      </c>
      <c r="D1423" s="116">
        <v>2</v>
      </c>
      <c r="E1423" s="117">
        <v>7500</v>
      </c>
      <c r="F1423" s="121">
        <f>D1423*E1423</f>
        <v>15000</v>
      </c>
    </row>
    <row r="1424" spans="1:6" x14ac:dyDescent="0.25">
      <c r="A1424" s="111"/>
      <c r="B1424" s="134" t="s">
        <v>851</v>
      </c>
      <c r="C1424" s="115" t="s">
        <v>772</v>
      </c>
      <c r="D1424" s="228">
        <v>3</v>
      </c>
      <c r="E1424" s="117">
        <v>15000</v>
      </c>
      <c r="F1424" s="121">
        <f>D1424*E1424</f>
        <v>45000</v>
      </c>
    </row>
    <row r="1425" spans="1:6" x14ac:dyDescent="0.3">
      <c r="A1425" s="111"/>
      <c r="B1425" s="136" t="s">
        <v>774</v>
      </c>
      <c r="C1425" s="115"/>
      <c r="D1425" s="228"/>
      <c r="E1425" s="117"/>
      <c r="F1425" s="114">
        <f>SUM(F1422:F1424)</f>
        <v>75000</v>
      </c>
    </row>
    <row r="1426" spans="1:6" x14ac:dyDescent="0.3">
      <c r="A1426" s="111"/>
      <c r="B1426" s="136" t="s">
        <v>775</v>
      </c>
      <c r="C1426" s="115"/>
      <c r="D1426" s="116"/>
      <c r="E1426" s="117"/>
      <c r="F1426" s="114">
        <f>F1425+F1420</f>
        <v>330500</v>
      </c>
    </row>
    <row r="1427" spans="1:6" x14ac:dyDescent="0.25">
      <c r="A1427" s="111"/>
      <c r="B1427" s="134" t="s">
        <v>776</v>
      </c>
      <c r="C1427" s="115"/>
      <c r="D1427" s="116">
        <v>1.25</v>
      </c>
      <c r="E1427" s="117"/>
      <c r="F1427" s="114">
        <f>+F1426*D1427</f>
        <v>413125</v>
      </c>
    </row>
    <row r="1428" spans="1:6" x14ac:dyDescent="0.25">
      <c r="A1428" s="111"/>
      <c r="B1428" s="134" t="s">
        <v>835</v>
      </c>
      <c r="C1428" s="115"/>
      <c r="D1428" s="116">
        <v>1.25</v>
      </c>
      <c r="E1428" s="117"/>
      <c r="F1428" s="114"/>
    </row>
    <row r="1429" spans="1:6" x14ac:dyDescent="0.35">
      <c r="A1429" s="233" t="s">
        <v>131</v>
      </c>
      <c r="B1429" s="207" t="s">
        <v>790</v>
      </c>
      <c r="C1429" s="208" t="s">
        <v>38</v>
      </c>
      <c r="D1429" s="208"/>
      <c r="E1429" s="209"/>
      <c r="F1429" s="209">
        <f>+D1428*F1427</f>
        <v>516406.25</v>
      </c>
    </row>
    <row r="1430" spans="1:6" x14ac:dyDescent="0.35">
      <c r="A1430" s="206"/>
      <c r="B1430" s="207"/>
      <c r="C1430" s="208"/>
      <c r="D1430" s="208"/>
      <c r="E1430" s="210">
        <f>+E1408</f>
        <v>3035.45</v>
      </c>
      <c r="F1430" s="210">
        <f>+F1429/E1430</f>
        <v>170.12510500914198</v>
      </c>
    </row>
    <row r="1431" spans="1:6" x14ac:dyDescent="0.35">
      <c r="A1431" s="126"/>
      <c r="B1431" s="127"/>
      <c r="C1431" s="128"/>
      <c r="D1431" s="128"/>
      <c r="E1431" s="129"/>
      <c r="F1431" s="129"/>
    </row>
    <row r="1432" spans="1:6" x14ac:dyDescent="0.35">
      <c r="A1432" s="105"/>
      <c r="B1432" s="106"/>
      <c r="C1432" s="101"/>
      <c r="D1432" s="101"/>
      <c r="E1432" s="102"/>
      <c r="F1432" s="102"/>
    </row>
    <row r="1433" spans="1:6" x14ac:dyDescent="0.35">
      <c r="A1433" s="236" t="s">
        <v>135</v>
      </c>
      <c r="B1433" s="201" t="s">
        <v>868</v>
      </c>
      <c r="C1433" s="200" t="s">
        <v>2</v>
      </c>
      <c r="D1433" s="202" t="s">
        <v>765</v>
      </c>
      <c r="E1433" s="203" t="s">
        <v>766</v>
      </c>
      <c r="F1433" s="203" t="s">
        <v>767</v>
      </c>
    </row>
    <row r="1434" spans="1:6" x14ac:dyDescent="0.35">
      <c r="A1434" s="237" t="s">
        <v>137</v>
      </c>
      <c r="B1434" s="238" t="s">
        <v>138</v>
      </c>
      <c r="C1434" s="115">
        <v>2</v>
      </c>
      <c r="D1434" s="141"/>
      <c r="E1434" s="110"/>
      <c r="F1434" s="110"/>
    </row>
    <row r="1435" spans="1:6" x14ac:dyDescent="0.35">
      <c r="A1435" s="239" t="s">
        <v>139</v>
      </c>
      <c r="B1435" s="240" t="s">
        <v>715</v>
      </c>
      <c r="C1435" s="144"/>
      <c r="D1435" s="124"/>
      <c r="E1435" s="117"/>
      <c r="F1435" s="117"/>
    </row>
    <row r="1436" spans="1:6" x14ac:dyDescent="0.35">
      <c r="A1436" s="111"/>
      <c r="B1436" s="112" t="s">
        <v>802</v>
      </c>
      <c r="C1436" s="118"/>
      <c r="D1436" s="118"/>
      <c r="E1436" s="119"/>
      <c r="F1436" s="119"/>
    </row>
    <row r="1437" spans="1:6" x14ac:dyDescent="0.35">
      <c r="A1437" s="111"/>
      <c r="B1437" s="120" t="s">
        <v>869</v>
      </c>
      <c r="C1437" s="115" t="s">
        <v>38</v>
      </c>
      <c r="D1437" s="115">
        <v>0.01</v>
      </c>
      <c r="E1437" s="119">
        <v>65000</v>
      </c>
      <c r="F1437" s="142">
        <f>D1437*E1437</f>
        <v>650</v>
      </c>
    </row>
    <row r="1438" spans="1:6" x14ac:dyDescent="0.25">
      <c r="A1438" s="111"/>
      <c r="B1438" s="120" t="s">
        <v>857</v>
      </c>
      <c r="C1438" s="115" t="s">
        <v>804</v>
      </c>
      <c r="D1438" s="135">
        <v>7.0000000000000007E-2</v>
      </c>
      <c r="E1438" s="117">
        <v>51000</v>
      </c>
      <c r="F1438" s="142">
        <f>D1438*E1438</f>
        <v>3570.0000000000005</v>
      </c>
    </row>
    <row r="1439" spans="1:6" x14ac:dyDescent="0.25">
      <c r="A1439" s="111"/>
      <c r="B1439" s="134" t="s">
        <v>807</v>
      </c>
      <c r="C1439" s="118"/>
      <c r="D1439" s="135">
        <v>0.5</v>
      </c>
      <c r="E1439" s="117">
        <v>1000</v>
      </c>
      <c r="F1439" s="142">
        <f>D1439*E1439</f>
        <v>500</v>
      </c>
    </row>
    <row r="1440" spans="1:6" x14ac:dyDescent="0.3">
      <c r="A1440" s="111"/>
      <c r="B1440" s="136" t="s">
        <v>769</v>
      </c>
      <c r="C1440" s="118"/>
      <c r="D1440" s="116"/>
      <c r="E1440" s="117"/>
      <c r="F1440" s="114">
        <f>SUM(F1437:F1439)</f>
        <v>4720</v>
      </c>
    </row>
    <row r="1441" spans="1:7" x14ac:dyDescent="0.3">
      <c r="A1441" s="111"/>
      <c r="B1441" s="136" t="s">
        <v>808</v>
      </c>
      <c r="C1441" s="115"/>
      <c r="D1441" s="116"/>
      <c r="E1441" s="117"/>
      <c r="F1441" s="114"/>
    </row>
    <row r="1442" spans="1:7" x14ac:dyDescent="0.25">
      <c r="A1442" s="111"/>
      <c r="B1442" s="134" t="s">
        <v>820</v>
      </c>
      <c r="C1442" s="115" t="s">
        <v>772</v>
      </c>
      <c r="D1442" s="116">
        <v>0.1</v>
      </c>
      <c r="E1442" s="117">
        <v>7500</v>
      </c>
      <c r="F1442" s="121">
        <f>D1442*E1442</f>
        <v>750</v>
      </c>
    </row>
    <row r="1443" spans="1:7" x14ac:dyDescent="0.25">
      <c r="A1443" s="111"/>
      <c r="B1443" s="134" t="s">
        <v>821</v>
      </c>
      <c r="C1443" s="115" t="s">
        <v>772</v>
      </c>
      <c r="D1443" s="116">
        <v>0.1</v>
      </c>
      <c r="E1443" s="117">
        <v>7500</v>
      </c>
      <c r="F1443" s="121">
        <f>D1443*E1443</f>
        <v>750</v>
      </c>
    </row>
    <row r="1444" spans="1:7" x14ac:dyDescent="0.3">
      <c r="A1444" s="111"/>
      <c r="B1444" s="136" t="s">
        <v>774</v>
      </c>
      <c r="C1444" s="115"/>
      <c r="D1444" s="228"/>
      <c r="E1444" s="117"/>
      <c r="F1444" s="114">
        <f>SUM(F1442:F1443)</f>
        <v>1500</v>
      </c>
    </row>
    <row r="1445" spans="1:7" x14ac:dyDescent="0.3">
      <c r="A1445" s="111"/>
      <c r="B1445" s="136" t="s">
        <v>775</v>
      </c>
      <c r="C1445" s="115"/>
      <c r="D1445" s="116"/>
      <c r="E1445" s="117"/>
      <c r="F1445" s="114">
        <f>F1444+F1440</f>
        <v>6220</v>
      </c>
    </row>
    <row r="1446" spans="1:7" x14ac:dyDescent="0.25">
      <c r="A1446" s="111"/>
      <c r="B1446" s="134" t="s">
        <v>792</v>
      </c>
      <c r="C1446" s="115"/>
      <c r="D1446" s="116">
        <v>1.05</v>
      </c>
      <c r="E1446" s="117"/>
      <c r="F1446" s="114">
        <f>+F1445*D1446</f>
        <v>6531</v>
      </c>
    </row>
    <row r="1447" spans="1:7" x14ac:dyDescent="0.25">
      <c r="A1447" s="111"/>
      <c r="B1447" s="134" t="s">
        <v>848</v>
      </c>
      <c r="C1447" s="115"/>
      <c r="D1447" s="116">
        <v>1.05</v>
      </c>
      <c r="E1447" s="117"/>
      <c r="F1447" s="114"/>
    </row>
    <row r="1448" spans="1:7" x14ac:dyDescent="0.35">
      <c r="A1448" s="241" t="s">
        <v>870</v>
      </c>
      <c r="B1448" s="242" t="s">
        <v>789</v>
      </c>
      <c r="C1448" s="208" t="s">
        <v>35</v>
      </c>
      <c r="D1448" s="208"/>
      <c r="E1448" s="209"/>
      <c r="F1448" s="209">
        <f>+D1447*F1446</f>
        <v>6857.55</v>
      </c>
    </row>
    <row r="1449" spans="1:7" x14ac:dyDescent="0.35">
      <c r="A1449" s="206"/>
      <c r="B1449" s="207"/>
      <c r="C1449" s="208"/>
      <c r="D1449" s="208"/>
      <c r="E1449" s="210">
        <f>+E1430</f>
        <v>3035.45</v>
      </c>
      <c r="F1449" s="210">
        <f>+F1448/E1449</f>
        <v>2.2591543263766494</v>
      </c>
    </row>
    <row r="1450" spans="1:7" x14ac:dyDescent="0.35">
      <c r="A1450" s="126"/>
      <c r="B1450" s="127"/>
      <c r="C1450" s="128"/>
      <c r="D1450" s="128"/>
      <c r="E1450" s="176"/>
      <c r="F1450" s="176"/>
      <c r="G1450" s="138"/>
    </row>
    <row r="1451" spans="1:7" x14ac:dyDescent="0.35">
      <c r="A1451" s="130"/>
      <c r="B1451" s="131"/>
      <c r="C1451" s="132"/>
      <c r="D1451" s="132"/>
      <c r="E1451" s="133"/>
      <c r="F1451" s="133"/>
      <c r="G1451" s="138"/>
    </row>
    <row r="1452" spans="1:7" x14ac:dyDescent="0.35">
      <c r="A1452" s="236" t="s">
        <v>135</v>
      </c>
      <c r="B1452" s="201" t="s">
        <v>868</v>
      </c>
      <c r="C1452" s="200" t="s">
        <v>2</v>
      </c>
      <c r="D1452" s="202" t="s">
        <v>765</v>
      </c>
      <c r="E1452" s="203" t="s">
        <v>766</v>
      </c>
      <c r="F1452" s="203" t="s">
        <v>767</v>
      </c>
    </row>
    <row r="1453" spans="1:7" x14ac:dyDescent="0.35">
      <c r="A1453" s="237" t="s">
        <v>141</v>
      </c>
      <c r="B1453" s="227" t="s">
        <v>142</v>
      </c>
      <c r="C1453" s="115" t="s">
        <v>35</v>
      </c>
      <c r="D1453" s="141"/>
      <c r="E1453" s="110"/>
      <c r="F1453" s="110"/>
    </row>
    <row r="1454" spans="1:7" x14ac:dyDescent="0.35">
      <c r="A1454" s="239" t="s">
        <v>143</v>
      </c>
      <c r="B1454" s="219" t="s">
        <v>760</v>
      </c>
      <c r="C1454" s="144"/>
      <c r="D1454" s="124"/>
      <c r="E1454" s="117"/>
      <c r="F1454" s="117"/>
    </row>
    <row r="1455" spans="1:7" x14ac:dyDescent="0.35">
      <c r="A1455" s="239" t="s">
        <v>144</v>
      </c>
      <c r="B1455" s="214" t="s">
        <v>871</v>
      </c>
      <c r="C1455" s="144"/>
      <c r="D1455" s="124"/>
      <c r="E1455" s="117"/>
      <c r="F1455" s="117"/>
    </row>
    <row r="1456" spans="1:7" x14ac:dyDescent="0.35">
      <c r="A1456" s="111"/>
      <c r="B1456" s="112" t="s">
        <v>802</v>
      </c>
      <c r="C1456" s="118"/>
      <c r="D1456" s="118"/>
      <c r="E1456" s="119"/>
      <c r="F1456" s="119"/>
    </row>
    <row r="1457" spans="1:6" x14ac:dyDescent="0.35">
      <c r="A1457" s="111"/>
      <c r="B1457" s="120" t="s">
        <v>869</v>
      </c>
      <c r="C1457" s="115" t="s">
        <v>38</v>
      </c>
      <c r="D1457" s="115">
        <v>0.04</v>
      </c>
      <c r="E1457" s="119">
        <v>65000</v>
      </c>
      <c r="F1457" s="142">
        <f>D1457*E1457</f>
        <v>2600</v>
      </c>
    </row>
    <row r="1458" spans="1:6" x14ac:dyDescent="0.25">
      <c r="A1458" s="111"/>
      <c r="B1458" s="120" t="s">
        <v>857</v>
      </c>
      <c r="C1458" s="115" t="s">
        <v>804</v>
      </c>
      <c r="D1458" s="135">
        <v>0.02</v>
      </c>
      <c r="E1458" s="117">
        <v>51000</v>
      </c>
      <c r="F1458" s="142">
        <f>D1458*E1458</f>
        <v>1020</v>
      </c>
    </row>
    <row r="1459" spans="1:6" x14ac:dyDescent="0.25">
      <c r="A1459" s="111"/>
      <c r="B1459" s="134" t="s">
        <v>807</v>
      </c>
      <c r="C1459" s="118"/>
      <c r="D1459" s="135">
        <v>0.5</v>
      </c>
      <c r="E1459" s="117">
        <v>1000</v>
      </c>
      <c r="F1459" s="142">
        <f>D1459*E1459</f>
        <v>500</v>
      </c>
    </row>
    <row r="1460" spans="1:6" x14ac:dyDescent="0.3">
      <c r="A1460" s="111"/>
      <c r="B1460" s="136" t="s">
        <v>769</v>
      </c>
      <c r="C1460" s="118"/>
      <c r="D1460" s="116"/>
      <c r="E1460" s="117"/>
      <c r="F1460" s="114">
        <f>SUM(F1457:F1459)</f>
        <v>4120</v>
      </c>
    </row>
    <row r="1461" spans="1:6" x14ac:dyDescent="0.3">
      <c r="A1461" s="111"/>
      <c r="B1461" s="136" t="s">
        <v>808</v>
      </c>
      <c r="C1461" s="115"/>
      <c r="D1461" s="116"/>
      <c r="E1461" s="117"/>
      <c r="F1461" s="114"/>
    </row>
    <row r="1462" spans="1:6" x14ac:dyDescent="0.25">
      <c r="A1462" s="111"/>
      <c r="B1462" s="134" t="s">
        <v>820</v>
      </c>
      <c r="C1462" s="115" t="s">
        <v>772</v>
      </c>
      <c r="D1462" s="116">
        <v>0.25</v>
      </c>
      <c r="E1462" s="117">
        <v>7500</v>
      </c>
      <c r="F1462" s="121">
        <f>D1462*E1462</f>
        <v>1875</v>
      </c>
    </row>
    <row r="1463" spans="1:6" x14ac:dyDescent="0.25">
      <c r="A1463" s="111"/>
      <c r="B1463" s="134" t="s">
        <v>821</v>
      </c>
      <c r="C1463" s="115" t="s">
        <v>772</v>
      </c>
      <c r="D1463" s="116">
        <v>0.25</v>
      </c>
      <c r="E1463" s="117">
        <v>7500</v>
      </c>
      <c r="F1463" s="121">
        <f>D1463*E1463</f>
        <v>1875</v>
      </c>
    </row>
    <row r="1464" spans="1:6" x14ac:dyDescent="0.25">
      <c r="A1464" s="111"/>
      <c r="B1464" s="134" t="s">
        <v>851</v>
      </c>
      <c r="C1464" s="115" t="s">
        <v>772</v>
      </c>
      <c r="D1464" s="116">
        <v>0.45</v>
      </c>
      <c r="E1464" s="117">
        <v>15000</v>
      </c>
      <c r="F1464" s="121">
        <f>D1464*E1464</f>
        <v>6750</v>
      </c>
    </row>
    <row r="1465" spans="1:6" x14ac:dyDescent="0.3">
      <c r="A1465" s="111"/>
      <c r="B1465" s="136" t="s">
        <v>774</v>
      </c>
      <c r="C1465" s="115"/>
      <c r="D1465" s="228"/>
      <c r="E1465" s="117"/>
      <c r="F1465" s="114">
        <f>SUM(F1462:F1464)</f>
        <v>10500</v>
      </c>
    </row>
    <row r="1466" spans="1:6" x14ac:dyDescent="0.3">
      <c r="A1466" s="111"/>
      <c r="B1466" s="136" t="s">
        <v>775</v>
      </c>
      <c r="C1466" s="115"/>
      <c r="D1466" s="116"/>
      <c r="E1466" s="117"/>
      <c r="F1466" s="114">
        <f>F1465+F1460</f>
        <v>14620</v>
      </c>
    </row>
    <row r="1467" spans="1:6" x14ac:dyDescent="0.25">
      <c r="A1467" s="111"/>
      <c r="B1467" s="134" t="s">
        <v>812</v>
      </c>
      <c r="C1467" s="115"/>
      <c r="D1467" s="116">
        <v>1.1499999999999999</v>
      </c>
      <c r="E1467" s="117"/>
      <c r="F1467" s="114">
        <f>+F1466*D1467</f>
        <v>16813</v>
      </c>
    </row>
    <row r="1468" spans="1:6" x14ac:dyDescent="0.25">
      <c r="A1468" s="111"/>
      <c r="B1468" s="134" t="s">
        <v>835</v>
      </c>
      <c r="C1468" s="115"/>
      <c r="D1468" s="116">
        <v>1.25</v>
      </c>
      <c r="E1468" s="117"/>
      <c r="F1468" s="114"/>
    </row>
    <row r="1469" spans="1:6" ht="26" x14ac:dyDescent="0.35">
      <c r="A1469" s="241" t="s">
        <v>872</v>
      </c>
      <c r="B1469" s="242" t="s">
        <v>789</v>
      </c>
      <c r="C1469" s="208" t="s">
        <v>35</v>
      </c>
      <c r="D1469" s="208"/>
      <c r="E1469" s="209"/>
      <c r="F1469" s="209">
        <f>+D1468*F1467</f>
        <v>21016.25</v>
      </c>
    </row>
    <row r="1470" spans="1:6" x14ac:dyDescent="0.35">
      <c r="A1470" s="206"/>
      <c r="B1470" s="207"/>
      <c r="C1470" s="208"/>
      <c r="D1470" s="208"/>
      <c r="E1470" s="210">
        <f>+E1449</f>
        <v>3035.45</v>
      </c>
      <c r="F1470" s="210">
        <f>+F1469/E1470</f>
        <v>6.9236027607109332</v>
      </c>
    </row>
    <row r="1471" spans="1:6" x14ac:dyDescent="0.35">
      <c r="A1471" s="126"/>
      <c r="B1471" s="127"/>
      <c r="C1471" s="128"/>
      <c r="D1471" s="128"/>
      <c r="E1471" s="129"/>
      <c r="F1471" s="129"/>
    </row>
    <row r="1472" spans="1:6" x14ac:dyDescent="0.35">
      <c r="A1472" s="130"/>
      <c r="B1472" s="131"/>
      <c r="C1472" s="132"/>
      <c r="D1472" s="132"/>
      <c r="E1472" s="133"/>
      <c r="F1472" s="133"/>
    </row>
    <row r="1473" spans="1:6" x14ac:dyDescent="0.35">
      <c r="A1473" s="236" t="s">
        <v>135</v>
      </c>
      <c r="B1473" s="201" t="s">
        <v>868</v>
      </c>
      <c r="C1473" s="200" t="s">
        <v>2</v>
      </c>
      <c r="D1473" s="202" t="s">
        <v>765</v>
      </c>
      <c r="E1473" s="203" t="s">
        <v>766</v>
      </c>
      <c r="F1473" s="203" t="s">
        <v>767</v>
      </c>
    </row>
    <row r="1474" spans="1:6" x14ac:dyDescent="0.35">
      <c r="A1474" s="239" t="s">
        <v>147</v>
      </c>
      <c r="B1474" s="214" t="s">
        <v>145</v>
      </c>
      <c r="C1474" s="115" t="s">
        <v>35</v>
      </c>
      <c r="D1474" s="141"/>
      <c r="E1474" s="110"/>
      <c r="F1474" s="110"/>
    </row>
    <row r="1475" spans="1:6" x14ac:dyDescent="0.35">
      <c r="A1475" s="111"/>
      <c r="B1475" s="112" t="s">
        <v>802</v>
      </c>
      <c r="C1475" s="118"/>
      <c r="D1475" s="118"/>
      <c r="E1475" s="119"/>
      <c r="F1475" s="119"/>
    </row>
    <row r="1476" spans="1:6" x14ac:dyDescent="0.35">
      <c r="A1476" s="111"/>
      <c r="B1476" s="120" t="s">
        <v>869</v>
      </c>
      <c r="C1476" s="115" t="s">
        <v>38</v>
      </c>
      <c r="D1476" s="115">
        <v>0.04</v>
      </c>
      <c r="E1476" s="119">
        <v>65000</v>
      </c>
      <c r="F1476" s="142">
        <f>D1476*E1476</f>
        <v>2600</v>
      </c>
    </row>
    <row r="1477" spans="1:6" x14ac:dyDescent="0.25">
      <c r="A1477" s="111"/>
      <c r="B1477" s="120" t="s">
        <v>857</v>
      </c>
      <c r="C1477" s="115" t="s">
        <v>804</v>
      </c>
      <c r="D1477" s="135">
        <v>0.02</v>
      </c>
      <c r="E1477" s="117">
        <v>51000</v>
      </c>
      <c r="F1477" s="142">
        <f>D1477*E1477</f>
        <v>1020</v>
      </c>
    </row>
    <row r="1478" spans="1:6" x14ac:dyDescent="0.25">
      <c r="A1478" s="111"/>
      <c r="B1478" s="134" t="s">
        <v>807</v>
      </c>
      <c r="C1478" s="118"/>
      <c r="D1478" s="135">
        <v>0.5</v>
      </c>
      <c r="E1478" s="117">
        <v>1000</v>
      </c>
      <c r="F1478" s="142">
        <f>D1478*E1478</f>
        <v>500</v>
      </c>
    </row>
    <row r="1479" spans="1:6" x14ac:dyDescent="0.3">
      <c r="A1479" s="111"/>
      <c r="B1479" s="136" t="s">
        <v>769</v>
      </c>
      <c r="C1479" s="118"/>
      <c r="D1479" s="116"/>
      <c r="E1479" s="117"/>
      <c r="F1479" s="114">
        <f>SUM(F1476:F1478)</f>
        <v>4120</v>
      </c>
    </row>
    <row r="1480" spans="1:6" x14ac:dyDescent="0.3">
      <c r="A1480" s="111"/>
      <c r="B1480" s="136" t="s">
        <v>808</v>
      </c>
      <c r="C1480" s="115"/>
      <c r="D1480" s="116"/>
      <c r="E1480" s="117"/>
      <c r="F1480" s="114"/>
    </row>
    <row r="1481" spans="1:6" x14ac:dyDescent="0.25">
      <c r="A1481" s="111"/>
      <c r="B1481" s="134" t="s">
        <v>820</v>
      </c>
      <c r="C1481" s="115" t="s">
        <v>772</v>
      </c>
      <c r="D1481" s="116">
        <v>0.25</v>
      </c>
      <c r="E1481" s="117">
        <v>7500</v>
      </c>
      <c r="F1481" s="121">
        <f>D1481*E1481</f>
        <v>1875</v>
      </c>
    </row>
    <row r="1482" spans="1:6" x14ac:dyDescent="0.25">
      <c r="A1482" s="111"/>
      <c r="B1482" s="134" t="s">
        <v>821</v>
      </c>
      <c r="C1482" s="115" t="s">
        <v>772</v>
      </c>
      <c r="D1482" s="116">
        <v>0.25</v>
      </c>
      <c r="E1482" s="117">
        <v>7500</v>
      </c>
      <c r="F1482" s="121">
        <f>D1482*E1482</f>
        <v>1875</v>
      </c>
    </row>
    <row r="1483" spans="1:6" x14ac:dyDescent="0.25">
      <c r="A1483" s="111"/>
      <c r="B1483" s="134" t="s">
        <v>851</v>
      </c>
      <c r="C1483" s="115" t="s">
        <v>772</v>
      </c>
      <c r="D1483" s="116">
        <v>0.5</v>
      </c>
      <c r="E1483" s="117">
        <v>15000</v>
      </c>
      <c r="F1483" s="121">
        <f>D1483*E1483</f>
        <v>7500</v>
      </c>
    </row>
    <row r="1484" spans="1:6" x14ac:dyDescent="0.3">
      <c r="A1484" s="111"/>
      <c r="B1484" s="136" t="s">
        <v>774</v>
      </c>
      <c r="C1484" s="115"/>
      <c r="D1484" s="228"/>
      <c r="E1484" s="117"/>
      <c r="F1484" s="114">
        <f>SUM(F1481:F1483)</f>
        <v>11250</v>
      </c>
    </row>
    <row r="1485" spans="1:6" x14ac:dyDescent="0.3">
      <c r="A1485" s="111"/>
      <c r="B1485" s="136" t="s">
        <v>775</v>
      </c>
      <c r="C1485" s="115"/>
      <c r="D1485" s="116"/>
      <c r="E1485" s="117"/>
      <c r="F1485" s="114">
        <f>F1484+F1479</f>
        <v>15370</v>
      </c>
    </row>
    <row r="1486" spans="1:6" x14ac:dyDescent="0.25">
      <c r="A1486" s="111"/>
      <c r="B1486" s="134" t="s">
        <v>776</v>
      </c>
      <c r="C1486" s="115"/>
      <c r="D1486" s="116">
        <v>1.25</v>
      </c>
      <c r="E1486" s="117"/>
      <c r="F1486" s="114">
        <f>+F1485*D1486</f>
        <v>19212.5</v>
      </c>
    </row>
    <row r="1487" spans="1:6" x14ac:dyDescent="0.25">
      <c r="A1487" s="111"/>
      <c r="B1487" s="134" t="s">
        <v>835</v>
      </c>
      <c r="C1487" s="115"/>
      <c r="D1487" s="116">
        <v>1.25</v>
      </c>
      <c r="E1487" s="117"/>
      <c r="F1487" s="114"/>
    </row>
    <row r="1488" spans="1:6" x14ac:dyDescent="0.35">
      <c r="A1488" s="241" t="s">
        <v>147</v>
      </c>
      <c r="B1488" s="242" t="s">
        <v>789</v>
      </c>
      <c r="C1488" s="208" t="s">
        <v>35</v>
      </c>
      <c r="D1488" s="208"/>
      <c r="E1488" s="209"/>
      <c r="F1488" s="209">
        <f>+D1487*F1486</f>
        <v>24015.625</v>
      </c>
    </row>
    <row r="1489" spans="1:6" x14ac:dyDescent="0.35">
      <c r="A1489" s="243"/>
      <c r="B1489" s="244"/>
      <c r="C1489" s="245"/>
      <c r="D1489" s="245"/>
      <c r="E1489" s="246">
        <f>+E1470</f>
        <v>3035.45</v>
      </c>
      <c r="F1489" s="246">
        <f>+F1488/E1489</f>
        <v>7.9117181966430019</v>
      </c>
    </row>
    <row r="1490" spans="1:6" x14ac:dyDescent="0.35">
      <c r="A1490" s="126"/>
      <c r="B1490" s="127"/>
      <c r="C1490" s="128"/>
      <c r="D1490" s="128"/>
      <c r="E1490" s="129"/>
      <c r="F1490" s="129"/>
    </row>
    <row r="1491" spans="1:6" x14ac:dyDescent="0.35">
      <c r="A1491" s="130"/>
      <c r="B1491" s="131"/>
      <c r="C1491" s="132"/>
      <c r="D1491" s="132"/>
      <c r="E1491" s="133"/>
      <c r="F1491" s="133"/>
    </row>
    <row r="1492" spans="1:6" x14ac:dyDescent="0.35">
      <c r="A1492" s="247" t="s">
        <v>135</v>
      </c>
      <c r="B1492" s="248" t="s">
        <v>868</v>
      </c>
      <c r="C1492" s="249" t="s">
        <v>2</v>
      </c>
      <c r="D1492" s="250" t="s">
        <v>765</v>
      </c>
      <c r="E1492" s="251" t="s">
        <v>766</v>
      </c>
      <c r="F1492" s="251" t="s">
        <v>767</v>
      </c>
    </row>
    <row r="1493" spans="1:6" x14ac:dyDescent="0.35">
      <c r="A1493" s="239" t="s">
        <v>730</v>
      </c>
      <c r="B1493" s="214" t="s">
        <v>1344</v>
      </c>
      <c r="C1493" s="115" t="s">
        <v>35</v>
      </c>
      <c r="D1493" s="141"/>
      <c r="E1493" s="110"/>
      <c r="F1493" s="110"/>
    </row>
    <row r="1494" spans="1:6" x14ac:dyDescent="0.35">
      <c r="A1494" s="111"/>
      <c r="B1494" s="112" t="s">
        <v>802</v>
      </c>
      <c r="C1494" s="118"/>
      <c r="D1494" s="118"/>
      <c r="E1494" s="119"/>
      <c r="F1494" s="119"/>
    </row>
    <row r="1495" spans="1:6" x14ac:dyDescent="0.35">
      <c r="A1495" s="111"/>
      <c r="B1495" s="120" t="s">
        <v>873</v>
      </c>
      <c r="C1495" s="115" t="s">
        <v>38</v>
      </c>
      <c r="D1495" s="115">
        <v>0.02</v>
      </c>
      <c r="E1495" s="119">
        <v>55000</v>
      </c>
      <c r="F1495" s="142">
        <f>D1495*E1495</f>
        <v>1100</v>
      </c>
    </row>
    <row r="1496" spans="1:6" x14ac:dyDescent="0.35">
      <c r="A1496" s="111"/>
      <c r="B1496" s="120" t="s">
        <v>874</v>
      </c>
      <c r="C1496" s="115" t="s">
        <v>35</v>
      </c>
      <c r="D1496" s="115">
        <v>1</v>
      </c>
      <c r="E1496" s="119">
        <v>48000</v>
      </c>
      <c r="F1496" s="142">
        <f>D1496*E1496</f>
        <v>48000</v>
      </c>
    </row>
    <row r="1497" spans="1:6" x14ac:dyDescent="0.25">
      <c r="A1497" s="111"/>
      <c r="B1497" s="120" t="s">
        <v>857</v>
      </c>
      <c r="C1497" s="115" t="s">
        <v>804</v>
      </c>
      <c r="D1497" s="135">
        <v>0.01</v>
      </c>
      <c r="E1497" s="117">
        <v>51000</v>
      </c>
      <c r="F1497" s="142">
        <f>D1497*E1497</f>
        <v>510</v>
      </c>
    </row>
    <row r="1498" spans="1:6" x14ac:dyDescent="0.25">
      <c r="A1498" s="111"/>
      <c r="B1498" s="134" t="s">
        <v>807</v>
      </c>
      <c r="C1498" s="118"/>
      <c r="D1498" s="135">
        <v>0.5</v>
      </c>
      <c r="E1498" s="117">
        <v>1000</v>
      </c>
      <c r="F1498" s="142">
        <f>D1498*E1498</f>
        <v>500</v>
      </c>
    </row>
    <row r="1499" spans="1:6" x14ac:dyDescent="0.3">
      <c r="A1499" s="111"/>
      <c r="B1499" s="136" t="s">
        <v>769</v>
      </c>
      <c r="C1499" s="118"/>
      <c r="D1499" s="116"/>
      <c r="E1499" s="117"/>
      <c r="F1499" s="114">
        <f>SUM(F1495:F1498)</f>
        <v>50110</v>
      </c>
    </row>
    <row r="1500" spans="1:6" x14ac:dyDescent="0.3">
      <c r="A1500" s="111"/>
      <c r="B1500" s="136" t="s">
        <v>808</v>
      </c>
      <c r="C1500" s="115"/>
      <c r="D1500" s="116"/>
      <c r="E1500" s="117"/>
      <c r="F1500" s="114"/>
    </row>
    <row r="1501" spans="1:6" x14ac:dyDescent="0.25">
      <c r="A1501" s="111"/>
      <c r="B1501" s="134" t="s">
        <v>820</v>
      </c>
      <c r="C1501" s="115" t="s">
        <v>772</v>
      </c>
      <c r="D1501" s="116">
        <v>0.25</v>
      </c>
      <c r="E1501" s="117">
        <v>7500</v>
      </c>
      <c r="F1501" s="121">
        <f>D1501*E1501</f>
        <v>1875</v>
      </c>
    </row>
    <row r="1502" spans="1:6" x14ac:dyDescent="0.25">
      <c r="A1502" s="111"/>
      <c r="B1502" s="134" t="s">
        <v>821</v>
      </c>
      <c r="C1502" s="115" t="s">
        <v>772</v>
      </c>
      <c r="D1502" s="116">
        <v>0.25</v>
      </c>
      <c r="E1502" s="117">
        <v>7500</v>
      </c>
      <c r="F1502" s="121">
        <f>D1502*E1502</f>
        <v>1875</v>
      </c>
    </row>
    <row r="1503" spans="1:6" x14ac:dyDescent="0.25">
      <c r="A1503" s="111"/>
      <c r="B1503" s="134" t="s">
        <v>851</v>
      </c>
      <c r="C1503" s="115" t="s">
        <v>772</v>
      </c>
      <c r="D1503" s="116">
        <v>0.5</v>
      </c>
      <c r="E1503" s="117">
        <v>15000</v>
      </c>
      <c r="F1503" s="121">
        <f>D1503*E1503</f>
        <v>7500</v>
      </c>
    </row>
    <row r="1504" spans="1:6" x14ac:dyDescent="0.3">
      <c r="A1504" s="111"/>
      <c r="B1504" s="136" t="s">
        <v>774</v>
      </c>
      <c r="C1504" s="115"/>
      <c r="D1504" s="228"/>
      <c r="E1504" s="117"/>
      <c r="F1504" s="114">
        <f>SUM(F1501:F1503)</f>
        <v>11250</v>
      </c>
    </row>
    <row r="1505" spans="1:8" x14ac:dyDescent="0.3">
      <c r="A1505" s="111"/>
      <c r="B1505" s="136" t="s">
        <v>775</v>
      </c>
      <c r="C1505" s="115"/>
      <c r="D1505" s="116"/>
      <c r="E1505" s="117"/>
      <c r="F1505" s="114">
        <f>F1504+F1499</f>
        <v>61360</v>
      </c>
    </row>
    <row r="1506" spans="1:8" x14ac:dyDescent="0.25">
      <c r="A1506" s="111"/>
      <c r="B1506" s="134" t="s">
        <v>824</v>
      </c>
      <c r="C1506" s="115"/>
      <c r="D1506" s="116">
        <v>1.1000000000000001</v>
      </c>
      <c r="E1506" s="117"/>
      <c r="F1506" s="114">
        <f>+F1505*D1506</f>
        <v>67496</v>
      </c>
    </row>
    <row r="1507" spans="1:8" x14ac:dyDescent="0.25">
      <c r="A1507" s="111"/>
      <c r="B1507" s="134" t="s">
        <v>825</v>
      </c>
      <c r="C1507" s="115"/>
      <c r="D1507" s="116">
        <v>1.1000000000000001</v>
      </c>
      <c r="E1507" s="117"/>
      <c r="F1507" s="114"/>
    </row>
    <row r="1508" spans="1:8" x14ac:dyDescent="0.35">
      <c r="A1508" s="241" t="s">
        <v>730</v>
      </c>
      <c r="B1508" s="242" t="s">
        <v>789</v>
      </c>
      <c r="C1508" s="208" t="s">
        <v>35</v>
      </c>
      <c r="D1508" s="208"/>
      <c r="E1508" s="209"/>
      <c r="F1508" s="209">
        <f>+D1507*F1506</f>
        <v>74245.600000000006</v>
      </c>
    </row>
    <row r="1509" spans="1:8" x14ac:dyDescent="0.35">
      <c r="A1509" s="206"/>
      <c r="B1509" s="207"/>
      <c r="C1509" s="208"/>
      <c r="D1509" s="208"/>
      <c r="E1509" s="210">
        <f>+E1489</f>
        <v>3035.45</v>
      </c>
      <c r="F1509" s="210">
        <f>+F1508/E1509</f>
        <v>24.459503533248782</v>
      </c>
    </row>
    <row r="1510" spans="1:8" x14ac:dyDescent="0.35">
      <c r="A1510" s="126"/>
      <c r="B1510" s="127"/>
      <c r="C1510" s="128"/>
      <c r="D1510" s="128"/>
      <c r="E1510" s="129"/>
      <c r="F1510" s="129"/>
    </row>
    <row r="1511" spans="1:8" x14ac:dyDescent="0.35">
      <c r="A1511" s="130"/>
      <c r="B1511" s="131"/>
      <c r="C1511" s="132"/>
      <c r="D1511" s="132"/>
      <c r="E1511" s="133"/>
      <c r="F1511" s="133"/>
    </row>
    <row r="1512" spans="1:8" s="139" customFormat="1" x14ac:dyDescent="0.35">
      <c r="A1512" s="236" t="s">
        <v>135</v>
      </c>
      <c r="B1512" s="201" t="s">
        <v>868</v>
      </c>
      <c r="C1512" s="200" t="s">
        <v>2</v>
      </c>
      <c r="D1512" s="202" t="s">
        <v>765</v>
      </c>
      <c r="E1512" s="203" t="s">
        <v>766</v>
      </c>
      <c r="F1512" s="203" t="s">
        <v>767</v>
      </c>
      <c r="G1512" s="138"/>
      <c r="H1512" s="177"/>
    </row>
    <row r="1513" spans="1:8" s="139" customFormat="1" x14ac:dyDescent="0.35">
      <c r="A1513" s="237" t="s">
        <v>875</v>
      </c>
      <c r="B1513" s="227" t="s">
        <v>629</v>
      </c>
      <c r="C1513" s="124"/>
      <c r="D1513" s="141"/>
      <c r="E1513" s="110"/>
      <c r="F1513" s="110"/>
      <c r="G1513" s="138"/>
      <c r="H1513" s="177"/>
    </row>
    <row r="1514" spans="1:8" s="139" customFormat="1" x14ac:dyDescent="0.35">
      <c r="A1514" s="239" t="s">
        <v>876</v>
      </c>
      <c r="B1514" s="214" t="s">
        <v>877</v>
      </c>
      <c r="C1514" s="252" t="s">
        <v>27</v>
      </c>
      <c r="D1514" s="124"/>
      <c r="E1514" s="117"/>
      <c r="F1514" s="117"/>
      <c r="G1514" s="138"/>
      <c r="H1514" s="177"/>
    </row>
    <row r="1515" spans="1:8" s="139" customFormat="1" x14ac:dyDescent="0.35">
      <c r="A1515" s="109"/>
      <c r="B1515" s="108" t="s">
        <v>802</v>
      </c>
      <c r="C1515" s="156"/>
      <c r="D1515" s="156"/>
      <c r="E1515" s="147"/>
      <c r="F1515" s="147"/>
      <c r="G1515" s="138"/>
      <c r="H1515" s="177"/>
    </row>
    <row r="1516" spans="1:8" s="139" customFormat="1" x14ac:dyDescent="0.35">
      <c r="A1516" s="109"/>
      <c r="B1516" s="123" t="s">
        <v>878</v>
      </c>
      <c r="C1516" s="124" t="s">
        <v>27</v>
      </c>
      <c r="D1516" s="124">
        <v>0.5</v>
      </c>
      <c r="E1516" s="147">
        <v>7500</v>
      </c>
      <c r="F1516" s="150">
        <f>D1516*E1516</f>
        <v>3750</v>
      </c>
      <c r="G1516" s="138"/>
      <c r="H1516" s="177"/>
    </row>
    <row r="1517" spans="1:8" s="139" customFormat="1" x14ac:dyDescent="0.3">
      <c r="A1517" s="109"/>
      <c r="B1517" s="148" t="s">
        <v>769</v>
      </c>
      <c r="C1517" s="156"/>
      <c r="D1517" s="146"/>
      <c r="E1517" s="117"/>
      <c r="F1517" s="110">
        <f>SUM(F1516:F1516)</f>
        <v>3750</v>
      </c>
      <c r="G1517" s="138"/>
      <c r="H1517" s="177"/>
    </row>
    <row r="1518" spans="1:8" s="139" customFormat="1" x14ac:dyDescent="0.3">
      <c r="A1518" s="109"/>
      <c r="B1518" s="148" t="s">
        <v>808</v>
      </c>
      <c r="C1518" s="124"/>
      <c r="D1518" s="146"/>
      <c r="E1518" s="117"/>
      <c r="F1518" s="110"/>
      <c r="G1518" s="138"/>
      <c r="H1518" s="177"/>
    </row>
    <row r="1519" spans="1:8" s="139" customFormat="1" x14ac:dyDescent="0.25">
      <c r="A1519" s="109"/>
      <c r="B1519" s="149" t="s">
        <v>773</v>
      </c>
      <c r="C1519" s="124" t="s">
        <v>772</v>
      </c>
      <c r="D1519" s="146">
        <v>0.1</v>
      </c>
      <c r="E1519" s="117">
        <v>15000</v>
      </c>
      <c r="F1519" s="117">
        <f>D1519*E1519</f>
        <v>1500</v>
      </c>
      <c r="G1519" s="138"/>
      <c r="H1519" s="177"/>
    </row>
    <row r="1520" spans="1:8" s="139" customFormat="1" x14ac:dyDescent="0.3">
      <c r="A1520" s="109"/>
      <c r="B1520" s="148" t="s">
        <v>774</v>
      </c>
      <c r="C1520" s="124"/>
      <c r="D1520" s="253"/>
      <c r="E1520" s="117"/>
      <c r="F1520" s="110">
        <f>SUM(F1519:F1519)</f>
        <v>1500</v>
      </c>
      <c r="G1520" s="138"/>
      <c r="H1520" s="177"/>
    </row>
    <row r="1521" spans="1:8" s="139" customFormat="1" x14ac:dyDescent="0.3">
      <c r="A1521" s="109"/>
      <c r="B1521" s="148" t="s">
        <v>775</v>
      </c>
      <c r="C1521" s="124"/>
      <c r="D1521" s="146"/>
      <c r="E1521" s="117"/>
      <c r="F1521" s="110">
        <f>F1520+F1517</f>
        <v>5250</v>
      </c>
      <c r="G1521" s="138"/>
      <c r="H1521" s="177"/>
    </row>
    <row r="1522" spans="1:8" s="139" customFormat="1" x14ac:dyDescent="0.25">
      <c r="A1522" s="109"/>
      <c r="B1522" s="149" t="s">
        <v>792</v>
      </c>
      <c r="C1522" s="124"/>
      <c r="D1522" s="146">
        <v>1.05</v>
      </c>
      <c r="E1522" s="117"/>
      <c r="F1522" s="110">
        <f>+F1521*D1522</f>
        <v>5512.5</v>
      </c>
      <c r="G1522" s="138"/>
      <c r="H1522" s="177"/>
    </row>
    <row r="1523" spans="1:8" s="139" customFormat="1" x14ac:dyDescent="0.25">
      <c r="A1523" s="109"/>
      <c r="B1523" s="149" t="s">
        <v>848</v>
      </c>
      <c r="C1523" s="124"/>
      <c r="D1523" s="146">
        <v>1.05</v>
      </c>
      <c r="E1523" s="117"/>
      <c r="F1523" s="110"/>
      <c r="G1523" s="138"/>
      <c r="H1523" s="177"/>
    </row>
    <row r="1524" spans="1:8" s="139" customFormat="1" x14ac:dyDescent="0.35">
      <c r="A1524" s="241" t="s">
        <v>876</v>
      </c>
      <c r="B1524" s="242" t="s">
        <v>784</v>
      </c>
      <c r="C1524" s="208" t="s">
        <v>27</v>
      </c>
      <c r="D1524" s="208"/>
      <c r="E1524" s="209"/>
      <c r="F1524" s="209">
        <f>+D1523*F1522</f>
        <v>5788.125</v>
      </c>
      <c r="G1524" s="138"/>
      <c r="H1524" s="177"/>
    </row>
    <row r="1525" spans="1:8" s="139" customFormat="1" x14ac:dyDescent="0.35">
      <c r="A1525" s="243"/>
      <c r="B1525" s="244"/>
      <c r="C1525" s="245"/>
      <c r="D1525" s="245"/>
      <c r="E1525" s="246">
        <f>+E1509</f>
        <v>3035.45</v>
      </c>
      <c r="F1525" s="246">
        <f>+F1524/E1525</f>
        <v>1.9068424780510305</v>
      </c>
      <c r="G1525" s="138"/>
      <c r="H1525" s="177"/>
    </row>
    <row r="1526" spans="1:8" s="139" customFormat="1" x14ac:dyDescent="0.35">
      <c r="A1526" s="126"/>
      <c r="B1526" s="127"/>
      <c r="C1526" s="128"/>
      <c r="D1526" s="128"/>
      <c r="E1526" s="129"/>
      <c r="F1526" s="129"/>
      <c r="G1526" s="138"/>
      <c r="H1526" s="177"/>
    </row>
    <row r="1527" spans="1:8" s="139" customFormat="1" x14ac:dyDescent="0.35">
      <c r="A1527" s="130"/>
      <c r="B1527" s="131"/>
      <c r="C1527" s="132"/>
      <c r="D1527" s="132"/>
      <c r="E1527" s="133"/>
      <c r="F1527" s="133"/>
      <c r="G1527" s="138"/>
      <c r="H1527" s="177"/>
    </row>
    <row r="1528" spans="1:8" s="139" customFormat="1" x14ac:dyDescent="0.35">
      <c r="A1528" s="247" t="s">
        <v>135</v>
      </c>
      <c r="B1528" s="248" t="s">
        <v>868</v>
      </c>
      <c r="C1528" s="249" t="s">
        <v>2</v>
      </c>
      <c r="D1528" s="250" t="s">
        <v>765</v>
      </c>
      <c r="E1528" s="251" t="s">
        <v>766</v>
      </c>
      <c r="F1528" s="251" t="s">
        <v>767</v>
      </c>
      <c r="G1528" s="138"/>
      <c r="H1528" s="177"/>
    </row>
    <row r="1529" spans="1:8" s="139" customFormat="1" x14ac:dyDescent="0.35">
      <c r="A1529" s="237" t="s">
        <v>875</v>
      </c>
      <c r="B1529" s="227" t="s">
        <v>629</v>
      </c>
      <c r="C1529" s="124"/>
      <c r="D1529" s="141"/>
      <c r="E1529" s="110"/>
      <c r="F1529" s="110"/>
      <c r="G1529" s="138"/>
      <c r="H1529" s="177"/>
    </row>
    <row r="1530" spans="1:8" s="139" customFormat="1" x14ac:dyDescent="0.35">
      <c r="A1530" s="239" t="s">
        <v>879</v>
      </c>
      <c r="B1530" s="214" t="s">
        <v>630</v>
      </c>
      <c r="C1530" s="252" t="s">
        <v>27</v>
      </c>
      <c r="D1530" s="124"/>
      <c r="E1530" s="117"/>
      <c r="F1530" s="117"/>
      <c r="G1530" s="138"/>
      <c r="H1530" s="177"/>
    </row>
    <row r="1531" spans="1:8" s="139" customFormat="1" x14ac:dyDescent="0.35">
      <c r="A1531" s="109"/>
      <c r="B1531" s="108" t="s">
        <v>802</v>
      </c>
      <c r="C1531" s="156"/>
      <c r="D1531" s="156"/>
      <c r="E1531" s="147"/>
      <c r="F1531" s="147"/>
      <c r="G1531" s="138"/>
      <c r="H1531" s="177"/>
    </row>
    <row r="1532" spans="1:8" s="139" customFormat="1" x14ac:dyDescent="0.35">
      <c r="A1532" s="109"/>
      <c r="B1532" s="123" t="s">
        <v>880</v>
      </c>
      <c r="C1532" s="124" t="s">
        <v>27</v>
      </c>
      <c r="D1532" s="124">
        <v>1</v>
      </c>
      <c r="E1532" s="147">
        <v>1500</v>
      </c>
      <c r="F1532" s="150">
        <f>D1532*E1532</f>
        <v>1500</v>
      </c>
      <c r="G1532" s="138"/>
      <c r="H1532" s="177"/>
    </row>
    <row r="1533" spans="1:8" s="139" customFormat="1" x14ac:dyDescent="0.3">
      <c r="A1533" s="109"/>
      <c r="B1533" s="148" t="s">
        <v>769</v>
      </c>
      <c r="C1533" s="156"/>
      <c r="D1533" s="146"/>
      <c r="E1533" s="117"/>
      <c r="F1533" s="110">
        <f>SUM(F1532:F1532)</f>
        <v>1500</v>
      </c>
      <c r="G1533" s="138"/>
      <c r="H1533" s="177"/>
    </row>
    <row r="1534" spans="1:8" s="139" customFormat="1" x14ac:dyDescent="0.3">
      <c r="A1534" s="109"/>
      <c r="B1534" s="148" t="s">
        <v>808</v>
      </c>
      <c r="C1534" s="124"/>
      <c r="D1534" s="146"/>
      <c r="E1534" s="117"/>
      <c r="F1534" s="110"/>
      <c r="G1534" s="138"/>
      <c r="H1534" s="177"/>
    </row>
    <row r="1535" spans="1:8" s="139" customFormat="1" x14ac:dyDescent="0.25">
      <c r="A1535" s="109"/>
      <c r="B1535" s="149" t="s">
        <v>773</v>
      </c>
      <c r="C1535" s="124" t="s">
        <v>772</v>
      </c>
      <c r="D1535" s="146">
        <v>0.1</v>
      </c>
      <c r="E1535" s="117">
        <v>15000</v>
      </c>
      <c r="F1535" s="117">
        <f>D1535*E1535</f>
        <v>1500</v>
      </c>
      <c r="G1535" s="138"/>
      <c r="H1535" s="177"/>
    </row>
    <row r="1536" spans="1:8" s="139" customFormat="1" x14ac:dyDescent="0.3">
      <c r="A1536" s="109"/>
      <c r="B1536" s="148" t="s">
        <v>774</v>
      </c>
      <c r="C1536" s="124"/>
      <c r="D1536" s="253"/>
      <c r="E1536" s="117"/>
      <c r="F1536" s="110">
        <f>SUM(F1535:F1535)</f>
        <v>1500</v>
      </c>
      <c r="G1536" s="138"/>
      <c r="H1536" s="177"/>
    </row>
    <row r="1537" spans="1:8" s="139" customFormat="1" x14ac:dyDescent="0.3">
      <c r="A1537" s="109"/>
      <c r="B1537" s="148" t="s">
        <v>775</v>
      </c>
      <c r="C1537" s="124"/>
      <c r="D1537" s="146"/>
      <c r="E1537" s="117"/>
      <c r="F1537" s="110">
        <f>F1536+F1533</f>
        <v>3000</v>
      </c>
      <c r="G1537" s="138"/>
      <c r="H1537" s="177"/>
    </row>
    <row r="1538" spans="1:8" s="139" customFormat="1" x14ac:dyDescent="0.25">
      <c r="A1538" s="109"/>
      <c r="B1538" s="149" t="s">
        <v>792</v>
      </c>
      <c r="C1538" s="124"/>
      <c r="D1538" s="146">
        <v>1.05</v>
      </c>
      <c r="E1538" s="117"/>
      <c r="F1538" s="110">
        <f>+F1537*D1538</f>
        <v>3150</v>
      </c>
      <c r="G1538" s="138"/>
      <c r="H1538" s="177"/>
    </row>
    <row r="1539" spans="1:8" s="139" customFormat="1" x14ac:dyDescent="0.25">
      <c r="A1539" s="109"/>
      <c r="B1539" s="149" t="s">
        <v>848</v>
      </c>
      <c r="C1539" s="124"/>
      <c r="D1539" s="146">
        <v>1.05</v>
      </c>
      <c r="E1539" s="117"/>
      <c r="F1539" s="110"/>
      <c r="G1539" s="138"/>
      <c r="H1539" s="177"/>
    </row>
    <row r="1540" spans="1:8" s="139" customFormat="1" x14ac:dyDescent="0.35">
      <c r="A1540" s="241" t="s">
        <v>879</v>
      </c>
      <c r="B1540" s="242" t="s">
        <v>784</v>
      </c>
      <c r="C1540" s="208" t="s">
        <v>27</v>
      </c>
      <c r="D1540" s="208"/>
      <c r="E1540" s="209"/>
      <c r="F1540" s="209">
        <f>+D1539*F1538</f>
        <v>3307.5</v>
      </c>
      <c r="G1540" s="138"/>
      <c r="H1540" s="177"/>
    </row>
    <row r="1541" spans="1:8" s="139" customFormat="1" x14ac:dyDescent="0.35">
      <c r="A1541" s="206"/>
      <c r="B1541" s="207"/>
      <c r="C1541" s="208"/>
      <c r="D1541" s="208"/>
      <c r="E1541" s="210">
        <f>+E1525</f>
        <v>3035.45</v>
      </c>
      <c r="F1541" s="210">
        <f>+F1540/E1541</f>
        <v>1.0896242731720174</v>
      </c>
      <c r="G1541" s="138"/>
      <c r="H1541" s="177"/>
    </row>
    <row r="1542" spans="1:8" x14ac:dyDescent="0.35">
      <c r="A1542" s="126"/>
      <c r="B1542" s="127"/>
      <c r="C1542" s="128"/>
      <c r="D1542" s="128"/>
      <c r="E1542" s="129"/>
      <c r="F1542" s="129"/>
    </row>
    <row r="1543" spans="1:8" x14ac:dyDescent="0.35">
      <c r="A1543" s="130"/>
      <c r="B1543" s="131"/>
      <c r="C1543" s="132"/>
      <c r="D1543" s="132"/>
      <c r="E1543" s="133"/>
      <c r="F1543" s="133"/>
    </row>
    <row r="1544" spans="1:8" x14ac:dyDescent="0.35">
      <c r="A1544" s="236" t="s">
        <v>135</v>
      </c>
      <c r="B1544" s="201" t="s">
        <v>868</v>
      </c>
      <c r="C1544" s="200" t="s">
        <v>2</v>
      </c>
      <c r="D1544" s="202" t="s">
        <v>765</v>
      </c>
      <c r="E1544" s="203" t="s">
        <v>766</v>
      </c>
      <c r="F1544" s="203" t="s">
        <v>767</v>
      </c>
    </row>
    <row r="1545" spans="1:8" x14ac:dyDescent="0.3">
      <c r="A1545" s="237" t="s">
        <v>148</v>
      </c>
      <c r="B1545" s="231" t="s">
        <v>149</v>
      </c>
      <c r="C1545" s="224"/>
      <c r="D1545" s="141"/>
      <c r="E1545" s="110"/>
      <c r="F1545" s="110"/>
    </row>
    <row r="1546" spans="1:8" x14ac:dyDescent="0.3">
      <c r="A1546" s="237" t="s">
        <v>150</v>
      </c>
      <c r="B1546" s="231" t="s">
        <v>151</v>
      </c>
      <c r="C1546" s="224"/>
      <c r="D1546" s="124"/>
      <c r="E1546" s="117"/>
      <c r="F1546" s="117"/>
    </row>
    <row r="1547" spans="1:8" x14ac:dyDescent="0.3">
      <c r="A1547" s="239" t="s">
        <v>152</v>
      </c>
      <c r="B1547" s="254" t="s">
        <v>153</v>
      </c>
      <c r="C1547" s="224" t="s">
        <v>35</v>
      </c>
      <c r="D1547" s="124"/>
      <c r="E1547" s="117"/>
      <c r="F1547" s="117"/>
    </row>
    <row r="1548" spans="1:8" x14ac:dyDescent="0.35">
      <c r="A1548" s="111"/>
      <c r="B1548" s="112" t="s">
        <v>802</v>
      </c>
      <c r="C1548" s="118"/>
      <c r="D1548" s="118"/>
      <c r="E1548" s="119"/>
      <c r="F1548" s="119"/>
    </row>
    <row r="1549" spans="1:8" x14ac:dyDescent="0.35">
      <c r="A1549" s="111"/>
      <c r="B1549" s="120" t="s">
        <v>857</v>
      </c>
      <c r="C1549" s="118" t="s">
        <v>804</v>
      </c>
      <c r="D1549" s="115">
        <v>0.15</v>
      </c>
      <c r="E1549" s="117">
        <v>51000</v>
      </c>
      <c r="F1549" s="142">
        <f>+D1549*E1549</f>
        <v>7650</v>
      </c>
    </row>
    <row r="1550" spans="1:8" x14ac:dyDescent="0.35">
      <c r="A1550" s="111"/>
      <c r="B1550" s="120" t="s">
        <v>873</v>
      </c>
      <c r="C1550" s="115" t="s">
        <v>38</v>
      </c>
      <c r="D1550" s="144">
        <v>0.3</v>
      </c>
      <c r="E1550" s="119">
        <v>65000</v>
      </c>
      <c r="F1550" s="142">
        <f>+D1550*E1550</f>
        <v>19500</v>
      </c>
    </row>
    <row r="1551" spans="1:8" x14ac:dyDescent="0.25">
      <c r="A1551" s="111"/>
      <c r="B1551" s="120" t="s">
        <v>881</v>
      </c>
      <c r="C1551" s="115" t="s">
        <v>853</v>
      </c>
      <c r="D1551" s="135">
        <v>0.2</v>
      </c>
      <c r="E1551" s="117">
        <f>125000/25</f>
        <v>5000</v>
      </c>
      <c r="F1551" s="142">
        <f>+D1551*E1551</f>
        <v>1000</v>
      </c>
    </row>
    <row r="1552" spans="1:8" x14ac:dyDescent="0.25">
      <c r="A1552" s="111"/>
      <c r="B1552" s="134" t="s">
        <v>807</v>
      </c>
      <c r="C1552" s="118"/>
      <c r="D1552" s="135">
        <v>0.5</v>
      </c>
      <c r="E1552" s="117">
        <v>1000</v>
      </c>
      <c r="F1552" s="142">
        <f>+D1552*E1552</f>
        <v>500</v>
      </c>
    </row>
    <row r="1553" spans="1:6" x14ac:dyDescent="0.3">
      <c r="A1553" s="111"/>
      <c r="B1553" s="136" t="s">
        <v>769</v>
      </c>
      <c r="C1553" s="118"/>
      <c r="D1553" s="116"/>
      <c r="E1553" s="117"/>
      <c r="F1553" s="114">
        <f>SUM(F1549:F1552)</f>
        <v>28650</v>
      </c>
    </row>
    <row r="1554" spans="1:6" x14ac:dyDescent="0.3">
      <c r="A1554" s="111"/>
      <c r="B1554" s="136" t="s">
        <v>808</v>
      </c>
      <c r="C1554" s="115"/>
      <c r="D1554" s="116"/>
      <c r="E1554" s="117"/>
      <c r="F1554" s="114"/>
    </row>
    <row r="1555" spans="1:6" x14ac:dyDescent="0.25">
      <c r="A1555" s="111"/>
      <c r="B1555" s="134" t="s">
        <v>820</v>
      </c>
      <c r="C1555" s="115" t="s">
        <v>772</v>
      </c>
      <c r="D1555" s="116">
        <v>0.1</v>
      </c>
      <c r="E1555" s="117">
        <v>7500</v>
      </c>
      <c r="F1555" s="121">
        <f>D1555*E1555</f>
        <v>750</v>
      </c>
    </row>
    <row r="1556" spans="1:6" x14ac:dyDescent="0.25">
      <c r="A1556" s="111"/>
      <c r="B1556" s="134" t="s">
        <v>821</v>
      </c>
      <c r="C1556" s="115" t="s">
        <v>772</v>
      </c>
      <c r="D1556" s="116">
        <v>0.1</v>
      </c>
      <c r="E1556" s="117">
        <v>7500</v>
      </c>
      <c r="F1556" s="121">
        <f>D1556*E1556</f>
        <v>750</v>
      </c>
    </row>
    <row r="1557" spans="1:6" x14ac:dyDescent="0.25">
      <c r="A1557" s="111"/>
      <c r="B1557" s="134" t="s">
        <v>851</v>
      </c>
      <c r="C1557" s="115" t="s">
        <v>772</v>
      </c>
      <c r="D1557" s="116">
        <v>0.1</v>
      </c>
      <c r="E1557" s="117">
        <v>15000</v>
      </c>
      <c r="F1557" s="121">
        <f>D1557*E1557</f>
        <v>1500</v>
      </c>
    </row>
    <row r="1558" spans="1:6" x14ac:dyDescent="0.3">
      <c r="A1558" s="111"/>
      <c r="B1558" s="136" t="s">
        <v>774</v>
      </c>
      <c r="C1558" s="115"/>
      <c r="D1558" s="228"/>
      <c r="E1558" s="117"/>
      <c r="F1558" s="114">
        <f>SUM(F1555:F1557)</f>
        <v>3000</v>
      </c>
    </row>
    <row r="1559" spans="1:6" x14ac:dyDescent="0.3">
      <c r="A1559" s="111"/>
      <c r="B1559" s="136" t="s">
        <v>775</v>
      </c>
      <c r="C1559" s="115"/>
      <c r="D1559" s="116"/>
      <c r="E1559" s="117"/>
      <c r="F1559" s="114">
        <f>F1558+F1553</f>
        <v>31650</v>
      </c>
    </row>
    <row r="1560" spans="1:6" x14ac:dyDescent="0.25">
      <c r="A1560" s="111"/>
      <c r="B1560" s="134" t="s">
        <v>792</v>
      </c>
      <c r="C1560" s="115"/>
      <c r="D1560" s="116">
        <v>1.05</v>
      </c>
      <c r="E1560" s="117"/>
      <c r="F1560" s="114">
        <f>+F1559*D1560</f>
        <v>33232.5</v>
      </c>
    </row>
    <row r="1561" spans="1:6" x14ac:dyDescent="0.25">
      <c r="A1561" s="111"/>
      <c r="B1561" s="134" t="s">
        <v>848</v>
      </c>
      <c r="C1561" s="115"/>
      <c r="D1561" s="116">
        <v>1.05</v>
      </c>
      <c r="E1561" s="117"/>
      <c r="F1561" s="114"/>
    </row>
    <row r="1562" spans="1:6" x14ac:dyDescent="0.35">
      <c r="A1562" s="241" t="s">
        <v>152</v>
      </c>
      <c r="B1562" s="242" t="s">
        <v>789</v>
      </c>
      <c r="C1562" s="208" t="s">
        <v>35</v>
      </c>
      <c r="D1562" s="208"/>
      <c r="E1562" s="209"/>
      <c r="F1562" s="209">
        <f>+D1561*F1560</f>
        <v>34894.125</v>
      </c>
    </row>
    <row r="1563" spans="1:6" x14ac:dyDescent="0.35">
      <c r="A1563" s="206"/>
      <c r="B1563" s="207"/>
      <c r="C1563" s="208"/>
      <c r="D1563" s="208"/>
      <c r="E1563" s="210">
        <f>+E1541</f>
        <v>3035.45</v>
      </c>
      <c r="F1563" s="210">
        <f>+F1562/E1563</f>
        <v>11.495536081964783</v>
      </c>
    </row>
    <row r="1564" spans="1:6" x14ac:dyDescent="0.35">
      <c r="A1564" s="126"/>
      <c r="B1564" s="127"/>
      <c r="C1564" s="128"/>
      <c r="D1564" s="128"/>
      <c r="E1564" s="129"/>
      <c r="F1564" s="129"/>
    </row>
    <row r="1565" spans="1:6" x14ac:dyDescent="0.35">
      <c r="A1565" s="130"/>
      <c r="B1565" s="131"/>
      <c r="C1565" s="132"/>
      <c r="D1565" s="132"/>
      <c r="E1565" s="133"/>
      <c r="F1565" s="133"/>
    </row>
    <row r="1566" spans="1:6" x14ac:dyDescent="0.35">
      <c r="A1566" s="236" t="s">
        <v>135</v>
      </c>
      <c r="B1566" s="201" t="s">
        <v>868</v>
      </c>
      <c r="C1566" s="200" t="s">
        <v>2</v>
      </c>
      <c r="D1566" s="202" t="s">
        <v>765</v>
      </c>
      <c r="E1566" s="203" t="s">
        <v>766</v>
      </c>
      <c r="F1566" s="203" t="s">
        <v>767</v>
      </c>
    </row>
    <row r="1567" spans="1:6" x14ac:dyDescent="0.3">
      <c r="A1567" s="237" t="s">
        <v>148</v>
      </c>
      <c r="B1567" s="231" t="s">
        <v>149</v>
      </c>
      <c r="C1567" s="224"/>
      <c r="D1567" s="141"/>
      <c r="E1567" s="110"/>
      <c r="F1567" s="110"/>
    </row>
    <row r="1568" spans="1:6" x14ac:dyDescent="0.3">
      <c r="A1568" s="239" t="s">
        <v>154</v>
      </c>
      <c r="B1568" s="255" t="s">
        <v>750</v>
      </c>
      <c r="C1568" s="224" t="s">
        <v>35</v>
      </c>
      <c r="D1568" s="124"/>
      <c r="E1568" s="117"/>
      <c r="F1568" s="117"/>
    </row>
    <row r="1569" spans="1:6" x14ac:dyDescent="0.35">
      <c r="A1569" s="111"/>
      <c r="B1569" s="112" t="s">
        <v>802</v>
      </c>
      <c r="C1569" s="118"/>
      <c r="D1569" s="118"/>
      <c r="E1569" s="119"/>
      <c r="F1569" s="119"/>
    </row>
    <row r="1570" spans="1:6" x14ac:dyDescent="0.35">
      <c r="A1570" s="111"/>
      <c r="B1570" s="120" t="s">
        <v>857</v>
      </c>
      <c r="C1570" s="118" t="s">
        <v>804</v>
      </c>
      <c r="D1570" s="115">
        <v>0.15</v>
      </c>
      <c r="E1570" s="117">
        <v>51000</v>
      </c>
      <c r="F1570" s="142">
        <f>+D1570*E1570</f>
        <v>7650</v>
      </c>
    </row>
    <row r="1571" spans="1:6" x14ac:dyDescent="0.35">
      <c r="A1571" s="111"/>
      <c r="B1571" s="120" t="s">
        <v>873</v>
      </c>
      <c r="C1571" s="115" t="s">
        <v>38</v>
      </c>
      <c r="D1571" s="144">
        <v>0.3</v>
      </c>
      <c r="E1571" s="119">
        <v>65000</v>
      </c>
      <c r="F1571" s="142">
        <f>+D1571*E1571</f>
        <v>19500</v>
      </c>
    </row>
    <row r="1572" spans="1:6" x14ac:dyDescent="0.25">
      <c r="A1572" s="111"/>
      <c r="B1572" s="120" t="s">
        <v>882</v>
      </c>
      <c r="C1572" s="115" t="s">
        <v>853</v>
      </c>
      <c r="D1572" s="135">
        <v>0.2</v>
      </c>
      <c r="E1572" s="117">
        <f>125000/25</f>
        <v>5000</v>
      </c>
      <c r="F1572" s="142">
        <f>+D1572*E1572</f>
        <v>1000</v>
      </c>
    </row>
    <row r="1573" spans="1:6" x14ac:dyDescent="0.25">
      <c r="A1573" s="111"/>
      <c r="B1573" s="134" t="s">
        <v>807</v>
      </c>
      <c r="C1573" s="118"/>
      <c r="D1573" s="135">
        <v>0.5</v>
      </c>
      <c r="E1573" s="117">
        <v>1000</v>
      </c>
      <c r="F1573" s="142">
        <f>+D1573*E1573</f>
        <v>500</v>
      </c>
    </row>
    <row r="1574" spans="1:6" x14ac:dyDescent="0.3">
      <c r="A1574" s="111"/>
      <c r="B1574" s="136" t="s">
        <v>769</v>
      </c>
      <c r="C1574" s="118"/>
      <c r="D1574" s="116"/>
      <c r="E1574" s="117"/>
      <c r="F1574" s="114">
        <f>SUM(F1570:F1573)</f>
        <v>28650</v>
      </c>
    </row>
    <row r="1575" spans="1:6" x14ac:dyDescent="0.3">
      <c r="A1575" s="111"/>
      <c r="B1575" s="136" t="s">
        <v>808</v>
      </c>
      <c r="C1575" s="115"/>
      <c r="D1575" s="116"/>
      <c r="E1575" s="117"/>
      <c r="F1575" s="114"/>
    </row>
    <row r="1576" spans="1:6" x14ac:dyDescent="0.25">
      <c r="A1576" s="111"/>
      <c r="B1576" s="134" t="s">
        <v>820</v>
      </c>
      <c r="C1576" s="115" t="s">
        <v>772</v>
      </c>
      <c r="D1576" s="116">
        <v>0.1</v>
      </c>
      <c r="E1576" s="117">
        <v>7500</v>
      </c>
      <c r="F1576" s="121">
        <f>D1576*E1576</f>
        <v>750</v>
      </c>
    </row>
    <row r="1577" spans="1:6" x14ac:dyDescent="0.25">
      <c r="A1577" s="111"/>
      <c r="B1577" s="134" t="s">
        <v>821</v>
      </c>
      <c r="C1577" s="115" t="s">
        <v>772</v>
      </c>
      <c r="D1577" s="116">
        <v>0.1</v>
      </c>
      <c r="E1577" s="117">
        <v>7500</v>
      </c>
      <c r="F1577" s="121">
        <f>D1577*E1577</f>
        <v>750</v>
      </c>
    </row>
    <row r="1578" spans="1:6" x14ac:dyDescent="0.25">
      <c r="A1578" s="111"/>
      <c r="B1578" s="134" t="s">
        <v>851</v>
      </c>
      <c r="C1578" s="115" t="s">
        <v>772</v>
      </c>
      <c r="D1578" s="116">
        <v>0.3</v>
      </c>
      <c r="E1578" s="117">
        <v>15000</v>
      </c>
      <c r="F1578" s="121">
        <f>D1578*E1578</f>
        <v>4500</v>
      </c>
    </row>
    <row r="1579" spans="1:6" x14ac:dyDescent="0.3">
      <c r="A1579" s="111"/>
      <c r="B1579" s="136" t="s">
        <v>774</v>
      </c>
      <c r="C1579" s="115"/>
      <c r="D1579" s="228"/>
      <c r="E1579" s="117"/>
      <c r="F1579" s="114">
        <f>SUM(F1576:F1578)</f>
        <v>6000</v>
      </c>
    </row>
    <row r="1580" spans="1:6" x14ac:dyDescent="0.3">
      <c r="A1580" s="111"/>
      <c r="B1580" s="136" t="s">
        <v>775</v>
      </c>
      <c r="C1580" s="115"/>
      <c r="D1580" s="116"/>
      <c r="E1580" s="117"/>
      <c r="F1580" s="114">
        <f>F1579+F1574</f>
        <v>34650</v>
      </c>
    </row>
    <row r="1581" spans="1:6" x14ac:dyDescent="0.25">
      <c r="A1581" s="111"/>
      <c r="B1581" s="134" t="s">
        <v>776</v>
      </c>
      <c r="C1581" s="115"/>
      <c r="D1581" s="116">
        <v>1.25</v>
      </c>
      <c r="E1581" s="117"/>
      <c r="F1581" s="114">
        <f>+F1580*D1581</f>
        <v>43312.5</v>
      </c>
    </row>
    <row r="1582" spans="1:6" x14ac:dyDescent="0.25">
      <c r="A1582" s="111"/>
      <c r="B1582" s="134" t="s">
        <v>835</v>
      </c>
      <c r="C1582" s="115"/>
      <c r="D1582" s="116">
        <v>1.25</v>
      </c>
      <c r="E1582" s="117"/>
      <c r="F1582" s="114"/>
    </row>
    <row r="1583" spans="1:6" x14ac:dyDescent="0.35">
      <c r="A1583" s="241" t="s">
        <v>154</v>
      </c>
      <c r="B1583" s="242" t="s">
        <v>789</v>
      </c>
      <c r="C1583" s="208" t="s">
        <v>35</v>
      </c>
      <c r="D1583" s="208"/>
      <c r="E1583" s="209"/>
      <c r="F1583" s="209">
        <f>+D1582*F1581</f>
        <v>54140.625</v>
      </c>
    </row>
    <row r="1584" spans="1:6" x14ac:dyDescent="0.35">
      <c r="A1584" s="206"/>
      <c r="B1584" s="207"/>
      <c r="C1584" s="208"/>
      <c r="D1584" s="208"/>
      <c r="E1584" s="210">
        <f>+E1563</f>
        <v>3035.45</v>
      </c>
      <c r="F1584" s="210">
        <f>+F1583/E1584</f>
        <v>17.836111614422904</v>
      </c>
    </row>
    <row r="1585" spans="1:6" x14ac:dyDescent="0.35">
      <c r="A1585" s="126"/>
      <c r="B1585" s="127"/>
      <c r="C1585" s="128"/>
      <c r="D1585" s="128"/>
      <c r="E1585" s="129"/>
      <c r="F1585" s="129"/>
    </row>
    <row r="1586" spans="1:6" x14ac:dyDescent="0.35">
      <c r="A1586" s="130"/>
      <c r="B1586" s="131"/>
      <c r="C1586" s="132"/>
      <c r="D1586" s="132"/>
      <c r="E1586" s="133"/>
      <c r="F1586" s="133"/>
    </row>
    <row r="1587" spans="1:6" x14ac:dyDescent="0.35">
      <c r="A1587" s="236" t="s">
        <v>135</v>
      </c>
      <c r="B1587" s="201" t="s">
        <v>868</v>
      </c>
      <c r="C1587" s="200" t="s">
        <v>2</v>
      </c>
      <c r="D1587" s="202" t="s">
        <v>765</v>
      </c>
      <c r="E1587" s="203" t="s">
        <v>766</v>
      </c>
      <c r="F1587" s="203" t="s">
        <v>767</v>
      </c>
    </row>
    <row r="1588" spans="1:6" x14ac:dyDescent="0.3">
      <c r="A1588" s="237" t="s">
        <v>148</v>
      </c>
      <c r="B1588" s="231" t="s">
        <v>149</v>
      </c>
      <c r="C1588" s="224"/>
      <c r="D1588" s="141"/>
      <c r="E1588" s="110"/>
      <c r="F1588" s="110"/>
    </row>
    <row r="1589" spans="1:6" x14ac:dyDescent="0.3">
      <c r="A1589" s="239" t="s">
        <v>154</v>
      </c>
      <c r="B1589" s="255" t="s">
        <v>755</v>
      </c>
      <c r="C1589" s="224" t="s">
        <v>35</v>
      </c>
      <c r="D1589" s="124"/>
      <c r="E1589" s="117"/>
      <c r="F1589" s="117"/>
    </row>
    <row r="1590" spans="1:6" x14ac:dyDescent="0.35">
      <c r="A1590" s="111"/>
      <c r="B1590" s="112" t="s">
        <v>802</v>
      </c>
      <c r="C1590" s="118"/>
      <c r="D1590" s="118"/>
      <c r="E1590" s="119"/>
      <c r="F1590" s="119"/>
    </row>
    <row r="1591" spans="1:6" x14ac:dyDescent="0.35">
      <c r="A1591" s="111"/>
      <c r="B1591" s="120" t="s">
        <v>857</v>
      </c>
      <c r="C1591" s="118" t="s">
        <v>804</v>
      </c>
      <c r="D1591" s="115">
        <v>0.15</v>
      </c>
      <c r="E1591" s="117">
        <v>51000</v>
      </c>
      <c r="F1591" s="142">
        <f>+D1591*E1591</f>
        <v>7650</v>
      </c>
    </row>
    <row r="1592" spans="1:6" x14ac:dyDescent="0.35">
      <c r="A1592" s="111"/>
      <c r="B1592" s="120" t="s">
        <v>873</v>
      </c>
      <c r="C1592" s="115" t="s">
        <v>38</v>
      </c>
      <c r="D1592" s="144">
        <v>0.3</v>
      </c>
      <c r="E1592" s="119">
        <v>65000</v>
      </c>
      <c r="F1592" s="142">
        <f>+D1592*E1592</f>
        <v>19500</v>
      </c>
    </row>
    <row r="1593" spans="1:6" x14ac:dyDescent="0.25">
      <c r="A1593" s="111"/>
      <c r="B1593" s="134" t="s">
        <v>807</v>
      </c>
      <c r="C1593" s="118"/>
      <c r="D1593" s="135">
        <v>0.5</v>
      </c>
      <c r="E1593" s="117">
        <v>1000</v>
      </c>
      <c r="F1593" s="142">
        <f>+D1593*E1593</f>
        <v>500</v>
      </c>
    </row>
    <row r="1594" spans="1:6" x14ac:dyDescent="0.3">
      <c r="A1594" s="111"/>
      <c r="B1594" s="136" t="s">
        <v>769</v>
      </c>
      <c r="C1594" s="118"/>
      <c r="D1594" s="116"/>
      <c r="E1594" s="117"/>
      <c r="F1594" s="114">
        <f>SUM(F1591:F1593)</f>
        <v>27650</v>
      </c>
    </row>
    <row r="1595" spans="1:6" x14ac:dyDescent="0.3">
      <c r="A1595" s="111"/>
      <c r="B1595" s="136" t="s">
        <v>808</v>
      </c>
      <c r="C1595" s="115"/>
      <c r="D1595" s="116"/>
      <c r="E1595" s="117"/>
      <c r="F1595" s="114"/>
    </row>
    <row r="1596" spans="1:6" x14ac:dyDescent="0.25">
      <c r="A1596" s="111"/>
      <c r="B1596" s="134" t="s">
        <v>820</v>
      </c>
      <c r="C1596" s="115" t="s">
        <v>772</v>
      </c>
      <c r="D1596" s="116">
        <v>0.1</v>
      </c>
      <c r="E1596" s="117">
        <v>7500</v>
      </c>
      <c r="F1596" s="121">
        <f>D1596*E1596</f>
        <v>750</v>
      </c>
    </row>
    <row r="1597" spans="1:6" x14ac:dyDescent="0.25">
      <c r="A1597" s="111"/>
      <c r="B1597" s="134" t="s">
        <v>821</v>
      </c>
      <c r="C1597" s="115" t="s">
        <v>772</v>
      </c>
      <c r="D1597" s="116">
        <v>0.1</v>
      </c>
      <c r="E1597" s="117">
        <v>7500</v>
      </c>
      <c r="F1597" s="121">
        <f>D1597*E1597</f>
        <v>750</v>
      </c>
    </row>
    <row r="1598" spans="1:6" x14ac:dyDescent="0.25">
      <c r="A1598" s="111"/>
      <c r="B1598" s="134" t="s">
        <v>851</v>
      </c>
      <c r="C1598" s="115" t="s">
        <v>772</v>
      </c>
      <c r="D1598" s="116">
        <v>0.3</v>
      </c>
      <c r="E1598" s="117">
        <v>15000</v>
      </c>
      <c r="F1598" s="121">
        <f>D1598*E1598</f>
        <v>4500</v>
      </c>
    </row>
    <row r="1599" spans="1:6" x14ac:dyDescent="0.3">
      <c r="A1599" s="111"/>
      <c r="B1599" s="136" t="s">
        <v>774</v>
      </c>
      <c r="C1599" s="115"/>
      <c r="D1599" s="228"/>
      <c r="E1599" s="117"/>
      <c r="F1599" s="114">
        <f>SUM(F1596:F1598)</f>
        <v>6000</v>
      </c>
    </row>
    <row r="1600" spans="1:6" x14ac:dyDescent="0.3">
      <c r="A1600" s="111"/>
      <c r="B1600" s="136" t="s">
        <v>775</v>
      </c>
      <c r="C1600" s="115"/>
      <c r="D1600" s="116"/>
      <c r="E1600" s="117"/>
      <c r="F1600" s="114">
        <f>F1599+F1594</f>
        <v>33650</v>
      </c>
    </row>
    <row r="1601" spans="1:6" x14ac:dyDescent="0.25">
      <c r="A1601" s="111"/>
      <c r="B1601" s="134" t="s">
        <v>776</v>
      </c>
      <c r="C1601" s="115"/>
      <c r="D1601" s="116">
        <v>1.25</v>
      </c>
      <c r="E1601" s="117"/>
      <c r="F1601" s="114">
        <f>+F1600*D1601</f>
        <v>42062.5</v>
      </c>
    </row>
    <row r="1602" spans="1:6" x14ac:dyDescent="0.25">
      <c r="A1602" s="111"/>
      <c r="B1602" s="134" t="s">
        <v>835</v>
      </c>
      <c r="C1602" s="115"/>
      <c r="D1602" s="116">
        <v>1.25</v>
      </c>
      <c r="E1602" s="117"/>
      <c r="F1602" s="114"/>
    </row>
    <row r="1603" spans="1:6" x14ac:dyDescent="0.35">
      <c r="A1603" s="241" t="s">
        <v>154</v>
      </c>
      <c r="B1603" s="242" t="s">
        <v>789</v>
      </c>
      <c r="C1603" s="208" t="s">
        <v>35</v>
      </c>
      <c r="D1603" s="208"/>
      <c r="E1603" s="209"/>
      <c r="F1603" s="209">
        <f>+D1602*F1601</f>
        <v>52578.125</v>
      </c>
    </row>
    <row r="1604" spans="1:6" x14ac:dyDescent="0.35">
      <c r="A1604" s="206"/>
      <c r="B1604" s="207"/>
      <c r="C1604" s="208"/>
      <c r="D1604" s="208"/>
      <c r="E1604" s="210">
        <f>+E1584</f>
        <v>3035.45</v>
      </c>
      <c r="F1604" s="210">
        <f>+F1603/E1604</f>
        <v>17.321360918479964</v>
      </c>
    </row>
    <row r="1605" spans="1:6" x14ac:dyDescent="0.35">
      <c r="A1605" s="126"/>
      <c r="B1605" s="127"/>
      <c r="C1605" s="128"/>
      <c r="D1605" s="128"/>
      <c r="E1605" s="176"/>
      <c r="F1605" s="176"/>
    </row>
    <row r="1606" spans="1:6" x14ac:dyDescent="0.35">
      <c r="A1606" s="130"/>
      <c r="B1606" s="131"/>
      <c r="C1606" s="132"/>
      <c r="D1606" s="132"/>
      <c r="E1606" s="179"/>
      <c r="F1606" s="179"/>
    </row>
    <row r="1607" spans="1:6" x14ac:dyDescent="0.35">
      <c r="A1607" s="236" t="s">
        <v>135</v>
      </c>
      <c r="B1607" s="201" t="s">
        <v>868</v>
      </c>
      <c r="C1607" s="200" t="s">
        <v>2</v>
      </c>
      <c r="D1607" s="202" t="s">
        <v>765</v>
      </c>
      <c r="E1607" s="203" t="s">
        <v>766</v>
      </c>
      <c r="F1607" s="203" t="s">
        <v>767</v>
      </c>
    </row>
    <row r="1608" spans="1:6" x14ac:dyDescent="0.3">
      <c r="A1608" s="237" t="s">
        <v>158</v>
      </c>
      <c r="B1608" s="231" t="s">
        <v>157</v>
      </c>
      <c r="C1608" s="256"/>
      <c r="D1608" s="141"/>
      <c r="E1608" s="110"/>
      <c r="F1608" s="110"/>
    </row>
    <row r="1609" spans="1:6" x14ac:dyDescent="0.35">
      <c r="A1609" s="239" t="s">
        <v>162</v>
      </c>
      <c r="B1609" s="214" t="s">
        <v>883</v>
      </c>
      <c r="C1609" s="256" t="s">
        <v>35</v>
      </c>
      <c r="D1609" s="124"/>
      <c r="E1609" s="117"/>
      <c r="F1609" s="117"/>
    </row>
    <row r="1610" spans="1:6" x14ac:dyDescent="0.35">
      <c r="A1610" s="111"/>
      <c r="B1610" s="112" t="s">
        <v>802</v>
      </c>
      <c r="C1610" s="118"/>
      <c r="D1610" s="118"/>
      <c r="E1610" s="119"/>
      <c r="F1610" s="119"/>
    </row>
    <row r="1611" spans="1:6" x14ac:dyDescent="0.35">
      <c r="A1611" s="111"/>
      <c r="B1611" s="120" t="s">
        <v>857</v>
      </c>
      <c r="C1611" s="118" t="s">
        <v>804</v>
      </c>
      <c r="D1611" s="115">
        <v>1</v>
      </c>
      <c r="E1611" s="117">
        <v>51000</v>
      </c>
      <c r="F1611" s="142">
        <f>+D1611*E1611</f>
        <v>51000</v>
      </c>
    </row>
    <row r="1612" spans="1:6" x14ac:dyDescent="0.35">
      <c r="A1612" s="111"/>
      <c r="B1612" s="120" t="s">
        <v>873</v>
      </c>
      <c r="C1612" s="115" t="s">
        <v>38</v>
      </c>
      <c r="D1612" s="144">
        <v>0.2</v>
      </c>
      <c r="E1612" s="119">
        <v>55000</v>
      </c>
      <c r="F1612" s="142">
        <f>+D1612*E1612</f>
        <v>11000</v>
      </c>
    </row>
    <row r="1613" spans="1:6" x14ac:dyDescent="0.35">
      <c r="A1613" s="111"/>
      <c r="B1613" s="120" t="s">
        <v>884</v>
      </c>
      <c r="C1613" s="115" t="s">
        <v>35</v>
      </c>
      <c r="D1613" s="144">
        <v>0.5</v>
      </c>
      <c r="E1613" s="119">
        <v>58000</v>
      </c>
      <c r="F1613" s="142">
        <f>+D1613*E1613</f>
        <v>29000</v>
      </c>
    </row>
    <row r="1614" spans="1:6" x14ac:dyDescent="0.25">
      <c r="A1614" s="111"/>
      <c r="B1614" s="134" t="s">
        <v>807</v>
      </c>
      <c r="C1614" s="118"/>
      <c r="D1614" s="135">
        <v>0.5</v>
      </c>
      <c r="E1614" s="117">
        <v>1000</v>
      </c>
      <c r="F1614" s="142">
        <f>+D1614*E1614</f>
        <v>500</v>
      </c>
    </row>
    <row r="1615" spans="1:6" x14ac:dyDescent="0.3">
      <c r="A1615" s="111"/>
      <c r="B1615" s="136" t="s">
        <v>769</v>
      </c>
      <c r="C1615" s="118"/>
      <c r="D1615" s="116"/>
      <c r="E1615" s="117"/>
      <c r="F1615" s="114">
        <f>SUM(F1611:F1614)</f>
        <v>91500</v>
      </c>
    </row>
    <row r="1616" spans="1:6" x14ac:dyDescent="0.3">
      <c r="A1616" s="111"/>
      <c r="B1616" s="136" t="s">
        <v>808</v>
      </c>
      <c r="C1616" s="115"/>
      <c r="D1616" s="116"/>
      <c r="E1616" s="117"/>
      <c r="F1616" s="114"/>
    </row>
    <row r="1617" spans="1:6" x14ac:dyDescent="0.25">
      <c r="A1617" s="111"/>
      <c r="B1617" s="134" t="s">
        <v>820</v>
      </c>
      <c r="C1617" s="115" t="s">
        <v>772</v>
      </c>
      <c r="D1617" s="116">
        <v>0.05</v>
      </c>
      <c r="E1617" s="117">
        <v>7500</v>
      </c>
      <c r="F1617" s="121">
        <f>D1617*E1617</f>
        <v>375</v>
      </c>
    </row>
    <row r="1618" spans="1:6" x14ac:dyDescent="0.25">
      <c r="A1618" s="111"/>
      <c r="B1618" s="134" t="s">
        <v>821</v>
      </c>
      <c r="C1618" s="115" t="s">
        <v>772</v>
      </c>
      <c r="D1618" s="116">
        <v>0.05</v>
      </c>
      <c r="E1618" s="117">
        <v>7500</v>
      </c>
      <c r="F1618" s="121">
        <f>D1618*E1618</f>
        <v>375</v>
      </c>
    </row>
    <row r="1619" spans="1:6" x14ac:dyDescent="0.25">
      <c r="A1619" s="111"/>
      <c r="B1619" s="134" t="s">
        <v>851</v>
      </c>
      <c r="C1619" s="115" t="s">
        <v>772</v>
      </c>
      <c r="D1619" s="116">
        <v>0.3</v>
      </c>
      <c r="E1619" s="117">
        <v>15000</v>
      </c>
      <c r="F1619" s="121">
        <f>D1619*E1619</f>
        <v>4500</v>
      </c>
    </row>
    <row r="1620" spans="1:6" x14ac:dyDescent="0.3">
      <c r="A1620" s="111"/>
      <c r="B1620" s="136" t="s">
        <v>774</v>
      </c>
      <c r="C1620" s="115"/>
      <c r="D1620" s="228"/>
      <c r="E1620" s="117"/>
      <c r="F1620" s="114">
        <f>SUM(F1617:F1619)</f>
        <v>5250</v>
      </c>
    </row>
    <row r="1621" spans="1:6" x14ac:dyDescent="0.3">
      <c r="A1621" s="111"/>
      <c r="B1621" s="136" t="s">
        <v>775</v>
      </c>
      <c r="C1621" s="115"/>
      <c r="D1621" s="116"/>
      <c r="E1621" s="117"/>
      <c r="F1621" s="114">
        <f>F1620+F1615</f>
        <v>96750</v>
      </c>
    </row>
    <row r="1622" spans="1:6" x14ac:dyDescent="0.25">
      <c r="A1622" s="111"/>
      <c r="B1622" s="134" t="s">
        <v>824</v>
      </c>
      <c r="C1622" s="115"/>
      <c r="D1622" s="116">
        <v>1.1000000000000001</v>
      </c>
      <c r="E1622" s="117"/>
      <c r="F1622" s="114">
        <f>+F1621*D1622</f>
        <v>106425.00000000001</v>
      </c>
    </row>
    <row r="1623" spans="1:6" x14ac:dyDescent="0.25">
      <c r="A1623" s="111"/>
      <c r="B1623" s="134" t="s">
        <v>826</v>
      </c>
      <c r="C1623" s="115"/>
      <c r="D1623" s="116">
        <v>1.1499999999999999</v>
      </c>
      <c r="E1623" s="117"/>
      <c r="F1623" s="114"/>
    </row>
    <row r="1624" spans="1:6" ht="26" x14ac:dyDescent="0.35">
      <c r="A1624" s="241" t="s">
        <v>885</v>
      </c>
      <c r="B1624" s="242" t="s">
        <v>789</v>
      </c>
      <c r="C1624" s="208" t="s">
        <v>35</v>
      </c>
      <c r="D1624" s="208"/>
      <c r="E1624" s="209"/>
      <c r="F1624" s="209">
        <f>+D1623*F1622</f>
        <v>122388.75000000001</v>
      </c>
    </row>
    <row r="1625" spans="1:6" x14ac:dyDescent="0.35">
      <c r="A1625" s="206"/>
      <c r="B1625" s="207"/>
      <c r="C1625" s="208"/>
      <c r="D1625" s="208"/>
      <c r="E1625" s="210">
        <f>+E1604</f>
        <v>3035.45</v>
      </c>
      <c r="F1625" s="210">
        <f>+F1624/E1625</f>
        <v>40.319804312375439</v>
      </c>
    </row>
    <row r="1626" spans="1:6" x14ac:dyDescent="0.35">
      <c r="A1626" s="126"/>
      <c r="B1626" s="127"/>
      <c r="C1626" s="128"/>
      <c r="D1626" s="128"/>
      <c r="E1626" s="129"/>
      <c r="F1626" s="129"/>
    </row>
    <row r="1627" spans="1:6" x14ac:dyDescent="0.35">
      <c r="A1627" s="130"/>
      <c r="B1627" s="131"/>
      <c r="C1627" s="132"/>
      <c r="D1627" s="132"/>
      <c r="E1627" s="133"/>
      <c r="F1627" s="133"/>
    </row>
    <row r="1628" spans="1:6" x14ac:dyDescent="0.35">
      <c r="A1628" s="236" t="s">
        <v>135</v>
      </c>
      <c r="B1628" s="201" t="s">
        <v>868</v>
      </c>
      <c r="C1628" s="200" t="s">
        <v>2</v>
      </c>
      <c r="D1628" s="202" t="s">
        <v>765</v>
      </c>
      <c r="E1628" s="203" t="s">
        <v>766</v>
      </c>
      <c r="F1628" s="203" t="s">
        <v>767</v>
      </c>
    </row>
    <row r="1629" spans="1:6" x14ac:dyDescent="0.3">
      <c r="A1629" s="237" t="s">
        <v>158</v>
      </c>
      <c r="B1629" s="231" t="s">
        <v>157</v>
      </c>
      <c r="C1629" s="256"/>
      <c r="D1629" s="141"/>
      <c r="E1629" s="110"/>
      <c r="F1629" s="110"/>
    </row>
    <row r="1630" spans="1:6" x14ac:dyDescent="0.3">
      <c r="A1630" s="239" t="s">
        <v>160</v>
      </c>
      <c r="B1630" s="254" t="s">
        <v>886</v>
      </c>
      <c r="C1630" s="256" t="s">
        <v>35</v>
      </c>
      <c r="D1630" s="124"/>
      <c r="E1630" s="117"/>
      <c r="F1630" s="117"/>
    </row>
    <row r="1631" spans="1:6" x14ac:dyDescent="0.35">
      <c r="A1631" s="239" t="s">
        <v>162</v>
      </c>
      <c r="B1631" s="214" t="s">
        <v>660</v>
      </c>
      <c r="C1631" s="256" t="s">
        <v>35</v>
      </c>
      <c r="D1631" s="124"/>
      <c r="E1631" s="117"/>
      <c r="F1631" s="117"/>
    </row>
    <row r="1632" spans="1:6" x14ac:dyDescent="0.35">
      <c r="A1632" s="111"/>
      <c r="B1632" s="112" t="s">
        <v>802</v>
      </c>
      <c r="C1632" s="118"/>
      <c r="D1632" s="118"/>
      <c r="E1632" s="119"/>
      <c r="F1632" s="119"/>
    </row>
    <row r="1633" spans="1:6" x14ac:dyDescent="0.35">
      <c r="A1633" s="111"/>
      <c r="B1633" s="120" t="s">
        <v>857</v>
      </c>
      <c r="C1633" s="118" t="s">
        <v>804</v>
      </c>
      <c r="D1633" s="115">
        <v>1</v>
      </c>
      <c r="E1633" s="117">
        <v>51000</v>
      </c>
      <c r="F1633" s="142">
        <f>+D1633*E1633</f>
        <v>51000</v>
      </c>
    </row>
    <row r="1634" spans="1:6" x14ac:dyDescent="0.35">
      <c r="A1634" s="111"/>
      <c r="B1634" s="120" t="s">
        <v>873</v>
      </c>
      <c r="C1634" s="115" t="s">
        <v>38</v>
      </c>
      <c r="D1634" s="144">
        <v>0.2</v>
      </c>
      <c r="E1634" s="119">
        <v>55000</v>
      </c>
      <c r="F1634" s="142">
        <f>+D1634*E1634</f>
        <v>11000</v>
      </c>
    </row>
    <row r="1635" spans="1:6" x14ac:dyDescent="0.35">
      <c r="A1635" s="111"/>
      <c r="B1635" s="120" t="s">
        <v>887</v>
      </c>
      <c r="C1635" s="115" t="s">
        <v>35</v>
      </c>
      <c r="D1635" s="144">
        <v>0.5</v>
      </c>
      <c r="E1635" s="119">
        <v>58000</v>
      </c>
      <c r="F1635" s="142">
        <f>+D1635*E1635</f>
        <v>29000</v>
      </c>
    </row>
    <row r="1636" spans="1:6" x14ac:dyDescent="0.25">
      <c r="A1636" s="111"/>
      <c r="B1636" s="134" t="s">
        <v>807</v>
      </c>
      <c r="C1636" s="118"/>
      <c r="D1636" s="135">
        <v>0.5</v>
      </c>
      <c r="E1636" s="117">
        <v>1000</v>
      </c>
      <c r="F1636" s="142">
        <f>+D1636*E1636</f>
        <v>500</v>
      </c>
    </row>
    <row r="1637" spans="1:6" x14ac:dyDescent="0.3">
      <c r="A1637" s="111"/>
      <c r="B1637" s="136" t="s">
        <v>769</v>
      </c>
      <c r="C1637" s="118"/>
      <c r="D1637" s="116"/>
      <c r="E1637" s="117"/>
      <c r="F1637" s="114">
        <f>SUM(F1633:F1636)</f>
        <v>91500</v>
      </c>
    </row>
    <row r="1638" spans="1:6" x14ac:dyDescent="0.3">
      <c r="A1638" s="111"/>
      <c r="B1638" s="136" t="s">
        <v>808</v>
      </c>
      <c r="C1638" s="115"/>
      <c r="D1638" s="116"/>
      <c r="E1638" s="117"/>
      <c r="F1638" s="114"/>
    </row>
    <row r="1639" spans="1:6" x14ac:dyDescent="0.25">
      <c r="A1639" s="111"/>
      <c r="B1639" s="134" t="s">
        <v>820</v>
      </c>
      <c r="C1639" s="115" t="s">
        <v>772</v>
      </c>
      <c r="D1639" s="116">
        <v>0.05</v>
      </c>
      <c r="E1639" s="117">
        <v>7500</v>
      </c>
      <c r="F1639" s="121">
        <f>D1639*E1639</f>
        <v>375</v>
      </c>
    </row>
    <row r="1640" spans="1:6" x14ac:dyDescent="0.25">
      <c r="A1640" s="111"/>
      <c r="B1640" s="134" t="s">
        <v>821</v>
      </c>
      <c r="C1640" s="115" t="s">
        <v>772</v>
      </c>
      <c r="D1640" s="116">
        <v>0.05</v>
      </c>
      <c r="E1640" s="117">
        <v>7500</v>
      </c>
      <c r="F1640" s="121">
        <f>D1640*E1640</f>
        <v>375</v>
      </c>
    </row>
    <row r="1641" spans="1:6" x14ac:dyDescent="0.25">
      <c r="A1641" s="111"/>
      <c r="B1641" s="134" t="s">
        <v>851</v>
      </c>
      <c r="C1641" s="115" t="s">
        <v>772</v>
      </c>
      <c r="D1641" s="116">
        <v>0.3</v>
      </c>
      <c r="E1641" s="117">
        <v>15000</v>
      </c>
      <c r="F1641" s="121">
        <f>D1641*E1641</f>
        <v>4500</v>
      </c>
    </row>
    <row r="1642" spans="1:6" x14ac:dyDescent="0.3">
      <c r="A1642" s="111"/>
      <c r="B1642" s="136" t="s">
        <v>774</v>
      </c>
      <c r="C1642" s="115"/>
      <c r="D1642" s="228"/>
      <c r="E1642" s="117"/>
      <c r="F1642" s="114">
        <f>SUM(F1639:F1641)</f>
        <v>5250</v>
      </c>
    </row>
    <row r="1643" spans="1:6" x14ac:dyDescent="0.3">
      <c r="A1643" s="111"/>
      <c r="B1643" s="136" t="s">
        <v>775</v>
      </c>
      <c r="C1643" s="115"/>
      <c r="D1643" s="116"/>
      <c r="E1643" s="117"/>
      <c r="F1643" s="114">
        <f>F1642+F1637</f>
        <v>96750</v>
      </c>
    </row>
    <row r="1644" spans="1:6" x14ac:dyDescent="0.25">
      <c r="A1644" s="111"/>
      <c r="B1644" s="134" t="s">
        <v>824</v>
      </c>
      <c r="C1644" s="115"/>
      <c r="D1644" s="116">
        <v>1.1000000000000001</v>
      </c>
      <c r="E1644" s="117"/>
      <c r="F1644" s="114">
        <f>+F1643*D1644</f>
        <v>106425.00000000001</v>
      </c>
    </row>
    <row r="1645" spans="1:6" x14ac:dyDescent="0.25">
      <c r="A1645" s="111"/>
      <c r="B1645" s="134" t="s">
        <v>826</v>
      </c>
      <c r="C1645" s="115"/>
      <c r="D1645" s="116">
        <v>1.1499999999999999</v>
      </c>
      <c r="E1645" s="117"/>
      <c r="F1645" s="114"/>
    </row>
    <row r="1646" spans="1:6" ht="26" x14ac:dyDescent="0.35">
      <c r="A1646" s="241" t="s">
        <v>885</v>
      </c>
      <c r="B1646" s="242" t="s">
        <v>789</v>
      </c>
      <c r="C1646" s="208" t="s">
        <v>35</v>
      </c>
      <c r="D1646" s="208"/>
      <c r="E1646" s="209"/>
      <c r="F1646" s="209">
        <f>+D1645*F1644</f>
        <v>122388.75000000001</v>
      </c>
    </row>
    <row r="1647" spans="1:6" x14ac:dyDescent="0.35">
      <c r="A1647" s="206"/>
      <c r="B1647" s="207"/>
      <c r="C1647" s="208"/>
      <c r="D1647" s="208"/>
      <c r="E1647" s="210">
        <f>+E1625</f>
        <v>3035.45</v>
      </c>
      <c r="F1647" s="210">
        <f>+F1646/E1647</f>
        <v>40.319804312375439</v>
      </c>
    </row>
    <row r="1648" spans="1:6" x14ac:dyDescent="0.35">
      <c r="A1648" s="126"/>
      <c r="B1648" s="127"/>
      <c r="C1648" s="128"/>
      <c r="D1648" s="128"/>
      <c r="E1648" s="129"/>
      <c r="F1648" s="129"/>
    </row>
    <row r="1649" spans="1:6" x14ac:dyDescent="0.35">
      <c r="A1649" s="130"/>
      <c r="B1649" s="131"/>
      <c r="C1649" s="132"/>
      <c r="D1649" s="132"/>
      <c r="E1649" s="133"/>
      <c r="F1649" s="133"/>
    </row>
    <row r="1650" spans="1:6" x14ac:dyDescent="0.35">
      <c r="A1650" s="236" t="s">
        <v>135</v>
      </c>
      <c r="B1650" s="201" t="s">
        <v>868</v>
      </c>
      <c r="C1650" s="200" t="s">
        <v>2</v>
      </c>
      <c r="D1650" s="202" t="s">
        <v>765</v>
      </c>
      <c r="E1650" s="203" t="s">
        <v>766</v>
      </c>
      <c r="F1650" s="203" t="s">
        <v>767</v>
      </c>
    </row>
    <row r="1651" spans="1:6" x14ac:dyDescent="0.3">
      <c r="A1651" s="237" t="s">
        <v>632</v>
      </c>
      <c r="B1651" s="231" t="s">
        <v>888</v>
      </c>
      <c r="C1651" s="256"/>
      <c r="D1651" s="141"/>
      <c r="E1651" s="110"/>
      <c r="F1651" s="110"/>
    </row>
    <row r="1652" spans="1:6" x14ac:dyDescent="0.3">
      <c r="A1652" s="239" t="s">
        <v>633</v>
      </c>
      <c r="B1652" s="254" t="s">
        <v>161</v>
      </c>
      <c r="C1652" s="256" t="s">
        <v>27</v>
      </c>
      <c r="D1652" s="124"/>
      <c r="E1652" s="117"/>
      <c r="F1652" s="117"/>
    </row>
    <row r="1653" spans="1:6" x14ac:dyDescent="0.35">
      <c r="A1653" s="111"/>
      <c r="B1653" s="112" t="s">
        <v>802</v>
      </c>
      <c r="C1653" s="118"/>
      <c r="D1653" s="118"/>
      <c r="E1653" s="119"/>
      <c r="F1653" s="119"/>
    </row>
    <row r="1654" spans="1:6" x14ac:dyDescent="0.35">
      <c r="A1654" s="111"/>
      <c r="B1654" s="120" t="s">
        <v>857</v>
      </c>
      <c r="C1654" s="118" t="s">
        <v>804</v>
      </c>
      <c r="D1654" s="115">
        <v>0.01</v>
      </c>
      <c r="E1654" s="117">
        <v>51000</v>
      </c>
      <c r="F1654" s="142">
        <f>+D1654*E1654</f>
        <v>510</v>
      </c>
    </row>
    <row r="1655" spans="1:6" x14ac:dyDescent="0.35">
      <c r="A1655" s="111"/>
      <c r="B1655" s="120" t="s">
        <v>873</v>
      </c>
      <c r="C1655" s="115" t="s">
        <v>38</v>
      </c>
      <c r="D1655" s="144">
        <v>2E-3</v>
      </c>
      <c r="E1655" s="119">
        <v>55000</v>
      </c>
      <c r="F1655" s="142">
        <f>+D1655*E1655</f>
        <v>110</v>
      </c>
    </row>
    <row r="1656" spans="1:6" x14ac:dyDescent="0.25">
      <c r="A1656" s="111"/>
      <c r="B1656" s="134" t="s">
        <v>807</v>
      </c>
      <c r="C1656" s="118"/>
      <c r="D1656" s="135">
        <v>0.15</v>
      </c>
      <c r="E1656" s="117">
        <v>50</v>
      </c>
      <c r="F1656" s="142">
        <f>+D1656*E1656</f>
        <v>7.5</v>
      </c>
    </row>
    <row r="1657" spans="1:6" x14ac:dyDescent="0.3">
      <c r="A1657" s="111"/>
      <c r="B1657" s="136" t="s">
        <v>769</v>
      </c>
      <c r="C1657" s="118"/>
      <c r="D1657" s="116"/>
      <c r="E1657" s="117"/>
      <c r="F1657" s="114">
        <f>SUM(F1654:F1656)</f>
        <v>627.5</v>
      </c>
    </row>
    <row r="1658" spans="1:6" x14ac:dyDescent="0.3">
      <c r="A1658" s="111"/>
      <c r="B1658" s="136" t="s">
        <v>808</v>
      </c>
      <c r="C1658" s="115"/>
      <c r="D1658" s="116"/>
      <c r="E1658" s="117"/>
      <c r="F1658" s="114"/>
    </row>
    <row r="1659" spans="1:6" x14ac:dyDescent="0.25">
      <c r="A1659" s="111"/>
      <c r="B1659" s="134" t="s">
        <v>820</v>
      </c>
      <c r="C1659" s="115" t="s">
        <v>772</v>
      </c>
      <c r="D1659" s="116">
        <v>0.05</v>
      </c>
      <c r="E1659" s="117">
        <v>7500</v>
      </c>
      <c r="F1659" s="121">
        <f>D1659*E1659</f>
        <v>375</v>
      </c>
    </row>
    <row r="1660" spans="1:6" x14ac:dyDescent="0.25">
      <c r="A1660" s="111"/>
      <c r="B1660" s="134" t="s">
        <v>821</v>
      </c>
      <c r="C1660" s="115" t="s">
        <v>772</v>
      </c>
      <c r="D1660" s="116">
        <v>0.05</v>
      </c>
      <c r="E1660" s="117">
        <v>7500</v>
      </c>
      <c r="F1660" s="121">
        <f>D1660*E1660</f>
        <v>375</v>
      </c>
    </row>
    <row r="1661" spans="1:6" x14ac:dyDescent="0.25">
      <c r="A1661" s="111"/>
      <c r="B1661" s="134" t="s">
        <v>851</v>
      </c>
      <c r="C1661" s="115" t="s">
        <v>772</v>
      </c>
      <c r="D1661" s="116">
        <v>0.14000000000000001</v>
      </c>
      <c r="E1661" s="117">
        <v>15000</v>
      </c>
      <c r="F1661" s="121">
        <f>D1661*E1661</f>
        <v>2100</v>
      </c>
    </row>
    <row r="1662" spans="1:6" x14ac:dyDescent="0.3">
      <c r="A1662" s="111"/>
      <c r="B1662" s="136" t="s">
        <v>774</v>
      </c>
      <c r="C1662" s="115"/>
      <c r="D1662" s="228"/>
      <c r="E1662" s="117"/>
      <c r="F1662" s="114">
        <f>SUM(F1659:F1661)</f>
        <v>2850</v>
      </c>
    </row>
    <row r="1663" spans="1:6" x14ac:dyDescent="0.3">
      <c r="A1663" s="111"/>
      <c r="B1663" s="136" t="s">
        <v>775</v>
      </c>
      <c r="C1663" s="115"/>
      <c r="D1663" s="116"/>
      <c r="E1663" s="117"/>
      <c r="F1663" s="114">
        <f>F1662+F1657</f>
        <v>3477.5</v>
      </c>
    </row>
    <row r="1664" spans="1:6" x14ac:dyDescent="0.25">
      <c r="A1664" s="111"/>
      <c r="B1664" s="134" t="s">
        <v>824</v>
      </c>
      <c r="C1664" s="115"/>
      <c r="D1664" s="116">
        <v>1.05</v>
      </c>
      <c r="E1664" s="117"/>
      <c r="F1664" s="114">
        <f>+F1663*D1664</f>
        <v>3651.375</v>
      </c>
    </row>
    <row r="1665" spans="1:6" x14ac:dyDescent="0.25">
      <c r="A1665" s="111"/>
      <c r="B1665" s="134" t="s">
        <v>813</v>
      </c>
      <c r="C1665" s="115"/>
      <c r="D1665" s="116">
        <v>1.05</v>
      </c>
      <c r="E1665" s="117"/>
      <c r="F1665" s="114"/>
    </row>
    <row r="1666" spans="1:6" x14ac:dyDescent="0.35">
      <c r="A1666" s="241" t="s">
        <v>889</v>
      </c>
      <c r="B1666" s="242" t="s">
        <v>784</v>
      </c>
      <c r="C1666" s="208" t="s">
        <v>27</v>
      </c>
      <c r="D1666" s="208"/>
      <c r="E1666" s="209"/>
      <c r="F1666" s="209">
        <f>+D1665*F1664</f>
        <v>3833.9437500000004</v>
      </c>
    </row>
    <row r="1667" spans="1:6" x14ac:dyDescent="0.35">
      <c r="A1667" s="206"/>
      <c r="B1667" s="207"/>
      <c r="C1667" s="208"/>
      <c r="D1667" s="208"/>
      <c r="E1667" s="210">
        <f>+E1647</f>
        <v>3035.45</v>
      </c>
      <c r="F1667" s="210">
        <f>+F1666/E1667</f>
        <v>1.2630561366518969</v>
      </c>
    </row>
    <row r="1668" spans="1:6" x14ac:dyDescent="0.35">
      <c r="A1668" s="126"/>
      <c r="B1668" s="127"/>
      <c r="C1668" s="128"/>
      <c r="D1668" s="128"/>
      <c r="E1668" s="129"/>
      <c r="F1668" s="129"/>
    </row>
    <row r="1669" spans="1:6" x14ac:dyDescent="0.35">
      <c r="A1669" s="130"/>
      <c r="B1669" s="131"/>
      <c r="C1669" s="132"/>
      <c r="D1669" s="132"/>
      <c r="E1669" s="133"/>
      <c r="F1669" s="133"/>
    </row>
    <row r="1670" spans="1:6" x14ac:dyDescent="0.35">
      <c r="A1670" s="236" t="s">
        <v>135</v>
      </c>
      <c r="B1670" s="201" t="s">
        <v>868</v>
      </c>
      <c r="C1670" s="200" t="s">
        <v>2</v>
      </c>
      <c r="D1670" s="202" t="s">
        <v>765</v>
      </c>
      <c r="E1670" s="203" t="s">
        <v>766</v>
      </c>
      <c r="F1670" s="203" t="s">
        <v>767</v>
      </c>
    </row>
    <row r="1671" spans="1:6" x14ac:dyDescent="0.3">
      <c r="A1671" s="237" t="s">
        <v>632</v>
      </c>
      <c r="B1671" s="231" t="s">
        <v>888</v>
      </c>
      <c r="C1671" s="256"/>
      <c r="D1671" s="141"/>
      <c r="E1671" s="110"/>
      <c r="F1671" s="110"/>
    </row>
    <row r="1672" spans="1:6" x14ac:dyDescent="0.3">
      <c r="A1672" s="239" t="s">
        <v>890</v>
      </c>
      <c r="B1672" s="254" t="s">
        <v>756</v>
      </c>
      <c r="C1672" s="256" t="s">
        <v>27</v>
      </c>
      <c r="D1672" s="124"/>
      <c r="E1672" s="117"/>
      <c r="F1672" s="117"/>
    </row>
    <row r="1673" spans="1:6" x14ac:dyDescent="0.35">
      <c r="A1673" s="111"/>
      <c r="B1673" s="112" t="s">
        <v>802</v>
      </c>
      <c r="C1673" s="118"/>
      <c r="D1673" s="118"/>
      <c r="E1673" s="119"/>
      <c r="F1673" s="119"/>
    </row>
    <row r="1674" spans="1:6" x14ac:dyDescent="0.35">
      <c r="A1674" s="111"/>
      <c r="B1674" s="120" t="s">
        <v>857</v>
      </c>
      <c r="C1674" s="118" t="s">
        <v>804</v>
      </c>
      <c r="D1674" s="115">
        <v>0.04</v>
      </c>
      <c r="E1674" s="117">
        <v>51000</v>
      </c>
      <c r="F1674" s="142">
        <f>+D1674*E1674</f>
        <v>2040</v>
      </c>
    </row>
    <row r="1675" spans="1:6" x14ac:dyDescent="0.35">
      <c r="A1675" s="111"/>
      <c r="B1675" s="120" t="s">
        <v>873</v>
      </c>
      <c r="C1675" s="115" t="s">
        <v>38</v>
      </c>
      <c r="D1675" s="144">
        <v>0.02</v>
      </c>
      <c r="E1675" s="119">
        <v>55000</v>
      </c>
      <c r="F1675" s="142">
        <f>+D1675*E1675</f>
        <v>1100</v>
      </c>
    </row>
    <row r="1676" spans="1:6" x14ac:dyDescent="0.35">
      <c r="A1676" s="111"/>
      <c r="B1676" s="120" t="s">
        <v>891</v>
      </c>
      <c r="C1676" s="115" t="s">
        <v>832</v>
      </c>
      <c r="D1676" s="144">
        <v>0.5</v>
      </c>
      <c r="E1676" s="119">
        <v>2500</v>
      </c>
      <c r="F1676" s="142">
        <f>+D1676*E1676</f>
        <v>1250</v>
      </c>
    </row>
    <row r="1677" spans="1:6" x14ac:dyDescent="0.25">
      <c r="A1677" s="111"/>
      <c r="B1677" s="134" t="s">
        <v>807</v>
      </c>
      <c r="C1677" s="118"/>
      <c r="D1677" s="135">
        <v>0.3</v>
      </c>
      <c r="E1677" s="117">
        <v>1000</v>
      </c>
      <c r="F1677" s="142">
        <f>+D1677*E1677</f>
        <v>300</v>
      </c>
    </row>
    <row r="1678" spans="1:6" x14ac:dyDescent="0.3">
      <c r="A1678" s="111"/>
      <c r="B1678" s="136" t="s">
        <v>769</v>
      </c>
      <c r="C1678" s="118"/>
      <c r="D1678" s="116"/>
      <c r="E1678" s="117"/>
      <c r="F1678" s="114">
        <f>SUM(F1674:F1677)</f>
        <v>4690</v>
      </c>
    </row>
    <row r="1679" spans="1:6" x14ac:dyDescent="0.3">
      <c r="A1679" s="111"/>
      <c r="B1679" s="136" t="s">
        <v>808</v>
      </c>
      <c r="C1679" s="115"/>
      <c r="D1679" s="116"/>
      <c r="E1679" s="117"/>
      <c r="F1679" s="114"/>
    </row>
    <row r="1680" spans="1:6" x14ac:dyDescent="0.25">
      <c r="A1680" s="111"/>
      <c r="B1680" s="134" t="s">
        <v>820</v>
      </c>
      <c r="C1680" s="115" t="s">
        <v>772</v>
      </c>
      <c r="D1680" s="116">
        <v>0.05</v>
      </c>
      <c r="E1680" s="117">
        <v>7500</v>
      </c>
      <c r="F1680" s="121">
        <f>D1680*E1680</f>
        <v>375</v>
      </c>
    </row>
    <row r="1681" spans="1:6" x14ac:dyDescent="0.25">
      <c r="A1681" s="111"/>
      <c r="B1681" s="134" t="s">
        <v>821</v>
      </c>
      <c r="C1681" s="115" t="s">
        <v>772</v>
      </c>
      <c r="D1681" s="116">
        <v>0.05</v>
      </c>
      <c r="E1681" s="117">
        <v>7500</v>
      </c>
      <c r="F1681" s="121">
        <f>D1681*E1681</f>
        <v>375</v>
      </c>
    </row>
    <row r="1682" spans="1:6" x14ac:dyDescent="0.25">
      <c r="A1682" s="111"/>
      <c r="B1682" s="134" t="s">
        <v>851</v>
      </c>
      <c r="C1682" s="115" t="s">
        <v>772</v>
      </c>
      <c r="D1682" s="116">
        <v>0.12</v>
      </c>
      <c r="E1682" s="117">
        <v>15000</v>
      </c>
      <c r="F1682" s="121">
        <f>D1682*E1682</f>
        <v>1800</v>
      </c>
    </row>
    <row r="1683" spans="1:6" x14ac:dyDescent="0.3">
      <c r="A1683" s="111"/>
      <c r="B1683" s="136" t="s">
        <v>774</v>
      </c>
      <c r="C1683" s="115"/>
      <c r="D1683" s="228"/>
      <c r="E1683" s="117"/>
      <c r="F1683" s="114">
        <f>SUM(F1680:F1682)</f>
        <v>2550</v>
      </c>
    </row>
    <row r="1684" spans="1:6" x14ac:dyDescent="0.3">
      <c r="A1684" s="111"/>
      <c r="B1684" s="136" t="s">
        <v>775</v>
      </c>
      <c r="C1684" s="115"/>
      <c r="D1684" s="116"/>
      <c r="E1684" s="117"/>
      <c r="F1684" s="114">
        <f>F1683+F1678</f>
        <v>7240</v>
      </c>
    </row>
    <row r="1685" spans="1:6" x14ac:dyDescent="0.25">
      <c r="A1685" s="111"/>
      <c r="B1685" s="134" t="s">
        <v>824</v>
      </c>
      <c r="C1685" s="115"/>
      <c r="D1685" s="116">
        <v>1.05</v>
      </c>
      <c r="E1685" s="117"/>
      <c r="F1685" s="114">
        <f>+F1684*D1685</f>
        <v>7602</v>
      </c>
    </row>
    <row r="1686" spans="1:6" x14ac:dyDescent="0.25">
      <c r="A1686" s="111"/>
      <c r="B1686" s="134" t="s">
        <v>813</v>
      </c>
      <c r="C1686" s="115"/>
      <c r="D1686" s="116">
        <v>1.05</v>
      </c>
      <c r="E1686" s="117"/>
      <c r="F1686" s="114"/>
    </row>
    <row r="1687" spans="1:6" x14ac:dyDescent="0.35">
      <c r="A1687" s="241" t="s">
        <v>890</v>
      </c>
      <c r="B1687" s="242" t="s">
        <v>784</v>
      </c>
      <c r="C1687" s="208" t="s">
        <v>27</v>
      </c>
      <c r="D1687" s="208"/>
      <c r="E1687" s="209"/>
      <c r="F1687" s="209">
        <f>+D1686*F1685</f>
        <v>7982.1</v>
      </c>
    </row>
    <row r="1688" spans="1:6" x14ac:dyDescent="0.35">
      <c r="A1688" s="206"/>
      <c r="B1688" s="207"/>
      <c r="C1688" s="208"/>
      <c r="D1688" s="208"/>
      <c r="E1688" s="210">
        <f>+E1667</f>
        <v>3035.45</v>
      </c>
      <c r="F1688" s="210">
        <f>+F1687/E1688</f>
        <v>2.6296265792551354</v>
      </c>
    </row>
    <row r="1689" spans="1:6" x14ac:dyDescent="0.35">
      <c r="A1689" s="126"/>
      <c r="B1689" s="127"/>
      <c r="C1689" s="128"/>
      <c r="D1689" s="128"/>
      <c r="E1689" s="129"/>
      <c r="F1689" s="129"/>
    </row>
    <row r="1690" spans="1:6" x14ac:dyDescent="0.35">
      <c r="A1690" s="130"/>
      <c r="B1690" s="131"/>
      <c r="C1690" s="132"/>
      <c r="D1690" s="132"/>
      <c r="E1690" s="133"/>
      <c r="F1690" s="133"/>
    </row>
    <row r="1691" spans="1:6" x14ac:dyDescent="0.3">
      <c r="A1691" s="237" t="s">
        <v>632</v>
      </c>
      <c r="B1691" s="231" t="s">
        <v>888</v>
      </c>
      <c r="C1691" s="200" t="s">
        <v>2</v>
      </c>
      <c r="D1691" s="141"/>
      <c r="E1691" s="110"/>
      <c r="F1691" s="110"/>
    </row>
    <row r="1692" spans="1:6" x14ac:dyDescent="0.3">
      <c r="A1692" s="239" t="s">
        <v>716</v>
      </c>
      <c r="B1692" s="254" t="s">
        <v>163</v>
      </c>
      <c r="C1692" s="256" t="s">
        <v>27</v>
      </c>
      <c r="D1692" s="124"/>
      <c r="E1692" s="117"/>
      <c r="F1692" s="117"/>
    </row>
    <row r="1693" spans="1:6" x14ac:dyDescent="0.35">
      <c r="A1693" s="111"/>
      <c r="B1693" s="112" t="s">
        <v>802</v>
      </c>
      <c r="C1693" s="118"/>
      <c r="D1693" s="118"/>
      <c r="E1693" s="119"/>
      <c r="F1693" s="119"/>
    </row>
    <row r="1694" spans="1:6" x14ac:dyDescent="0.35">
      <c r="A1694" s="111"/>
      <c r="B1694" s="120" t="s">
        <v>857</v>
      </c>
      <c r="C1694" s="118" t="s">
        <v>804</v>
      </c>
      <c r="D1694" s="115">
        <v>0.02</v>
      </c>
      <c r="E1694" s="117">
        <v>51000</v>
      </c>
      <c r="F1694" s="142">
        <f>+D1694*E1694</f>
        <v>1020</v>
      </c>
    </row>
    <row r="1695" spans="1:6" x14ac:dyDescent="0.35">
      <c r="A1695" s="111"/>
      <c r="B1695" s="120" t="s">
        <v>873</v>
      </c>
      <c r="C1695" s="115" t="s">
        <v>38</v>
      </c>
      <c r="D1695" s="144">
        <v>0.02</v>
      </c>
      <c r="E1695" s="119">
        <v>55000</v>
      </c>
      <c r="F1695" s="142">
        <f>+D1695*E1695</f>
        <v>1100</v>
      </c>
    </row>
    <row r="1696" spans="1:6" x14ac:dyDescent="0.35">
      <c r="A1696" s="111"/>
      <c r="B1696" s="120" t="s">
        <v>892</v>
      </c>
      <c r="C1696" s="115" t="s">
        <v>35</v>
      </c>
      <c r="D1696" s="144">
        <v>0.1</v>
      </c>
      <c r="E1696" s="119">
        <v>58000</v>
      </c>
      <c r="F1696" s="142">
        <f>+D1696*E1696</f>
        <v>5800</v>
      </c>
    </row>
    <row r="1697" spans="1:8" x14ac:dyDescent="0.25">
      <c r="A1697" s="111"/>
      <c r="B1697" s="134" t="s">
        <v>807</v>
      </c>
      <c r="C1697" s="118"/>
      <c r="D1697" s="135">
        <v>0.25</v>
      </c>
      <c r="E1697" s="117">
        <v>1000</v>
      </c>
      <c r="F1697" s="142">
        <f>+D1697*E1697</f>
        <v>250</v>
      </c>
    </row>
    <row r="1698" spans="1:8" x14ac:dyDescent="0.3">
      <c r="A1698" s="111"/>
      <c r="B1698" s="136" t="s">
        <v>769</v>
      </c>
      <c r="C1698" s="118"/>
      <c r="D1698" s="116"/>
      <c r="E1698" s="117"/>
      <c r="F1698" s="114">
        <f>SUM(F1694:F1697)</f>
        <v>8170</v>
      </c>
    </row>
    <row r="1699" spans="1:8" x14ac:dyDescent="0.3">
      <c r="A1699" s="111"/>
      <c r="B1699" s="136" t="s">
        <v>808</v>
      </c>
      <c r="C1699" s="115"/>
      <c r="D1699" s="116"/>
      <c r="E1699" s="117"/>
      <c r="F1699" s="114"/>
    </row>
    <row r="1700" spans="1:8" x14ac:dyDescent="0.25">
      <c r="A1700" s="111"/>
      <c r="B1700" s="134" t="s">
        <v>820</v>
      </c>
      <c r="C1700" s="115" t="s">
        <v>772</v>
      </c>
      <c r="D1700" s="116">
        <v>0.05</v>
      </c>
      <c r="E1700" s="117">
        <v>7500</v>
      </c>
      <c r="F1700" s="121">
        <f>D1700*E1700</f>
        <v>375</v>
      </c>
    </row>
    <row r="1701" spans="1:8" x14ac:dyDescent="0.25">
      <c r="A1701" s="111"/>
      <c r="B1701" s="134" t="s">
        <v>821</v>
      </c>
      <c r="C1701" s="115" t="s">
        <v>772</v>
      </c>
      <c r="D1701" s="116">
        <v>0.05</v>
      </c>
      <c r="E1701" s="117">
        <v>7500</v>
      </c>
      <c r="F1701" s="121">
        <f>D1701*E1701</f>
        <v>375</v>
      </c>
    </row>
    <row r="1702" spans="1:8" x14ac:dyDescent="0.25">
      <c r="A1702" s="111"/>
      <c r="B1702" s="134" t="s">
        <v>851</v>
      </c>
      <c r="C1702" s="115" t="s">
        <v>772</v>
      </c>
      <c r="D1702" s="116">
        <v>0.12</v>
      </c>
      <c r="E1702" s="117">
        <v>15000</v>
      </c>
      <c r="F1702" s="121">
        <f>D1702*E1702</f>
        <v>1800</v>
      </c>
    </row>
    <row r="1703" spans="1:8" x14ac:dyDescent="0.3">
      <c r="A1703" s="111"/>
      <c r="B1703" s="136" t="s">
        <v>774</v>
      </c>
      <c r="C1703" s="115"/>
      <c r="D1703" s="228"/>
      <c r="E1703" s="117"/>
      <c r="F1703" s="114">
        <f>SUM(F1700:F1702)</f>
        <v>2550</v>
      </c>
    </row>
    <row r="1704" spans="1:8" x14ac:dyDescent="0.3">
      <c r="A1704" s="111"/>
      <c r="B1704" s="136" t="s">
        <v>775</v>
      </c>
      <c r="C1704" s="115"/>
      <c r="D1704" s="116"/>
      <c r="E1704" s="117"/>
      <c r="F1704" s="114">
        <f>F1703+F1698</f>
        <v>10720</v>
      </c>
    </row>
    <row r="1705" spans="1:8" x14ac:dyDescent="0.25">
      <c r="A1705" s="111"/>
      <c r="B1705" s="134" t="s">
        <v>792</v>
      </c>
      <c r="C1705" s="115"/>
      <c r="D1705" s="116">
        <v>1.05</v>
      </c>
      <c r="E1705" s="117"/>
      <c r="F1705" s="114">
        <f>+F1704*D1705</f>
        <v>11256</v>
      </c>
    </row>
    <row r="1706" spans="1:8" x14ac:dyDescent="0.25">
      <c r="A1706" s="111"/>
      <c r="B1706" s="134" t="s">
        <v>848</v>
      </c>
      <c r="C1706" s="115"/>
      <c r="D1706" s="116">
        <v>1.05</v>
      </c>
      <c r="E1706" s="117"/>
      <c r="F1706" s="114"/>
    </row>
    <row r="1707" spans="1:8" x14ac:dyDescent="0.35">
      <c r="A1707" s="241" t="s">
        <v>716</v>
      </c>
      <c r="B1707" s="242" t="s">
        <v>784</v>
      </c>
      <c r="C1707" s="208" t="s">
        <v>27</v>
      </c>
      <c r="D1707" s="208"/>
      <c r="E1707" s="209"/>
      <c r="F1707" s="209">
        <f>+D1706*F1705</f>
        <v>11818.800000000001</v>
      </c>
    </row>
    <row r="1708" spans="1:8" x14ac:dyDescent="0.35">
      <c r="A1708" s="206"/>
      <c r="B1708" s="207"/>
      <c r="C1708" s="208"/>
      <c r="D1708" s="208"/>
      <c r="E1708" s="210">
        <f>+E1688</f>
        <v>3035.45</v>
      </c>
      <c r="F1708" s="210">
        <f>+F1707/E1708</f>
        <v>3.893590736134676</v>
      </c>
    </row>
    <row r="1709" spans="1:8" s="139" customFormat="1" x14ac:dyDescent="0.35">
      <c r="A1709" s="126"/>
      <c r="B1709" s="127"/>
      <c r="C1709" s="128"/>
      <c r="D1709" s="128"/>
      <c r="E1709" s="176"/>
      <c r="F1709" s="176"/>
      <c r="G1709" s="138"/>
      <c r="H1709" s="177"/>
    </row>
    <row r="1710" spans="1:8" s="139" customFormat="1" x14ac:dyDescent="0.35">
      <c r="A1710" s="105"/>
      <c r="B1710" s="106"/>
      <c r="C1710" s="101"/>
      <c r="D1710" s="101"/>
      <c r="E1710" s="161"/>
      <c r="F1710" s="161"/>
      <c r="G1710" s="138"/>
      <c r="H1710" s="177"/>
    </row>
    <row r="1711" spans="1:8" s="139" customFormat="1" x14ac:dyDescent="0.3">
      <c r="A1711" s="257" t="s">
        <v>164</v>
      </c>
      <c r="B1711" s="258" t="s">
        <v>165</v>
      </c>
      <c r="C1711" s="200" t="s">
        <v>2</v>
      </c>
      <c r="D1711" s="202" t="s">
        <v>765</v>
      </c>
      <c r="E1711" s="203" t="s">
        <v>766</v>
      </c>
      <c r="F1711" s="203" t="s">
        <v>767</v>
      </c>
      <c r="G1711" s="138"/>
      <c r="H1711" s="177"/>
    </row>
    <row r="1712" spans="1:8" s="139" customFormat="1" x14ac:dyDescent="0.3">
      <c r="A1712" s="237" t="s">
        <v>166</v>
      </c>
      <c r="B1712" s="231" t="s">
        <v>167</v>
      </c>
      <c r="C1712" s="256"/>
      <c r="D1712" s="141"/>
      <c r="E1712" s="110"/>
      <c r="F1712" s="110"/>
      <c r="G1712" s="138"/>
      <c r="H1712" s="177"/>
    </row>
    <row r="1713" spans="1:8" s="139" customFormat="1" ht="26" x14ac:dyDescent="0.35">
      <c r="A1713" s="259" t="s">
        <v>168</v>
      </c>
      <c r="B1713" s="260" t="s">
        <v>1120</v>
      </c>
      <c r="C1713" s="224" t="s">
        <v>35</v>
      </c>
      <c r="D1713" s="124"/>
      <c r="E1713" s="117"/>
      <c r="F1713" s="117"/>
      <c r="G1713" s="138"/>
      <c r="H1713" s="177"/>
    </row>
    <row r="1714" spans="1:8" s="139" customFormat="1" x14ac:dyDescent="0.35">
      <c r="A1714" s="111"/>
      <c r="B1714" s="112" t="s">
        <v>802</v>
      </c>
      <c r="C1714" s="118"/>
      <c r="D1714" s="118"/>
      <c r="E1714" s="119"/>
      <c r="F1714" s="119"/>
      <c r="G1714" s="138"/>
      <c r="H1714" s="177"/>
    </row>
    <row r="1715" spans="1:8" s="139" customFormat="1" x14ac:dyDescent="0.35">
      <c r="A1715" s="107"/>
      <c r="B1715" s="123" t="s">
        <v>893</v>
      </c>
      <c r="C1715" s="124" t="s">
        <v>59</v>
      </c>
      <c r="D1715" s="124">
        <v>0.65</v>
      </c>
      <c r="E1715" s="117">
        <v>105000</v>
      </c>
      <c r="F1715" s="117">
        <f>D1715*E1715</f>
        <v>68250</v>
      </c>
      <c r="G1715" s="138"/>
      <c r="H1715" s="177"/>
    </row>
    <row r="1716" spans="1:8" s="139" customFormat="1" x14ac:dyDescent="0.35">
      <c r="A1716" s="107"/>
      <c r="B1716" s="120" t="s">
        <v>894</v>
      </c>
      <c r="C1716" s="109"/>
      <c r="D1716" s="124"/>
      <c r="E1716" s="117"/>
      <c r="F1716" s="117">
        <f>F1715*0.15</f>
        <v>10237.5</v>
      </c>
      <c r="G1716" s="138"/>
      <c r="H1716" s="177"/>
    </row>
    <row r="1717" spans="1:8" s="139" customFormat="1" x14ac:dyDescent="0.35">
      <c r="A1717" s="107"/>
      <c r="B1717" s="108" t="s">
        <v>769</v>
      </c>
      <c r="C1717" s="109"/>
      <c r="D1717" s="124"/>
      <c r="E1717" s="117"/>
      <c r="F1717" s="110">
        <f>SUM(F1715:F1716)</f>
        <v>78487.5</v>
      </c>
      <c r="G1717" s="138"/>
      <c r="H1717" s="177"/>
    </row>
    <row r="1718" spans="1:8" s="139" customFormat="1" x14ac:dyDescent="0.3">
      <c r="A1718" s="111"/>
      <c r="B1718" s="136" t="s">
        <v>808</v>
      </c>
      <c r="C1718" s="115"/>
      <c r="D1718" s="124"/>
      <c r="E1718" s="117"/>
      <c r="F1718" s="110"/>
      <c r="G1718" s="138"/>
      <c r="H1718" s="177"/>
    </row>
    <row r="1719" spans="1:8" s="139" customFormat="1" x14ac:dyDescent="0.25">
      <c r="A1719" s="111"/>
      <c r="B1719" s="134" t="s">
        <v>895</v>
      </c>
      <c r="C1719" s="115" t="s">
        <v>772</v>
      </c>
      <c r="D1719" s="124">
        <v>0.5</v>
      </c>
      <c r="E1719" s="117">
        <v>15000</v>
      </c>
      <c r="F1719" s="117">
        <f>D1719*E1719</f>
        <v>7500</v>
      </c>
      <c r="G1719" s="138"/>
      <c r="H1719" s="177"/>
    </row>
    <row r="1720" spans="1:8" s="139" customFormat="1" x14ac:dyDescent="0.25">
      <c r="A1720" s="111"/>
      <c r="B1720" s="134" t="s">
        <v>896</v>
      </c>
      <c r="C1720" s="115" t="s">
        <v>772</v>
      </c>
      <c r="D1720" s="124">
        <v>0.15</v>
      </c>
      <c r="E1720" s="117">
        <v>15000</v>
      </c>
      <c r="F1720" s="117">
        <f>D1720*E1720</f>
        <v>2250</v>
      </c>
      <c r="G1720" s="138"/>
      <c r="H1720" s="177"/>
    </row>
    <row r="1721" spans="1:8" s="139" customFormat="1" x14ac:dyDescent="0.3">
      <c r="A1721" s="111"/>
      <c r="B1721" s="136" t="s">
        <v>774</v>
      </c>
      <c r="C1721" s="115"/>
      <c r="D1721" s="124"/>
      <c r="E1721" s="117"/>
      <c r="F1721" s="110">
        <f>SUM(F1719:F1720)</f>
        <v>9750</v>
      </c>
      <c r="G1721" s="138"/>
      <c r="H1721" s="177"/>
    </row>
    <row r="1722" spans="1:8" s="139" customFormat="1" x14ac:dyDescent="0.3">
      <c r="A1722" s="111"/>
      <c r="B1722" s="136" t="s">
        <v>775</v>
      </c>
      <c r="C1722" s="115"/>
      <c r="D1722" s="109"/>
      <c r="E1722" s="110"/>
      <c r="F1722" s="110">
        <f>+F1721+F1717</f>
        <v>88237.5</v>
      </c>
      <c r="G1722" s="138"/>
      <c r="H1722" s="177"/>
    </row>
    <row r="1723" spans="1:8" s="139" customFormat="1" x14ac:dyDescent="0.25">
      <c r="A1723" s="111"/>
      <c r="B1723" s="134" t="s">
        <v>956</v>
      </c>
      <c r="C1723" s="115"/>
      <c r="D1723" s="124">
        <v>1.02</v>
      </c>
      <c r="E1723" s="110"/>
      <c r="F1723" s="117">
        <f>+F1722*D1723</f>
        <v>90002.25</v>
      </c>
      <c r="G1723" s="138"/>
      <c r="H1723" s="177"/>
    </row>
    <row r="1724" spans="1:8" s="139" customFormat="1" x14ac:dyDescent="0.25">
      <c r="A1724" s="111"/>
      <c r="B1724" s="134" t="s">
        <v>848</v>
      </c>
      <c r="C1724" s="115"/>
      <c r="D1724" s="124">
        <v>1.05</v>
      </c>
      <c r="E1724" s="110"/>
      <c r="F1724" s="110"/>
      <c r="G1724" s="138"/>
      <c r="H1724" s="177"/>
    </row>
    <row r="1725" spans="1:8" s="139" customFormat="1" x14ac:dyDescent="0.35">
      <c r="A1725" s="261" t="s">
        <v>168</v>
      </c>
      <c r="B1725" s="242" t="s">
        <v>785</v>
      </c>
      <c r="C1725" s="208" t="s">
        <v>59</v>
      </c>
      <c r="D1725" s="208"/>
      <c r="E1725" s="209"/>
      <c r="F1725" s="209">
        <f>+D1724*F1723</f>
        <v>94502.362500000003</v>
      </c>
      <c r="G1725" s="138"/>
      <c r="H1725" s="177"/>
    </row>
    <row r="1726" spans="1:8" s="139" customFormat="1" x14ac:dyDescent="0.35">
      <c r="A1726" s="206"/>
      <c r="B1726" s="207"/>
      <c r="C1726" s="208"/>
      <c r="D1726" s="208"/>
      <c r="E1726" s="210">
        <f>+E1708</f>
        <v>3035.45</v>
      </c>
      <c r="F1726" s="210">
        <f>+F1725/E1726</f>
        <v>31.132900393681336</v>
      </c>
      <c r="G1726" s="138"/>
      <c r="H1726" s="177"/>
    </row>
    <row r="1727" spans="1:8" s="139" customFormat="1" x14ac:dyDescent="0.35">
      <c r="A1727" s="105"/>
      <c r="B1727" s="106"/>
      <c r="C1727" s="101"/>
      <c r="D1727" s="101"/>
      <c r="E1727" s="161"/>
      <c r="F1727" s="161"/>
      <c r="G1727" s="138"/>
      <c r="H1727" s="177"/>
    </row>
    <row r="1728" spans="1:8" s="139" customFormat="1" x14ac:dyDescent="0.35">
      <c r="A1728" s="105"/>
      <c r="B1728" s="106"/>
      <c r="C1728" s="101"/>
      <c r="D1728" s="101"/>
      <c r="E1728" s="161"/>
      <c r="F1728" s="161"/>
      <c r="G1728" s="138"/>
      <c r="H1728" s="177"/>
    </row>
    <row r="1729" spans="1:8" s="139" customFormat="1" x14ac:dyDescent="0.3">
      <c r="A1729" s="257" t="s">
        <v>164</v>
      </c>
      <c r="B1729" s="258" t="s">
        <v>165</v>
      </c>
      <c r="C1729" s="200" t="s">
        <v>2</v>
      </c>
      <c r="D1729" s="202" t="s">
        <v>765</v>
      </c>
      <c r="E1729" s="203" t="s">
        <v>766</v>
      </c>
      <c r="F1729" s="203" t="s">
        <v>767</v>
      </c>
      <c r="G1729" s="138"/>
      <c r="H1729" s="177"/>
    </row>
    <row r="1730" spans="1:8" s="139" customFormat="1" x14ac:dyDescent="0.3">
      <c r="A1730" s="237" t="s">
        <v>166</v>
      </c>
      <c r="B1730" s="231" t="s">
        <v>167</v>
      </c>
      <c r="C1730" s="256"/>
      <c r="D1730" s="141"/>
      <c r="E1730" s="110"/>
      <c r="F1730" s="110"/>
      <c r="G1730" s="138"/>
      <c r="H1730" s="177"/>
    </row>
    <row r="1731" spans="1:8" s="139" customFormat="1" x14ac:dyDescent="0.3">
      <c r="A1731" s="239" t="s">
        <v>169</v>
      </c>
      <c r="B1731" s="235" t="s">
        <v>1121</v>
      </c>
      <c r="C1731" s="256" t="s">
        <v>59</v>
      </c>
      <c r="D1731" s="124"/>
      <c r="E1731" s="117"/>
      <c r="F1731" s="117"/>
      <c r="G1731" s="138"/>
      <c r="H1731" s="177"/>
    </row>
    <row r="1732" spans="1:8" s="139" customFormat="1" x14ac:dyDescent="0.35">
      <c r="A1732" s="111"/>
      <c r="B1732" s="112" t="s">
        <v>802</v>
      </c>
      <c r="C1732" s="118"/>
      <c r="D1732" s="118"/>
      <c r="E1732" s="119"/>
      <c r="F1732" s="119"/>
      <c r="G1732" s="138"/>
      <c r="H1732" s="177"/>
    </row>
    <row r="1733" spans="1:8" s="139" customFormat="1" x14ac:dyDescent="0.35">
      <c r="A1733" s="107"/>
      <c r="B1733" s="123" t="s">
        <v>893</v>
      </c>
      <c r="C1733" s="124" t="s">
        <v>59</v>
      </c>
      <c r="D1733" s="124">
        <v>7.66</v>
      </c>
      <c r="E1733" s="117">
        <v>105000</v>
      </c>
      <c r="F1733" s="117">
        <f>D1733*E1733</f>
        <v>804300</v>
      </c>
      <c r="G1733" s="138"/>
      <c r="H1733" s="177"/>
    </row>
    <row r="1734" spans="1:8" s="139" customFormat="1" x14ac:dyDescent="0.35">
      <c r="A1734" s="107"/>
      <c r="B1734" s="120" t="s">
        <v>894</v>
      </c>
      <c r="C1734" s="109"/>
      <c r="D1734" s="124"/>
      <c r="E1734" s="117"/>
      <c r="F1734" s="117">
        <f>F1733*0.15</f>
        <v>120645</v>
      </c>
      <c r="G1734" s="138"/>
      <c r="H1734" s="177"/>
    </row>
    <row r="1735" spans="1:8" s="139" customFormat="1" x14ac:dyDescent="0.35">
      <c r="A1735" s="107"/>
      <c r="B1735" s="108" t="s">
        <v>769</v>
      </c>
      <c r="C1735" s="109"/>
      <c r="D1735" s="124"/>
      <c r="E1735" s="117"/>
      <c r="F1735" s="110">
        <f>SUM(F1733:F1734)</f>
        <v>924945</v>
      </c>
      <c r="G1735" s="138"/>
      <c r="H1735" s="177"/>
    </row>
    <row r="1736" spans="1:8" s="139" customFormat="1" x14ac:dyDescent="0.3">
      <c r="A1736" s="111"/>
      <c r="B1736" s="136" t="s">
        <v>808</v>
      </c>
      <c r="C1736" s="115"/>
      <c r="D1736" s="124"/>
      <c r="E1736" s="117"/>
      <c r="F1736" s="110"/>
      <c r="G1736" s="138"/>
      <c r="H1736" s="177"/>
    </row>
    <row r="1737" spans="1:8" s="139" customFormat="1" x14ac:dyDescent="0.25">
      <c r="A1737" s="111"/>
      <c r="B1737" s="134" t="s">
        <v>895</v>
      </c>
      <c r="C1737" s="115" t="s">
        <v>772</v>
      </c>
      <c r="D1737" s="124">
        <v>1.25</v>
      </c>
      <c r="E1737" s="117">
        <v>15000</v>
      </c>
      <c r="F1737" s="117">
        <f>D1737*E1737</f>
        <v>18750</v>
      </c>
      <c r="G1737" s="138"/>
      <c r="H1737" s="177"/>
    </row>
    <row r="1738" spans="1:8" s="139" customFormat="1" x14ac:dyDescent="0.25">
      <c r="A1738" s="111"/>
      <c r="B1738" s="134" t="s">
        <v>896</v>
      </c>
      <c r="C1738" s="115" t="s">
        <v>772</v>
      </c>
      <c r="D1738" s="124">
        <v>0.15</v>
      </c>
      <c r="E1738" s="117">
        <v>15000</v>
      </c>
      <c r="F1738" s="117">
        <f>D1738*E1738</f>
        <v>2250</v>
      </c>
      <c r="G1738" s="138"/>
      <c r="H1738" s="177"/>
    </row>
    <row r="1739" spans="1:8" s="139" customFormat="1" x14ac:dyDescent="0.3">
      <c r="A1739" s="111"/>
      <c r="B1739" s="136" t="s">
        <v>774</v>
      </c>
      <c r="C1739" s="115"/>
      <c r="D1739" s="124"/>
      <c r="E1739" s="117"/>
      <c r="F1739" s="110">
        <f>SUM(F1737:F1738)</f>
        <v>21000</v>
      </c>
      <c r="G1739" s="138"/>
      <c r="H1739" s="177"/>
    </row>
    <row r="1740" spans="1:8" s="139" customFormat="1" x14ac:dyDescent="0.3">
      <c r="A1740" s="111"/>
      <c r="B1740" s="136" t="s">
        <v>775</v>
      </c>
      <c r="C1740" s="115"/>
      <c r="D1740" s="109"/>
      <c r="E1740" s="110"/>
      <c r="F1740" s="110">
        <f>+F1739+F1735</f>
        <v>945945</v>
      </c>
      <c r="G1740" s="138"/>
      <c r="H1740" s="177"/>
    </row>
    <row r="1741" spans="1:8" s="139" customFormat="1" x14ac:dyDescent="0.25">
      <c r="A1741" s="111"/>
      <c r="B1741" s="134" t="s">
        <v>792</v>
      </c>
      <c r="C1741" s="115"/>
      <c r="D1741" s="124">
        <v>1.05</v>
      </c>
      <c r="E1741" s="110"/>
      <c r="F1741" s="117">
        <f>+F1740*D1741</f>
        <v>993242.25</v>
      </c>
      <c r="G1741" s="138"/>
      <c r="H1741" s="177"/>
    </row>
    <row r="1742" spans="1:8" s="139" customFormat="1" x14ac:dyDescent="0.25">
      <c r="A1742" s="111"/>
      <c r="B1742" s="134" t="s">
        <v>848</v>
      </c>
      <c r="C1742" s="115"/>
      <c r="D1742" s="124">
        <v>1.05</v>
      </c>
      <c r="E1742" s="110"/>
      <c r="F1742" s="110"/>
      <c r="G1742" s="138"/>
      <c r="H1742" s="177"/>
    </row>
    <row r="1743" spans="1:8" s="139" customFormat="1" x14ac:dyDescent="0.35">
      <c r="A1743" s="261" t="s">
        <v>169</v>
      </c>
      <c r="B1743" s="242" t="s">
        <v>785</v>
      </c>
      <c r="C1743" s="208" t="s">
        <v>59</v>
      </c>
      <c r="D1743" s="208"/>
      <c r="E1743" s="209"/>
      <c r="F1743" s="209">
        <f>+D1742*F1741</f>
        <v>1042904.3625</v>
      </c>
      <c r="G1743" s="138"/>
      <c r="H1743" s="177"/>
    </row>
    <row r="1744" spans="1:8" s="139" customFormat="1" x14ac:dyDescent="0.35">
      <c r="A1744" s="206"/>
      <c r="B1744" s="207"/>
      <c r="C1744" s="208"/>
      <c r="D1744" s="208"/>
      <c r="E1744" s="210">
        <f>+E1726</f>
        <v>3035.45</v>
      </c>
      <c r="F1744" s="210">
        <f>+F1743/E1744</f>
        <v>343.5748776952347</v>
      </c>
      <c r="G1744" s="138"/>
      <c r="H1744" s="177"/>
    </row>
    <row r="1745" spans="1:8" s="139" customFormat="1" x14ac:dyDescent="0.35">
      <c r="A1745" s="105"/>
      <c r="B1745" s="106"/>
      <c r="C1745" s="101"/>
      <c r="D1745" s="101"/>
      <c r="E1745" s="161"/>
      <c r="F1745" s="161"/>
      <c r="G1745" s="138"/>
      <c r="H1745" s="177"/>
    </row>
    <row r="1746" spans="1:8" s="139" customFormat="1" x14ac:dyDescent="0.35">
      <c r="A1746" s="105"/>
      <c r="B1746" s="106"/>
      <c r="C1746" s="101"/>
      <c r="D1746" s="101"/>
      <c r="E1746" s="161"/>
      <c r="F1746" s="161"/>
      <c r="G1746" s="138"/>
      <c r="H1746" s="177"/>
    </row>
    <row r="1747" spans="1:8" x14ac:dyDescent="0.3">
      <c r="A1747" s="262" t="s">
        <v>164</v>
      </c>
      <c r="B1747" s="258" t="s">
        <v>165</v>
      </c>
      <c r="C1747" s="200" t="s">
        <v>2</v>
      </c>
      <c r="D1747" s="202" t="s">
        <v>765</v>
      </c>
      <c r="E1747" s="203" t="s">
        <v>766</v>
      </c>
      <c r="F1747" s="203" t="s">
        <v>767</v>
      </c>
    </row>
    <row r="1748" spans="1:8" x14ac:dyDescent="0.3">
      <c r="A1748" s="237" t="s">
        <v>166</v>
      </c>
      <c r="B1748" s="231" t="s">
        <v>167</v>
      </c>
      <c r="C1748" s="256"/>
      <c r="D1748" s="141"/>
      <c r="E1748" s="110"/>
      <c r="F1748" s="110"/>
    </row>
    <row r="1749" spans="1:8" x14ac:dyDescent="0.3">
      <c r="A1749" s="239" t="s">
        <v>170</v>
      </c>
      <c r="B1749" s="235" t="s">
        <v>171</v>
      </c>
      <c r="C1749" s="256" t="s">
        <v>59</v>
      </c>
      <c r="D1749" s="124"/>
      <c r="E1749" s="117"/>
      <c r="F1749" s="117"/>
    </row>
    <row r="1750" spans="1:8" x14ac:dyDescent="0.35">
      <c r="A1750" s="111"/>
      <c r="B1750" s="112" t="s">
        <v>802</v>
      </c>
      <c r="C1750" s="118"/>
      <c r="D1750" s="118"/>
      <c r="E1750" s="119"/>
      <c r="F1750" s="119"/>
    </row>
    <row r="1751" spans="1:8" x14ac:dyDescent="0.35">
      <c r="A1751" s="107"/>
      <c r="B1751" s="123" t="s">
        <v>893</v>
      </c>
      <c r="C1751" s="124" t="s">
        <v>59</v>
      </c>
      <c r="D1751" s="124">
        <v>7.66</v>
      </c>
      <c r="E1751" s="117">
        <v>105000</v>
      </c>
      <c r="F1751" s="117">
        <f>D1751*E1751</f>
        <v>804300</v>
      </c>
    </row>
    <row r="1752" spans="1:8" x14ac:dyDescent="0.35">
      <c r="A1752" s="107"/>
      <c r="B1752" s="120" t="s">
        <v>894</v>
      </c>
      <c r="C1752" s="109"/>
      <c r="D1752" s="124"/>
      <c r="E1752" s="117"/>
      <c r="F1752" s="117">
        <f>F1751*0.15</f>
        <v>120645</v>
      </c>
    </row>
    <row r="1753" spans="1:8" x14ac:dyDescent="0.35">
      <c r="A1753" s="107"/>
      <c r="B1753" s="108" t="s">
        <v>769</v>
      </c>
      <c r="C1753" s="109"/>
      <c r="D1753" s="124"/>
      <c r="E1753" s="117"/>
      <c r="F1753" s="110">
        <f>SUM(F1751:F1752)</f>
        <v>924945</v>
      </c>
    </row>
    <row r="1754" spans="1:8" x14ac:dyDescent="0.3">
      <c r="A1754" s="111"/>
      <c r="B1754" s="136" t="s">
        <v>808</v>
      </c>
      <c r="C1754" s="115"/>
      <c r="D1754" s="124"/>
      <c r="E1754" s="117"/>
      <c r="F1754" s="110"/>
    </row>
    <row r="1755" spans="1:8" x14ac:dyDescent="0.25">
      <c r="A1755" s="111"/>
      <c r="B1755" s="134" t="s">
        <v>895</v>
      </c>
      <c r="C1755" s="115" t="s">
        <v>772</v>
      </c>
      <c r="D1755" s="124">
        <v>1.25</v>
      </c>
      <c r="E1755" s="117">
        <v>15000</v>
      </c>
      <c r="F1755" s="117">
        <f>D1755*E1755</f>
        <v>18750</v>
      </c>
    </row>
    <row r="1756" spans="1:8" x14ac:dyDescent="0.25">
      <c r="A1756" s="111"/>
      <c r="B1756" s="134" t="s">
        <v>896</v>
      </c>
      <c r="C1756" s="115" t="s">
        <v>772</v>
      </c>
      <c r="D1756" s="124">
        <v>0.15</v>
      </c>
      <c r="E1756" s="117">
        <v>15000</v>
      </c>
      <c r="F1756" s="117">
        <f>D1756*E1756</f>
        <v>2250</v>
      </c>
    </row>
    <row r="1757" spans="1:8" x14ac:dyDescent="0.3">
      <c r="A1757" s="111"/>
      <c r="B1757" s="136" t="s">
        <v>774</v>
      </c>
      <c r="C1757" s="115"/>
      <c r="D1757" s="124"/>
      <c r="E1757" s="117"/>
      <c r="F1757" s="110">
        <f>SUM(F1755:F1756)</f>
        <v>21000</v>
      </c>
    </row>
    <row r="1758" spans="1:8" x14ac:dyDescent="0.3">
      <c r="A1758" s="111"/>
      <c r="B1758" s="136" t="s">
        <v>775</v>
      </c>
      <c r="C1758" s="115"/>
      <c r="D1758" s="109"/>
      <c r="E1758" s="110"/>
      <c r="F1758" s="110">
        <f>+F1757+F1753</f>
        <v>945945</v>
      </c>
    </row>
    <row r="1759" spans="1:8" x14ac:dyDescent="0.25">
      <c r="A1759" s="111"/>
      <c r="B1759" s="134" t="s">
        <v>792</v>
      </c>
      <c r="C1759" s="115"/>
      <c r="D1759" s="124">
        <v>1.05</v>
      </c>
      <c r="E1759" s="110"/>
      <c r="F1759" s="117">
        <f>+F1758*D1759</f>
        <v>993242.25</v>
      </c>
    </row>
    <row r="1760" spans="1:8" x14ac:dyDescent="0.25">
      <c r="A1760" s="111"/>
      <c r="B1760" s="134" t="s">
        <v>825</v>
      </c>
      <c r="C1760" s="115"/>
      <c r="D1760" s="124">
        <v>1.1000000000000001</v>
      </c>
      <c r="E1760" s="110"/>
      <c r="F1760" s="110"/>
    </row>
    <row r="1761" spans="1:6" x14ac:dyDescent="0.35">
      <c r="A1761" s="261" t="s">
        <v>170</v>
      </c>
      <c r="B1761" s="242" t="s">
        <v>785</v>
      </c>
      <c r="C1761" s="208" t="s">
        <v>59</v>
      </c>
      <c r="D1761" s="208"/>
      <c r="E1761" s="209"/>
      <c r="F1761" s="209">
        <f>+D1760*F1759</f>
        <v>1092566.4750000001</v>
      </c>
    </row>
    <row r="1762" spans="1:6" x14ac:dyDescent="0.35">
      <c r="A1762" s="206"/>
      <c r="B1762" s="207"/>
      <c r="C1762" s="208"/>
      <c r="D1762" s="208"/>
      <c r="E1762" s="210">
        <f>+E1744</f>
        <v>3035.45</v>
      </c>
      <c r="F1762" s="210">
        <f>+F1761/E1762</f>
        <v>359.93558615691256</v>
      </c>
    </row>
    <row r="1763" spans="1:6" x14ac:dyDescent="0.35">
      <c r="A1763" s="126"/>
      <c r="B1763" s="127"/>
      <c r="C1763" s="128"/>
      <c r="D1763" s="128"/>
      <c r="E1763" s="129"/>
      <c r="F1763" s="129"/>
    </row>
    <row r="1764" spans="1:6" x14ac:dyDescent="0.35">
      <c r="A1764" s="105"/>
      <c r="B1764" s="106"/>
      <c r="C1764" s="101"/>
      <c r="D1764" s="101"/>
      <c r="E1764" s="102"/>
      <c r="F1764" s="102"/>
    </row>
    <row r="1765" spans="1:6" x14ac:dyDescent="0.3">
      <c r="A1765" s="257" t="s">
        <v>164</v>
      </c>
      <c r="B1765" s="258" t="s">
        <v>165</v>
      </c>
      <c r="C1765" s="200" t="s">
        <v>2</v>
      </c>
      <c r="D1765" s="202" t="s">
        <v>765</v>
      </c>
      <c r="E1765" s="203" t="s">
        <v>766</v>
      </c>
      <c r="F1765" s="203" t="s">
        <v>767</v>
      </c>
    </row>
    <row r="1766" spans="1:6" x14ac:dyDescent="0.3">
      <c r="A1766" s="237" t="s">
        <v>166</v>
      </c>
      <c r="B1766" s="231" t="s">
        <v>167</v>
      </c>
      <c r="C1766" s="256"/>
      <c r="D1766" s="141"/>
      <c r="E1766" s="110"/>
      <c r="F1766" s="110"/>
    </row>
    <row r="1767" spans="1:6" x14ac:dyDescent="0.3">
      <c r="A1767" s="239" t="s">
        <v>172</v>
      </c>
      <c r="B1767" s="254" t="s">
        <v>1122</v>
      </c>
      <c r="C1767" s="256" t="s">
        <v>59</v>
      </c>
      <c r="D1767" s="124"/>
      <c r="E1767" s="117"/>
      <c r="F1767" s="117"/>
    </row>
    <row r="1768" spans="1:6" x14ac:dyDescent="0.35">
      <c r="A1768" s="111"/>
      <c r="B1768" s="112" t="s">
        <v>802</v>
      </c>
      <c r="C1768" s="118"/>
      <c r="D1768" s="118"/>
      <c r="E1768" s="119"/>
      <c r="F1768" s="119"/>
    </row>
    <row r="1769" spans="1:6" x14ac:dyDescent="0.35">
      <c r="A1769" s="107"/>
      <c r="B1769" s="123" t="s">
        <v>893</v>
      </c>
      <c r="C1769" s="124" t="s">
        <v>59</v>
      </c>
      <c r="D1769" s="124">
        <v>8.5500000000000007</v>
      </c>
      <c r="E1769" s="117">
        <v>105000</v>
      </c>
      <c r="F1769" s="117">
        <f>D1769*E1769</f>
        <v>897750.00000000012</v>
      </c>
    </row>
    <row r="1770" spans="1:6" x14ac:dyDescent="0.35">
      <c r="A1770" s="107"/>
      <c r="B1770" s="120" t="s">
        <v>894</v>
      </c>
      <c r="C1770" s="109"/>
      <c r="D1770" s="124"/>
      <c r="E1770" s="117"/>
      <c r="F1770" s="117">
        <f>F1769*0.15</f>
        <v>134662.5</v>
      </c>
    </row>
    <row r="1771" spans="1:6" x14ac:dyDescent="0.35">
      <c r="A1771" s="107"/>
      <c r="B1771" s="108" t="s">
        <v>769</v>
      </c>
      <c r="C1771" s="109"/>
      <c r="D1771" s="124"/>
      <c r="E1771" s="117"/>
      <c r="F1771" s="110">
        <f>SUM(F1769:F1770)</f>
        <v>1032412.5000000001</v>
      </c>
    </row>
    <row r="1772" spans="1:6" x14ac:dyDescent="0.3">
      <c r="A1772" s="111"/>
      <c r="B1772" s="136" t="s">
        <v>808</v>
      </c>
      <c r="C1772" s="115"/>
      <c r="D1772" s="124"/>
      <c r="E1772" s="117"/>
      <c r="F1772" s="110"/>
    </row>
    <row r="1773" spans="1:6" x14ac:dyDescent="0.25">
      <c r="A1773" s="111"/>
      <c r="B1773" s="134" t="s">
        <v>895</v>
      </c>
      <c r="C1773" s="115" t="s">
        <v>772</v>
      </c>
      <c r="D1773" s="124">
        <v>1.25</v>
      </c>
      <c r="E1773" s="117">
        <v>15000</v>
      </c>
      <c r="F1773" s="117">
        <f>D1773*E1773</f>
        <v>18750</v>
      </c>
    </row>
    <row r="1774" spans="1:6" x14ac:dyDescent="0.25">
      <c r="A1774" s="111"/>
      <c r="B1774" s="134" t="s">
        <v>896</v>
      </c>
      <c r="C1774" s="115" t="s">
        <v>772</v>
      </c>
      <c r="D1774" s="124">
        <v>0.12</v>
      </c>
      <c r="E1774" s="117">
        <v>15000</v>
      </c>
      <c r="F1774" s="117">
        <f>D1774*E1774</f>
        <v>1800</v>
      </c>
    </row>
    <row r="1775" spans="1:6" x14ac:dyDescent="0.3">
      <c r="A1775" s="111"/>
      <c r="B1775" s="136" t="s">
        <v>774</v>
      </c>
      <c r="C1775" s="115"/>
      <c r="D1775" s="124"/>
      <c r="E1775" s="117"/>
      <c r="F1775" s="110">
        <f>SUM(F1773:F1774)</f>
        <v>20550</v>
      </c>
    </row>
    <row r="1776" spans="1:6" x14ac:dyDescent="0.3">
      <c r="A1776" s="111"/>
      <c r="B1776" s="136" t="s">
        <v>775</v>
      </c>
      <c r="C1776" s="115"/>
      <c r="D1776" s="109"/>
      <c r="E1776" s="110"/>
      <c r="F1776" s="110">
        <f>+F1775+F1771</f>
        <v>1052962.5</v>
      </c>
    </row>
    <row r="1777" spans="1:6" x14ac:dyDescent="0.25">
      <c r="A1777" s="111"/>
      <c r="B1777" s="134" t="s">
        <v>792</v>
      </c>
      <c r="C1777" s="115"/>
      <c r="D1777" s="124">
        <v>1.05</v>
      </c>
      <c r="E1777" s="110"/>
      <c r="F1777" s="117">
        <f>+F1776*D1777</f>
        <v>1105610.625</v>
      </c>
    </row>
    <row r="1778" spans="1:6" x14ac:dyDescent="0.25">
      <c r="A1778" s="111"/>
      <c r="B1778" s="134" t="s">
        <v>848</v>
      </c>
      <c r="C1778" s="115"/>
      <c r="D1778" s="124">
        <v>1.05</v>
      </c>
      <c r="E1778" s="110"/>
      <c r="F1778" s="110"/>
    </row>
    <row r="1779" spans="1:6" x14ac:dyDescent="0.35">
      <c r="A1779" s="261" t="s">
        <v>172</v>
      </c>
      <c r="B1779" s="242" t="s">
        <v>785</v>
      </c>
      <c r="C1779" s="208" t="s">
        <v>59</v>
      </c>
      <c r="D1779" s="208"/>
      <c r="E1779" s="209"/>
      <c r="F1779" s="209">
        <f>+D1778*F1777</f>
        <v>1160891.15625</v>
      </c>
    </row>
    <row r="1780" spans="1:6" x14ac:dyDescent="0.35">
      <c r="A1780" s="206"/>
      <c r="B1780" s="207"/>
      <c r="C1780" s="208"/>
      <c r="D1780" s="208"/>
      <c r="E1780" s="210">
        <f>+E1762</f>
        <v>3035.45</v>
      </c>
      <c r="F1780" s="210">
        <f>+F1779/E1780</f>
        <v>382.44449957996346</v>
      </c>
    </row>
    <row r="1781" spans="1:6" x14ac:dyDescent="0.35">
      <c r="A1781" s="105"/>
      <c r="B1781" s="106"/>
      <c r="C1781" s="101"/>
      <c r="D1781" s="101"/>
      <c r="E1781" s="102"/>
      <c r="F1781" s="102"/>
    </row>
    <row r="1782" spans="1:6" x14ac:dyDescent="0.35">
      <c r="A1782" s="105"/>
      <c r="B1782" s="106"/>
      <c r="C1782" s="101"/>
      <c r="D1782" s="101"/>
      <c r="E1782" s="102"/>
      <c r="F1782" s="102"/>
    </row>
    <row r="1783" spans="1:6" x14ac:dyDescent="0.3">
      <c r="A1783" s="257" t="s">
        <v>164</v>
      </c>
      <c r="B1783" s="258" t="s">
        <v>165</v>
      </c>
      <c r="C1783" s="200" t="s">
        <v>2</v>
      </c>
      <c r="D1783" s="202" t="s">
        <v>765</v>
      </c>
      <c r="E1783" s="203" t="s">
        <v>766</v>
      </c>
      <c r="F1783" s="203" t="s">
        <v>767</v>
      </c>
    </row>
    <row r="1784" spans="1:6" x14ac:dyDescent="0.3">
      <c r="A1784" s="237" t="s">
        <v>166</v>
      </c>
      <c r="B1784" s="231" t="s">
        <v>167</v>
      </c>
      <c r="C1784" s="256"/>
      <c r="D1784" s="141"/>
      <c r="E1784" s="110"/>
      <c r="F1784" s="110"/>
    </row>
    <row r="1785" spans="1:6" x14ac:dyDescent="0.3">
      <c r="A1785" s="239" t="s">
        <v>173</v>
      </c>
      <c r="B1785" s="254" t="s">
        <v>1123</v>
      </c>
      <c r="C1785" s="256" t="s">
        <v>59</v>
      </c>
      <c r="D1785" s="124"/>
      <c r="E1785" s="117"/>
      <c r="F1785" s="117"/>
    </row>
    <row r="1786" spans="1:6" x14ac:dyDescent="0.35">
      <c r="A1786" s="111"/>
      <c r="B1786" s="112" t="s">
        <v>802</v>
      </c>
      <c r="C1786" s="118"/>
      <c r="D1786" s="118"/>
      <c r="E1786" s="119"/>
      <c r="F1786" s="119"/>
    </row>
    <row r="1787" spans="1:6" x14ac:dyDescent="0.35">
      <c r="A1787" s="107"/>
      <c r="B1787" s="123" t="s">
        <v>893</v>
      </c>
      <c r="C1787" s="124" t="s">
        <v>59</v>
      </c>
      <c r="D1787" s="124">
        <v>8.5500000000000007</v>
      </c>
      <c r="E1787" s="117">
        <v>105000</v>
      </c>
      <c r="F1787" s="117">
        <f>D1787*E1787</f>
        <v>897750.00000000012</v>
      </c>
    </row>
    <row r="1788" spans="1:6" x14ac:dyDescent="0.35">
      <c r="A1788" s="107"/>
      <c r="B1788" s="120" t="s">
        <v>894</v>
      </c>
      <c r="C1788" s="109"/>
      <c r="D1788" s="124"/>
      <c r="E1788" s="117"/>
      <c r="F1788" s="117">
        <f>F1787*0.15</f>
        <v>134662.5</v>
      </c>
    </row>
    <row r="1789" spans="1:6" x14ac:dyDescent="0.35">
      <c r="A1789" s="107"/>
      <c r="B1789" s="108" t="s">
        <v>769</v>
      </c>
      <c r="C1789" s="109"/>
      <c r="D1789" s="124"/>
      <c r="E1789" s="117"/>
      <c r="F1789" s="110">
        <f>SUM(F1787:F1788)</f>
        <v>1032412.5000000001</v>
      </c>
    </row>
    <row r="1790" spans="1:6" x14ac:dyDescent="0.3">
      <c r="A1790" s="111"/>
      <c r="B1790" s="136" t="s">
        <v>808</v>
      </c>
      <c r="C1790" s="115"/>
      <c r="D1790" s="124"/>
      <c r="E1790" s="117"/>
      <c r="F1790" s="110"/>
    </row>
    <row r="1791" spans="1:6" x14ac:dyDescent="0.25">
      <c r="A1791" s="111"/>
      <c r="B1791" s="134" t="s">
        <v>895</v>
      </c>
      <c r="C1791" s="115" t="s">
        <v>772</v>
      </c>
      <c r="D1791" s="124">
        <v>1.25</v>
      </c>
      <c r="E1791" s="117">
        <v>15000</v>
      </c>
      <c r="F1791" s="117">
        <f>D1791*E1791</f>
        <v>18750</v>
      </c>
    </row>
    <row r="1792" spans="1:6" x14ac:dyDescent="0.25">
      <c r="A1792" s="111"/>
      <c r="B1792" s="134" t="s">
        <v>896</v>
      </c>
      <c r="C1792" s="115" t="s">
        <v>772</v>
      </c>
      <c r="D1792" s="124">
        <v>0.12</v>
      </c>
      <c r="E1792" s="117">
        <v>15000</v>
      </c>
      <c r="F1792" s="117">
        <f>D1792*E1792</f>
        <v>1800</v>
      </c>
    </row>
    <row r="1793" spans="1:6" x14ac:dyDescent="0.3">
      <c r="A1793" s="111"/>
      <c r="B1793" s="136" t="s">
        <v>774</v>
      </c>
      <c r="C1793" s="115"/>
      <c r="D1793" s="124"/>
      <c r="E1793" s="117"/>
      <c r="F1793" s="110">
        <f>SUM(F1791:F1792)</f>
        <v>20550</v>
      </c>
    </row>
    <row r="1794" spans="1:6" x14ac:dyDescent="0.3">
      <c r="A1794" s="111"/>
      <c r="B1794" s="136" t="s">
        <v>775</v>
      </c>
      <c r="C1794" s="115"/>
      <c r="D1794" s="109"/>
      <c r="E1794" s="110"/>
      <c r="F1794" s="110">
        <f>+F1793+F1789</f>
        <v>1052962.5</v>
      </c>
    </row>
    <row r="1795" spans="1:6" x14ac:dyDescent="0.25">
      <c r="A1795" s="111"/>
      <c r="B1795" s="134" t="s">
        <v>792</v>
      </c>
      <c r="C1795" s="115"/>
      <c r="D1795" s="124">
        <v>1.05</v>
      </c>
      <c r="E1795" s="110"/>
      <c r="F1795" s="117">
        <f>+F1794*D1795</f>
        <v>1105610.625</v>
      </c>
    </row>
    <row r="1796" spans="1:6" x14ac:dyDescent="0.25">
      <c r="A1796" s="111"/>
      <c r="B1796" s="134" t="s">
        <v>813</v>
      </c>
      <c r="C1796" s="115"/>
      <c r="D1796" s="124">
        <v>1.1499999999999999</v>
      </c>
      <c r="E1796" s="110"/>
      <c r="F1796" s="110"/>
    </row>
    <row r="1797" spans="1:6" x14ac:dyDescent="0.35">
      <c r="A1797" s="261" t="s">
        <v>173</v>
      </c>
      <c r="B1797" s="242" t="s">
        <v>785</v>
      </c>
      <c r="C1797" s="208" t="s">
        <v>59</v>
      </c>
      <c r="D1797" s="208"/>
      <c r="E1797" s="209"/>
      <c r="F1797" s="209">
        <f>+D1796*F1795</f>
        <v>1271452.21875</v>
      </c>
    </row>
    <row r="1798" spans="1:6" x14ac:dyDescent="0.35">
      <c r="A1798" s="206"/>
      <c r="B1798" s="207"/>
      <c r="C1798" s="208"/>
      <c r="D1798" s="208"/>
      <c r="E1798" s="210">
        <f>+E1780</f>
        <v>3035.45</v>
      </c>
      <c r="F1798" s="210">
        <f>+F1797/E1798</f>
        <v>418.86778525424569</v>
      </c>
    </row>
    <row r="1799" spans="1:6" x14ac:dyDescent="0.35">
      <c r="A1799" s="105"/>
      <c r="B1799" s="106"/>
      <c r="C1799" s="101"/>
      <c r="D1799" s="101"/>
      <c r="E1799" s="102"/>
      <c r="F1799" s="102"/>
    </row>
    <row r="1800" spans="1:6" x14ac:dyDescent="0.35">
      <c r="A1800" s="105"/>
      <c r="B1800" s="106"/>
      <c r="C1800" s="101"/>
      <c r="D1800" s="101"/>
      <c r="E1800" s="102"/>
      <c r="F1800" s="102"/>
    </row>
    <row r="1801" spans="1:6" x14ac:dyDescent="0.3">
      <c r="A1801" s="257" t="s">
        <v>164</v>
      </c>
      <c r="B1801" s="258" t="s">
        <v>165</v>
      </c>
      <c r="C1801" s="200" t="s">
        <v>2</v>
      </c>
      <c r="D1801" s="202" t="s">
        <v>765</v>
      </c>
      <c r="E1801" s="203" t="s">
        <v>766</v>
      </c>
      <c r="F1801" s="203" t="s">
        <v>767</v>
      </c>
    </row>
    <row r="1802" spans="1:6" x14ac:dyDescent="0.3">
      <c r="A1802" s="237" t="s">
        <v>166</v>
      </c>
      <c r="B1802" s="231" t="s">
        <v>167</v>
      </c>
      <c r="C1802" s="256"/>
      <c r="D1802" s="141"/>
      <c r="E1802" s="110"/>
      <c r="F1802" s="110"/>
    </row>
    <row r="1803" spans="1:6" x14ac:dyDescent="0.3">
      <c r="A1803" s="239" t="s">
        <v>174</v>
      </c>
      <c r="B1803" s="254" t="s">
        <v>1124</v>
      </c>
      <c r="C1803" s="256" t="s">
        <v>59</v>
      </c>
      <c r="D1803" s="124"/>
      <c r="E1803" s="117"/>
      <c r="F1803" s="117"/>
    </row>
    <row r="1804" spans="1:6" x14ac:dyDescent="0.35">
      <c r="A1804" s="111"/>
      <c r="B1804" s="112" t="s">
        <v>802</v>
      </c>
      <c r="C1804" s="118"/>
      <c r="D1804" s="118"/>
      <c r="E1804" s="119"/>
      <c r="F1804" s="119"/>
    </row>
    <row r="1805" spans="1:6" x14ac:dyDescent="0.35">
      <c r="A1805" s="107"/>
      <c r="B1805" s="123" t="s">
        <v>893</v>
      </c>
      <c r="C1805" s="124" t="s">
        <v>59</v>
      </c>
      <c r="D1805" s="124">
        <v>8.5500000000000007</v>
      </c>
      <c r="E1805" s="117">
        <v>105000</v>
      </c>
      <c r="F1805" s="117">
        <f>D1805*E1805</f>
        <v>897750.00000000012</v>
      </c>
    </row>
    <row r="1806" spans="1:6" x14ac:dyDescent="0.35">
      <c r="A1806" s="107"/>
      <c r="B1806" s="120" t="s">
        <v>894</v>
      </c>
      <c r="C1806" s="109"/>
      <c r="D1806" s="124"/>
      <c r="E1806" s="117"/>
      <c r="F1806" s="117">
        <f>F1805*0.15</f>
        <v>134662.5</v>
      </c>
    </row>
    <row r="1807" spans="1:6" x14ac:dyDescent="0.35">
      <c r="A1807" s="107"/>
      <c r="B1807" s="108" t="s">
        <v>769</v>
      </c>
      <c r="C1807" s="109"/>
      <c r="D1807" s="124"/>
      <c r="E1807" s="117"/>
      <c r="F1807" s="110">
        <f>SUM(F1805:F1806)</f>
        <v>1032412.5000000001</v>
      </c>
    </row>
    <row r="1808" spans="1:6" x14ac:dyDescent="0.3">
      <c r="A1808" s="111"/>
      <c r="B1808" s="136" t="s">
        <v>808</v>
      </c>
      <c r="C1808" s="115"/>
      <c r="D1808" s="124"/>
      <c r="E1808" s="117"/>
      <c r="F1808" s="110"/>
    </row>
    <row r="1809" spans="1:6" x14ac:dyDescent="0.25">
      <c r="A1809" s="111"/>
      <c r="B1809" s="134" t="s">
        <v>895</v>
      </c>
      <c r="C1809" s="115" t="s">
        <v>772</v>
      </c>
      <c r="D1809" s="124">
        <v>1.25</v>
      </c>
      <c r="E1809" s="117">
        <v>15000</v>
      </c>
      <c r="F1809" s="117">
        <f>D1809*E1809</f>
        <v>18750</v>
      </c>
    </row>
    <row r="1810" spans="1:6" x14ac:dyDescent="0.25">
      <c r="A1810" s="111"/>
      <c r="B1810" s="134" t="s">
        <v>896</v>
      </c>
      <c r="C1810" s="115" t="s">
        <v>772</v>
      </c>
      <c r="D1810" s="124">
        <v>0.12</v>
      </c>
      <c r="E1810" s="117">
        <v>15000</v>
      </c>
      <c r="F1810" s="117">
        <f>D1810*E1810</f>
        <v>1800</v>
      </c>
    </row>
    <row r="1811" spans="1:6" x14ac:dyDescent="0.3">
      <c r="A1811" s="111"/>
      <c r="B1811" s="136" t="s">
        <v>774</v>
      </c>
      <c r="C1811" s="115"/>
      <c r="D1811" s="124"/>
      <c r="E1811" s="117"/>
      <c r="F1811" s="110">
        <f>SUM(F1809:F1810)</f>
        <v>20550</v>
      </c>
    </row>
    <row r="1812" spans="1:6" x14ac:dyDescent="0.3">
      <c r="A1812" s="111"/>
      <c r="B1812" s="136" t="s">
        <v>775</v>
      </c>
      <c r="C1812" s="115"/>
      <c r="D1812" s="109"/>
      <c r="E1812" s="110"/>
      <c r="F1812" s="110">
        <f>+F1811+F1807</f>
        <v>1052962.5</v>
      </c>
    </row>
    <row r="1813" spans="1:6" x14ac:dyDescent="0.25">
      <c r="A1813" s="111"/>
      <c r="B1813" s="134" t="s">
        <v>824</v>
      </c>
      <c r="C1813" s="115"/>
      <c r="D1813" s="124">
        <v>1.1000000000000001</v>
      </c>
      <c r="E1813" s="110"/>
      <c r="F1813" s="117">
        <f>+F1812*D1813</f>
        <v>1158258.75</v>
      </c>
    </row>
    <row r="1814" spans="1:6" x14ac:dyDescent="0.25">
      <c r="A1814" s="111"/>
      <c r="B1814" s="134" t="s">
        <v>813</v>
      </c>
      <c r="C1814" s="115"/>
      <c r="D1814" s="124">
        <v>1.1499999999999999</v>
      </c>
      <c r="E1814" s="110"/>
      <c r="F1814" s="110"/>
    </row>
    <row r="1815" spans="1:6" x14ac:dyDescent="0.35">
      <c r="A1815" s="261" t="s">
        <v>174</v>
      </c>
      <c r="B1815" s="242" t="s">
        <v>785</v>
      </c>
      <c r="C1815" s="208" t="s">
        <v>59</v>
      </c>
      <c r="D1815" s="208"/>
      <c r="E1815" s="209"/>
      <c r="F1815" s="209">
        <f>+D1814*F1813</f>
        <v>1331997.5625</v>
      </c>
    </row>
    <row r="1816" spans="1:6" x14ac:dyDescent="0.35">
      <c r="A1816" s="206"/>
      <c r="B1816" s="207"/>
      <c r="C1816" s="208"/>
      <c r="D1816" s="208"/>
      <c r="E1816" s="210">
        <f>+E1798</f>
        <v>3035.45</v>
      </c>
      <c r="F1816" s="210">
        <f>+F1815/E1816</f>
        <v>438.81387026635264</v>
      </c>
    </row>
    <row r="1817" spans="1:6" x14ac:dyDescent="0.35">
      <c r="A1817" s="105"/>
      <c r="B1817" s="106"/>
      <c r="C1817" s="101"/>
      <c r="D1817" s="101"/>
      <c r="E1817" s="102"/>
      <c r="F1817" s="102"/>
    </row>
    <row r="1818" spans="1:6" x14ac:dyDescent="0.35">
      <c r="A1818" s="105"/>
      <c r="B1818" s="106"/>
      <c r="C1818" s="101"/>
      <c r="D1818" s="101"/>
      <c r="E1818" s="102"/>
      <c r="F1818" s="102"/>
    </row>
    <row r="1819" spans="1:6" x14ac:dyDescent="0.3">
      <c r="A1819" s="257" t="s">
        <v>164</v>
      </c>
      <c r="B1819" s="258" t="s">
        <v>165</v>
      </c>
      <c r="C1819" s="200" t="s">
        <v>2</v>
      </c>
      <c r="D1819" s="202" t="s">
        <v>765</v>
      </c>
      <c r="E1819" s="203" t="s">
        <v>766</v>
      </c>
      <c r="F1819" s="203" t="s">
        <v>767</v>
      </c>
    </row>
    <row r="1820" spans="1:6" x14ac:dyDescent="0.3">
      <c r="A1820" s="237" t="s">
        <v>166</v>
      </c>
      <c r="B1820" s="231" t="s">
        <v>167</v>
      </c>
      <c r="C1820" s="256"/>
      <c r="D1820" s="141"/>
      <c r="E1820" s="110"/>
      <c r="F1820" s="110"/>
    </row>
    <row r="1821" spans="1:6" x14ac:dyDescent="0.3">
      <c r="A1821" s="239" t="s">
        <v>175</v>
      </c>
      <c r="B1821" s="254" t="s">
        <v>176</v>
      </c>
      <c r="C1821" s="256" t="s">
        <v>59</v>
      </c>
      <c r="D1821" s="124"/>
      <c r="E1821" s="117"/>
      <c r="F1821" s="117"/>
    </row>
    <row r="1822" spans="1:6" x14ac:dyDescent="0.35">
      <c r="A1822" s="111"/>
      <c r="B1822" s="112" t="s">
        <v>802</v>
      </c>
      <c r="C1822" s="118"/>
      <c r="D1822" s="118"/>
      <c r="E1822" s="119"/>
      <c r="F1822" s="119"/>
    </row>
    <row r="1823" spans="1:6" x14ac:dyDescent="0.35">
      <c r="A1823" s="107"/>
      <c r="B1823" s="123" t="s">
        <v>893</v>
      </c>
      <c r="C1823" s="124" t="s">
        <v>59</v>
      </c>
      <c r="D1823" s="124">
        <v>12</v>
      </c>
      <c r="E1823" s="117">
        <v>105000</v>
      </c>
      <c r="F1823" s="117">
        <f>D1823*E1823</f>
        <v>1260000</v>
      </c>
    </row>
    <row r="1824" spans="1:6" x14ac:dyDescent="0.35">
      <c r="A1824" s="107"/>
      <c r="B1824" s="120" t="s">
        <v>894</v>
      </c>
      <c r="C1824" s="109"/>
      <c r="D1824" s="124"/>
      <c r="E1824" s="117"/>
      <c r="F1824" s="117">
        <f>F1823*0.15</f>
        <v>189000</v>
      </c>
    </row>
    <row r="1825" spans="1:6" x14ac:dyDescent="0.35">
      <c r="A1825" s="107"/>
      <c r="B1825" s="108" t="s">
        <v>769</v>
      </c>
      <c r="C1825" s="109"/>
      <c r="D1825" s="124"/>
      <c r="E1825" s="117"/>
      <c r="F1825" s="110">
        <f>SUM(F1823:F1824)</f>
        <v>1449000</v>
      </c>
    </row>
    <row r="1826" spans="1:6" x14ac:dyDescent="0.3">
      <c r="A1826" s="111"/>
      <c r="B1826" s="136" t="s">
        <v>808</v>
      </c>
      <c r="C1826" s="115"/>
      <c r="D1826" s="124"/>
      <c r="E1826" s="117"/>
      <c r="F1826" s="110"/>
    </row>
    <row r="1827" spans="1:6" x14ac:dyDescent="0.25">
      <c r="A1827" s="111"/>
      <c r="B1827" s="134" t="s">
        <v>895</v>
      </c>
      <c r="C1827" s="115" t="s">
        <v>772</v>
      </c>
      <c r="D1827" s="124">
        <v>1.25</v>
      </c>
      <c r="E1827" s="117">
        <v>15000</v>
      </c>
      <c r="F1827" s="117">
        <f>D1827*E1827</f>
        <v>18750</v>
      </c>
    </row>
    <row r="1828" spans="1:6" x14ac:dyDescent="0.25">
      <c r="A1828" s="111"/>
      <c r="B1828" s="134" t="s">
        <v>896</v>
      </c>
      <c r="C1828" s="115" t="s">
        <v>772</v>
      </c>
      <c r="D1828" s="124">
        <v>0.12</v>
      </c>
      <c r="E1828" s="117">
        <v>15000</v>
      </c>
      <c r="F1828" s="117">
        <f>D1828*E1828</f>
        <v>1800</v>
      </c>
    </row>
    <row r="1829" spans="1:6" x14ac:dyDescent="0.3">
      <c r="A1829" s="111"/>
      <c r="B1829" s="136" t="s">
        <v>774</v>
      </c>
      <c r="C1829" s="115"/>
      <c r="D1829" s="124"/>
      <c r="E1829" s="117"/>
      <c r="F1829" s="110">
        <f>SUM(F1827:F1828)</f>
        <v>20550</v>
      </c>
    </row>
    <row r="1830" spans="1:6" x14ac:dyDescent="0.3">
      <c r="A1830" s="111"/>
      <c r="B1830" s="136" t="s">
        <v>775</v>
      </c>
      <c r="C1830" s="115"/>
      <c r="D1830" s="109"/>
      <c r="E1830" s="110"/>
      <c r="F1830" s="110">
        <f>+F1829+F1825</f>
        <v>1469550</v>
      </c>
    </row>
    <row r="1831" spans="1:6" x14ac:dyDescent="0.25">
      <c r="A1831" s="111"/>
      <c r="B1831" s="134" t="s">
        <v>792</v>
      </c>
      <c r="C1831" s="115"/>
      <c r="D1831" s="124">
        <v>1.05</v>
      </c>
      <c r="E1831" s="110"/>
      <c r="F1831" s="117">
        <f>+F1830*D1831</f>
        <v>1543027.5</v>
      </c>
    </row>
    <row r="1832" spans="1:6" x14ac:dyDescent="0.25">
      <c r="A1832" s="111"/>
      <c r="B1832" s="134" t="s">
        <v>848</v>
      </c>
      <c r="C1832" s="115"/>
      <c r="D1832" s="124">
        <v>1.05</v>
      </c>
      <c r="E1832" s="110"/>
      <c r="F1832" s="110"/>
    </row>
    <row r="1833" spans="1:6" x14ac:dyDescent="0.35">
      <c r="A1833" s="261" t="s">
        <v>175</v>
      </c>
      <c r="B1833" s="242" t="s">
        <v>785</v>
      </c>
      <c r="C1833" s="208" t="s">
        <v>59</v>
      </c>
      <c r="D1833" s="208"/>
      <c r="E1833" s="209"/>
      <c r="F1833" s="209">
        <f>+D1832*F1831</f>
        <v>1620178.875</v>
      </c>
    </row>
    <row r="1834" spans="1:6" x14ac:dyDescent="0.35">
      <c r="A1834" s="206"/>
      <c r="B1834" s="207"/>
      <c r="C1834" s="208"/>
      <c r="D1834" s="208"/>
      <c r="E1834" s="210">
        <f>+E1816</f>
        <v>3035.45</v>
      </c>
      <c r="F1834" s="210">
        <f>+F1833/E1834</f>
        <v>533.75245021331273</v>
      </c>
    </row>
    <row r="1835" spans="1:6" x14ac:dyDescent="0.35">
      <c r="A1835" s="126"/>
      <c r="B1835" s="127"/>
      <c r="C1835" s="128"/>
      <c r="D1835" s="128"/>
      <c r="E1835" s="129"/>
      <c r="F1835" s="129"/>
    </row>
    <row r="1836" spans="1:6" x14ac:dyDescent="0.35">
      <c r="A1836" s="105"/>
      <c r="B1836" s="106"/>
      <c r="C1836" s="101"/>
      <c r="D1836" s="101"/>
      <c r="E1836" s="102"/>
      <c r="F1836" s="102"/>
    </row>
    <row r="1837" spans="1:6" x14ac:dyDescent="0.3">
      <c r="A1837" s="257" t="s">
        <v>164</v>
      </c>
      <c r="B1837" s="258" t="s">
        <v>165</v>
      </c>
      <c r="C1837" s="200" t="s">
        <v>2</v>
      </c>
      <c r="D1837" s="202" t="s">
        <v>765</v>
      </c>
      <c r="E1837" s="203" t="s">
        <v>766</v>
      </c>
      <c r="F1837" s="203" t="s">
        <v>767</v>
      </c>
    </row>
    <row r="1838" spans="1:6" x14ac:dyDescent="0.3">
      <c r="A1838" s="237" t="s">
        <v>166</v>
      </c>
      <c r="B1838" s="231" t="s">
        <v>167</v>
      </c>
      <c r="C1838" s="256"/>
      <c r="D1838" s="141"/>
      <c r="E1838" s="110"/>
      <c r="F1838" s="110"/>
    </row>
    <row r="1839" spans="1:6" x14ac:dyDescent="0.3">
      <c r="A1839" s="239" t="s">
        <v>177</v>
      </c>
      <c r="B1839" s="254" t="s">
        <v>897</v>
      </c>
      <c r="C1839" s="256" t="s">
        <v>59</v>
      </c>
      <c r="D1839" s="124"/>
      <c r="E1839" s="117"/>
      <c r="F1839" s="117"/>
    </row>
    <row r="1840" spans="1:6" x14ac:dyDescent="0.35">
      <c r="A1840" s="111"/>
      <c r="B1840" s="112" t="s">
        <v>802</v>
      </c>
      <c r="C1840" s="118"/>
      <c r="D1840" s="118"/>
      <c r="E1840" s="119"/>
      <c r="F1840" s="119"/>
    </row>
    <row r="1841" spans="1:6" x14ac:dyDescent="0.35">
      <c r="A1841" s="107"/>
      <c r="B1841" s="123" t="s">
        <v>893</v>
      </c>
      <c r="C1841" s="124" t="s">
        <v>59</v>
      </c>
      <c r="D1841" s="124">
        <v>12</v>
      </c>
      <c r="E1841" s="117">
        <v>105000</v>
      </c>
      <c r="F1841" s="117">
        <f>D1841*E1841</f>
        <v>1260000</v>
      </c>
    </row>
    <row r="1842" spans="1:6" x14ac:dyDescent="0.35">
      <c r="A1842" s="107"/>
      <c r="B1842" s="120" t="s">
        <v>894</v>
      </c>
      <c r="C1842" s="109"/>
      <c r="D1842" s="124"/>
      <c r="E1842" s="117"/>
      <c r="F1842" s="117">
        <f>F1841*0.15</f>
        <v>189000</v>
      </c>
    </row>
    <row r="1843" spans="1:6" x14ac:dyDescent="0.35">
      <c r="A1843" s="107"/>
      <c r="B1843" s="108" t="s">
        <v>769</v>
      </c>
      <c r="C1843" s="109"/>
      <c r="D1843" s="124"/>
      <c r="E1843" s="117"/>
      <c r="F1843" s="110">
        <f>SUM(F1841:F1842)</f>
        <v>1449000</v>
      </c>
    </row>
    <row r="1844" spans="1:6" x14ac:dyDescent="0.3">
      <c r="A1844" s="111"/>
      <c r="B1844" s="136" t="s">
        <v>808</v>
      </c>
      <c r="C1844" s="115"/>
      <c r="D1844" s="124"/>
      <c r="E1844" s="117"/>
      <c r="F1844" s="110"/>
    </row>
    <row r="1845" spans="1:6" x14ac:dyDescent="0.25">
      <c r="A1845" s="111"/>
      <c r="B1845" s="134" t="s">
        <v>895</v>
      </c>
      <c r="C1845" s="115" t="s">
        <v>772</v>
      </c>
      <c r="D1845" s="124">
        <v>0.5</v>
      </c>
      <c r="E1845" s="117">
        <v>15000</v>
      </c>
      <c r="F1845" s="117">
        <f>D1845*E1845</f>
        <v>7500</v>
      </c>
    </row>
    <row r="1846" spans="1:6" x14ac:dyDescent="0.25">
      <c r="A1846" s="111"/>
      <c r="B1846" s="134" t="s">
        <v>896</v>
      </c>
      <c r="C1846" s="115" t="s">
        <v>772</v>
      </c>
      <c r="D1846" s="124">
        <v>0.5</v>
      </c>
      <c r="E1846" s="117">
        <v>15000</v>
      </c>
      <c r="F1846" s="117">
        <f>D1846*E1846</f>
        <v>7500</v>
      </c>
    </row>
    <row r="1847" spans="1:6" x14ac:dyDescent="0.3">
      <c r="A1847" s="111"/>
      <c r="B1847" s="136" t="s">
        <v>774</v>
      </c>
      <c r="C1847" s="115"/>
      <c r="D1847" s="124"/>
      <c r="E1847" s="117"/>
      <c r="F1847" s="110">
        <f>SUM(F1845:F1846)</f>
        <v>15000</v>
      </c>
    </row>
    <row r="1848" spans="1:6" x14ac:dyDescent="0.3">
      <c r="A1848" s="111"/>
      <c r="B1848" s="136" t="s">
        <v>775</v>
      </c>
      <c r="C1848" s="115"/>
      <c r="D1848" s="109"/>
      <c r="E1848" s="110"/>
      <c r="F1848" s="110">
        <f>+F1847+F1843</f>
        <v>1464000</v>
      </c>
    </row>
    <row r="1849" spans="1:6" x14ac:dyDescent="0.25">
      <c r="A1849" s="111"/>
      <c r="B1849" s="134" t="s">
        <v>792</v>
      </c>
      <c r="C1849" s="115"/>
      <c r="D1849" s="124">
        <v>1.05</v>
      </c>
      <c r="E1849" s="110"/>
      <c r="F1849" s="117">
        <f>+F1848*D1849</f>
        <v>1537200</v>
      </c>
    </row>
    <row r="1850" spans="1:6" x14ac:dyDescent="0.25">
      <c r="A1850" s="111"/>
      <c r="B1850" s="134" t="s">
        <v>825</v>
      </c>
      <c r="C1850" s="115"/>
      <c r="D1850" s="124">
        <v>1.1000000000000001</v>
      </c>
      <c r="E1850" s="110"/>
      <c r="F1850" s="110"/>
    </row>
    <row r="1851" spans="1:6" x14ac:dyDescent="0.35">
      <c r="A1851" s="261" t="s">
        <v>177</v>
      </c>
      <c r="B1851" s="242" t="s">
        <v>785</v>
      </c>
      <c r="C1851" s="208" t="s">
        <v>59</v>
      </c>
      <c r="D1851" s="208"/>
      <c r="E1851" s="209"/>
      <c r="F1851" s="209">
        <f>+D1850*F1849</f>
        <v>1690920.0000000002</v>
      </c>
    </row>
    <row r="1852" spans="1:6" x14ac:dyDescent="0.35">
      <c r="A1852" s="206"/>
      <c r="B1852" s="207"/>
      <c r="C1852" s="208"/>
      <c r="D1852" s="208"/>
      <c r="E1852" s="210">
        <f>+E1834</f>
        <v>3035.45</v>
      </c>
      <c r="F1852" s="210">
        <f>+F1851/E1852</f>
        <v>557.05743794165619</v>
      </c>
    </row>
    <row r="1853" spans="1:6" x14ac:dyDescent="0.35">
      <c r="A1853" s="126"/>
      <c r="B1853" s="127"/>
      <c r="C1853" s="128"/>
      <c r="D1853" s="128"/>
      <c r="E1853" s="129"/>
      <c r="F1853" s="129"/>
    </row>
    <row r="1854" spans="1:6" x14ac:dyDescent="0.35">
      <c r="A1854" s="105"/>
      <c r="B1854" s="106"/>
      <c r="C1854" s="101"/>
      <c r="D1854" s="101"/>
      <c r="E1854" s="102"/>
      <c r="F1854" s="102"/>
    </row>
    <row r="1855" spans="1:6" x14ac:dyDescent="0.3">
      <c r="A1855" s="257" t="s">
        <v>164</v>
      </c>
      <c r="B1855" s="258" t="s">
        <v>165</v>
      </c>
      <c r="C1855" s="200" t="s">
        <v>2</v>
      </c>
      <c r="D1855" s="202" t="s">
        <v>765</v>
      </c>
      <c r="E1855" s="203" t="s">
        <v>766</v>
      </c>
      <c r="F1855" s="203" t="s">
        <v>767</v>
      </c>
    </row>
    <row r="1856" spans="1:6" x14ac:dyDescent="0.3">
      <c r="A1856" s="237" t="s">
        <v>166</v>
      </c>
      <c r="B1856" s="231" t="s">
        <v>167</v>
      </c>
      <c r="C1856" s="256"/>
      <c r="D1856" s="141"/>
      <c r="E1856" s="110"/>
      <c r="F1856" s="110"/>
    </row>
    <row r="1857" spans="1:6" x14ac:dyDescent="0.3">
      <c r="A1857" s="239" t="s">
        <v>178</v>
      </c>
      <c r="B1857" s="254" t="s">
        <v>1125</v>
      </c>
      <c r="C1857" s="256" t="s">
        <v>59</v>
      </c>
      <c r="D1857" s="124"/>
      <c r="E1857" s="117"/>
      <c r="F1857" s="117"/>
    </row>
    <row r="1858" spans="1:6" x14ac:dyDescent="0.35">
      <c r="A1858" s="111"/>
      <c r="B1858" s="112" t="s">
        <v>802</v>
      </c>
      <c r="C1858" s="118"/>
      <c r="D1858" s="118"/>
      <c r="E1858" s="119"/>
      <c r="F1858" s="119"/>
    </row>
    <row r="1859" spans="1:6" x14ac:dyDescent="0.35">
      <c r="A1859" s="107"/>
      <c r="B1859" s="123" t="s">
        <v>893</v>
      </c>
      <c r="C1859" s="124" t="s">
        <v>59</v>
      </c>
      <c r="D1859" s="124">
        <v>12</v>
      </c>
      <c r="E1859" s="117">
        <v>105000</v>
      </c>
      <c r="F1859" s="117">
        <f>D1859*E1859</f>
        <v>1260000</v>
      </c>
    </row>
    <row r="1860" spans="1:6" x14ac:dyDescent="0.35">
      <c r="A1860" s="107"/>
      <c r="B1860" s="120" t="s">
        <v>894</v>
      </c>
      <c r="C1860" s="109"/>
      <c r="D1860" s="124"/>
      <c r="E1860" s="117"/>
      <c r="F1860" s="117">
        <f>F1859*0.15</f>
        <v>189000</v>
      </c>
    </row>
    <row r="1861" spans="1:6" x14ac:dyDescent="0.35">
      <c r="A1861" s="107"/>
      <c r="B1861" s="108" t="s">
        <v>769</v>
      </c>
      <c r="C1861" s="109"/>
      <c r="D1861" s="124"/>
      <c r="E1861" s="117"/>
      <c r="F1861" s="110">
        <f>SUM(F1859:F1860)</f>
        <v>1449000</v>
      </c>
    </row>
    <row r="1862" spans="1:6" x14ac:dyDescent="0.3">
      <c r="A1862" s="111"/>
      <c r="B1862" s="136" t="s">
        <v>808</v>
      </c>
      <c r="C1862" s="115"/>
      <c r="D1862" s="124"/>
      <c r="E1862" s="117"/>
      <c r="F1862" s="110"/>
    </row>
    <row r="1863" spans="1:6" x14ac:dyDescent="0.25">
      <c r="A1863" s="111"/>
      <c r="B1863" s="134" t="s">
        <v>895</v>
      </c>
      <c r="C1863" s="115" t="s">
        <v>772</v>
      </c>
      <c r="D1863" s="124">
        <v>1.25</v>
      </c>
      <c r="E1863" s="117">
        <v>15000</v>
      </c>
      <c r="F1863" s="117">
        <f>D1863*E1863</f>
        <v>18750</v>
      </c>
    </row>
    <row r="1864" spans="1:6" x14ac:dyDescent="0.25">
      <c r="A1864" s="111"/>
      <c r="B1864" s="134" t="s">
        <v>896</v>
      </c>
      <c r="C1864" s="115" t="s">
        <v>772</v>
      </c>
      <c r="D1864" s="124">
        <v>0.12</v>
      </c>
      <c r="E1864" s="117">
        <v>15000</v>
      </c>
      <c r="F1864" s="117">
        <f>D1864*E1864</f>
        <v>1800</v>
      </c>
    </row>
    <row r="1865" spans="1:6" x14ac:dyDescent="0.3">
      <c r="A1865" s="111"/>
      <c r="B1865" s="136" t="s">
        <v>774</v>
      </c>
      <c r="C1865" s="115"/>
      <c r="D1865" s="124"/>
      <c r="E1865" s="117"/>
      <c r="F1865" s="110">
        <f>SUM(F1863:F1864)</f>
        <v>20550</v>
      </c>
    </row>
    <row r="1866" spans="1:6" x14ac:dyDescent="0.3">
      <c r="A1866" s="111"/>
      <c r="B1866" s="136" t="s">
        <v>775</v>
      </c>
      <c r="C1866" s="115"/>
      <c r="D1866" s="109"/>
      <c r="E1866" s="110"/>
      <c r="F1866" s="110">
        <f>+F1865+F1861</f>
        <v>1469550</v>
      </c>
    </row>
    <row r="1867" spans="1:6" x14ac:dyDescent="0.25">
      <c r="A1867" s="111"/>
      <c r="B1867" s="134" t="s">
        <v>824</v>
      </c>
      <c r="C1867" s="115"/>
      <c r="D1867" s="124">
        <v>1.1000000000000001</v>
      </c>
      <c r="E1867" s="110"/>
      <c r="F1867" s="117">
        <f>+F1866*D1867</f>
        <v>1616505.0000000002</v>
      </c>
    </row>
    <row r="1868" spans="1:6" x14ac:dyDescent="0.25">
      <c r="A1868" s="111"/>
      <c r="B1868" s="134" t="s">
        <v>825</v>
      </c>
      <c r="C1868" s="115"/>
      <c r="D1868" s="124">
        <v>1.1000000000000001</v>
      </c>
      <c r="E1868" s="110"/>
      <c r="F1868" s="110"/>
    </row>
    <row r="1869" spans="1:6" x14ac:dyDescent="0.35">
      <c r="A1869" s="261" t="s">
        <v>178</v>
      </c>
      <c r="B1869" s="242" t="s">
        <v>785</v>
      </c>
      <c r="C1869" s="208" t="s">
        <v>59</v>
      </c>
      <c r="D1869" s="208"/>
      <c r="E1869" s="209"/>
      <c r="F1869" s="209">
        <f>+D1868*F1867</f>
        <v>1778155.5000000005</v>
      </c>
    </row>
    <row r="1870" spans="1:6" x14ac:dyDescent="0.35">
      <c r="A1870" s="206"/>
      <c r="B1870" s="207"/>
      <c r="C1870" s="208"/>
      <c r="D1870" s="208"/>
      <c r="E1870" s="210">
        <f>+E1852</f>
        <v>3035.45</v>
      </c>
      <c r="F1870" s="210">
        <f>+F1869/E1870</f>
        <v>585.79633991665173</v>
      </c>
    </row>
    <row r="1871" spans="1:6" x14ac:dyDescent="0.35">
      <c r="A1871" s="105"/>
      <c r="B1871" s="106"/>
      <c r="C1871" s="101"/>
      <c r="D1871" s="101"/>
      <c r="E1871" s="102"/>
      <c r="F1871" s="102"/>
    </row>
    <row r="1872" spans="1:6" x14ac:dyDescent="0.35">
      <c r="A1872" s="105"/>
      <c r="B1872" s="106"/>
      <c r="C1872" s="101"/>
      <c r="D1872" s="101"/>
      <c r="E1872" s="102"/>
      <c r="F1872" s="102"/>
    </row>
    <row r="1873" spans="1:6" x14ac:dyDescent="0.3">
      <c r="A1873" s="257" t="s">
        <v>164</v>
      </c>
      <c r="B1873" s="258" t="s">
        <v>165</v>
      </c>
      <c r="C1873" s="200" t="s">
        <v>2</v>
      </c>
      <c r="D1873" s="202" t="s">
        <v>765</v>
      </c>
      <c r="E1873" s="203" t="s">
        <v>766</v>
      </c>
      <c r="F1873" s="203" t="s">
        <v>767</v>
      </c>
    </row>
    <row r="1874" spans="1:6" x14ac:dyDescent="0.3">
      <c r="A1874" s="237" t="s">
        <v>166</v>
      </c>
      <c r="B1874" s="231" t="s">
        <v>167</v>
      </c>
      <c r="C1874" s="256"/>
      <c r="D1874" s="141"/>
      <c r="E1874" s="110"/>
      <c r="F1874" s="110"/>
    </row>
    <row r="1875" spans="1:6" x14ac:dyDescent="0.3">
      <c r="A1875" s="239" t="s">
        <v>179</v>
      </c>
      <c r="B1875" s="254" t="s">
        <v>1126</v>
      </c>
      <c r="C1875" s="256" t="s">
        <v>59</v>
      </c>
      <c r="D1875" s="124"/>
      <c r="E1875" s="117"/>
      <c r="F1875" s="117"/>
    </row>
    <row r="1876" spans="1:6" x14ac:dyDescent="0.35">
      <c r="A1876" s="111"/>
      <c r="B1876" s="112" t="s">
        <v>802</v>
      </c>
      <c r="C1876" s="118"/>
      <c r="D1876" s="118"/>
      <c r="E1876" s="119"/>
      <c r="F1876" s="119"/>
    </row>
    <row r="1877" spans="1:6" x14ac:dyDescent="0.35">
      <c r="A1877" s="107"/>
      <c r="B1877" s="123" t="s">
        <v>893</v>
      </c>
      <c r="C1877" s="124" t="s">
        <v>59</v>
      </c>
      <c r="D1877" s="124">
        <v>12</v>
      </c>
      <c r="E1877" s="117">
        <v>105000</v>
      </c>
      <c r="F1877" s="117">
        <f>D1877*E1877</f>
        <v>1260000</v>
      </c>
    </row>
    <row r="1878" spans="1:6" x14ac:dyDescent="0.35">
      <c r="A1878" s="107"/>
      <c r="B1878" s="120" t="s">
        <v>894</v>
      </c>
      <c r="C1878" s="109"/>
      <c r="D1878" s="124"/>
      <c r="E1878" s="117"/>
      <c r="F1878" s="117">
        <f>F1877*0.15</f>
        <v>189000</v>
      </c>
    </row>
    <row r="1879" spans="1:6" x14ac:dyDescent="0.35">
      <c r="A1879" s="107"/>
      <c r="B1879" s="108" t="s">
        <v>769</v>
      </c>
      <c r="C1879" s="109"/>
      <c r="D1879" s="124"/>
      <c r="E1879" s="117"/>
      <c r="F1879" s="110">
        <f>SUM(F1877:F1878)</f>
        <v>1449000</v>
      </c>
    </row>
    <row r="1880" spans="1:6" x14ac:dyDescent="0.3">
      <c r="A1880" s="111"/>
      <c r="B1880" s="136" t="s">
        <v>808</v>
      </c>
      <c r="C1880" s="115"/>
      <c r="D1880" s="124"/>
      <c r="E1880" s="117"/>
      <c r="F1880" s="110"/>
    </row>
    <row r="1881" spans="1:6" x14ac:dyDescent="0.25">
      <c r="A1881" s="111"/>
      <c r="B1881" s="134" t="s">
        <v>895</v>
      </c>
      <c r="C1881" s="115" t="s">
        <v>772</v>
      </c>
      <c r="D1881" s="124">
        <v>5</v>
      </c>
      <c r="E1881" s="117">
        <v>15000</v>
      </c>
      <c r="F1881" s="117">
        <f>D1881*E1881</f>
        <v>75000</v>
      </c>
    </row>
    <row r="1882" spans="1:6" x14ac:dyDescent="0.25">
      <c r="A1882" s="111"/>
      <c r="B1882" s="134" t="s">
        <v>896</v>
      </c>
      <c r="C1882" s="115" t="s">
        <v>772</v>
      </c>
      <c r="D1882" s="124">
        <v>1.5</v>
      </c>
      <c r="E1882" s="117">
        <v>15000</v>
      </c>
      <c r="F1882" s="117">
        <f>D1882*E1882</f>
        <v>22500</v>
      </c>
    </row>
    <row r="1883" spans="1:6" x14ac:dyDescent="0.3">
      <c r="A1883" s="111"/>
      <c r="B1883" s="136" t="s">
        <v>774</v>
      </c>
      <c r="C1883" s="115"/>
      <c r="D1883" s="124"/>
      <c r="E1883" s="117"/>
      <c r="F1883" s="110">
        <f>SUM(F1881:F1882)</f>
        <v>97500</v>
      </c>
    </row>
    <row r="1884" spans="1:6" x14ac:dyDescent="0.3">
      <c r="A1884" s="111"/>
      <c r="B1884" s="136" t="s">
        <v>775</v>
      </c>
      <c r="C1884" s="115"/>
      <c r="D1884" s="109"/>
      <c r="E1884" s="110"/>
      <c r="F1884" s="110">
        <f>+F1883+F1879</f>
        <v>1546500</v>
      </c>
    </row>
    <row r="1885" spans="1:6" x14ac:dyDescent="0.25">
      <c r="A1885" s="111"/>
      <c r="B1885" s="134" t="s">
        <v>824</v>
      </c>
      <c r="C1885" s="115"/>
      <c r="D1885" s="124">
        <v>1.1000000000000001</v>
      </c>
      <c r="E1885" s="110"/>
      <c r="F1885" s="117">
        <f>+F1884*D1885</f>
        <v>1701150.0000000002</v>
      </c>
    </row>
    <row r="1886" spans="1:6" x14ac:dyDescent="0.25">
      <c r="A1886" s="111"/>
      <c r="B1886" s="134" t="s">
        <v>813</v>
      </c>
      <c r="C1886" s="115"/>
      <c r="D1886" s="124">
        <v>1.1499999999999999</v>
      </c>
      <c r="E1886" s="110"/>
      <c r="F1886" s="110"/>
    </row>
    <row r="1887" spans="1:6" x14ac:dyDescent="0.35">
      <c r="A1887" s="261" t="s">
        <v>179</v>
      </c>
      <c r="B1887" s="242" t="s">
        <v>785</v>
      </c>
      <c r="C1887" s="208" t="s">
        <v>59</v>
      </c>
      <c r="D1887" s="208"/>
      <c r="E1887" s="209"/>
      <c r="F1887" s="209">
        <f>+D1886*F1885</f>
        <v>1956322.5000000002</v>
      </c>
    </row>
    <row r="1888" spans="1:6" x14ac:dyDescent="0.35">
      <c r="A1888" s="206"/>
      <c r="B1888" s="207"/>
      <c r="C1888" s="208"/>
      <c r="D1888" s="208"/>
      <c r="E1888" s="210">
        <f>+E1870</f>
        <v>3035.45</v>
      </c>
      <c r="F1888" s="210">
        <f>+F1887/E1888</f>
        <v>644.49175575285392</v>
      </c>
    </row>
    <row r="1889" spans="1:6" x14ac:dyDescent="0.35">
      <c r="A1889" s="105"/>
      <c r="B1889" s="106"/>
      <c r="C1889" s="101"/>
      <c r="D1889" s="101"/>
      <c r="E1889" s="102"/>
      <c r="F1889" s="102"/>
    </row>
    <row r="1890" spans="1:6" x14ac:dyDescent="0.35">
      <c r="A1890" s="105"/>
      <c r="B1890" s="106"/>
      <c r="C1890" s="101"/>
      <c r="D1890" s="101"/>
      <c r="E1890" s="102"/>
      <c r="F1890" s="102"/>
    </row>
    <row r="1891" spans="1:6" x14ac:dyDescent="0.3">
      <c r="A1891" s="257" t="s">
        <v>164</v>
      </c>
      <c r="B1891" s="258" t="s">
        <v>165</v>
      </c>
      <c r="C1891" s="200" t="s">
        <v>2</v>
      </c>
      <c r="D1891" s="202" t="s">
        <v>765</v>
      </c>
      <c r="E1891" s="203" t="s">
        <v>766</v>
      </c>
      <c r="F1891" s="203" t="s">
        <v>767</v>
      </c>
    </row>
    <row r="1892" spans="1:6" x14ac:dyDescent="0.3">
      <c r="A1892" s="237" t="s">
        <v>166</v>
      </c>
      <c r="B1892" s="231" t="s">
        <v>167</v>
      </c>
      <c r="C1892" s="256"/>
      <c r="D1892" s="141"/>
      <c r="E1892" s="110"/>
      <c r="F1892" s="110"/>
    </row>
    <row r="1893" spans="1:6" x14ac:dyDescent="0.3">
      <c r="A1893" s="239" t="s">
        <v>180</v>
      </c>
      <c r="B1893" s="254" t="s">
        <v>898</v>
      </c>
      <c r="C1893" s="256" t="s">
        <v>59</v>
      </c>
      <c r="D1893" s="124"/>
      <c r="E1893" s="117"/>
      <c r="F1893" s="117"/>
    </row>
    <row r="1894" spans="1:6" x14ac:dyDescent="0.35">
      <c r="A1894" s="111"/>
      <c r="B1894" s="112" t="s">
        <v>802</v>
      </c>
      <c r="C1894" s="118"/>
      <c r="D1894" s="118"/>
      <c r="E1894" s="119"/>
      <c r="F1894" s="119"/>
    </row>
    <row r="1895" spans="1:6" x14ac:dyDescent="0.35">
      <c r="A1895" s="107"/>
      <c r="B1895" s="123" t="s">
        <v>893</v>
      </c>
      <c r="C1895" s="124" t="s">
        <v>59</v>
      </c>
      <c r="D1895" s="124">
        <v>12</v>
      </c>
      <c r="E1895" s="117">
        <v>105000</v>
      </c>
      <c r="F1895" s="117">
        <f>D1895*E1895</f>
        <v>1260000</v>
      </c>
    </row>
    <row r="1896" spans="1:6" x14ac:dyDescent="0.35">
      <c r="A1896" s="107"/>
      <c r="B1896" s="120" t="s">
        <v>894</v>
      </c>
      <c r="C1896" s="109"/>
      <c r="D1896" s="124"/>
      <c r="E1896" s="117"/>
      <c r="F1896" s="117">
        <f>F1895*0.15</f>
        <v>189000</v>
      </c>
    </row>
    <row r="1897" spans="1:6" x14ac:dyDescent="0.35">
      <c r="A1897" s="107"/>
      <c r="B1897" s="108" t="s">
        <v>769</v>
      </c>
      <c r="C1897" s="109"/>
      <c r="D1897" s="124"/>
      <c r="E1897" s="117"/>
      <c r="F1897" s="110">
        <f>SUM(F1895:F1896)</f>
        <v>1449000</v>
      </c>
    </row>
    <row r="1898" spans="1:6" x14ac:dyDescent="0.3">
      <c r="A1898" s="111"/>
      <c r="B1898" s="136" t="s">
        <v>808</v>
      </c>
      <c r="C1898" s="115"/>
      <c r="D1898" s="124"/>
      <c r="E1898" s="117"/>
      <c r="F1898" s="110"/>
    </row>
    <row r="1899" spans="1:6" x14ac:dyDescent="0.25">
      <c r="A1899" s="111"/>
      <c r="B1899" s="134" t="s">
        <v>895</v>
      </c>
      <c r="C1899" s="115" t="s">
        <v>772</v>
      </c>
      <c r="D1899" s="124">
        <v>5</v>
      </c>
      <c r="E1899" s="117">
        <v>15000</v>
      </c>
      <c r="F1899" s="117">
        <f>D1899*E1899</f>
        <v>75000</v>
      </c>
    </row>
    <row r="1900" spans="1:6" x14ac:dyDescent="0.25">
      <c r="A1900" s="111"/>
      <c r="B1900" s="134" t="s">
        <v>896</v>
      </c>
      <c r="C1900" s="115" t="s">
        <v>772</v>
      </c>
      <c r="D1900" s="124">
        <v>5</v>
      </c>
      <c r="E1900" s="117">
        <v>15000</v>
      </c>
      <c r="F1900" s="117">
        <f>D1900*E1900</f>
        <v>75000</v>
      </c>
    </row>
    <row r="1901" spans="1:6" x14ac:dyDescent="0.3">
      <c r="A1901" s="111"/>
      <c r="B1901" s="136" t="s">
        <v>774</v>
      </c>
      <c r="C1901" s="115"/>
      <c r="D1901" s="124"/>
      <c r="E1901" s="117"/>
      <c r="F1901" s="110">
        <f>SUM(F1899:F1900)</f>
        <v>150000</v>
      </c>
    </row>
    <row r="1902" spans="1:6" x14ac:dyDescent="0.3">
      <c r="A1902" s="111"/>
      <c r="B1902" s="136" t="s">
        <v>775</v>
      </c>
      <c r="C1902" s="115"/>
      <c r="D1902" s="109"/>
      <c r="E1902" s="110"/>
      <c r="F1902" s="110">
        <f>+F1901+F1897</f>
        <v>1599000</v>
      </c>
    </row>
    <row r="1903" spans="1:6" x14ac:dyDescent="0.25">
      <c r="A1903" s="111"/>
      <c r="B1903" s="134" t="s">
        <v>824</v>
      </c>
      <c r="C1903" s="115"/>
      <c r="D1903" s="124">
        <v>1.1000000000000001</v>
      </c>
      <c r="E1903" s="110"/>
      <c r="F1903" s="117">
        <f>+F1902*D1903</f>
        <v>1758900.0000000002</v>
      </c>
    </row>
    <row r="1904" spans="1:6" x14ac:dyDescent="0.25">
      <c r="A1904" s="111"/>
      <c r="B1904" s="134" t="s">
        <v>813</v>
      </c>
      <c r="C1904" s="115"/>
      <c r="D1904" s="124">
        <v>1.1499999999999999</v>
      </c>
      <c r="E1904" s="110"/>
      <c r="F1904" s="110"/>
    </row>
    <row r="1905" spans="1:6" x14ac:dyDescent="0.35">
      <c r="A1905" s="261" t="s">
        <v>180</v>
      </c>
      <c r="B1905" s="242" t="s">
        <v>785</v>
      </c>
      <c r="C1905" s="208" t="s">
        <v>59</v>
      </c>
      <c r="D1905" s="208"/>
      <c r="E1905" s="209"/>
      <c r="F1905" s="209">
        <f>+D1904*F1903</f>
        <v>2022735</v>
      </c>
    </row>
    <row r="1906" spans="1:6" x14ac:dyDescent="0.35">
      <c r="A1906" s="206"/>
      <c r="B1906" s="207"/>
      <c r="C1906" s="208"/>
      <c r="D1906" s="208"/>
      <c r="E1906" s="210">
        <f>+E1888</f>
        <v>3035.45</v>
      </c>
      <c r="F1906" s="210">
        <f>+F1905/E1906</f>
        <v>666.37071933321261</v>
      </c>
    </row>
    <row r="1907" spans="1:6" x14ac:dyDescent="0.35">
      <c r="A1907" s="105"/>
      <c r="B1907" s="106"/>
      <c r="C1907" s="101"/>
      <c r="D1907" s="101"/>
      <c r="E1907" s="102"/>
      <c r="F1907" s="102"/>
    </row>
    <row r="1908" spans="1:6" x14ac:dyDescent="0.35">
      <c r="A1908" s="105"/>
      <c r="B1908" s="106"/>
      <c r="C1908" s="101"/>
      <c r="D1908" s="101"/>
      <c r="E1908" s="102"/>
      <c r="F1908" s="102"/>
    </row>
    <row r="1909" spans="1:6" x14ac:dyDescent="0.3">
      <c r="A1909" s="257" t="s">
        <v>164</v>
      </c>
      <c r="B1909" s="258" t="s">
        <v>165</v>
      </c>
      <c r="C1909" s="200" t="s">
        <v>2</v>
      </c>
      <c r="D1909" s="202" t="s">
        <v>765</v>
      </c>
      <c r="E1909" s="203" t="s">
        <v>766</v>
      </c>
      <c r="F1909" s="203" t="s">
        <v>767</v>
      </c>
    </row>
    <row r="1910" spans="1:6" x14ac:dyDescent="0.3">
      <c r="A1910" s="237" t="s">
        <v>166</v>
      </c>
      <c r="B1910" s="231" t="s">
        <v>167</v>
      </c>
      <c r="C1910" s="256"/>
      <c r="D1910" s="141"/>
      <c r="E1910" s="110"/>
      <c r="F1910" s="110"/>
    </row>
    <row r="1911" spans="1:6" x14ac:dyDescent="0.3">
      <c r="A1911" s="239" t="s">
        <v>180</v>
      </c>
      <c r="B1911" s="254" t="s">
        <v>1127</v>
      </c>
      <c r="C1911" s="256" t="s">
        <v>59</v>
      </c>
      <c r="D1911" s="124"/>
      <c r="E1911" s="117"/>
      <c r="F1911" s="117"/>
    </row>
    <row r="1912" spans="1:6" x14ac:dyDescent="0.35">
      <c r="A1912" s="111"/>
      <c r="B1912" s="112" t="s">
        <v>802</v>
      </c>
      <c r="C1912" s="118"/>
      <c r="D1912" s="118"/>
      <c r="E1912" s="119"/>
      <c r="F1912" s="119"/>
    </row>
    <row r="1913" spans="1:6" x14ac:dyDescent="0.35">
      <c r="A1913" s="107"/>
      <c r="B1913" s="123" t="s">
        <v>893</v>
      </c>
      <c r="C1913" s="124" t="s">
        <v>59</v>
      </c>
      <c r="D1913" s="124">
        <v>2</v>
      </c>
      <c r="E1913" s="117">
        <v>105000</v>
      </c>
      <c r="F1913" s="117">
        <f>D1913*E1913</f>
        <v>210000</v>
      </c>
    </row>
    <row r="1914" spans="1:6" x14ac:dyDescent="0.35">
      <c r="A1914" s="107"/>
      <c r="B1914" s="120" t="s">
        <v>894</v>
      </c>
      <c r="C1914" s="109"/>
      <c r="D1914" s="124"/>
      <c r="E1914" s="117"/>
      <c r="F1914" s="117">
        <f>F1913*0.15</f>
        <v>31500</v>
      </c>
    </row>
    <row r="1915" spans="1:6" x14ac:dyDescent="0.35">
      <c r="A1915" s="107"/>
      <c r="B1915" s="108" t="s">
        <v>769</v>
      </c>
      <c r="C1915" s="109"/>
      <c r="D1915" s="124"/>
      <c r="E1915" s="117"/>
      <c r="F1915" s="110">
        <f>SUM(F1913:F1914)</f>
        <v>241500</v>
      </c>
    </row>
    <row r="1916" spans="1:6" x14ac:dyDescent="0.3">
      <c r="A1916" s="111"/>
      <c r="B1916" s="136" t="s">
        <v>808</v>
      </c>
      <c r="C1916" s="115"/>
      <c r="D1916" s="124"/>
      <c r="E1916" s="117"/>
      <c r="F1916" s="110"/>
    </row>
    <row r="1917" spans="1:6" x14ac:dyDescent="0.25">
      <c r="A1917" s="111"/>
      <c r="B1917" s="134" t="s">
        <v>895</v>
      </c>
      <c r="C1917" s="115" t="s">
        <v>772</v>
      </c>
      <c r="D1917" s="124">
        <v>0.75</v>
      </c>
      <c r="E1917" s="117">
        <v>15000</v>
      </c>
      <c r="F1917" s="117">
        <f>D1917*E1917</f>
        <v>11250</v>
      </c>
    </row>
    <row r="1918" spans="1:6" x14ac:dyDescent="0.25">
      <c r="A1918" s="111"/>
      <c r="B1918" s="134" t="s">
        <v>896</v>
      </c>
      <c r="C1918" s="115" t="s">
        <v>772</v>
      </c>
      <c r="D1918" s="124">
        <v>0.35</v>
      </c>
      <c r="E1918" s="117">
        <v>15000</v>
      </c>
      <c r="F1918" s="117">
        <f>D1918*E1918</f>
        <v>5250</v>
      </c>
    </row>
    <row r="1919" spans="1:6" x14ac:dyDescent="0.3">
      <c r="A1919" s="111"/>
      <c r="B1919" s="136" t="s">
        <v>774</v>
      </c>
      <c r="C1919" s="115"/>
      <c r="D1919" s="124"/>
      <c r="E1919" s="117"/>
      <c r="F1919" s="110">
        <f>SUM(F1917:F1918)</f>
        <v>16500</v>
      </c>
    </row>
    <row r="1920" spans="1:6" x14ac:dyDescent="0.3">
      <c r="A1920" s="111"/>
      <c r="B1920" s="136" t="s">
        <v>775</v>
      </c>
      <c r="C1920" s="115"/>
      <c r="D1920" s="109"/>
      <c r="E1920" s="110"/>
      <c r="F1920" s="110">
        <f>+F1919+F1915</f>
        <v>258000</v>
      </c>
    </row>
    <row r="1921" spans="1:6" x14ac:dyDescent="0.25">
      <c r="A1921" s="111"/>
      <c r="B1921" s="134" t="s">
        <v>812</v>
      </c>
      <c r="C1921" s="115"/>
      <c r="D1921" s="124">
        <v>1.1499999999999999</v>
      </c>
      <c r="E1921" s="110"/>
      <c r="F1921" s="117">
        <f>+F1920*D1921</f>
        <v>296700</v>
      </c>
    </row>
    <row r="1922" spans="1:6" x14ac:dyDescent="0.25">
      <c r="A1922" s="111"/>
      <c r="B1922" s="134" t="s">
        <v>813</v>
      </c>
      <c r="C1922" s="115"/>
      <c r="D1922" s="124">
        <v>1.1499999999999999</v>
      </c>
      <c r="E1922" s="110"/>
      <c r="F1922" s="110"/>
    </row>
    <row r="1923" spans="1:6" x14ac:dyDescent="0.35">
      <c r="A1923" s="261" t="s">
        <v>180</v>
      </c>
      <c r="B1923" s="242" t="s">
        <v>785</v>
      </c>
      <c r="C1923" s="208" t="s">
        <v>59</v>
      </c>
      <c r="D1923" s="208"/>
      <c r="E1923" s="209"/>
      <c r="F1923" s="209">
        <f>+D1922*F1921</f>
        <v>341205</v>
      </c>
    </row>
    <row r="1924" spans="1:6" x14ac:dyDescent="0.35">
      <c r="A1924" s="206"/>
      <c r="B1924" s="207"/>
      <c r="C1924" s="208"/>
      <c r="D1924" s="208"/>
      <c r="E1924" s="210">
        <f>+E1906</f>
        <v>3035.45</v>
      </c>
      <c r="F1924" s="210">
        <f>+F1923/E1924</f>
        <v>112.40672717389515</v>
      </c>
    </row>
    <row r="1925" spans="1:6" x14ac:dyDescent="0.35">
      <c r="A1925" s="105"/>
      <c r="B1925" s="106"/>
      <c r="C1925" s="101"/>
      <c r="D1925" s="101"/>
      <c r="E1925" s="102"/>
      <c r="F1925" s="102"/>
    </row>
    <row r="1926" spans="1:6" x14ac:dyDescent="0.35">
      <c r="A1926" s="105"/>
      <c r="B1926" s="106"/>
      <c r="C1926" s="101"/>
      <c r="D1926" s="101"/>
      <c r="E1926" s="102"/>
      <c r="F1926" s="102"/>
    </row>
    <row r="1927" spans="1:6" x14ac:dyDescent="0.3">
      <c r="A1927" s="257" t="s">
        <v>164</v>
      </c>
      <c r="B1927" s="258" t="s">
        <v>165</v>
      </c>
      <c r="C1927" s="200" t="s">
        <v>2</v>
      </c>
      <c r="D1927" s="202" t="s">
        <v>765</v>
      </c>
      <c r="E1927" s="203" t="s">
        <v>766</v>
      </c>
      <c r="F1927" s="203" t="s">
        <v>767</v>
      </c>
    </row>
    <row r="1928" spans="1:6" x14ac:dyDescent="0.3">
      <c r="A1928" s="237" t="s">
        <v>166</v>
      </c>
      <c r="B1928" s="231" t="s">
        <v>167</v>
      </c>
      <c r="C1928" s="256"/>
      <c r="D1928" s="141"/>
      <c r="E1928" s="110"/>
      <c r="F1928" s="110"/>
    </row>
    <row r="1929" spans="1:6" x14ac:dyDescent="0.3">
      <c r="A1929" s="239" t="s">
        <v>181</v>
      </c>
      <c r="B1929" s="254" t="s">
        <v>1128</v>
      </c>
      <c r="C1929" s="256" t="s">
        <v>59</v>
      </c>
      <c r="D1929" s="124"/>
      <c r="E1929" s="117"/>
      <c r="F1929" s="117"/>
    </row>
    <row r="1930" spans="1:6" x14ac:dyDescent="0.35">
      <c r="A1930" s="111"/>
      <c r="B1930" s="112" t="s">
        <v>802</v>
      </c>
      <c r="C1930" s="118"/>
      <c r="D1930" s="118"/>
      <c r="E1930" s="119"/>
      <c r="F1930" s="119"/>
    </row>
    <row r="1931" spans="1:6" x14ac:dyDescent="0.35">
      <c r="A1931" s="107"/>
      <c r="B1931" s="123" t="s">
        <v>893</v>
      </c>
      <c r="C1931" s="124" t="s">
        <v>59</v>
      </c>
      <c r="D1931" s="124">
        <v>5</v>
      </c>
      <c r="E1931" s="117">
        <v>105000</v>
      </c>
      <c r="F1931" s="117">
        <f>D1931*E1931</f>
        <v>525000</v>
      </c>
    </row>
    <row r="1932" spans="1:6" x14ac:dyDescent="0.35">
      <c r="A1932" s="107"/>
      <c r="B1932" s="120" t="s">
        <v>894</v>
      </c>
      <c r="C1932" s="109"/>
      <c r="D1932" s="124"/>
      <c r="E1932" s="117"/>
      <c r="F1932" s="117">
        <f>F1931*0.15</f>
        <v>78750</v>
      </c>
    </row>
    <row r="1933" spans="1:6" x14ac:dyDescent="0.35">
      <c r="A1933" s="107"/>
      <c r="B1933" s="108" t="s">
        <v>769</v>
      </c>
      <c r="C1933" s="109"/>
      <c r="D1933" s="124"/>
      <c r="E1933" s="117"/>
      <c r="F1933" s="110">
        <f>SUM(F1931:F1932)</f>
        <v>603750</v>
      </c>
    </row>
    <row r="1934" spans="1:6" x14ac:dyDescent="0.3">
      <c r="A1934" s="111"/>
      <c r="B1934" s="136" t="s">
        <v>808</v>
      </c>
      <c r="C1934" s="115"/>
      <c r="D1934" s="124"/>
      <c r="E1934" s="117"/>
      <c r="F1934" s="110"/>
    </row>
    <row r="1935" spans="1:6" x14ac:dyDescent="0.25">
      <c r="A1935" s="111"/>
      <c r="B1935" s="134" t="s">
        <v>895</v>
      </c>
      <c r="C1935" s="115" t="s">
        <v>772</v>
      </c>
      <c r="D1935" s="124">
        <v>0.5</v>
      </c>
      <c r="E1935" s="117">
        <v>15000</v>
      </c>
      <c r="F1935" s="117">
        <f>D1935*E1935</f>
        <v>7500</v>
      </c>
    </row>
    <row r="1936" spans="1:6" x14ac:dyDescent="0.25">
      <c r="A1936" s="111"/>
      <c r="B1936" s="134" t="s">
        <v>896</v>
      </c>
      <c r="C1936" s="115" t="s">
        <v>772</v>
      </c>
      <c r="D1936" s="124">
        <v>0.15</v>
      </c>
      <c r="E1936" s="117">
        <v>15000</v>
      </c>
      <c r="F1936" s="117">
        <f>D1936*E1936</f>
        <v>2250</v>
      </c>
    </row>
    <row r="1937" spans="1:6" x14ac:dyDescent="0.3">
      <c r="A1937" s="111"/>
      <c r="B1937" s="136" t="s">
        <v>774</v>
      </c>
      <c r="C1937" s="115"/>
      <c r="D1937" s="124"/>
      <c r="E1937" s="117"/>
      <c r="F1937" s="110">
        <f>SUM(F1935:F1936)</f>
        <v>9750</v>
      </c>
    </row>
    <row r="1938" spans="1:6" x14ac:dyDescent="0.3">
      <c r="A1938" s="111"/>
      <c r="B1938" s="136" t="s">
        <v>775</v>
      </c>
      <c r="C1938" s="115"/>
      <c r="D1938" s="109"/>
      <c r="E1938" s="110"/>
      <c r="F1938" s="110">
        <f>+F1937+F1933</f>
        <v>613500</v>
      </c>
    </row>
    <row r="1939" spans="1:6" x14ac:dyDescent="0.25">
      <c r="A1939" s="111"/>
      <c r="B1939" s="134" t="s">
        <v>792</v>
      </c>
      <c r="C1939" s="115"/>
      <c r="D1939" s="124">
        <v>1.05</v>
      </c>
      <c r="E1939" s="110"/>
      <c r="F1939" s="117">
        <f>+F1938*D1939</f>
        <v>644175</v>
      </c>
    </row>
    <row r="1940" spans="1:6" x14ac:dyDescent="0.25">
      <c r="A1940" s="111"/>
      <c r="B1940" s="134" t="s">
        <v>848</v>
      </c>
      <c r="C1940" s="115"/>
      <c r="D1940" s="124">
        <v>1.05</v>
      </c>
      <c r="E1940" s="110"/>
      <c r="F1940" s="110"/>
    </row>
    <row r="1941" spans="1:6" x14ac:dyDescent="0.35">
      <c r="A1941" s="261" t="s">
        <v>181</v>
      </c>
      <c r="B1941" s="242" t="s">
        <v>785</v>
      </c>
      <c r="C1941" s="208" t="s">
        <v>59</v>
      </c>
      <c r="D1941" s="208"/>
      <c r="E1941" s="209"/>
      <c r="F1941" s="209">
        <f>+D1940*F1939</f>
        <v>676383.75</v>
      </c>
    </row>
    <row r="1942" spans="1:6" x14ac:dyDescent="0.35">
      <c r="A1942" s="206"/>
      <c r="B1942" s="207"/>
      <c r="C1942" s="208"/>
      <c r="D1942" s="208"/>
      <c r="E1942" s="210">
        <f>+E1924</f>
        <v>3035.45</v>
      </c>
      <c r="F1942" s="210">
        <f>+F1941/E1942</f>
        <v>222.82816386367756</v>
      </c>
    </row>
    <row r="1943" spans="1:6" ht="12.5" x14ac:dyDescent="0.35">
      <c r="A1943" s="178"/>
      <c r="B1943" s="104"/>
      <c r="C1943" s="104"/>
      <c r="D1943" s="104"/>
      <c r="E1943" s="104"/>
      <c r="F1943" s="104"/>
    </row>
    <row r="1944" spans="1:6" ht="12.5" x14ac:dyDescent="0.35">
      <c r="A1944" s="178"/>
      <c r="B1944" s="104"/>
      <c r="C1944" s="104"/>
      <c r="D1944" s="104"/>
      <c r="E1944" s="104"/>
      <c r="F1944" s="104"/>
    </row>
    <row r="1945" spans="1:6" x14ac:dyDescent="0.3">
      <c r="A1945" s="257" t="s">
        <v>164</v>
      </c>
      <c r="B1945" s="258" t="s">
        <v>165</v>
      </c>
      <c r="C1945" s="200" t="s">
        <v>2</v>
      </c>
      <c r="D1945" s="202" t="s">
        <v>765</v>
      </c>
      <c r="E1945" s="203" t="s">
        <v>766</v>
      </c>
      <c r="F1945" s="203" t="s">
        <v>767</v>
      </c>
    </row>
    <row r="1946" spans="1:6" x14ac:dyDescent="0.3">
      <c r="A1946" s="237" t="s">
        <v>166</v>
      </c>
      <c r="B1946" s="231" t="s">
        <v>167</v>
      </c>
      <c r="C1946" s="256"/>
      <c r="D1946" s="141"/>
      <c r="E1946" s="110"/>
      <c r="F1946" s="110"/>
    </row>
    <row r="1947" spans="1:6" x14ac:dyDescent="0.3">
      <c r="A1947" s="239" t="s">
        <v>182</v>
      </c>
      <c r="B1947" s="254" t="s">
        <v>1129</v>
      </c>
      <c r="C1947" s="256" t="s">
        <v>59</v>
      </c>
      <c r="D1947" s="124"/>
      <c r="E1947" s="117"/>
      <c r="F1947" s="117"/>
    </row>
    <row r="1948" spans="1:6" x14ac:dyDescent="0.35">
      <c r="A1948" s="111"/>
      <c r="B1948" s="112" t="s">
        <v>802</v>
      </c>
      <c r="C1948" s="118"/>
      <c r="D1948" s="118"/>
      <c r="E1948" s="119"/>
      <c r="F1948" s="119"/>
    </row>
    <row r="1949" spans="1:6" x14ac:dyDescent="0.35">
      <c r="A1949" s="107"/>
      <c r="B1949" s="123" t="s">
        <v>893</v>
      </c>
      <c r="C1949" s="124" t="s">
        <v>59</v>
      </c>
      <c r="D1949" s="124">
        <v>8.5</v>
      </c>
      <c r="E1949" s="117">
        <v>105000</v>
      </c>
      <c r="F1949" s="117">
        <f>D1949*E1949</f>
        <v>892500</v>
      </c>
    </row>
    <row r="1950" spans="1:6" x14ac:dyDescent="0.35">
      <c r="A1950" s="107"/>
      <c r="B1950" s="120" t="s">
        <v>894</v>
      </c>
      <c r="C1950" s="109"/>
      <c r="D1950" s="124"/>
      <c r="E1950" s="117"/>
      <c r="F1950" s="117">
        <f>F1949*0.15</f>
        <v>133875</v>
      </c>
    </row>
    <row r="1951" spans="1:6" x14ac:dyDescent="0.35">
      <c r="A1951" s="107"/>
      <c r="B1951" s="108" t="s">
        <v>769</v>
      </c>
      <c r="C1951" s="109"/>
      <c r="D1951" s="124"/>
      <c r="E1951" s="117"/>
      <c r="F1951" s="110">
        <f>SUM(F1949:F1950)</f>
        <v>1026375</v>
      </c>
    </row>
    <row r="1952" spans="1:6" x14ac:dyDescent="0.3">
      <c r="A1952" s="111"/>
      <c r="B1952" s="136" t="s">
        <v>808</v>
      </c>
      <c r="C1952" s="115"/>
      <c r="D1952" s="124"/>
      <c r="E1952" s="117"/>
      <c r="F1952" s="110"/>
    </row>
    <row r="1953" spans="1:6" x14ac:dyDescent="0.25">
      <c r="A1953" s="111"/>
      <c r="B1953" s="134" t="s">
        <v>895</v>
      </c>
      <c r="C1953" s="115" t="s">
        <v>772</v>
      </c>
      <c r="D1953" s="124">
        <v>0.5</v>
      </c>
      <c r="E1953" s="117">
        <v>15000</v>
      </c>
      <c r="F1953" s="117">
        <f>D1953*E1953</f>
        <v>7500</v>
      </c>
    </row>
    <row r="1954" spans="1:6" x14ac:dyDescent="0.25">
      <c r="A1954" s="111"/>
      <c r="B1954" s="134" t="s">
        <v>896</v>
      </c>
      <c r="C1954" s="115" t="s">
        <v>772</v>
      </c>
      <c r="D1954" s="124">
        <v>0.25</v>
      </c>
      <c r="E1954" s="117">
        <v>15000</v>
      </c>
      <c r="F1954" s="117">
        <f>D1954*E1954</f>
        <v>3750</v>
      </c>
    </row>
    <row r="1955" spans="1:6" x14ac:dyDescent="0.3">
      <c r="A1955" s="111"/>
      <c r="B1955" s="136" t="s">
        <v>774</v>
      </c>
      <c r="C1955" s="115"/>
      <c r="D1955" s="124"/>
      <c r="E1955" s="117"/>
      <c r="F1955" s="110">
        <f>SUM(F1953:F1954)</f>
        <v>11250</v>
      </c>
    </row>
    <row r="1956" spans="1:6" x14ac:dyDescent="0.3">
      <c r="A1956" s="111"/>
      <c r="B1956" s="136" t="s">
        <v>775</v>
      </c>
      <c r="C1956" s="115"/>
      <c r="D1956" s="109"/>
      <c r="E1956" s="110"/>
      <c r="F1956" s="110">
        <f>+F1955+F1951</f>
        <v>1037625</v>
      </c>
    </row>
    <row r="1957" spans="1:6" x14ac:dyDescent="0.25">
      <c r="A1957" s="111"/>
      <c r="B1957" s="134" t="s">
        <v>792</v>
      </c>
      <c r="C1957" s="115"/>
      <c r="D1957" s="124">
        <v>1.05</v>
      </c>
      <c r="E1957" s="110"/>
      <c r="F1957" s="117">
        <f>+F1956*D1957</f>
        <v>1089506.25</v>
      </c>
    </row>
    <row r="1958" spans="1:6" x14ac:dyDescent="0.25">
      <c r="A1958" s="111"/>
      <c r="B1958" s="134" t="s">
        <v>848</v>
      </c>
      <c r="C1958" s="115"/>
      <c r="D1958" s="124">
        <v>1.05</v>
      </c>
      <c r="E1958" s="110"/>
      <c r="F1958" s="110"/>
    </row>
    <row r="1959" spans="1:6" x14ac:dyDescent="0.35">
      <c r="A1959" s="261" t="s">
        <v>182</v>
      </c>
      <c r="B1959" s="242" t="s">
        <v>785</v>
      </c>
      <c r="C1959" s="208" t="s">
        <v>59</v>
      </c>
      <c r="D1959" s="208"/>
      <c r="E1959" s="209"/>
      <c r="F1959" s="209">
        <f>+D1958*F1957</f>
        <v>1143981.5625</v>
      </c>
    </row>
    <row r="1960" spans="1:6" x14ac:dyDescent="0.35">
      <c r="A1960" s="206"/>
      <c r="B1960" s="207"/>
      <c r="C1960" s="208"/>
      <c r="D1960" s="208"/>
      <c r="E1960" s="210">
        <f>+E1942</f>
        <v>3035.45</v>
      </c>
      <c r="F1960" s="210">
        <f>+F1959/E1960</f>
        <v>376.87379548337151</v>
      </c>
    </row>
    <row r="1961" spans="1:6" ht="12.5" x14ac:dyDescent="0.35">
      <c r="A1961" s="178"/>
      <c r="B1961" s="104"/>
      <c r="C1961" s="104"/>
      <c r="D1961" s="104"/>
      <c r="E1961" s="104"/>
      <c r="F1961" s="104"/>
    </row>
    <row r="1962" spans="1:6" ht="12.5" x14ac:dyDescent="0.35">
      <c r="A1962" s="178"/>
      <c r="B1962" s="104"/>
      <c r="C1962" s="104"/>
      <c r="D1962" s="104"/>
      <c r="E1962" s="104"/>
      <c r="F1962" s="104"/>
    </row>
    <row r="1963" spans="1:6" x14ac:dyDescent="0.3">
      <c r="A1963" s="257" t="s">
        <v>164</v>
      </c>
      <c r="B1963" s="258" t="s">
        <v>165</v>
      </c>
      <c r="C1963" s="200" t="s">
        <v>2</v>
      </c>
      <c r="D1963" s="202" t="s">
        <v>765</v>
      </c>
      <c r="E1963" s="203" t="s">
        <v>766</v>
      </c>
      <c r="F1963" s="203" t="s">
        <v>767</v>
      </c>
    </row>
    <row r="1964" spans="1:6" x14ac:dyDescent="0.3">
      <c r="A1964" s="237" t="s">
        <v>166</v>
      </c>
      <c r="B1964" s="231" t="s">
        <v>167</v>
      </c>
      <c r="C1964" s="256"/>
      <c r="D1964" s="141"/>
      <c r="E1964" s="110"/>
      <c r="F1964" s="110"/>
    </row>
    <row r="1965" spans="1:6" x14ac:dyDescent="0.3">
      <c r="A1965" s="239" t="s">
        <v>183</v>
      </c>
      <c r="B1965" s="254" t="s">
        <v>184</v>
      </c>
      <c r="C1965" s="256" t="s">
        <v>59</v>
      </c>
      <c r="D1965" s="124"/>
      <c r="E1965" s="117"/>
      <c r="F1965" s="117"/>
    </row>
    <row r="1966" spans="1:6" x14ac:dyDescent="0.35">
      <c r="A1966" s="111"/>
      <c r="B1966" s="112" t="s">
        <v>802</v>
      </c>
      <c r="C1966" s="118"/>
      <c r="D1966" s="118"/>
      <c r="E1966" s="119"/>
      <c r="F1966" s="119"/>
    </row>
    <row r="1967" spans="1:6" x14ac:dyDescent="0.35">
      <c r="A1967" s="107"/>
      <c r="B1967" s="123" t="s">
        <v>893</v>
      </c>
      <c r="C1967" s="124" t="s">
        <v>59</v>
      </c>
      <c r="D1967" s="124">
        <v>10.5</v>
      </c>
      <c r="E1967" s="117">
        <v>105000</v>
      </c>
      <c r="F1967" s="117">
        <f>D1967*E1967</f>
        <v>1102500</v>
      </c>
    </row>
    <row r="1968" spans="1:6" x14ac:dyDescent="0.35">
      <c r="A1968" s="107"/>
      <c r="B1968" s="120" t="s">
        <v>894</v>
      </c>
      <c r="C1968" s="109"/>
      <c r="D1968" s="124"/>
      <c r="E1968" s="117"/>
      <c r="F1968" s="117">
        <f>F1967*0.15</f>
        <v>165375</v>
      </c>
    </row>
    <row r="1969" spans="1:6" x14ac:dyDescent="0.35">
      <c r="A1969" s="107"/>
      <c r="B1969" s="108" t="s">
        <v>769</v>
      </c>
      <c r="C1969" s="109"/>
      <c r="D1969" s="124"/>
      <c r="E1969" s="117"/>
      <c r="F1969" s="110">
        <f>SUM(F1967:F1968)</f>
        <v>1267875</v>
      </c>
    </row>
    <row r="1970" spans="1:6" x14ac:dyDescent="0.3">
      <c r="A1970" s="111"/>
      <c r="B1970" s="136" t="s">
        <v>808</v>
      </c>
      <c r="C1970" s="115"/>
      <c r="D1970" s="124"/>
      <c r="E1970" s="117"/>
      <c r="F1970" s="110"/>
    </row>
    <row r="1971" spans="1:6" x14ac:dyDescent="0.25">
      <c r="A1971" s="111"/>
      <c r="B1971" s="134" t="s">
        <v>895</v>
      </c>
      <c r="C1971" s="115" t="s">
        <v>772</v>
      </c>
      <c r="D1971" s="124">
        <v>3</v>
      </c>
      <c r="E1971" s="117">
        <v>15000</v>
      </c>
      <c r="F1971" s="117">
        <f>D1971*E1971</f>
        <v>45000</v>
      </c>
    </row>
    <row r="1972" spans="1:6" x14ac:dyDescent="0.25">
      <c r="A1972" s="111"/>
      <c r="B1972" s="134" t="s">
        <v>896</v>
      </c>
      <c r="C1972" s="115" t="s">
        <v>772</v>
      </c>
      <c r="D1972" s="124">
        <v>0.75</v>
      </c>
      <c r="E1972" s="117">
        <v>15000</v>
      </c>
      <c r="F1972" s="117">
        <f>D1972*E1972</f>
        <v>11250</v>
      </c>
    </row>
    <row r="1973" spans="1:6" x14ac:dyDescent="0.3">
      <c r="A1973" s="111"/>
      <c r="B1973" s="136" t="s">
        <v>774</v>
      </c>
      <c r="C1973" s="115"/>
      <c r="D1973" s="124"/>
      <c r="E1973" s="117"/>
      <c r="F1973" s="110">
        <f>SUM(F1971:F1972)</f>
        <v>56250</v>
      </c>
    </row>
    <row r="1974" spans="1:6" x14ac:dyDescent="0.3">
      <c r="A1974" s="111"/>
      <c r="B1974" s="136" t="s">
        <v>775</v>
      </c>
      <c r="C1974" s="115"/>
      <c r="D1974" s="109"/>
      <c r="E1974" s="110"/>
      <c r="F1974" s="110">
        <f>+F1973+F1969</f>
        <v>1324125</v>
      </c>
    </row>
    <row r="1975" spans="1:6" x14ac:dyDescent="0.25">
      <c r="A1975" s="111"/>
      <c r="B1975" s="134" t="s">
        <v>824</v>
      </c>
      <c r="C1975" s="115"/>
      <c r="D1975" s="124">
        <v>1.1000000000000001</v>
      </c>
      <c r="E1975" s="110"/>
      <c r="F1975" s="117">
        <f>+F1974*D1975</f>
        <v>1456537.5000000002</v>
      </c>
    </row>
    <row r="1976" spans="1:6" x14ac:dyDescent="0.25">
      <c r="A1976" s="111"/>
      <c r="B1976" s="134" t="s">
        <v>813</v>
      </c>
      <c r="C1976" s="115"/>
      <c r="D1976" s="124">
        <v>1.1499999999999999</v>
      </c>
      <c r="E1976" s="110"/>
      <c r="F1976" s="110"/>
    </row>
    <row r="1977" spans="1:6" x14ac:dyDescent="0.35">
      <c r="A1977" s="261" t="s">
        <v>183</v>
      </c>
      <c r="B1977" s="242" t="s">
        <v>785</v>
      </c>
      <c r="C1977" s="208" t="s">
        <v>59</v>
      </c>
      <c r="D1977" s="208"/>
      <c r="E1977" s="209"/>
      <c r="F1977" s="209">
        <f>+D1976*F1975</f>
        <v>1675018.1250000002</v>
      </c>
    </row>
    <row r="1978" spans="1:6" x14ac:dyDescent="0.35">
      <c r="A1978" s="206"/>
      <c r="B1978" s="207"/>
      <c r="C1978" s="208"/>
      <c r="D1978" s="208"/>
      <c r="E1978" s="210">
        <f>+E1960</f>
        <v>3035.45</v>
      </c>
      <c r="F1978" s="210">
        <f>+F1977/E1978</f>
        <v>551.81871715890566</v>
      </c>
    </row>
    <row r="1979" spans="1:6" ht="12.5" x14ac:dyDescent="0.35">
      <c r="A1979" s="178"/>
      <c r="B1979" s="104"/>
      <c r="C1979" s="104"/>
      <c r="D1979" s="104"/>
      <c r="E1979" s="104"/>
      <c r="F1979" s="104"/>
    </row>
    <row r="1980" spans="1:6" ht="12.5" x14ac:dyDescent="0.35">
      <c r="A1980" s="178"/>
      <c r="B1980" s="104"/>
      <c r="C1980" s="104"/>
      <c r="D1980" s="104"/>
      <c r="E1980" s="104"/>
      <c r="F1980" s="104"/>
    </row>
    <row r="1981" spans="1:6" x14ac:dyDescent="0.3">
      <c r="A1981" s="257" t="s">
        <v>164</v>
      </c>
      <c r="B1981" s="258" t="s">
        <v>165</v>
      </c>
      <c r="C1981" s="200" t="s">
        <v>2</v>
      </c>
      <c r="D1981" s="202" t="s">
        <v>765</v>
      </c>
      <c r="E1981" s="203" t="s">
        <v>766</v>
      </c>
      <c r="F1981" s="203" t="s">
        <v>767</v>
      </c>
    </row>
    <row r="1982" spans="1:6" x14ac:dyDescent="0.3">
      <c r="A1982" s="237" t="s">
        <v>166</v>
      </c>
      <c r="B1982" s="231" t="s">
        <v>167</v>
      </c>
      <c r="C1982" s="256"/>
      <c r="D1982" s="141"/>
      <c r="E1982" s="110"/>
      <c r="F1982" s="110"/>
    </row>
    <row r="1983" spans="1:6" x14ac:dyDescent="0.3">
      <c r="A1983" s="239" t="s">
        <v>185</v>
      </c>
      <c r="B1983" s="254" t="s">
        <v>899</v>
      </c>
      <c r="C1983" s="256" t="s">
        <v>59</v>
      </c>
      <c r="D1983" s="124"/>
      <c r="E1983" s="117"/>
      <c r="F1983" s="117"/>
    </row>
    <row r="1984" spans="1:6" x14ac:dyDescent="0.35">
      <c r="A1984" s="111"/>
      <c r="B1984" s="112" t="s">
        <v>802</v>
      </c>
      <c r="C1984" s="118"/>
      <c r="D1984" s="118"/>
      <c r="E1984" s="119"/>
      <c r="F1984" s="119"/>
    </row>
    <row r="1985" spans="1:6" x14ac:dyDescent="0.35">
      <c r="A1985" s="107"/>
      <c r="B1985" s="123" t="s">
        <v>893</v>
      </c>
      <c r="C1985" s="124" t="s">
        <v>59</v>
      </c>
      <c r="D1985" s="124">
        <v>12.9</v>
      </c>
      <c r="E1985" s="117">
        <v>105000</v>
      </c>
      <c r="F1985" s="117">
        <f>D1985*E1985</f>
        <v>1354500</v>
      </c>
    </row>
    <row r="1986" spans="1:6" x14ac:dyDescent="0.35">
      <c r="A1986" s="107"/>
      <c r="B1986" s="120" t="s">
        <v>894</v>
      </c>
      <c r="C1986" s="109"/>
      <c r="D1986" s="124"/>
      <c r="E1986" s="117"/>
      <c r="F1986" s="117">
        <f>F1985*0.15</f>
        <v>203175</v>
      </c>
    </row>
    <row r="1987" spans="1:6" x14ac:dyDescent="0.35">
      <c r="A1987" s="107"/>
      <c r="B1987" s="108" t="s">
        <v>769</v>
      </c>
      <c r="C1987" s="109"/>
      <c r="D1987" s="124"/>
      <c r="E1987" s="117"/>
      <c r="F1987" s="110">
        <f>SUM(F1985:F1986)</f>
        <v>1557675</v>
      </c>
    </row>
    <row r="1988" spans="1:6" x14ac:dyDescent="0.3">
      <c r="A1988" s="111"/>
      <c r="B1988" s="136" t="s">
        <v>808</v>
      </c>
      <c r="C1988" s="115"/>
      <c r="D1988" s="124"/>
      <c r="E1988" s="117"/>
      <c r="F1988" s="110"/>
    </row>
    <row r="1989" spans="1:6" x14ac:dyDescent="0.25">
      <c r="A1989" s="111"/>
      <c r="B1989" s="134" t="s">
        <v>895</v>
      </c>
      <c r="C1989" s="115" t="s">
        <v>772</v>
      </c>
      <c r="D1989" s="124">
        <v>5</v>
      </c>
      <c r="E1989" s="117">
        <v>15000</v>
      </c>
      <c r="F1989" s="117">
        <f>D1989*E1989</f>
        <v>75000</v>
      </c>
    </row>
    <row r="1990" spans="1:6" x14ac:dyDescent="0.25">
      <c r="A1990" s="111"/>
      <c r="B1990" s="134" t="s">
        <v>896</v>
      </c>
      <c r="C1990" s="115" t="s">
        <v>772</v>
      </c>
      <c r="D1990" s="124">
        <v>1.75</v>
      </c>
      <c r="E1990" s="117">
        <v>15000</v>
      </c>
      <c r="F1990" s="117">
        <f>D1990*E1990</f>
        <v>26250</v>
      </c>
    </row>
    <row r="1991" spans="1:6" x14ac:dyDescent="0.3">
      <c r="A1991" s="111"/>
      <c r="B1991" s="136" t="s">
        <v>774</v>
      </c>
      <c r="C1991" s="115"/>
      <c r="D1991" s="124"/>
      <c r="E1991" s="117"/>
      <c r="F1991" s="110">
        <f>SUM(F1989:F1990)</f>
        <v>101250</v>
      </c>
    </row>
    <row r="1992" spans="1:6" x14ac:dyDescent="0.3">
      <c r="A1992" s="111"/>
      <c r="B1992" s="136" t="s">
        <v>775</v>
      </c>
      <c r="C1992" s="115"/>
      <c r="D1992" s="109"/>
      <c r="E1992" s="110"/>
      <c r="F1992" s="110">
        <f>+F1991+F1987</f>
        <v>1658925</v>
      </c>
    </row>
    <row r="1993" spans="1:6" x14ac:dyDescent="0.25">
      <c r="A1993" s="111"/>
      <c r="B1993" s="134" t="s">
        <v>824</v>
      </c>
      <c r="C1993" s="115"/>
      <c r="D1993" s="124">
        <v>1.1000000000000001</v>
      </c>
      <c r="E1993" s="110"/>
      <c r="F1993" s="117">
        <f>+F1992*D1993</f>
        <v>1824817.5000000002</v>
      </c>
    </row>
    <row r="1994" spans="1:6" x14ac:dyDescent="0.25">
      <c r="A1994" s="111"/>
      <c r="B1994" s="134" t="s">
        <v>826</v>
      </c>
      <c r="C1994" s="115"/>
      <c r="D1994" s="124">
        <v>1.2</v>
      </c>
      <c r="E1994" s="110"/>
      <c r="F1994" s="110"/>
    </row>
    <row r="1995" spans="1:6" x14ac:dyDescent="0.35">
      <c r="A1995" s="261" t="s">
        <v>185</v>
      </c>
      <c r="B1995" s="242" t="s">
        <v>785</v>
      </c>
      <c r="C1995" s="208" t="s">
        <v>59</v>
      </c>
      <c r="D1995" s="208"/>
      <c r="E1995" s="209"/>
      <c r="F1995" s="209">
        <f>+D1994*F1993</f>
        <v>2189781</v>
      </c>
    </row>
    <row r="1996" spans="1:6" x14ac:dyDescent="0.35">
      <c r="A1996" s="206"/>
      <c r="B1996" s="207"/>
      <c r="C1996" s="208"/>
      <c r="D1996" s="208"/>
      <c r="E1996" s="210">
        <f>+E1978</f>
        <v>3035.45</v>
      </c>
      <c r="F1996" s="210">
        <f>+F1995/E1996</f>
        <v>721.40242797608266</v>
      </c>
    </row>
    <row r="1997" spans="1:6" ht="12.5" x14ac:dyDescent="0.35">
      <c r="A1997" s="178"/>
      <c r="B1997" s="104"/>
      <c r="C1997" s="104"/>
      <c r="D1997" s="104"/>
      <c r="E1997" s="104"/>
      <c r="F1997" s="104"/>
    </row>
    <row r="1998" spans="1:6" ht="12.5" x14ac:dyDescent="0.35">
      <c r="A1998" s="178"/>
      <c r="B1998" s="104"/>
      <c r="C1998" s="104"/>
      <c r="D1998" s="104"/>
      <c r="E1998" s="104"/>
      <c r="F1998" s="104"/>
    </row>
    <row r="1999" spans="1:6" x14ac:dyDescent="0.3">
      <c r="A1999" s="257" t="s">
        <v>164</v>
      </c>
      <c r="B1999" s="258" t="s">
        <v>165</v>
      </c>
      <c r="C1999" s="200" t="s">
        <v>2</v>
      </c>
      <c r="D1999" s="202" t="s">
        <v>765</v>
      </c>
      <c r="E1999" s="203" t="s">
        <v>766</v>
      </c>
      <c r="F1999" s="203" t="s">
        <v>767</v>
      </c>
    </row>
    <row r="2000" spans="1:6" x14ac:dyDescent="0.3">
      <c r="A2000" s="237" t="s">
        <v>166</v>
      </c>
      <c r="B2000" s="231" t="s">
        <v>167</v>
      </c>
      <c r="C2000" s="256"/>
      <c r="D2000" s="141"/>
      <c r="E2000" s="110"/>
      <c r="F2000" s="110"/>
    </row>
    <row r="2001" spans="1:6" x14ac:dyDescent="0.3">
      <c r="A2001" s="239" t="s">
        <v>186</v>
      </c>
      <c r="B2001" s="254" t="s">
        <v>1130</v>
      </c>
      <c r="C2001" s="256" t="s">
        <v>59</v>
      </c>
      <c r="D2001" s="124"/>
      <c r="E2001" s="117"/>
      <c r="F2001" s="117"/>
    </row>
    <row r="2002" spans="1:6" x14ac:dyDescent="0.35">
      <c r="A2002" s="111"/>
      <c r="B2002" s="112" t="s">
        <v>802</v>
      </c>
      <c r="C2002" s="118"/>
      <c r="D2002" s="118"/>
      <c r="E2002" s="119"/>
      <c r="F2002" s="119"/>
    </row>
    <row r="2003" spans="1:6" x14ac:dyDescent="0.35">
      <c r="A2003" s="107"/>
      <c r="B2003" s="123" t="s">
        <v>893</v>
      </c>
      <c r="C2003" s="124" t="s">
        <v>59</v>
      </c>
      <c r="D2003" s="124">
        <v>12.9</v>
      </c>
      <c r="E2003" s="117">
        <v>105000</v>
      </c>
      <c r="F2003" s="117">
        <f>D2003*E2003</f>
        <v>1354500</v>
      </c>
    </row>
    <row r="2004" spans="1:6" x14ac:dyDescent="0.35">
      <c r="A2004" s="107"/>
      <c r="B2004" s="120" t="s">
        <v>894</v>
      </c>
      <c r="C2004" s="109"/>
      <c r="D2004" s="124"/>
      <c r="E2004" s="117"/>
      <c r="F2004" s="117">
        <f>F2003*0.15</f>
        <v>203175</v>
      </c>
    </row>
    <row r="2005" spans="1:6" x14ac:dyDescent="0.35">
      <c r="A2005" s="107"/>
      <c r="B2005" s="108" t="s">
        <v>769</v>
      </c>
      <c r="C2005" s="109"/>
      <c r="D2005" s="124"/>
      <c r="E2005" s="117"/>
      <c r="F2005" s="110">
        <f>SUM(F2003:F2004)</f>
        <v>1557675</v>
      </c>
    </row>
    <row r="2006" spans="1:6" x14ac:dyDescent="0.3">
      <c r="A2006" s="111"/>
      <c r="B2006" s="136" t="s">
        <v>808</v>
      </c>
      <c r="C2006" s="115"/>
      <c r="D2006" s="124"/>
      <c r="E2006" s="117"/>
      <c r="F2006" s="110"/>
    </row>
    <row r="2007" spans="1:6" x14ac:dyDescent="0.25">
      <c r="A2007" s="111"/>
      <c r="B2007" s="134" t="s">
        <v>895</v>
      </c>
      <c r="C2007" s="115" t="s">
        <v>772</v>
      </c>
      <c r="D2007" s="124">
        <v>5</v>
      </c>
      <c r="E2007" s="117">
        <v>15000</v>
      </c>
      <c r="F2007" s="117">
        <f>D2007*E2007</f>
        <v>75000</v>
      </c>
    </row>
    <row r="2008" spans="1:6" x14ac:dyDescent="0.25">
      <c r="A2008" s="111"/>
      <c r="B2008" s="134" t="s">
        <v>896</v>
      </c>
      <c r="C2008" s="115" t="s">
        <v>772</v>
      </c>
      <c r="D2008" s="124">
        <v>1.75</v>
      </c>
      <c r="E2008" s="117">
        <v>15000</v>
      </c>
      <c r="F2008" s="117">
        <f>D2008*E2008</f>
        <v>26250</v>
      </c>
    </row>
    <row r="2009" spans="1:6" x14ac:dyDescent="0.3">
      <c r="A2009" s="111"/>
      <c r="B2009" s="136" t="s">
        <v>774</v>
      </c>
      <c r="C2009" s="115"/>
      <c r="D2009" s="124"/>
      <c r="E2009" s="117"/>
      <c r="F2009" s="110">
        <f>SUM(F2007:F2008)</f>
        <v>101250</v>
      </c>
    </row>
    <row r="2010" spans="1:6" x14ac:dyDescent="0.3">
      <c r="A2010" s="111"/>
      <c r="B2010" s="136" t="s">
        <v>775</v>
      </c>
      <c r="C2010" s="115"/>
      <c r="D2010" s="109"/>
      <c r="E2010" s="110"/>
      <c r="F2010" s="110">
        <f>+F2009+F2005</f>
        <v>1658925</v>
      </c>
    </row>
    <row r="2011" spans="1:6" x14ac:dyDescent="0.25">
      <c r="A2011" s="111"/>
      <c r="B2011" s="134" t="s">
        <v>812</v>
      </c>
      <c r="C2011" s="115"/>
      <c r="D2011" s="124">
        <v>1.1499999999999999</v>
      </c>
      <c r="E2011" s="110"/>
      <c r="F2011" s="117">
        <f>+F2010*D2011</f>
        <v>1907763.7499999998</v>
      </c>
    </row>
    <row r="2012" spans="1:6" x14ac:dyDescent="0.25">
      <c r="A2012" s="111"/>
      <c r="B2012" s="134" t="s">
        <v>826</v>
      </c>
      <c r="C2012" s="115"/>
      <c r="D2012" s="124">
        <v>1.2</v>
      </c>
      <c r="E2012" s="110"/>
      <c r="F2012" s="110"/>
    </row>
    <row r="2013" spans="1:6" x14ac:dyDescent="0.35">
      <c r="A2013" s="261" t="s">
        <v>186</v>
      </c>
      <c r="B2013" s="242" t="s">
        <v>785</v>
      </c>
      <c r="C2013" s="208" t="s">
        <v>59</v>
      </c>
      <c r="D2013" s="208"/>
      <c r="E2013" s="209"/>
      <c r="F2013" s="209">
        <f>+D2012*F2011</f>
        <v>2289316.4999999995</v>
      </c>
    </row>
    <row r="2014" spans="1:6" x14ac:dyDescent="0.35">
      <c r="A2014" s="206"/>
      <c r="B2014" s="207"/>
      <c r="C2014" s="208"/>
      <c r="D2014" s="208"/>
      <c r="E2014" s="210">
        <f>+E1996</f>
        <v>3035.45</v>
      </c>
      <c r="F2014" s="210">
        <f>+F2013/E2014</f>
        <v>754.19344742954081</v>
      </c>
    </row>
    <row r="2015" spans="1:6" ht="12.5" x14ac:dyDescent="0.35">
      <c r="A2015" s="178"/>
      <c r="B2015" s="104"/>
      <c r="C2015" s="104"/>
      <c r="D2015" s="104"/>
      <c r="E2015" s="104"/>
      <c r="F2015" s="104"/>
    </row>
    <row r="2016" spans="1:6" ht="12.5" x14ac:dyDescent="0.35">
      <c r="A2016" s="178"/>
      <c r="B2016" s="104"/>
      <c r="C2016" s="104"/>
      <c r="D2016" s="104"/>
      <c r="E2016" s="104"/>
      <c r="F2016" s="104"/>
    </row>
    <row r="2017" spans="1:6" x14ac:dyDescent="0.3">
      <c r="A2017" s="257" t="s">
        <v>164</v>
      </c>
      <c r="B2017" s="258" t="s">
        <v>165</v>
      </c>
      <c r="C2017" s="200" t="s">
        <v>2</v>
      </c>
      <c r="D2017" s="202" t="s">
        <v>765</v>
      </c>
      <c r="E2017" s="203" t="s">
        <v>766</v>
      </c>
      <c r="F2017" s="203" t="s">
        <v>767</v>
      </c>
    </row>
    <row r="2018" spans="1:6" x14ac:dyDescent="0.3">
      <c r="A2018" s="237" t="s">
        <v>166</v>
      </c>
      <c r="B2018" s="231" t="s">
        <v>167</v>
      </c>
      <c r="C2018" s="256"/>
      <c r="D2018" s="141"/>
      <c r="E2018" s="110"/>
      <c r="F2018" s="110"/>
    </row>
    <row r="2019" spans="1:6" x14ac:dyDescent="0.3">
      <c r="A2019" s="239" t="s">
        <v>187</v>
      </c>
      <c r="B2019" s="254" t="s">
        <v>1131</v>
      </c>
      <c r="C2019" s="256" t="s">
        <v>59</v>
      </c>
      <c r="D2019" s="124"/>
      <c r="E2019" s="117"/>
      <c r="F2019" s="117"/>
    </row>
    <row r="2020" spans="1:6" x14ac:dyDescent="0.35">
      <c r="A2020" s="111"/>
      <c r="B2020" s="112" t="s">
        <v>802</v>
      </c>
      <c r="C2020" s="118"/>
      <c r="D2020" s="118"/>
      <c r="E2020" s="119"/>
      <c r="F2020" s="119"/>
    </row>
    <row r="2021" spans="1:6" x14ac:dyDescent="0.35">
      <c r="A2021" s="107"/>
      <c r="B2021" s="123" t="s">
        <v>893</v>
      </c>
      <c r="C2021" s="124" t="s">
        <v>59</v>
      </c>
      <c r="D2021" s="124">
        <v>12.9</v>
      </c>
      <c r="E2021" s="117">
        <v>105000</v>
      </c>
      <c r="F2021" s="117">
        <f>D2021*E2021</f>
        <v>1354500</v>
      </c>
    </row>
    <row r="2022" spans="1:6" x14ac:dyDescent="0.35">
      <c r="A2022" s="107"/>
      <c r="B2022" s="120" t="s">
        <v>894</v>
      </c>
      <c r="C2022" s="109"/>
      <c r="D2022" s="124"/>
      <c r="E2022" s="117"/>
      <c r="F2022" s="117">
        <f>F2021*0.15</f>
        <v>203175</v>
      </c>
    </row>
    <row r="2023" spans="1:6" x14ac:dyDescent="0.35">
      <c r="A2023" s="107"/>
      <c r="B2023" s="108" t="s">
        <v>769</v>
      </c>
      <c r="C2023" s="109"/>
      <c r="D2023" s="124"/>
      <c r="E2023" s="117"/>
      <c r="F2023" s="110">
        <f>SUM(F2021:F2022)</f>
        <v>1557675</v>
      </c>
    </row>
    <row r="2024" spans="1:6" x14ac:dyDescent="0.3">
      <c r="A2024" s="111"/>
      <c r="B2024" s="136" t="s">
        <v>808</v>
      </c>
      <c r="C2024" s="115"/>
      <c r="D2024" s="124"/>
      <c r="E2024" s="117"/>
      <c r="F2024" s="110"/>
    </row>
    <row r="2025" spans="1:6" x14ac:dyDescent="0.25">
      <c r="A2025" s="111"/>
      <c r="B2025" s="134" t="s">
        <v>895</v>
      </c>
      <c r="C2025" s="115" t="s">
        <v>772</v>
      </c>
      <c r="D2025" s="124">
        <v>5</v>
      </c>
      <c r="E2025" s="117">
        <v>15000</v>
      </c>
      <c r="F2025" s="117">
        <f>D2025*E2025</f>
        <v>75000</v>
      </c>
    </row>
    <row r="2026" spans="1:6" x14ac:dyDescent="0.25">
      <c r="A2026" s="111"/>
      <c r="B2026" s="134" t="s">
        <v>896</v>
      </c>
      <c r="C2026" s="115" t="s">
        <v>772</v>
      </c>
      <c r="D2026" s="124">
        <v>2.5</v>
      </c>
      <c r="E2026" s="117">
        <v>15000</v>
      </c>
      <c r="F2026" s="117">
        <f>D2026*E2026</f>
        <v>37500</v>
      </c>
    </row>
    <row r="2027" spans="1:6" x14ac:dyDescent="0.3">
      <c r="A2027" s="111"/>
      <c r="B2027" s="136" t="s">
        <v>774</v>
      </c>
      <c r="C2027" s="115"/>
      <c r="D2027" s="124"/>
      <c r="E2027" s="117"/>
      <c r="F2027" s="110">
        <f>SUM(F2025:F2026)</f>
        <v>112500</v>
      </c>
    </row>
    <row r="2028" spans="1:6" x14ac:dyDescent="0.3">
      <c r="A2028" s="111"/>
      <c r="B2028" s="136" t="s">
        <v>775</v>
      </c>
      <c r="C2028" s="115"/>
      <c r="D2028" s="109"/>
      <c r="E2028" s="110"/>
      <c r="F2028" s="110">
        <f>+F2027+F2023</f>
        <v>1670175</v>
      </c>
    </row>
    <row r="2029" spans="1:6" x14ac:dyDescent="0.25">
      <c r="A2029" s="111"/>
      <c r="B2029" s="134" t="s">
        <v>936</v>
      </c>
      <c r="C2029" s="115"/>
      <c r="D2029" s="124">
        <v>1.2</v>
      </c>
      <c r="E2029" s="110"/>
      <c r="F2029" s="117">
        <f>+F2028*D2029</f>
        <v>2004210</v>
      </c>
    </row>
    <row r="2030" spans="1:6" x14ac:dyDescent="0.25">
      <c r="A2030" s="111"/>
      <c r="B2030" s="134" t="s">
        <v>835</v>
      </c>
      <c r="C2030" s="115"/>
      <c r="D2030" s="124">
        <v>1.25</v>
      </c>
      <c r="E2030" s="110"/>
      <c r="F2030" s="110"/>
    </row>
    <row r="2031" spans="1:6" x14ac:dyDescent="0.35">
      <c r="A2031" s="261" t="s">
        <v>187</v>
      </c>
      <c r="B2031" s="242" t="s">
        <v>785</v>
      </c>
      <c r="C2031" s="208" t="s">
        <v>59</v>
      </c>
      <c r="D2031" s="208"/>
      <c r="E2031" s="209"/>
      <c r="F2031" s="209">
        <f>+D2030*F2029</f>
        <v>2505262.5</v>
      </c>
    </row>
    <row r="2032" spans="1:6" x14ac:dyDescent="0.35">
      <c r="A2032" s="206"/>
      <c r="B2032" s="207"/>
      <c r="C2032" s="208"/>
      <c r="D2032" s="208"/>
      <c r="E2032" s="210">
        <f>+E2014</f>
        <v>3035.45</v>
      </c>
      <c r="F2032" s="210">
        <f>+F2031/E2032</f>
        <v>825.33479385264138</v>
      </c>
    </row>
    <row r="2033" spans="1:6" ht="12.5" x14ac:dyDescent="0.35">
      <c r="A2033" s="178"/>
      <c r="B2033" s="104"/>
      <c r="C2033" s="104"/>
      <c r="D2033" s="104"/>
      <c r="E2033" s="104"/>
      <c r="F2033" s="104"/>
    </row>
    <row r="2034" spans="1:6" ht="12.5" x14ac:dyDescent="0.35">
      <c r="A2034" s="178"/>
      <c r="B2034" s="104"/>
      <c r="C2034" s="104"/>
      <c r="D2034" s="104"/>
      <c r="E2034" s="104"/>
      <c r="F2034" s="104"/>
    </row>
    <row r="2035" spans="1:6" x14ac:dyDescent="0.3">
      <c r="A2035" s="257" t="s">
        <v>164</v>
      </c>
      <c r="B2035" s="258" t="s">
        <v>165</v>
      </c>
      <c r="C2035" s="200" t="s">
        <v>2</v>
      </c>
      <c r="D2035" s="202" t="s">
        <v>765</v>
      </c>
      <c r="E2035" s="203" t="s">
        <v>766</v>
      </c>
      <c r="F2035" s="203" t="s">
        <v>767</v>
      </c>
    </row>
    <row r="2036" spans="1:6" x14ac:dyDescent="0.3">
      <c r="A2036" s="237" t="s">
        <v>166</v>
      </c>
      <c r="B2036" s="231" t="s">
        <v>167</v>
      </c>
      <c r="C2036" s="256"/>
      <c r="D2036" s="141"/>
      <c r="E2036" s="110"/>
      <c r="F2036" s="110"/>
    </row>
    <row r="2037" spans="1:6" x14ac:dyDescent="0.3">
      <c r="A2037" s="239" t="s">
        <v>188</v>
      </c>
      <c r="B2037" s="254" t="s">
        <v>189</v>
      </c>
      <c r="C2037" s="256" t="s">
        <v>59</v>
      </c>
      <c r="D2037" s="124"/>
      <c r="E2037" s="117"/>
      <c r="F2037" s="117"/>
    </row>
    <row r="2038" spans="1:6" x14ac:dyDescent="0.35">
      <c r="A2038" s="111"/>
      <c r="B2038" s="112" t="s">
        <v>802</v>
      </c>
      <c r="C2038" s="118"/>
      <c r="D2038" s="118"/>
      <c r="E2038" s="119"/>
      <c r="F2038" s="119"/>
    </row>
    <row r="2039" spans="1:6" x14ac:dyDescent="0.35">
      <c r="A2039" s="107"/>
      <c r="B2039" s="123" t="s">
        <v>893</v>
      </c>
      <c r="C2039" s="124" t="s">
        <v>59</v>
      </c>
      <c r="D2039" s="124">
        <v>15</v>
      </c>
      <c r="E2039" s="117">
        <v>105000</v>
      </c>
      <c r="F2039" s="117">
        <f>D2039*E2039</f>
        <v>1575000</v>
      </c>
    </row>
    <row r="2040" spans="1:6" x14ac:dyDescent="0.35">
      <c r="A2040" s="107"/>
      <c r="B2040" s="120" t="s">
        <v>894</v>
      </c>
      <c r="C2040" s="109"/>
      <c r="D2040" s="124"/>
      <c r="E2040" s="117"/>
      <c r="F2040" s="117">
        <f>F2039*0.15</f>
        <v>236250</v>
      </c>
    </row>
    <row r="2041" spans="1:6" x14ac:dyDescent="0.35">
      <c r="A2041" s="107"/>
      <c r="B2041" s="108" t="s">
        <v>769</v>
      </c>
      <c r="C2041" s="109"/>
      <c r="D2041" s="124"/>
      <c r="E2041" s="117"/>
      <c r="F2041" s="110">
        <f>SUM(F2039:F2040)</f>
        <v>1811250</v>
      </c>
    </row>
    <row r="2042" spans="1:6" x14ac:dyDescent="0.3">
      <c r="A2042" s="111"/>
      <c r="B2042" s="136" t="s">
        <v>808</v>
      </c>
      <c r="C2042" s="115"/>
      <c r="D2042" s="124"/>
      <c r="E2042" s="117"/>
      <c r="F2042" s="110"/>
    </row>
    <row r="2043" spans="1:6" x14ac:dyDescent="0.25">
      <c r="A2043" s="111"/>
      <c r="B2043" s="134" t="s">
        <v>895</v>
      </c>
      <c r="C2043" s="115" t="s">
        <v>772</v>
      </c>
      <c r="D2043" s="124">
        <v>5</v>
      </c>
      <c r="E2043" s="117">
        <v>15000</v>
      </c>
      <c r="F2043" s="117">
        <f>D2043*E2043</f>
        <v>75000</v>
      </c>
    </row>
    <row r="2044" spans="1:6" x14ac:dyDescent="0.25">
      <c r="A2044" s="111"/>
      <c r="B2044" s="134" t="s">
        <v>896</v>
      </c>
      <c r="C2044" s="115" t="s">
        <v>772</v>
      </c>
      <c r="D2044" s="124">
        <v>5</v>
      </c>
      <c r="E2044" s="117">
        <v>15000</v>
      </c>
      <c r="F2044" s="117">
        <f>D2044*E2044</f>
        <v>75000</v>
      </c>
    </row>
    <row r="2045" spans="1:6" x14ac:dyDescent="0.3">
      <c r="A2045" s="111"/>
      <c r="B2045" s="136" t="s">
        <v>774</v>
      </c>
      <c r="C2045" s="115"/>
      <c r="D2045" s="124"/>
      <c r="E2045" s="117"/>
      <c r="F2045" s="110">
        <f>SUM(F2043:F2044)</f>
        <v>150000</v>
      </c>
    </row>
    <row r="2046" spans="1:6" x14ac:dyDescent="0.3">
      <c r="A2046" s="111"/>
      <c r="B2046" s="136" t="s">
        <v>775</v>
      </c>
      <c r="C2046" s="115"/>
      <c r="D2046" s="109"/>
      <c r="E2046" s="110"/>
      <c r="F2046" s="110">
        <f>+F2045+F2041</f>
        <v>1961250</v>
      </c>
    </row>
    <row r="2047" spans="1:6" x14ac:dyDescent="0.25">
      <c r="A2047" s="111"/>
      <c r="B2047" s="134" t="s">
        <v>936</v>
      </c>
      <c r="C2047" s="115"/>
      <c r="D2047" s="124">
        <v>1.2</v>
      </c>
      <c r="E2047" s="110"/>
      <c r="F2047" s="117">
        <f>+F2046*D2047</f>
        <v>2353500</v>
      </c>
    </row>
    <row r="2048" spans="1:6" x14ac:dyDescent="0.25">
      <c r="A2048" s="111"/>
      <c r="B2048" s="134" t="s">
        <v>835</v>
      </c>
      <c r="C2048" s="115"/>
      <c r="D2048" s="124">
        <v>1.25</v>
      </c>
      <c r="E2048" s="110"/>
      <c r="F2048" s="110"/>
    </row>
    <row r="2049" spans="1:6" x14ac:dyDescent="0.35">
      <c r="A2049" s="261" t="s">
        <v>188</v>
      </c>
      <c r="B2049" s="242" t="s">
        <v>785</v>
      </c>
      <c r="C2049" s="208" t="s">
        <v>59</v>
      </c>
      <c r="D2049" s="208"/>
      <c r="E2049" s="209"/>
      <c r="F2049" s="209">
        <f>+D2048*F2047</f>
        <v>2941875</v>
      </c>
    </row>
    <row r="2050" spans="1:6" x14ac:dyDescent="0.35">
      <c r="A2050" s="206"/>
      <c r="B2050" s="207"/>
      <c r="C2050" s="208"/>
      <c r="D2050" s="208"/>
      <c r="E2050" s="210">
        <f>+E2032</f>
        <v>3035.45</v>
      </c>
      <c r="F2050" s="210">
        <f>+F2049/E2050</f>
        <v>969.17261032136923</v>
      </c>
    </row>
    <row r="2051" spans="1:6" ht="12.5" x14ac:dyDescent="0.35">
      <c r="A2051" s="178"/>
      <c r="B2051" s="104"/>
      <c r="C2051" s="104"/>
      <c r="D2051" s="104"/>
      <c r="E2051" s="104"/>
      <c r="F2051" s="104"/>
    </row>
    <row r="2052" spans="1:6" ht="12.5" x14ac:dyDescent="0.35">
      <c r="A2052" s="178"/>
      <c r="B2052" s="104"/>
      <c r="C2052" s="104"/>
      <c r="D2052" s="104"/>
      <c r="E2052" s="104"/>
      <c r="F2052" s="104"/>
    </row>
    <row r="2053" spans="1:6" x14ac:dyDescent="0.3">
      <c r="A2053" s="257" t="s">
        <v>164</v>
      </c>
      <c r="B2053" s="258" t="s">
        <v>165</v>
      </c>
      <c r="C2053" s="200" t="s">
        <v>2</v>
      </c>
      <c r="D2053" s="202" t="s">
        <v>765</v>
      </c>
      <c r="E2053" s="203" t="s">
        <v>766</v>
      </c>
      <c r="F2053" s="203" t="s">
        <v>767</v>
      </c>
    </row>
    <row r="2054" spans="1:6" x14ac:dyDescent="0.3">
      <c r="A2054" s="237" t="s">
        <v>166</v>
      </c>
      <c r="B2054" s="231" t="s">
        <v>167</v>
      </c>
      <c r="C2054" s="256"/>
      <c r="D2054" s="141"/>
      <c r="E2054" s="110"/>
      <c r="F2054" s="110"/>
    </row>
    <row r="2055" spans="1:6" x14ac:dyDescent="0.3">
      <c r="A2055" s="239" t="s">
        <v>1132</v>
      </c>
      <c r="B2055" s="254" t="s">
        <v>900</v>
      </c>
      <c r="C2055" s="256" t="s">
        <v>59</v>
      </c>
      <c r="D2055" s="124"/>
      <c r="E2055" s="117"/>
      <c r="F2055" s="117"/>
    </row>
    <row r="2056" spans="1:6" x14ac:dyDescent="0.35">
      <c r="A2056" s="111"/>
      <c r="B2056" s="112" t="s">
        <v>802</v>
      </c>
      <c r="C2056" s="118"/>
      <c r="D2056" s="118"/>
      <c r="E2056" s="119"/>
      <c r="F2056" s="119"/>
    </row>
    <row r="2057" spans="1:6" x14ac:dyDescent="0.35">
      <c r="A2057" s="107"/>
      <c r="B2057" s="123" t="s">
        <v>893</v>
      </c>
      <c r="C2057" s="124" t="s">
        <v>59</v>
      </c>
      <c r="D2057" s="124">
        <v>16</v>
      </c>
      <c r="E2057" s="117">
        <v>105000</v>
      </c>
      <c r="F2057" s="117">
        <f>D2057*E2057</f>
        <v>1680000</v>
      </c>
    </row>
    <row r="2058" spans="1:6" x14ac:dyDescent="0.35">
      <c r="A2058" s="107"/>
      <c r="B2058" s="120" t="s">
        <v>894</v>
      </c>
      <c r="C2058" s="109"/>
      <c r="D2058" s="124"/>
      <c r="E2058" s="117"/>
      <c r="F2058" s="117">
        <f>F2057*0.15</f>
        <v>252000</v>
      </c>
    </row>
    <row r="2059" spans="1:6" x14ac:dyDescent="0.35">
      <c r="A2059" s="107"/>
      <c r="B2059" s="108" t="s">
        <v>769</v>
      </c>
      <c r="C2059" s="109"/>
      <c r="D2059" s="124"/>
      <c r="E2059" s="117"/>
      <c r="F2059" s="110">
        <f>SUM(F2057:F2058)</f>
        <v>1932000</v>
      </c>
    </row>
    <row r="2060" spans="1:6" x14ac:dyDescent="0.3">
      <c r="A2060" s="111"/>
      <c r="B2060" s="136" t="s">
        <v>808</v>
      </c>
      <c r="C2060" s="115"/>
      <c r="D2060" s="124"/>
      <c r="E2060" s="117"/>
      <c r="F2060" s="110"/>
    </row>
    <row r="2061" spans="1:6" x14ac:dyDescent="0.25">
      <c r="A2061" s="111"/>
      <c r="B2061" s="134" t="s">
        <v>895</v>
      </c>
      <c r="C2061" s="115" t="s">
        <v>772</v>
      </c>
      <c r="D2061" s="124">
        <v>5</v>
      </c>
      <c r="E2061" s="117">
        <v>15000</v>
      </c>
      <c r="F2061" s="117">
        <f>D2061*E2061</f>
        <v>75000</v>
      </c>
    </row>
    <row r="2062" spans="1:6" x14ac:dyDescent="0.25">
      <c r="A2062" s="111"/>
      <c r="B2062" s="134" t="s">
        <v>896</v>
      </c>
      <c r="C2062" s="115" t="s">
        <v>772</v>
      </c>
      <c r="D2062" s="124">
        <v>1.5</v>
      </c>
      <c r="E2062" s="117">
        <v>15000</v>
      </c>
      <c r="F2062" s="117">
        <f>D2062*E2062</f>
        <v>22500</v>
      </c>
    </row>
    <row r="2063" spans="1:6" x14ac:dyDescent="0.3">
      <c r="A2063" s="111"/>
      <c r="B2063" s="136" t="s">
        <v>774</v>
      </c>
      <c r="C2063" s="115"/>
      <c r="D2063" s="124"/>
      <c r="E2063" s="117"/>
      <c r="F2063" s="110">
        <f>SUM(F2061:F2062)</f>
        <v>97500</v>
      </c>
    </row>
    <row r="2064" spans="1:6" x14ac:dyDescent="0.3">
      <c r="A2064" s="111"/>
      <c r="B2064" s="136" t="s">
        <v>775</v>
      </c>
      <c r="C2064" s="115"/>
      <c r="D2064" s="109"/>
      <c r="E2064" s="110"/>
      <c r="F2064" s="110">
        <f>+F2063+F2059</f>
        <v>2029500</v>
      </c>
    </row>
    <row r="2065" spans="1:6" x14ac:dyDescent="0.25">
      <c r="A2065" s="111"/>
      <c r="B2065" s="134" t="s">
        <v>936</v>
      </c>
      <c r="C2065" s="115"/>
      <c r="D2065" s="124">
        <v>1.2</v>
      </c>
      <c r="E2065" s="110"/>
      <c r="F2065" s="117">
        <f>+F2064*D2065</f>
        <v>2435400</v>
      </c>
    </row>
    <row r="2066" spans="1:6" x14ac:dyDescent="0.25">
      <c r="A2066" s="111"/>
      <c r="B2066" s="134" t="s">
        <v>835</v>
      </c>
      <c r="C2066" s="115"/>
      <c r="D2066" s="124">
        <v>1.25</v>
      </c>
      <c r="E2066" s="110"/>
      <c r="F2066" s="110"/>
    </row>
    <row r="2067" spans="1:6" x14ac:dyDescent="0.35">
      <c r="A2067" s="261" t="s">
        <v>1132</v>
      </c>
      <c r="B2067" s="242" t="s">
        <v>785</v>
      </c>
      <c r="C2067" s="208" t="s">
        <v>59</v>
      </c>
      <c r="D2067" s="208"/>
      <c r="E2067" s="209"/>
      <c r="F2067" s="209">
        <f>+D2066*F2065</f>
        <v>3044250</v>
      </c>
    </row>
    <row r="2068" spans="1:6" x14ac:dyDescent="0.35">
      <c r="A2068" s="206"/>
      <c r="B2068" s="207"/>
      <c r="C2068" s="208"/>
      <c r="D2068" s="208"/>
      <c r="E2068" s="210">
        <f>+E2050</f>
        <v>3035.45</v>
      </c>
      <c r="F2068" s="210">
        <f>+F2067/E2068</f>
        <v>1002.8990759195507</v>
      </c>
    </row>
    <row r="2069" spans="1:6" ht="12.5" x14ac:dyDescent="0.35">
      <c r="A2069" s="178"/>
      <c r="B2069" s="104"/>
      <c r="C2069" s="104"/>
      <c r="D2069" s="104"/>
      <c r="E2069" s="104"/>
      <c r="F2069" s="104"/>
    </row>
    <row r="2070" spans="1:6" ht="12.5" x14ac:dyDescent="0.35">
      <c r="A2070" s="178"/>
      <c r="B2070" s="104"/>
      <c r="C2070" s="104"/>
      <c r="D2070" s="104"/>
      <c r="E2070" s="104"/>
      <c r="F2070" s="104"/>
    </row>
    <row r="2071" spans="1:6" x14ac:dyDescent="0.3">
      <c r="A2071" s="257" t="s">
        <v>164</v>
      </c>
      <c r="B2071" s="258" t="s">
        <v>165</v>
      </c>
      <c r="C2071" s="200" t="s">
        <v>2</v>
      </c>
      <c r="D2071" s="202" t="s">
        <v>765</v>
      </c>
      <c r="E2071" s="203" t="s">
        <v>766</v>
      </c>
      <c r="F2071" s="203" t="s">
        <v>767</v>
      </c>
    </row>
    <row r="2072" spans="1:6" x14ac:dyDescent="0.3">
      <c r="A2072" s="237" t="s">
        <v>166</v>
      </c>
      <c r="B2072" s="231" t="s">
        <v>167</v>
      </c>
      <c r="C2072" s="256"/>
      <c r="D2072" s="141"/>
      <c r="E2072" s="110"/>
      <c r="F2072" s="110"/>
    </row>
    <row r="2073" spans="1:6" x14ac:dyDescent="0.3">
      <c r="A2073" s="239" t="s">
        <v>1133</v>
      </c>
      <c r="B2073" s="254" t="s">
        <v>1134</v>
      </c>
      <c r="C2073" s="256" t="s">
        <v>59</v>
      </c>
      <c r="D2073" s="124"/>
      <c r="E2073" s="117"/>
      <c r="F2073" s="117"/>
    </row>
    <row r="2074" spans="1:6" x14ac:dyDescent="0.35">
      <c r="A2074" s="111"/>
      <c r="B2074" s="112" t="s">
        <v>802</v>
      </c>
      <c r="C2074" s="118"/>
      <c r="D2074" s="118"/>
      <c r="E2074" s="119"/>
      <c r="F2074" s="119"/>
    </row>
    <row r="2075" spans="1:6" x14ac:dyDescent="0.35">
      <c r="A2075" s="107"/>
      <c r="B2075" s="123" t="s">
        <v>893</v>
      </c>
      <c r="C2075" s="124" t="s">
        <v>59</v>
      </c>
      <c r="D2075" s="124">
        <v>17.5</v>
      </c>
      <c r="E2075" s="117">
        <v>105000</v>
      </c>
      <c r="F2075" s="117">
        <f>D2075*E2075</f>
        <v>1837500</v>
      </c>
    </row>
    <row r="2076" spans="1:6" x14ac:dyDescent="0.35">
      <c r="A2076" s="107"/>
      <c r="B2076" s="120" t="s">
        <v>894</v>
      </c>
      <c r="C2076" s="109"/>
      <c r="D2076" s="124"/>
      <c r="E2076" s="117"/>
      <c r="F2076" s="117">
        <f>F2075*0.15</f>
        <v>275625</v>
      </c>
    </row>
    <row r="2077" spans="1:6" x14ac:dyDescent="0.35">
      <c r="A2077" s="107"/>
      <c r="B2077" s="108" t="s">
        <v>769</v>
      </c>
      <c r="C2077" s="109"/>
      <c r="D2077" s="124"/>
      <c r="E2077" s="117"/>
      <c r="F2077" s="110">
        <f>SUM(F2075:F2076)</f>
        <v>2113125</v>
      </c>
    </row>
    <row r="2078" spans="1:6" x14ac:dyDescent="0.3">
      <c r="A2078" s="111"/>
      <c r="B2078" s="136" t="s">
        <v>808</v>
      </c>
      <c r="C2078" s="115"/>
      <c r="D2078" s="124"/>
      <c r="E2078" s="117"/>
      <c r="F2078" s="110"/>
    </row>
    <row r="2079" spans="1:6" x14ac:dyDescent="0.25">
      <c r="A2079" s="111"/>
      <c r="B2079" s="134" t="s">
        <v>895</v>
      </c>
      <c r="C2079" s="115" t="s">
        <v>772</v>
      </c>
      <c r="D2079" s="124">
        <v>4.8099999999999996</v>
      </c>
      <c r="E2079" s="117">
        <v>15000</v>
      </c>
      <c r="F2079" s="117">
        <f>D2079*E2079</f>
        <v>72150</v>
      </c>
    </row>
    <row r="2080" spans="1:6" x14ac:dyDescent="0.25">
      <c r="A2080" s="111"/>
      <c r="B2080" s="134" t="s">
        <v>896</v>
      </c>
      <c r="C2080" s="115" t="s">
        <v>772</v>
      </c>
      <c r="D2080" s="124">
        <v>1.5</v>
      </c>
      <c r="E2080" s="117">
        <v>15000</v>
      </c>
      <c r="F2080" s="117">
        <f>D2080*E2080</f>
        <v>22500</v>
      </c>
    </row>
    <row r="2081" spans="1:6" x14ac:dyDescent="0.3">
      <c r="A2081" s="111"/>
      <c r="B2081" s="136" t="s">
        <v>774</v>
      </c>
      <c r="C2081" s="115"/>
      <c r="D2081" s="124"/>
      <c r="E2081" s="117"/>
      <c r="F2081" s="110">
        <f>SUM(F2079:F2080)</f>
        <v>94650</v>
      </c>
    </row>
    <row r="2082" spans="1:6" x14ac:dyDescent="0.3">
      <c r="A2082" s="111"/>
      <c r="B2082" s="136" t="s">
        <v>775</v>
      </c>
      <c r="C2082" s="115"/>
      <c r="D2082" s="109"/>
      <c r="E2082" s="110"/>
      <c r="F2082" s="110">
        <f>+F2081+F2077</f>
        <v>2207775</v>
      </c>
    </row>
    <row r="2083" spans="1:6" x14ac:dyDescent="0.25">
      <c r="A2083" s="111"/>
      <c r="B2083" s="134" t="s">
        <v>936</v>
      </c>
      <c r="C2083" s="115"/>
      <c r="D2083" s="124">
        <v>1.2</v>
      </c>
      <c r="E2083" s="110"/>
      <c r="F2083" s="117">
        <f>+F2082*D2083</f>
        <v>2649330</v>
      </c>
    </row>
    <row r="2084" spans="1:6" x14ac:dyDescent="0.25">
      <c r="A2084" s="111"/>
      <c r="B2084" s="134" t="s">
        <v>826</v>
      </c>
      <c r="C2084" s="115"/>
      <c r="D2084" s="124">
        <v>1.2</v>
      </c>
      <c r="E2084" s="110"/>
      <c r="F2084" s="110"/>
    </row>
    <row r="2085" spans="1:6" x14ac:dyDescent="0.35">
      <c r="A2085" s="261" t="s">
        <v>1133</v>
      </c>
      <c r="B2085" s="242" t="s">
        <v>785</v>
      </c>
      <c r="C2085" s="208" t="s">
        <v>59</v>
      </c>
      <c r="D2085" s="208"/>
      <c r="E2085" s="209"/>
      <c r="F2085" s="209">
        <f>+D2084*F2083</f>
        <v>3179196</v>
      </c>
    </row>
    <row r="2086" spans="1:6" x14ac:dyDescent="0.35">
      <c r="A2086" s="206"/>
      <c r="B2086" s="207"/>
      <c r="C2086" s="208"/>
      <c r="D2086" s="208"/>
      <c r="E2086" s="210">
        <f>+E2068</f>
        <v>3035.45</v>
      </c>
      <c r="F2086" s="210">
        <f>+F2085/E2086</f>
        <v>1047.355746264969</v>
      </c>
    </row>
    <row r="2087" spans="1:6" ht="12.5" x14ac:dyDescent="0.35">
      <c r="A2087" s="178"/>
      <c r="B2087" s="104"/>
      <c r="C2087" s="104"/>
      <c r="D2087" s="104"/>
      <c r="E2087" s="104"/>
      <c r="F2087" s="104"/>
    </row>
    <row r="2088" spans="1:6" ht="12.5" x14ac:dyDescent="0.35">
      <c r="A2088" s="178"/>
      <c r="B2088" s="104"/>
      <c r="C2088" s="104"/>
      <c r="D2088" s="104"/>
      <c r="E2088" s="104"/>
      <c r="F2088" s="104"/>
    </row>
    <row r="2089" spans="1:6" x14ac:dyDescent="0.3">
      <c r="A2089" s="257" t="s">
        <v>164</v>
      </c>
      <c r="B2089" s="258" t="s">
        <v>165</v>
      </c>
      <c r="C2089" s="200" t="s">
        <v>2</v>
      </c>
      <c r="D2089" s="202" t="s">
        <v>765</v>
      </c>
      <c r="E2089" s="203" t="s">
        <v>766</v>
      </c>
      <c r="F2089" s="203" t="s">
        <v>767</v>
      </c>
    </row>
    <row r="2090" spans="1:6" x14ac:dyDescent="0.3">
      <c r="A2090" s="237" t="s">
        <v>166</v>
      </c>
      <c r="B2090" s="231" t="s">
        <v>167</v>
      </c>
      <c r="C2090" s="256"/>
      <c r="D2090" s="141"/>
      <c r="E2090" s="110"/>
      <c r="F2090" s="110"/>
    </row>
    <row r="2091" spans="1:6" x14ac:dyDescent="0.3">
      <c r="A2091" s="239" t="s">
        <v>1135</v>
      </c>
      <c r="B2091" s="254" t="s">
        <v>901</v>
      </c>
      <c r="C2091" s="256" t="s">
        <v>59</v>
      </c>
      <c r="D2091" s="124"/>
      <c r="E2091" s="117"/>
      <c r="F2091" s="117"/>
    </row>
    <row r="2092" spans="1:6" x14ac:dyDescent="0.35">
      <c r="A2092" s="111"/>
      <c r="B2092" s="112" t="s">
        <v>802</v>
      </c>
      <c r="C2092" s="118"/>
      <c r="D2092" s="118"/>
      <c r="E2092" s="119"/>
      <c r="F2092" s="119"/>
    </row>
    <row r="2093" spans="1:6" x14ac:dyDescent="0.35">
      <c r="A2093" s="107"/>
      <c r="B2093" s="123" t="s">
        <v>893</v>
      </c>
      <c r="C2093" s="124" t="s">
        <v>59</v>
      </c>
      <c r="D2093" s="124">
        <v>17.5</v>
      </c>
      <c r="E2093" s="117">
        <v>105000</v>
      </c>
      <c r="F2093" s="117">
        <f>D2093*E2093</f>
        <v>1837500</v>
      </c>
    </row>
    <row r="2094" spans="1:6" x14ac:dyDescent="0.35">
      <c r="A2094" s="107"/>
      <c r="B2094" s="120" t="s">
        <v>894</v>
      </c>
      <c r="C2094" s="109"/>
      <c r="D2094" s="124"/>
      <c r="E2094" s="117"/>
      <c r="F2094" s="117">
        <f>F2093*0.15</f>
        <v>275625</v>
      </c>
    </row>
    <row r="2095" spans="1:6" x14ac:dyDescent="0.35">
      <c r="A2095" s="107"/>
      <c r="B2095" s="108" t="s">
        <v>769</v>
      </c>
      <c r="C2095" s="109"/>
      <c r="D2095" s="124"/>
      <c r="E2095" s="117"/>
      <c r="F2095" s="110">
        <f>SUM(F2093:F2094)</f>
        <v>2113125</v>
      </c>
    </row>
    <row r="2096" spans="1:6" x14ac:dyDescent="0.3">
      <c r="A2096" s="111"/>
      <c r="B2096" s="136" t="s">
        <v>808</v>
      </c>
      <c r="C2096" s="115"/>
      <c r="D2096" s="124"/>
      <c r="E2096" s="117"/>
      <c r="F2096" s="110"/>
    </row>
    <row r="2097" spans="1:6" x14ac:dyDescent="0.25">
      <c r="A2097" s="111"/>
      <c r="B2097" s="134" t="s">
        <v>895</v>
      </c>
      <c r="C2097" s="115" t="s">
        <v>772</v>
      </c>
      <c r="D2097" s="124">
        <v>4.8099999999999996</v>
      </c>
      <c r="E2097" s="117">
        <v>15000</v>
      </c>
      <c r="F2097" s="117">
        <f>D2097*E2097</f>
        <v>72150</v>
      </c>
    </row>
    <row r="2098" spans="1:6" x14ac:dyDescent="0.25">
      <c r="A2098" s="111"/>
      <c r="B2098" s="134" t="s">
        <v>896</v>
      </c>
      <c r="C2098" s="115" t="s">
        <v>772</v>
      </c>
      <c r="D2098" s="124">
        <v>1.75</v>
      </c>
      <c r="E2098" s="117">
        <v>15000</v>
      </c>
      <c r="F2098" s="117">
        <f>D2098*E2098</f>
        <v>26250</v>
      </c>
    </row>
    <row r="2099" spans="1:6" x14ac:dyDescent="0.3">
      <c r="A2099" s="111"/>
      <c r="B2099" s="136" t="s">
        <v>774</v>
      </c>
      <c r="C2099" s="115"/>
      <c r="D2099" s="124"/>
      <c r="E2099" s="117"/>
      <c r="F2099" s="110">
        <f>SUM(F2097:F2098)</f>
        <v>98400</v>
      </c>
    </row>
    <row r="2100" spans="1:6" x14ac:dyDescent="0.3">
      <c r="A2100" s="111"/>
      <c r="B2100" s="136" t="s">
        <v>775</v>
      </c>
      <c r="C2100" s="115"/>
      <c r="D2100" s="109"/>
      <c r="E2100" s="110"/>
      <c r="F2100" s="110">
        <f>+F2099+F2095</f>
        <v>2211525</v>
      </c>
    </row>
    <row r="2101" spans="1:6" x14ac:dyDescent="0.25">
      <c r="A2101" s="111"/>
      <c r="B2101" s="134" t="s">
        <v>936</v>
      </c>
      <c r="C2101" s="115"/>
      <c r="D2101" s="124">
        <v>1.2</v>
      </c>
      <c r="E2101" s="110"/>
      <c r="F2101" s="117">
        <f>+F2100*D2101</f>
        <v>2653830</v>
      </c>
    </row>
    <row r="2102" spans="1:6" x14ac:dyDescent="0.25">
      <c r="A2102" s="111"/>
      <c r="B2102" s="134" t="s">
        <v>835</v>
      </c>
      <c r="C2102" s="115"/>
      <c r="D2102" s="124">
        <v>1.25</v>
      </c>
      <c r="E2102" s="110"/>
      <c r="F2102" s="110"/>
    </row>
    <row r="2103" spans="1:6" x14ac:dyDescent="0.35">
      <c r="A2103" s="261" t="s">
        <v>1135</v>
      </c>
      <c r="B2103" s="242" t="s">
        <v>785</v>
      </c>
      <c r="C2103" s="208" t="s">
        <v>59</v>
      </c>
      <c r="D2103" s="208"/>
      <c r="E2103" s="209"/>
      <c r="F2103" s="209">
        <f>+D2102*F2101</f>
        <v>3317287.5</v>
      </c>
    </row>
    <row r="2104" spans="1:6" x14ac:dyDescent="0.35">
      <c r="A2104" s="206"/>
      <c r="B2104" s="207"/>
      <c r="C2104" s="208"/>
      <c r="D2104" s="208"/>
      <c r="E2104" s="210">
        <f>+E2086</f>
        <v>3035.45</v>
      </c>
      <c r="F2104" s="210">
        <f>+F2103/E2104</f>
        <v>1092.8486715314041</v>
      </c>
    </row>
    <row r="2105" spans="1:6" ht="12.5" x14ac:dyDescent="0.35">
      <c r="A2105" s="178"/>
      <c r="B2105" s="104"/>
      <c r="C2105" s="104"/>
      <c r="D2105" s="104"/>
      <c r="E2105" s="104"/>
      <c r="F2105" s="104"/>
    </row>
    <row r="2106" spans="1:6" ht="12.5" x14ac:dyDescent="0.35">
      <c r="A2106" s="178"/>
      <c r="B2106" s="104"/>
      <c r="C2106" s="104"/>
      <c r="D2106" s="104"/>
      <c r="E2106" s="104"/>
      <c r="F2106" s="104"/>
    </row>
    <row r="2107" spans="1:6" x14ac:dyDescent="0.3">
      <c r="A2107" s="257" t="s">
        <v>164</v>
      </c>
      <c r="B2107" s="258" t="s">
        <v>165</v>
      </c>
      <c r="C2107" s="200" t="s">
        <v>2</v>
      </c>
      <c r="D2107" s="202" t="s">
        <v>765</v>
      </c>
      <c r="E2107" s="203" t="s">
        <v>766</v>
      </c>
      <c r="F2107" s="203" t="s">
        <v>767</v>
      </c>
    </row>
    <row r="2108" spans="1:6" x14ac:dyDescent="0.3">
      <c r="A2108" s="237" t="s">
        <v>166</v>
      </c>
      <c r="B2108" s="231" t="s">
        <v>167</v>
      </c>
      <c r="C2108" s="256"/>
      <c r="D2108" s="141"/>
      <c r="E2108" s="110"/>
      <c r="F2108" s="110"/>
    </row>
    <row r="2109" spans="1:6" x14ac:dyDescent="0.3">
      <c r="A2109" s="239" t="s">
        <v>1136</v>
      </c>
      <c r="B2109" s="254" t="s">
        <v>1137</v>
      </c>
      <c r="C2109" s="256" t="s">
        <v>59</v>
      </c>
      <c r="D2109" s="124"/>
      <c r="E2109" s="117"/>
      <c r="F2109" s="117"/>
    </row>
    <row r="2110" spans="1:6" x14ac:dyDescent="0.35">
      <c r="A2110" s="111"/>
      <c r="B2110" s="112" t="s">
        <v>802</v>
      </c>
      <c r="C2110" s="118"/>
      <c r="D2110" s="118"/>
      <c r="E2110" s="119"/>
      <c r="F2110" s="119"/>
    </row>
    <row r="2111" spans="1:6" x14ac:dyDescent="0.35">
      <c r="A2111" s="107"/>
      <c r="B2111" s="123" t="s">
        <v>893</v>
      </c>
      <c r="C2111" s="124" t="s">
        <v>59</v>
      </c>
      <c r="D2111" s="124">
        <v>17.5</v>
      </c>
      <c r="E2111" s="117">
        <v>105000</v>
      </c>
      <c r="F2111" s="117">
        <f>D2111*E2111</f>
        <v>1837500</v>
      </c>
    </row>
    <row r="2112" spans="1:6" x14ac:dyDescent="0.35">
      <c r="A2112" s="107"/>
      <c r="B2112" s="120" t="s">
        <v>894</v>
      </c>
      <c r="C2112" s="109"/>
      <c r="D2112" s="124"/>
      <c r="E2112" s="117"/>
      <c r="F2112" s="117">
        <f>F2111*0.15</f>
        <v>275625</v>
      </c>
    </row>
    <row r="2113" spans="1:8" x14ac:dyDescent="0.35">
      <c r="A2113" s="107"/>
      <c r="B2113" s="108" t="s">
        <v>769</v>
      </c>
      <c r="C2113" s="109"/>
      <c r="D2113" s="124"/>
      <c r="E2113" s="117"/>
      <c r="F2113" s="110">
        <f>SUM(F2111:F2112)</f>
        <v>2113125</v>
      </c>
    </row>
    <row r="2114" spans="1:8" x14ac:dyDescent="0.3">
      <c r="A2114" s="111"/>
      <c r="B2114" s="136" t="s">
        <v>808</v>
      </c>
      <c r="C2114" s="115"/>
      <c r="D2114" s="124"/>
      <c r="E2114" s="117"/>
      <c r="F2114" s="110"/>
    </row>
    <row r="2115" spans="1:8" x14ac:dyDescent="0.25">
      <c r="A2115" s="111"/>
      <c r="B2115" s="134" t="s">
        <v>895</v>
      </c>
      <c r="C2115" s="115" t="s">
        <v>772</v>
      </c>
      <c r="D2115" s="124">
        <v>5</v>
      </c>
      <c r="E2115" s="117">
        <v>15000</v>
      </c>
      <c r="F2115" s="117">
        <f>D2115*E2115</f>
        <v>75000</v>
      </c>
    </row>
    <row r="2116" spans="1:8" x14ac:dyDescent="0.25">
      <c r="A2116" s="111"/>
      <c r="B2116" s="134" t="s">
        <v>896</v>
      </c>
      <c r="C2116" s="115" t="s">
        <v>772</v>
      </c>
      <c r="D2116" s="124">
        <v>2.25</v>
      </c>
      <c r="E2116" s="117">
        <v>15000</v>
      </c>
      <c r="F2116" s="117">
        <f>D2116*E2116</f>
        <v>33750</v>
      </c>
    </row>
    <row r="2117" spans="1:8" x14ac:dyDescent="0.3">
      <c r="A2117" s="111"/>
      <c r="B2117" s="136" t="s">
        <v>774</v>
      </c>
      <c r="C2117" s="115"/>
      <c r="D2117" s="124"/>
      <c r="E2117" s="117"/>
      <c r="F2117" s="110">
        <f>SUM(F2115:F2116)</f>
        <v>108750</v>
      </c>
    </row>
    <row r="2118" spans="1:8" x14ac:dyDescent="0.3">
      <c r="A2118" s="111"/>
      <c r="B2118" s="136" t="s">
        <v>775</v>
      </c>
      <c r="C2118" s="115"/>
      <c r="D2118" s="109"/>
      <c r="E2118" s="110"/>
      <c r="F2118" s="110">
        <f>+F2117+F2113</f>
        <v>2221875</v>
      </c>
    </row>
    <row r="2119" spans="1:8" x14ac:dyDescent="0.25">
      <c r="A2119" s="111"/>
      <c r="B2119" s="134" t="s">
        <v>936</v>
      </c>
      <c r="C2119" s="115"/>
      <c r="D2119" s="124">
        <v>1.2</v>
      </c>
      <c r="E2119" s="110"/>
      <c r="F2119" s="117">
        <f>+F2118*D2119</f>
        <v>2666250</v>
      </c>
    </row>
    <row r="2120" spans="1:8" x14ac:dyDescent="0.25">
      <c r="A2120" s="111"/>
      <c r="B2120" s="134" t="s">
        <v>835</v>
      </c>
      <c r="C2120" s="115"/>
      <c r="D2120" s="124">
        <v>1.25</v>
      </c>
      <c r="E2120" s="110"/>
      <c r="F2120" s="110"/>
    </row>
    <row r="2121" spans="1:8" x14ac:dyDescent="0.35">
      <c r="A2121" s="261" t="s">
        <v>1136</v>
      </c>
      <c r="B2121" s="242" t="s">
        <v>785</v>
      </c>
      <c r="C2121" s="208" t="s">
        <v>59</v>
      </c>
      <c r="D2121" s="208"/>
      <c r="E2121" s="209"/>
      <c r="F2121" s="209">
        <f>+D2120*F2119</f>
        <v>3332812.5</v>
      </c>
    </row>
    <row r="2122" spans="1:8" x14ac:dyDescent="0.35">
      <c r="A2122" s="206"/>
      <c r="B2122" s="207"/>
      <c r="C2122" s="208"/>
      <c r="D2122" s="208"/>
      <c r="E2122" s="210">
        <f>+E2104</f>
        <v>3035.45</v>
      </c>
      <c r="F2122" s="210">
        <f>+F2121/E2122</f>
        <v>1097.963234446293</v>
      </c>
    </row>
    <row r="2123" spans="1:8" ht="12.5" x14ac:dyDescent="0.35">
      <c r="A2123" s="178"/>
      <c r="B2123" s="104"/>
      <c r="C2123" s="104"/>
      <c r="D2123" s="104"/>
      <c r="E2123" s="104"/>
      <c r="F2123" s="104"/>
    </row>
    <row r="2124" spans="1:8" s="139" customFormat="1" ht="12.5" x14ac:dyDescent="0.35">
      <c r="A2124" s="183"/>
      <c r="G2124" s="138"/>
      <c r="H2124" s="177"/>
    </row>
    <row r="2125" spans="1:8" x14ac:dyDescent="0.3">
      <c r="A2125" s="257" t="s">
        <v>164</v>
      </c>
      <c r="B2125" s="258" t="s">
        <v>165</v>
      </c>
      <c r="C2125" s="200" t="s">
        <v>2</v>
      </c>
      <c r="D2125" s="202" t="s">
        <v>765</v>
      </c>
      <c r="E2125" s="203" t="s">
        <v>766</v>
      </c>
      <c r="F2125" s="203" t="s">
        <v>767</v>
      </c>
    </row>
    <row r="2126" spans="1:8" x14ac:dyDescent="0.3">
      <c r="A2126" s="237" t="s">
        <v>166</v>
      </c>
      <c r="B2126" s="231" t="s">
        <v>167</v>
      </c>
      <c r="C2126" s="256"/>
      <c r="D2126" s="141"/>
      <c r="E2126" s="110"/>
      <c r="F2126" s="110"/>
    </row>
    <row r="2127" spans="1:8" x14ac:dyDescent="0.3">
      <c r="A2127" s="239" t="s">
        <v>1136</v>
      </c>
      <c r="B2127" s="254" t="s">
        <v>1138</v>
      </c>
      <c r="C2127" s="256" t="s">
        <v>59</v>
      </c>
      <c r="D2127" s="124"/>
      <c r="E2127" s="117"/>
      <c r="F2127" s="117"/>
    </row>
    <row r="2128" spans="1:8" x14ac:dyDescent="0.35">
      <c r="A2128" s="111"/>
      <c r="B2128" s="112" t="s">
        <v>802</v>
      </c>
      <c r="C2128" s="118"/>
      <c r="D2128" s="118"/>
      <c r="E2128" s="119"/>
      <c r="F2128" s="119"/>
    </row>
    <row r="2129" spans="1:6" x14ac:dyDescent="0.35">
      <c r="A2129" s="107"/>
      <c r="B2129" s="123" t="s">
        <v>893</v>
      </c>
      <c r="C2129" s="124" t="s">
        <v>59</v>
      </c>
      <c r="D2129" s="124">
        <v>17.5</v>
      </c>
      <c r="E2129" s="117">
        <v>105000</v>
      </c>
      <c r="F2129" s="117">
        <f>D2129*E2129</f>
        <v>1837500</v>
      </c>
    </row>
    <row r="2130" spans="1:6" x14ac:dyDescent="0.35">
      <c r="A2130" s="107"/>
      <c r="B2130" s="120" t="s">
        <v>894</v>
      </c>
      <c r="C2130" s="109"/>
      <c r="D2130" s="124"/>
      <c r="E2130" s="117"/>
      <c r="F2130" s="117">
        <f>F2129*0.15</f>
        <v>275625</v>
      </c>
    </row>
    <row r="2131" spans="1:6" x14ac:dyDescent="0.35">
      <c r="A2131" s="107"/>
      <c r="B2131" s="108" t="s">
        <v>769</v>
      </c>
      <c r="C2131" s="109"/>
      <c r="D2131" s="124"/>
      <c r="E2131" s="117"/>
      <c r="F2131" s="110">
        <f>SUM(F2129:F2130)</f>
        <v>2113125</v>
      </c>
    </row>
    <row r="2132" spans="1:6" x14ac:dyDescent="0.3">
      <c r="A2132" s="111"/>
      <c r="B2132" s="136" t="s">
        <v>808</v>
      </c>
      <c r="C2132" s="115"/>
      <c r="D2132" s="124"/>
      <c r="E2132" s="117"/>
      <c r="F2132" s="110"/>
    </row>
    <row r="2133" spans="1:6" x14ac:dyDescent="0.25">
      <c r="A2133" s="111"/>
      <c r="B2133" s="134" t="s">
        <v>895</v>
      </c>
      <c r="C2133" s="115" t="s">
        <v>772</v>
      </c>
      <c r="D2133" s="124">
        <v>5</v>
      </c>
      <c r="E2133" s="117">
        <v>15000</v>
      </c>
      <c r="F2133" s="117">
        <f>D2133*E2133</f>
        <v>75000</v>
      </c>
    </row>
    <row r="2134" spans="1:6" x14ac:dyDescent="0.25">
      <c r="A2134" s="111"/>
      <c r="B2134" s="134" t="s">
        <v>896</v>
      </c>
      <c r="C2134" s="115" t="s">
        <v>772</v>
      </c>
      <c r="D2134" s="124">
        <v>2.25</v>
      </c>
      <c r="E2134" s="117">
        <v>15000</v>
      </c>
      <c r="F2134" s="117">
        <f>D2134*E2134</f>
        <v>33750</v>
      </c>
    </row>
    <row r="2135" spans="1:6" x14ac:dyDescent="0.3">
      <c r="A2135" s="111"/>
      <c r="B2135" s="136" t="s">
        <v>774</v>
      </c>
      <c r="C2135" s="115"/>
      <c r="D2135" s="124"/>
      <c r="E2135" s="117"/>
      <c r="F2135" s="110">
        <f>SUM(F2133:F2134)</f>
        <v>108750</v>
      </c>
    </row>
    <row r="2136" spans="1:6" x14ac:dyDescent="0.3">
      <c r="A2136" s="111"/>
      <c r="B2136" s="136" t="s">
        <v>775</v>
      </c>
      <c r="C2136" s="115"/>
      <c r="D2136" s="109"/>
      <c r="E2136" s="110"/>
      <c r="F2136" s="110">
        <f>+F2135+F2131</f>
        <v>2221875</v>
      </c>
    </row>
    <row r="2137" spans="1:6" x14ac:dyDescent="0.25">
      <c r="A2137" s="111"/>
      <c r="B2137" s="134" t="s">
        <v>936</v>
      </c>
      <c r="C2137" s="115"/>
      <c r="D2137" s="124">
        <v>1.25</v>
      </c>
      <c r="E2137" s="110"/>
      <c r="F2137" s="117">
        <f>+F2136*D2137</f>
        <v>2777343.75</v>
      </c>
    </row>
    <row r="2138" spans="1:6" x14ac:dyDescent="0.25">
      <c r="A2138" s="111"/>
      <c r="B2138" s="134" t="s">
        <v>835</v>
      </c>
      <c r="C2138" s="115"/>
      <c r="D2138" s="124">
        <v>1.25</v>
      </c>
      <c r="E2138" s="110"/>
      <c r="F2138" s="110"/>
    </row>
    <row r="2139" spans="1:6" x14ac:dyDescent="0.35">
      <c r="A2139" s="261" t="s">
        <v>1136</v>
      </c>
      <c r="B2139" s="242" t="s">
        <v>785</v>
      </c>
      <c r="C2139" s="208" t="s">
        <v>59</v>
      </c>
      <c r="D2139" s="208"/>
      <c r="E2139" s="209"/>
      <c r="F2139" s="209">
        <f>+D2138*F2137</f>
        <v>3471679.6875</v>
      </c>
    </row>
    <row r="2140" spans="1:6" x14ac:dyDescent="0.35">
      <c r="A2140" s="206"/>
      <c r="B2140" s="207"/>
      <c r="C2140" s="208"/>
      <c r="D2140" s="208"/>
      <c r="E2140" s="210">
        <f>+E2122</f>
        <v>3035.45</v>
      </c>
      <c r="F2140" s="210">
        <f>+F2139/E2140</f>
        <v>1143.7117025482219</v>
      </c>
    </row>
    <row r="2141" spans="1:6" ht="12.5" x14ac:dyDescent="0.35">
      <c r="A2141" s="178"/>
      <c r="B2141" s="104"/>
      <c r="C2141" s="104"/>
      <c r="D2141" s="104"/>
      <c r="E2141" s="104"/>
      <c r="F2141" s="104"/>
    </row>
    <row r="2142" spans="1:6" ht="12.5" x14ac:dyDescent="0.35">
      <c r="A2142" s="178"/>
      <c r="B2142" s="104"/>
      <c r="C2142" s="104"/>
      <c r="D2142" s="104"/>
      <c r="E2142" s="104"/>
      <c r="F2142" s="104"/>
    </row>
    <row r="2143" spans="1:6" x14ac:dyDescent="0.3">
      <c r="A2143" s="257" t="s">
        <v>164</v>
      </c>
      <c r="B2143" s="258" t="s">
        <v>165</v>
      </c>
      <c r="C2143" s="200" t="s">
        <v>2</v>
      </c>
      <c r="D2143" s="202" t="s">
        <v>765</v>
      </c>
      <c r="E2143" s="203" t="s">
        <v>766</v>
      </c>
      <c r="F2143" s="203" t="s">
        <v>767</v>
      </c>
    </row>
    <row r="2144" spans="1:6" x14ac:dyDescent="0.3">
      <c r="A2144" s="237" t="s">
        <v>166</v>
      </c>
      <c r="B2144" s="231" t="s">
        <v>167</v>
      </c>
      <c r="C2144" s="256"/>
      <c r="D2144" s="141"/>
      <c r="E2144" s="110"/>
      <c r="F2144" s="110"/>
    </row>
    <row r="2145" spans="1:6" x14ac:dyDescent="0.3">
      <c r="A2145" s="239" t="s">
        <v>1136</v>
      </c>
      <c r="B2145" s="254" t="s">
        <v>902</v>
      </c>
      <c r="C2145" s="256" t="s">
        <v>59</v>
      </c>
      <c r="D2145" s="124"/>
      <c r="E2145" s="117"/>
      <c r="F2145" s="117"/>
    </row>
    <row r="2146" spans="1:6" x14ac:dyDescent="0.35">
      <c r="A2146" s="111"/>
      <c r="B2146" s="112" t="s">
        <v>802</v>
      </c>
      <c r="C2146" s="118"/>
      <c r="D2146" s="118"/>
      <c r="E2146" s="119"/>
      <c r="F2146" s="119"/>
    </row>
    <row r="2147" spans="1:6" x14ac:dyDescent="0.35">
      <c r="A2147" s="107"/>
      <c r="B2147" s="123" t="s">
        <v>893</v>
      </c>
      <c r="C2147" s="124" t="s">
        <v>59</v>
      </c>
      <c r="D2147" s="124">
        <v>17.5</v>
      </c>
      <c r="E2147" s="117">
        <v>105000</v>
      </c>
      <c r="F2147" s="117">
        <f>D2147*E2147</f>
        <v>1837500</v>
      </c>
    </row>
    <row r="2148" spans="1:6" x14ac:dyDescent="0.35">
      <c r="A2148" s="107"/>
      <c r="B2148" s="120" t="s">
        <v>894</v>
      </c>
      <c r="C2148" s="109"/>
      <c r="D2148" s="124"/>
      <c r="E2148" s="117"/>
      <c r="F2148" s="117">
        <f>F2147*0.15</f>
        <v>275625</v>
      </c>
    </row>
    <row r="2149" spans="1:6" x14ac:dyDescent="0.35">
      <c r="A2149" s="107"/>
      <c r="B2149" s="108" t="s">
        <v>769</v>
      </c>
      <c r="C2149" s="109"/>
      <c r="D2149" s="124"/>
      <c r="E2149" s="117"/>
      <c r="F2149" s="110">
        <f>SUM(F2147:F2148)</f>
        <v>2113125</v>
      </c>
    </row>
    <row r="2150" spans="1:6" x14ac:dyDescent="0.3">
      <c r="A2150" s="111"/>
      <c r="B2150" s="136" t="s">
        <v>808</v>
      </c>
      <c r="C2150" s="115"/>
      <c r="D2150" s="124"/>
      <c r="E2150" s="117"/>
      <c r="F2150" s="110"/>
    </row>
    <row r="2151" spans="1:6" x14ac:dyDescent="0.25">
      <c r="A2151" s="111"/>
      <c r="B2151" s="134" t="s">
        <v>895</v>
      </c>
      <c r="C2151" s="115" t="s">
        <v>772</v>
      </c>
      <c r="D2151" s="124">
        <v>5</v>
      </c>
      <c r="E2151" s="117">
        <v>15000</v>
      </c>
      <c r="F2151" s="117">
        <f>D2151*E2151</f>
        <v>75000</v>
      </c>
    </row>
    <row r="2152" spans="1:6" x14ac:dyDescent="0.25">
      <c r="A2152" s="111"/>
      <c r="B2152" s="134" t="s">
        <v>896</v>
      </c>
      <c r="C2152" s="115" t="s">
        <v>772</v>
      </c>
      <c r="D2152" s="124">
        <v>2.5</v>
      </c>
      <c r="E2152" s="117">
        <v>15000</v>
      </c>
      <c r="F2152" s="117">
        <f>D2152*E2152</f>
        <v>37500</v>
      </c>
    </row>
    <row r="2153" spans="1:6" x14ac:dyDescent="0.3">
      <c r="A2153" s="111"/>
      <c r="B2153" s="136" t="s">
        <v>774</v>
      </c>
      <c r="C2153" s="115"/>
      <c r="D2153" s="124"/>
      <c r="E2153" s="117"/>
      <c r="F2153" s="110">
        <f>SUM(F2151:F2152)</f>
        <v>112500</v>
      </c>
    </row>
    <row r="2154" spans="1:6" x14ac:dyDescent="0.3">
      <c r="A2154" s="111"/>
      <c r="B2154" s="136" t="s">
        <v>775</v>
      </c>
      <c r="C2154" s="115"/>
      <c r="D2154" s="109"/>
      <c r="E2154" s="110"/>
      <c r="F2154" s="110">
        <f>+F2153+F2149</f>
        <v>2225625</v>
      </c>
    </row>
    <row r="2155" spans="1:6" x14ac:dyDescent="0.25">
      <c r="A2155" s="111"/>
      <c r="B2155" s="134" t="s">
        <v>936</v>
      </c>
      <c r="C2155" s="115"/>
      <c r="D2155" s="124">
        <v>1.25</v>
      </c>
      <c r="E2155" s="110"/>
      <c r="F2155" s="117">
        <f>+F2154*D2155</f>
        <v>2782031.25</v>
      </c>
    </row>
    <row r="2156" spans="1:6" x14ac:dyDescent="0.25">
      <c r="A2156" s="111"/>
      <c r="B2156" s="134" t="s">
        <v>835</v>
      </c>
      <c r="C2156" s="115"/>
      <c r="D2156" s="124">
        <v>1.25</v>
      </c>
      <c r="E2156" s="110"/>
      <c r="F2156" s="110"/>
    </row>
    <row r="2157" spans="1:6" x14ac:dyDescent="0.35">
      <c r="A2157" s="261" t="s">
        <v>1136</v>
      </c>
      <c r="B2157" s="242" t="s">
        <v>785</v>
      </c>
      <c r="C2157" s="208" t="s">
        <v>59</v>
      </c>
      <c r="D2157" s="208"/>
      <c r="E2157" s="209"/>
      <c r="F2157" s="209">
        <f>+D2156*F2155</f>
        <v>3477539.0625</v>
      </c>
    </row>
    <row r="2158" spans="1:6" x14ac:dyDescent="0.35">
      <c r="A2158" s="206"/>
      <c r="B2158" s="207"/>
      <c r="C2158" s="208"/>
      <c r="D2158" s="208"/>
      <c r="E2158" s="210">
        <f>+E2140</f>
        <v>3035.45</v>
      </c>
      <c r="F2158" s="210">
        <f>+F2157/E2158</f>
        <v>1145.6420176580079</v>
      </c>
    </row>
    <row r="2159" spans="1:6" ht="12.5" x14ac:dyDescent="0.35">
      <c r="A2159" s="178"/>
      <c r="B2159" s="104"/>
      <c r="C2159" s="104"/>
      <c r="D2159" s="104"/>
      <c r="E2159" s="104"/>
      <c r="F2159" s="104"/>
    </row>
    <row r="2160" spans="1:6" ht="12.5" x14ac:dyDescent="0.35">
      <c r="A2160" s="178"/>
      <c r="B2160" s="104"/>
      <c r="C2160" s="104"/>
      <c r="D2160" s="104"/>
      <c r="E2160" s="104"/>
      <c r="F2160" s="104"/>
    </row>
    <row r="2161" spans="1:6" x14ac:dyDescent="0.3">
      <c r="A2161" s="257" t="s">
        <v>164</v>
      </c>
      <c r="B2161" s="258" t="s">
        <v>165</v>
      </c>
      <c r="C2161" s="200" t="s">
        <v>2</v>
      </c>
      <c r="D2161" s="202" t="s">
        <v>765</v>
      </c>
      <c r="E2161" s="203" t="s">
        <v>766</v>
      </c>
      <c r="F2161" s="203" t="s">
        <v>767</v>
      </c>
    </row>
    <row r="2162" spans="1:6" x14ac:dyDescent="0.3">
      <c r="A2162" s="237" t="s">
        <v>166</v>
      </c>
      <c r="B2162" s="231" t="s">
        <v>167</v>
      </c>
      <c r="C2162" s="256"/>
      <c r="D2162" s="141"/>
      <c r="E2162" s="110"/>
      <c r="F2162" s="110"/>
    </row>
    <row r="2163" spans="1:6" x14ac:dyDescent="0.3">
      <c r="A2163" s="239" t="s">
        <v>1139</v>
      </c>
      <c r="B2163" s="254" t="s">
        <v>903</v>
      </c>
      <c r="C2163" s="256" t="s">
        <v>59</v>
      </c>
      <c r="D2163" s="124"/>
      <c r="E2163" s="117"/>
      <c r="F2163" s="117"/>
    </row>
    <row r="2164" spans="1:6" x14ac:dyDescent="0.35">
      <c r="A2164" s="111"/>
      <c r="B2164" s="112" t="s">
        <v>802</v>
      </c>
      <c r="C2164" s="118"/>
      <c r="D2164" s="118"/>
      <c r="E2164" s="119"/>
      <c r="F2164" s="119"/>
    </row>
    <row r="2165" spans="1:6" x14ac:dyDescent="0.35">
      <c r="A2165" s="107"/>
      <c r="B2165" s="123" t="s">
        <v>893</v>
      </c>
      <c r="C2165" s="124" t="s">
        <v>59</v>
      </c>
      <c r="D2165" s="124">
        <v>18</v>
      </c>
      <c r="E2165" s="117">
        <v>105000</v>
      </c>
      <c r="F2165" s="117">
        <f>D2165*E2165</f>
        <v>1890000</v>
      </c>
    </row>
    <row r="2166" spans="1:6" x14ac:dyDescent="0.35">
      <c r="A2166" s="107"/>
      <c r="B2166" s="120" t="s">
        <v>894</v>
      </c>
      <c r="C2166" s="109"/>
      <c r="D2166" s="124"/>
      <c r="E2166" s="117"/>
      <c r="F2166" s="117">
        <f>F2165*0.15</f>
        <v>283500</v>
      </c>
    </row>
    <row r="2167" spans="1:6" x14ac:dyDescent="0.35">
      <c r="A2167" s="107"/>
      <c r="B2167" s="108" t="s">
        <v>769</v>
      </c>
      <c r="C2167" s="109"/>
      <c r="D2167" s="124"/>
      <c r="E2167" s="117"/>
      <c r="F2167" s="110">
        <f>SUM(F2165:F2166)</f>
        <v>2173500</v>
      </c>
    </row>
    <row r="2168" spans="1:6" x14ac:dyDescent="0.3">
      <c r="A2168" s="111"/>
      <c r="B2168" s="136" t="s">
        <v>808</v>
      </c>
      <c r="C2168" s="115"/>
      <c r="D2168" s="124"/>
      <c r="E2168" s="117"/>
      <c r="F2168" s="110"/>
    </row>
    <row r="2169" spans="1:6" x14ac:dyDescent="0.25">
      <c r="A2169" s="111"/>
      <c r="B2169" s="134" t="s">
        <v>895</v>
      </c>
      <c r="C2169" s="115" t="s">
        <v>772</v>
      </c>
      <c r="D2169" s="124">
        <v>6</v>
      </c>
      <c r="E2169" s="117">
        <v>15000</v>
      </c>
      <c r="F2169" s="117">
        <f>D2169*E2169</f>
        <v>90000</v>
      </c>
    </row>
    <row r="2170" spans="1:6" x14ac:dyDescent="0.25">
      <c r="A2170" s="111"/>
      <c r="B2170" s="134" t="s">
        <v>896</v>
      </c>
      <c r="C2170" s="115" t="s">
        <v>772</v>
      </c>
      <c r="D2170" s="124">
        <v>6</v>
      </c>
      <c r="E2170" s="117">
        <v>15000</v>
      </c>
      <c r="F2170" s="117">
        <f>D2170*E2170</f>
        <v>90000</v>
      </c>
    </row>
    <row r="2171" spans="1:6" x14ac:dyDescent="0.3">
      <c r="A2171" s="111"/>
      <c r="B2171" s="136" t="s">
        <v>774</v>
      </c>
      <c r="C2171" s="115"/>
      <c r="D2171" s="124"/>
      <c r="E2171" s="117"/>
      <c r="F2171" s="110">
        <f>SUM(F2169:F2170)</f>
        <v>180000</v>
      </c>
    </row>
    <row r="2172" spans="1:6" x14ac:dyDescent="0.3">
      <c r="A2172" s="111"/>
      <c r="B2172" s="136" t="s">
        <v>775</v>
      </c>
      <c r="C2172" s="115"/>
      <c r="D2172" s="109"/>
      <c r="E2172" s="110"/>
      <c r="F2172" s="110">
        <f>+F2171+F2167</f>
        <v>2353500</v>
      </c>
    </row>
    <row r="2173" spans="1:6" x14ac:dyDescent="0.25">
      <c r="A2173" s="111"/>
      <c r="B2173" s="134" t="s">
        <v>936</v>
      </c>
      <c r="C2173" s="115"/>
      <c r="D2173" s="124">
        <v>1.25</v>
      </c>
      <c r="E2173" s="110"/>
      <c r="F2173" s="117">
        <f>+F2172*D2173</f>
        <v>2941875</v>
      </c>
    </row>
    <row r="2174" spans="1:6" x14ac:dyDescent="0.25">
      <c r="A2174" s="111"/>
      <c r="B2174" s="134" t="s">
        <v>835</v>
      </c>
      <c r="C2174" s="115"/>
      <c r="D2174" s="124">
        <v>1.25</v>
      </c>
      <c r="E2174" s="110"/>
      <c r="F2174" s="110"/>
    </row>
    <row r="2175" spans="1:6" x14ac:dyDescent="0.35">
      <c r="A2175" s="261" t="s">
        <v>1139</v>
      </c>
      <c r="B2175" s="242" t="s">
        <v>785</v>
      </c>
      <c r="C2175" s="208" t="s">
        <v>59</v>
      </c>
      <c r="D2175" s="208"/>
      <c r="E2175" s="209"/>
      <c r="F2175" s="209">
        <f>+D2174*F2173</f>
        <v>3677343.75</v>
      </c>
    </row>
    <row r="2176" spans="1:6" x14ac:dyDescent="0.35">
      <c r="A2176" s="206"/>
      <c r="B2176" s="207"/>
      <c r="C2176" s="208"/>
      <c r="D2176" s="208"/>
      <c r="E2176" s="210">
        <f>+E2158</f>
        <v>3035.45</v>
      </c>
      <c r="F2176" s="210">
        <f>+F2175/E2176</f>
        <v>1211.4657629017115</v>
      </c>
    </row>
    <row r="2177" spans="1:6" ht="12.5" x14ac:dyDescent="0.35">
      <c r="A2177" s="178"/>
      <c r="B2177" s="104"/>
      <c r="C2177" s="104"/>
      <c r="D2177" s="104"/>
      <c r="E2177" s="104"/>
      <c r="F2177" s="104"/>
    </row>
    <row r="2178" spans="1:6" ht="12.5" x14ac:dyDescent="0.35">
      <c r="A2178" s="178"/>
      <c r="B2178" s="104"/>
      <c r="C2178" s="104"/>
      <c r="D2178" s="104"/>
      <c r="E2178" s="104"/>
      <c r="F2178" s="104"/>
    </row>
    <row r="2179" spans="1:6" x14ac:dyDescent="0.3">
      <c r="A2179" s="257" t="s">
        <v>164</v>
      </c>
      <c r="B2179" s="258" t="s">
        <v>165</v>
      </c>
      <c r="C2179" s="200" t="s">
        <v>2</v>
      </c>
      <c r="D2179" s="202" t="s">
        <v>765</v>
      </c>
      <c r="E2179" s="203" t="s">
        <v>766</v>
      </c>
      <c r="F2179" s="203" t="s">
        <v>767</v>
      </c>
    </row>
    <row r="2180" spans="1:6" x14ac:dyDescent="0.3">
      <c r="A2180" s="237" t="s">
        <v>166</v>
      </c>
      <c r="B2180" s="231" t="s">
        <v>167</v>
      </c>
      <c r="C2180" s="256"/>
      <c r="D2180" s="141"/>
      <c r="E2180" s="110"/>
      <c r="F2180" s="110"/>
    </row>
    <row r="2181" spans="1:6" x14ac:dyDescent="0.3">
      <c r="A2181" s="239" t="s">
        <v>1140</v>
      </c>
      <c r="B2181" s="254" t="s">
        <v>904</v>
      </c>
      <c r="C2181" s="256" t="s">
        <v>59</v>
      </c>
      <c r="D2181" s="124"/>
      <c r="E2181" s="117"/>
      <c r="F2181" s="117"/>
    </row>
    <row r="2182" spans="1:6" x14ac:dyDescent="0.35">
      <c r="A2182" s="111"/>
      <c r="B2182" s="112" t="s">
        <v>802</v>
      </c>
      <c r="C2182" s="118"/>
      <c r="D2182" s="118"/>
      <c r="E2182" s="119"/>
      <c r="F2182" s="119"/>
    </row>
    <row r="2183" spans="1:6" x14ac:dyDescent="0.35">
      <c r="A2183" s="107"/>
      <c r="B2183" s="123" t="s">
        <v>893</v>
      </c>
      <c r="C2183" s="124" t="s">
        <v>59</v>
      </c>
      <c r="D2183" s="124">
        <v>18.2</v>
      </c>
      <c r="E2183" s="117">
        <v>105000</v>
      </c>
      <c r="F2183" s="117">
        <f>D2183*E2183</f>
        <v>1911000</v>
      </c>
    </row>
    <row r="2184" spans="1:6" x14ac:dyDescent="0.35">
      <c r="A2184" s="107"/>
      <c r="B2184" s="120" t="s">
        <v>894</v>
      </c>
      <c r="C2184" s="109"/>
      <c r="D2184" s="124"/>
      <c r="E2184" s="117"/>
      <c r="F2184" s="117">
        <f>F2183*0.15</f>
        <v>286650</v>
      </c>
    </row>
    <row r="2185" spans="1:6" x14ac:dyDescent="0.35">
      <c r="A2185" s="107"/>
      <c r="B2185" s="108" t="s">
        <v>769</v>
      </c>
      <c r="C2185" s="109"/>
      <c r="D2185" s="124"/>
      <c r="E2185" s="117"/>
      <c r="F2185" s="110">
        <f>SUM(F2183:F2184)</f>
        <v>2197650</v>
      </c>
    </row>
    <row r="2186" spans="1:6" x14ac:dyDescent="0.3">
      <c r="A2186" s="111"/>
      <c r="B2186" s="136" t="s">
        <v>808</v>
      </c>
      <c r="C2186" s="115"/>
      <c r="D2186" s="124"/>
      <c r="E2186" s="117"/>
      <c r="F2186" s="110"/>
    </row>
    <row r="2187" spans="1:6" x14ac:dyDescent="0.25">
      <c r="A2187" s="111"/>
      <c r="B2187" s="134" t="s">
        <v>895</v>
      </c>
      <c r="C2187" s="115" t="s">
        <v>772</v>
      </c>
      <c r="D2187" s="124">
        <v>6</v>
      </c>
      <c r="E2187" s="117">
        <v>15000</v>
      </c>
      <c r="F2187" s="117">
        <f>D2187*E2187</f>
        <v>90000</v>
      </c>
    </row>
    <row r="2188" spans="1:6" x14ac:dyDescent="0.25">
      <c r="A2188" s="111"/>
      <c r="B2188" s="134" t="s">
        <v>896</v>
      </c>
      <c r="C2188" s="115" t="s">
        <v>772</v>
      </c>
      <c r="D2188" s="124">
        <v>6</v>
      </c>
      <c r="E2188" s="117">
        <v>15000</v>
      </c>
      <c r="F2188" s="117">
        <f>D2188*E2188</f>
        <v>90000</v>
      </c>
    </row>
    <row r="2189" spans="1:6" x14ac:dyDescent="0.3">
      <c r="A2189" s="111"/>
      <c r="B2189" s="136" t="s">
        <v>774</v>
      </c>
      <c r="C2189" s="115"/>
      <c r="D2189" s="124"/>
      <c r="E2189" s="117"/>
      <c r="F2189" s="110">
        <f>SUM(F2187:F2188)</f>
        <v>180000</v>
      </c>
    </row>
    <row r="2190" spans="1:6" x14ac:dyDescent="0.3">
      <c r="A2190" s="111"/>
      <c r="B2190" s="136" t="s">
        <v>775</v>
      </c>
      <c r="C2190" s="115"/>
      <c r="D2190" s="109"/>
      <c r="E2190" s="110"/>
      <c r="F2190" s="110">
        <f>+F2189+F2185</f>
        <v>2377650</v>
      </c>
    </row>
    <row r="2191" spans="1:6" x14ac:dyDescent="0.25">
      <c r="A2191" s="111"/>
      <c r="B2191" s="134" t="s">
        <v>936</v>
      </c>
      <c r="C2191" s="115"/>
      <c r="D2191" s="124">
        <v>1.25</v>
      </c>
      <c r="E2191" s="110"/>
      <c r="F2191" s="117">
        <f>+F2190*D2191</f>
        <v>2972062.5</v>
      </c>
    </row>
    <row r="2192" spans="1:6" x14ac:dyDescent="0.25">
      <c r="A2192" s="111"/>
      <c r="B2192" s="134" t="s">
        <v>835</v>
      </c>
      <c r="C2192" s="115"/>
      <c r="D2192" s="124">
        <v>1.25</v>
      </c>
      <c r="E2192" s="110"/>
      <c r="F2192" s="110"/>
    </row>
    <row r="2193" spans="1:6" x14ac:dyDescent="0.35">
      <c r="A2193" s="261" t="s">
        <v>1140</v>
      </c>
      <c r="B2193" s="242" t="s">
        <v>785</v>
      </c>
      <c r="C2193" s="208" t="s">
        <v>59</v>
      </c>
      <c r="D2193" s="208"/>
      <c r="E2193" s="209"/>
      <c r="F2193" s="209">
        <f>+D2192*F2191</f>
        <v>3715078.125</v>
      </c>
    </row>
    <row r="2194" spans="1:6" x14ac:dyDescent="0.35">
      <c r="A2194" s="206"/>
      <c r="B2194" s="207"/>
      <c r="C2194" s="208"/>
      <c r="D2194" s="208"/>
      <c r="E2194" s="210">
        <f>+E2176</f>
        <v>3035.45</v>
      </c>
      <c r="F2194" s="210">
        <f>+F2193/E2194</f>
        <v>1223.8969922087335</v>
      </c>
    </row>
    <row r="2195" spans="1:6" ht="12.5" x14ac:dyDescent="0.35">
      <c r="A2195" s="178"/>
      <c r="B2195" s="104"/>
      <c r="C2195" s="104"/>
      <c r="D2195" s="104"/>
      <c r="E2195" s="104"/>
      <c r="F2195" s="104"/>
    </row>
    <row r="2196" spans="1:6" ht="12.5" x14ac:dyDescent="0.35">
      <c r="A2196" s="178"/>
      <c r="B2196" s="104"/>
      <c r="C2196" s="104"/>
      <c r="D2196" s="104"/>
      <c r="E2196" s="104"/>
      <c r="F2196" s="104"/>
    </row>
    <row r="2197" spans="1:6" x14ac:dyDescent="0.3">
      <c r="A2197" s="257" t="s">
        <v>164</v>
      </c>
      <c r="B2197" s="258" t="s">
        <v>165</v>
      </c>
      <c r="C2197" s="200" t="s">
        <v>2</v>
      </c>
      <c r="D2197" s="202" t="s">
        <v>765</v>
      </c>
      <c r="E2197" s="203" t="s">
        <v>766</v>
      </c>
      <c r="F2197" s="203" t="s">
        <v>767</v>
      </c>
    </row>
    <row r="2198" spans="1:6" x14ac:dyDescent="0.3">
      <c r="A2198" s="237" t="s">
        <v>166</v>
      </c>
      <c r="B2198" s="231" t="s">
        <v>167</v>
      </c>
      <c r="C2198" s="256"/>
      <c r="D2198" s="141"/>
      <c r="E2198" s="110"/>
      <c r="F2198" s="110"/>
    </row>
    <row r="2199" spans="1:6" x14ac:dyDescent="0.3">
      <c r="A2199" s="239" t="s">
        <v>1141</v>
      </c>
      <c r="B2199" s="254" t="s">
        <v>905</v>
      </c>
      <c r="C2199" s="256" t="s">
        <v>27</v>
      </c>
      <c r="D2199" s="124"/>
      <c r="E2199" s="117"/>
      <c r="F2199" s="117"/>
    </row>
    <row r="2200" spans="1:6" x14ac:dyDescent="0.35">
      <c r="A2200" s="111"/>
      <c r="B2200" s="112" t="s">
        <v>802</v>
      </c>
      <c r="C2200" s="118"/>
      <c r="D2200" s="118"/>
      <c r="E2200" s="119"/>
      <c r="F2200" s="119"/>
    </row>
    <row r="2201" spans="1:6" x14ac:dyDescent="0.35">
      <c r="A2201" s="107"/>
      <c r="B2201" s="123" t="s">
        <v>893</v>
      </c>
      <c r="C2201" s="124" t="s">
        <v>27</v>
      </c>
      <c r="D2201" s="124">
        <v>1</v>
      </c>
      <c r="E2201" s="117">
        <f>105000/6</f>
        <v>17500</v>
      </c>
      <c r="F2201" s="117">
        <f>D2201*E2201</f>
        <v>17500</v>
      </c>
    </row>
    <row r="2202" spans="1:6" x14ac:dyDescent="0.35">
      <c r="A2202" s="107"/>
      <c r="B2202" s="120" t="s">
        <v>894</v>
      </c>
      <c r="C2202" s="109"/>
      <c r="D2202" s="124"/>
      <c r="E2202" s="117"/>
      <c r="F2202" s="117">
        <f>F2201*0.15</f>
        <v>2625</v>
      </c>
    </row>
    <row r="2203" spans="1:6" x14ac:dyDescent="0.35">
      <c r="A2203" s="107"/>
      <c r="B2203" s="108" t="s">
        <v>769</v>
      </c>
      <c r="C2203" s="109"/>
      <c r="D2203" s="124"/>
      <c r="E2203" s="117"/>
      <c r="F2203" s="110">
        <f>SUM(F2201:F2202)</f>
        <v>20125</v>
      </c>
    </row>
    <row r="2204" spans="1:6" x14ac:dyDescent="0.3">
      <c r="A2204" s="111"/>
      <c r="B2204" s="136" t="s">
        <v>808</v>
      </c>
      <c r="C2204" s="115"/>
      <c r="D2204" s="124"/>
      <c r="E2204" s="117"/>
      <c r="F2204" s="110"/>
    </row>
    <row r="2205" spans="1:6" x14ac:dyDescent="0.25">
      <c r="A2205" s="111"/>
      <c r="B2205" s="134" t="s">
        <v>895</v>
      </c>
      <c r="C2205" s="115" t="s">
        <v>772</v>
      </c>
      <c r="D2205" s="124">
        <v>0.15</v>
      </c>
      <c r="E2205" s="117">
        <v>15000</v>
      </c>
      <c r="F2205" s="117">
        <f>D2205*E2205</f>
        <v>2250</v>
      </c>
    </row>
    <row r="2206" spans="1:6" x14ac:dyDescent="0.25">
      <c r="A2206" s="111"/>
      <c r="B2206" s="134" t="s">
        <v>896</v>
      </c>
      <c r="C2206" s="115" t="s">
        <v>772</v>
      </c>
      <c r="D2206" s="124">
        <v>0.15</v>
      </c>
      <c r="E2206" s="117">
        <v>15000</v>
      </c>
      <c r="F2206" s="117">
        <f>D2206*E2206</f>
        <v>2250</v>
      </c>
    </row>
    <row r="2207" spans="1:6" x14ac:dyDescent="0.3">
      <c r="A2207" s="111"/>
      <c r="B2207" s="136" t="s">
        <v>774</v>
      </c>
      <c r="C2207" s="115"/>
      <c r="D2207" s="124"/>
      <c r="E2207" s="117"/>
      <c r="F2207" s="110">
        <f>SUM(F2205:F2206)</f>
        <v>4500</v>
      </c>
    </row>
    <row r="2208" spans="1:6" x14ac:dyDescent="0.3">
      <c r="A2208" s="111"/>
      <c r="B2208" s="136" t="s">
        <v>775</v>
      </c>
      <c r="C2208" s="115"/>
      <c r="D2208" s="109"/>
      <c r="E2208" s="110"/>
      <c r="F2208" s="110">
        <f>+F2207+F2203</f>
        <v>24625</v>
      </c>
    </row>
    <row r="2209" spans="1:6" x14ac:dyDescent="0.25">
      <c r="A2209" s="111"/>
      <c r="B2209" s="134" t="s">
        <v>812</v>
      </c>
      <c r="C2209" s="115"/>
      <c r="D2209" s="124">
        <v>1.1499999999999999</v>
      </c>
      <c r="E2209" s="110"/>
      <c r="F2209" s="117">
        <f>+F2208*D2209</f>
        <v>28318.749999999996</v>
      </c>
    </row>
    <row r="2210" spans="1:6" x14ac:dyDescent="0.25">
      <c r="A2210" s="111"/>
      <c r="B2210" s="134" t="s">
        <v>813</v>
      </c>
      <c r="C2210" s="115"/>
      <c r="D2210" s="124">
        <v>1.1499999999999999</v>
      </c>
      <c r="E2210" s="110"/>
      <c r="F2210" s="110"/>
    </row>
    <row r="2211" spans="1:6" x14ac:dyDescent="0.35">
      <c r="A2211" s="206" t="s">
        <v>1141</v>
      </c>
      <c r="B2211" s="242" t="s">
        <v>784</v>
      </c>
      <c r="C2211" s="208" t="s">
        <v>27</v>
      </c>
      <c r="D2211" s="208"/>
      <c r="E2211" s="209"/>
      <c r="F2211" s="209">
        <f>+D2210*F2209</f>
        <v>32566.562499999993</v>
      </c>
    </row>
    <row r="2212" spans="1:6" x14ac:dyDescent="0.35">
      <c r="A2212" s="206"/>
      <c r="B2212" s="207"/>
      <c r="C2212" s="208"/>
      <c r="D2212" s="208"/>
      <c r="E2212" s="210">
        <f>+E2194</f>
        <v>3035.45</v>
      </c>
      <c r="F2212" s="210">
        <f>+F2211/E2212</f>
        <v>10.728742855260339</v>
      </c>
    </row>
    <row r="2213" spans="1:6" x14ac:dyDescent="0.35">
      <c r="A2213" s="126"/>
      <c r="B2213" s="127"/>
      <c r="C2213" s="128"/>
      <c r="D2213" s="128"/>
      <c r="E2213" s="129"/>
      <c r="F2213" s="129"/>
    </row>
    <row r="2214" spans="1:6" x14ac:dyDescent="0.35">
      <c r="A2214" s="105"/>
      <c r="B2214" s="106"/>
      <c r="C2214" s="101"/>
      <c r="D2214" s="101"/>
      <c r="E2214" s="102"/>
      <c r="F2214" s="102"/>
    </row>
    <row r="2215" spans="1:6" x14ac:dyDescent="0.3">
      <c r="A2215" s="257" t="s">
        <v>164</v>
      </c>
      <c r="B2215" s="258" t="s">
        <v>165</v>
      </c>
      <c r="C2215" s="200" t="s">
        <v>2</v>
      </c>
      <c r="D2215" s="202" t="s">
        <v>765</v>
      </c>
      <c r="E2215" s="203" t="s">
        <v>766</v>
      </c>
      <c r="F2215" s="203" t="s">
        <v>767</v>
      </c>
    </row>
    <row r="2216" spans="1:6" x14ac:dyDescent="0.3">
      <c r="A2216" s="237" t="s">
        <v>166</v>
      </c>
      <c r="B2216" s="231" t="s">
        <v>167</v>
      </c>
      <c r="C2216" s="256"/>
      <c r="D2216" s="141"/>
      <c r="E2216" s="110"/>
      <c r="F2216" s="110"/>
    </row>
    <row r="2217" spans="1:6" x14ac:dyDescent="0.3">
      <c r="A2217" s="239" t="s">
        <v>1142</v>
      </c>
      <c r="B2217" s="254" t="s">
        <v>906</v>
      </c>
      <c r="C2217" s="256" t="s">
        <v>59</v>
      </c>
      <c r="D2217" s="124"/>
      <c r="E2217" s="117"/>
      <c r="F2217" s="117"/>
    </row>
    <row r="2218" spans="1:6" x14ac:dyDescent="0.35">
      <c r="A2218" s="111"/>
      <c r="B2218" s="112" t="s">
        <v>802</v>
      </c>
      <c r="C2218" s="118"/>
      <c r="D2218" s="118"/>
      <c r="E2218" s="119"/>
      <c r="F2218" s="119"/>
    </row>
    <row r="2219" spans="1:6" x14ac:dyDescent="0.35">
      <c r="A2219" s="107"/>
      <c r="B2219" s="123" t="s">
        <v>907</v>
      </c>
      <c r="C2219" s="124" t="s">
        <v>27</v>
      </c>
      <c r="D2219" s="124">
        <v>1</v>
      </c>
      <c r="E2219" s="117">
        <f>90000/6</f>
        <v>15000</v>
      </c>
      <c r="F2219" s="117">
        <f>D2219*E2219</f>
        <v>15000</v>
      </c>
    </row>
    <row r="2220" spans="1:6" x14ac:dyDescent="0.35">
      <c r="A2220" s="107"/>
      <c r="B2220" s="120" t="s">
        <v>894</v>
      </c>
      <c r="C2220" s="109"/>
      <c r="D2220" s="124"/>
      <c r="E2220" s="117"/>
      <c r="F2220" s="117">
        <f>F2219*0.15</f>
        <v>2250</v>
      </c>
    </row>
    <row r="2221" spans="1:6" x14ac:dyDescent="0.35">
      <c r="A2221" s="107"/>
      <c r="B2221" s="108" t="s">
        <v>769</v>
      </c>
      <c r="C2221" s="109"/>
      <c r="D2221" s="124"/>
      <c r="E2221" s="117"/>
      <c r="F2221" s="110">
        <f>SUM(F2219:F2220)</f>
        <v>17250</v>
      </c>
    </row>
    <row r="2222" spans="1:6" x14ac:dyDescent="0.3">
      <c r="A2222" s="111"/>
      <c r="B2222" s="136" t="s">
        <v>808</v>
      </c>
      <c r="C2222" s="115"/>
      <c r="D2222" s="124"/>
      <c r="E2222" s="117"/>
      <c r="F2222" s="110"/>
    </row>
    <row r="2223" spans="1:6" x14ac:dyDescent="0.25">
      <c r="A2223" s="111"/>
      <c r="B2223" s="134" t="s">
        <v>895</v>
      </c>
      <c r="C2223" s="115" t="s">
        <v>772</v>
      </c>
      <c r="D2223" s="124">
        <v>0.15</v>
      </c>
      <c r="E2223" s="117">
        <v>15000</v>
      </c>
      <c r="F2223" s="117">
        <f>D2223*E2223</f>
        <v>2250</v>
      </c>
    </row>
    <row r="2224" spans="1:6" x14ac:dyDescent="0.25">
      <c r="A2224" s="111"/>
      <c r="B2224" s="134" t="s">
        <v>896</v>
      </c>
      <c r="C2224" s="115" t="s">
        <v>772</v>
      </c>
      <c r="D2224" s="124">
        <v>0.15</v>
      </c>
      <c r="E2224" s="117">
        <v>15000</v>
      </c>
      <c r="F2224" s="117">
        <f>D2224*E2224</f>
        <v>2250</v>
      </c>
    </row>
    <row r="2225" spans="1:6" x14ac:dyDescent="0.3">
      <c r="A2225" s="111"/>
      <c r="B2225" s="136" t="s">
        <v>774</v>
      </c>
      <c r="C2225" s="115"/>
      <c r="D2225" s="124"/>
      <c r="E2225" s="117"/>
      <c r="F2225" s="110">
        <f>SUM(F2223:F2224)</f>
        <v>4500</v>
      </c>
    </row>
    <row r="2226" spans="1:6" x14ac:dyDescent="0.3">
      <c r="A2226" s="111"/>
      <c r="B2226" s="136" t="s">
        <v>775</v>
      </c>
      <c r="C2226" s="115"/>
      <c r="D2226" s="109"/>
      <c r="E2226" s="110"/>
      <c r="F2226" s="110">
        <f>+F2225+F2221</f>
        <v>21750</v>
      </c>
    </row>
    <row r="2227" spans="1:6" x14ac:dyDescent="0.25">
      <c r="A2227" s="111"/>
      <c r="B2227" s="134" t="s">
        <v>824</v>
      </c>
      <c r="C2227" s="115"/>
      <c r="D2227" s="124">
        <v>1.1000000000000001</v>
      </c>
      <c r="E2227" s="110"/>
      <c r="F2227" s="117">
        <f>+F2226*D2227</f>
        <v>23925.000000000004</v>
      </c>
    </row>
    <row r="2228" spans="1:6" x14ac:dyDescent="0.25">
      <c r="A2228" s="111"/>
      <c r="B2228" s="134" t="s">
        <v>825</v>
      </c>
      <c r="C2228" s="115"/>
      <c r="D2228" s="124">
        <v>1.1000000000000001</v>
      </c>
      <c r="E2228" s="110"/>
      <c r="F2228" s="110"/>
    </row>
    <row r="2229" spans="1:6" x14ac:dyDescent="0.35">
      <c r="A2229" s="261" t="s">
        <v>1142</v>
      </c>
      <c r="B2229" s="242" t="s">
        <v>785</v>
      </c>
      <c r="C2229" s="208" t="s">
        <v>27</v>
      </c>
      <c r="D2229" s="208"/>
      <c r="E2229" s="209"/>
      <c r="F2229" s="209">
        <f>+D2228*F2227</f>
        <v>26317.500000000007</v>
      </c>
    </row>
    <row r="2230" spans="1:6" x14ac:dyDescent="0.35">
      <c r="A2230" s="206"/>
      <c r="B2230" s="207"/>
      <c r="C2230" s="208"/>
      <c r="D2230" s="208"/>
      <c r="E2230" s="210">
        <f>+E2212</f>
        <v>3035.45</v>
      </c>
      <c r="F2230" s="210">
        <f>+F2229/E2230</f>
        <v>8.6700489219061456</v>
      </c>
    </row>
    <row r="2231" spans="1:6" x14ac:dyDescent="0.35">
      <c r="A2231" s="126"/>
      <c r="B2231" s="127"/>
      <c r="C2231" s="128"/>
      <c r="D2231" s="128"/>
      <c r="E2231" s="129"/>
      <c r="F2231" s="129"/>
    </row>
    <row r="2232" spans="1:6" x14ac:dyDescent="0.35">
      <c r="A2232" s="105"/>
      <c r="B2232" s="106"/>
      <c r="C2232" s="101"/>
      <c r="D2232" s="101"/>
      <c r="E2232" s="102"/>
      <c r="F2232" s="102"/>
    </row>
    <row r="2233" spans="1:6" x14ac:dyDescent="0.3">
      <c r="A2233" s="257" t="s">
        <v>164</v>
      </c>
      <c r="B2233" s="258" t="s">
        <v>165</v>
      </c>
      <c r="C2233" s="200" t="s">
        <v>2</v>
      </c>
      <c r="D2233" s="202" t="s">
        <v>765</v>
      </c>
      <c r="E2233" s="203" t="s">
        <v>766</v>
      </c>
      <c r="F2233" s="203" t="s">
        <v>767</v>
      </c>
    </row>
    <row r="2234" spans="1:6" x14ac:dyDescent="0.3">
      <c r="A2234" s="237" t="s">
        <v>166</v>
      </c>
      <c r="B2234" s="231" t="s">
        <v>167</v>
      </c>
      <c r="C2234" s="256"/>
      <c r="D2234" s="141"/>
      <c r="E2234" s="110"/>
      <c r="F2234" s="110"/>
    </row>
    <row r="2235" spans="1:6" x14ac:dyDescent="0.35">
      <c r="A2235" s="239" t="s">
        <v>1143</v>
      </c>
      <c r="B2235" s="214" t="s">
        <v>1144</v>
      </c>
      <c r="C2235" s="256" t="s">
        <v>27</v>
      </c>
      <c r="D2235" s="124"/>
      <c r="E2235" s="117"/>
      <c r="F2235" s="117"/>
    </row>
    <row r="2236" spans="1:6" x14ac:dyDescent="0.35">
      <c r="A2236" s="111"/>
      <c r="B2236" s="112" t="s">
        <v>802</v>
      </c>
      <c r="C2236" s="118"/>
      <c r="D2236" s="118"/>
      <c r="E2236" s="119"/>
      <c r="F2236" s="119"/>
    </row>
    <row r="2237" spans="1:6" x14ac:dyDescent="0.25">
      <c r="A2237" s="107"/>
      <c r="B2237" s="263" t="s">
        <v>921</v>
      </c>
      <c r="C2237" s="124" t="s">
        <v>59</v>
      </c>
      <c r="D2237" s="124">
        <v>0.17</v>
      </c>
      <c r="E2237" s="117">
        <v>90000</v>
      </c>
      <c r="F2237" s="117">
        <f>D2237*E2237</f>
        <v>15300.000000000002</v>
      </c>
    </row>
    <row r="2238" spans="1:6" x14ac:dyDescent="0.35">
      <c r="A2238" s="107"/>
      <c r="B2238" s="108" t="s">
        <v>769</v>
      </c>
      <c r="C2238" s="109"/>
      <c r="D2238" s="124"/>
      <c r="E2238" s="117"/>
      <c r="F2238" s="110">
        <f>SUM(F2237:F2237)</f>
        <v>15300.000000000002</v>
      </c>
    </row>
    <row r="2239" spans="1:6" x14ac:dyDescent="0.3">
      <c r="A2239" s="111"/>
      <c r="B2239" s="136" t="s">
        <v>808</v>
      </c>
      <c r="C2239" s="115"/>
      <c r="D2239" s="124"/>
      <c r="E2239" s="117"/>
      <c r="F2239" s="110"/>
    </row>
    <row r="2240" spans="1:6" x14ac:dyDescent="0.25">
      <c r="A2240" s="111"/>
      <c r="B2240" s="134" t="s">
        <v>895</v>
      </c>
      <c r="C2240" s="115" t="s">
        <v>772</v>
      </c>
      <c r="D2240" s="124">
        <v>1.25</v>
      </c>
      <c r="E2240" s="117">
        <v>15000</v>
      </c>
      <c r="F2240" s="110">
        <f>+D2240*E2240</f>
        <v>18750</v>
      </c>
    </row>
    <row r="2241" spans="1:6" x14ac:dyDescent="0.25">
      <c r="A2241" s="111"/>
      <c r="B2241" s="134" t="s">
        <v>896</v>
      </c>
      <c r="C2241" s="115" t="s">
        <v>772</v>
      </c>
      <c r="D2241" s="124">
        <v>1.25</v>
      </c>
      <c r="E2241" s="117">
        <v>15000</v>
      </c>
      <c r="F2241" s="110">
        <f>+D2241*E2241</f>
        <v>18750</v>
      </c>
    </row>
    <row r="2242" spans="1:6" x14ac:dyDescent="0.3">
      <c r="A2242" s="111"/>
      <c r="B2242" s="136" t="s">
        <v>774</v>
      </c>
      <c r="C2242" s="115"/>
      <c r="D2242" s="124"/>
      <c r="E2242" s="117"/>
      <c r="F2242" s="110">
        <f>SUM(F2240:F2241)</f>
        <v>37500</v>
      </c>
    </row>
    <row r="2243" spans="1:6" x14ac:dyDescent="0.3">
      <c r="A2243" s="111"/>
      <c r="B2243" s="136" t="s">
        <v>775</v>
      </c>
      <c r="C2243" s="115"/>
      <c r="D2243" s="109"/>
      <c r="E2243" s="110"/>
      <c r="F2243" s="110">
        <f>+F2242+F2238</f>
        <v>52800</v>
      </c>
    </row>
    <row r="2244" spans="1:6" x14ac:dyDescent="0.25">
      <c r="A2244" s="111"/>
      <c r="B2244" s="134" t="s">
        <v>824</v>
      </c>
      <c r="C2244" s="115"/>
      <c r="D2244" s="124">
        <v>1.1000000000000001</v>
      </c>
      <c r="E2244" s="110"/>
      <c r="F2244" s="117">
        <f>+F2243*D2244</f>
        <v>58080.000000000007</v>
      </c>
    </row>
    <row r="2245" spans="1:6" x14ac:dyDescent="0.25">
      <c r="A2245" s="111"/>
      <c r="B2245" s="134" t="s">
        <v>825</v>
      </c>
      <c r="C2245" s="115"/>
      <c r="D2245" s="124">
        <v>1.1000000000000001</v>
      </c>
      <c r="E2245" s="110"/>
      <c r="F2245" s="110"/>
    </row>
    <row r="2246" spans="1:6" x14ac:dyDescent="0.35">
      <c r="A2246" s="264" t="s">
        <v>1143</v>
      </c>
      <c r="B2246" s="242" t="s">
        <v>784</v>
      </c>
      <c r="C2246" s="208" t="s">
        <v>27</v>
      </c>
      <c r="D2246" s="208"/>
      <c r="E2246" s="209"/>
      <c r="F2246" s="209">
        <f>+D2245*F2244</f>
        <v>63888.000000000015</v>
      </c>
    </row>
    <row r="2247" spans="1:6" x14ac:dyDescent="0.35">
      <c r="A2247" s="206"/>
      <c r="B2247" s="207"/>
      <c r="C2247" s="208"/>
      <c r="D2247" s="208"/>
      <c r="E2247" s="210">
        <f>+E2230</f>
        <v>3035.45</v>
      </c>
      <c r="F2247" s="210">
        <f>+F2246/E2247</f>
        <v>21.047291175937676</v>
      </c>
    </row>
    <row r="2248" spans="1:6" x14ac:dyDescent="0.35">
      <c r="A2248" s="105"/>
      <c r="B2248" s="106"/>
      <c r="C2248" s="101"/>
      <c r="D2248" s="101"/>
      <c r="E2248" s="102"/>
      <c r="F2248" s="102"/>
    </row>
    <row r="2249" spans="1:6" x14ac:dyDescent="0.35">
      <c r="A2249" s="105"/>
      <c r="B2249" s="106"/>
      <c r="C2249" s="101"/>
      <c r="D2249" s="101"/>
      <c r="E2249" s="102"/>
      <c r="F2249" s="102"/>
    </row>
    <row r="2250" spans="1:6" x14ac:dyDescent="0.3">
      <c r="A2250" s="257" t="s">
        <v>164</v>
      </c>
      <c r="B2250" s="258" t="s">
        <v>165</v>
      </c>
      <c r="C2250" s="200" t="s">
        <v>2</v>
      </c>
      <c r="D2250" s="202" t="s">
        <v>765</v>
      </c>
      <c r="E2250" s="203" t="s">
        <v>766</v>
      </c>
      <c r="F2250" s="203" t="s">
        <v>767</v>
      </c>
    </row>
    <row r="2251" spans="1:6" x14ac:dyDescent="0.3">
      <c r="A2251" s="237" t="s">
        <v>166</v>
      </c>
      <c r="B2251" s="231" t="s">
        <v>167</v>
      </c>
      <c r="C2251" s="256"/>
      <c r="D2251" s="141"/>
      <c r="E2251" s="110"/>
      <c r="F2251" s="110"/>
    </row>
    <row r="2252" spans="1:6" x14ac:dyDescent="0.3">
      <c r="A2252" s="239" t="s">
        <v>1145</v>
      </c>
      <c r="B2252" s="235" t="s">
        <v>192</v>
      </c>
      <c r="C2252" s="256" t="s">
        <v>27</v>
      </c>
      <c r="D2252" s="124"/>
      <c r="E2252" s="117"/>
      <c r="F2252" s="117"/>
    </row>
    <row r="2253" spans="1:6" x14ac:dyDescent="0.35">
      <c r="A2253" s="111"/>
      <c r="B2253" s="112" t="s">
        <v>802</v>
      </c>
      <c r="C2253" s="118"/>
      <c r="D2253" s="118"/>
      <c r="E2253" s="119"/>
      <c r="F2253" s="119"/>
    </row>
    <row r="2254" spans="1:6" x14ac:dyDescent="0.25">
      <c r="A2254" s="107"/>
      <c r="B2254" s="263" t="s">
        <v>1146</v>
      </c>
      <c r="C2254" s="124" t="s">
        <v>59</v>
      </c>
      <c r="D2254" s="124">
        <v>0.17</v>
      </c>
      <c r="E2254" s="117">
        <v>8500</v>
      </c>
      <c r="F2254" s="117">
        <f>D2254*E2254</f>
        <v>1445</v>
      </c>
    </row>
    <row r="2255" spans="1:6" x14ac:dyDescent="0.35">
      <c r="A2255" s="107"/>
      <c r="B2255" s="108" t="s">
        <v>769</v>
      </c>
      <c r="C2255" s="109"/>
      <c r="D2255" s="124"/>
      <c r="E2255" s="117"/>
      <c r="F2255" s="110">
        <f>SUM(F2254:F2254)</f>
        <v>1445</v>
      </c>
    </row>
    <row r="2256" spans="1:6" x14ac:dyDescent="0.3">
      <c r="A2256" s="111"/>
      <c r="B2256" s="136" t="s">
        <v>808</v>
      </c>
      <c r="C2256" s="115"/>
      <c r="D2256" s="124"/>
      <c r="E2256" s="117"/>
      <c r="F2256" s="110"/>
    </row>
    <row r="2257" spans="1:6" x14ac:dyDescent="0.25">
      <c r="A2257" s="111"/>
      <c r="B2257" s="134" t="s">
        <v>895</v>
      </c>
      <c r="C2257" s="115" t="s">
        <v>772</v>
      </c>
      <c r="D2257" s="124">
        <v>1.25</v>
      </c>
      <c r="E2257" s="117">
        <v>15000</v>
      </c>
      <c r="F2257" s="110">
        <f>+D2257*E2257</f>
        <v>18750</v>
      </c>
    </row>
    <row r="2258" spans="1:6" x14ac:dyDescent="0.25">
      <c r="A2258" s="111"/>
      <c r="B2258" s="134" t="s">
        <v>896</v>
      </c>
      <c r="C2258" s="115" t="s">
        <v>772</v>
      </c>
      <c r="D2258" s="124">
        <v>1.25</v>
      </c>
      <c r="E2258" s="117">
        <v>15000</v>
      </c>
      <c r="F2258" s="110">
        <f>+D2258*E2258</f>
        <v>18750</v>
      </c>
    </row>
    <row r="2259" spans="1:6" x14ac:dyDescent="0.3">
      <c r="A2259" s="111"/>
      <c r="B2259" s="136" t="s">
        <v>774</v>
      </c>
      <c r="C2259" s="115"/>
      <c r="D2259" s="124"/>
      <c r="E2259" s="117"/>
      <c r="F2259" s="110">
        <f>SUM(F2257:F2258)</f>
        <v>37500</v>
      </c>
    </row>
    <row r="2260" spans="1:6" x14ac:dyDescent="0.3">
      <c r="A2260" s="111"/>
      <c r="B2260" s="136" t="s">
        <v>775</v>
      </c>
      <c r="C2260" s="115"/>
      <c r="D2260" s="109"/>
      <c r="E2260" s="110"/>
      <c r="F2260" s="110">
        <f>+F2259+F2255</f>
        <v>38945</v>
      </c>
    </row>
    <row r="2261" spans="1:6" x14ac:dyDescent="0.25">
      <c r="A2261" s="111"/>
      <c r="B2261" s="134" t="s">
        <v>824</v>
      </c>
      <c r="C2261" s="115"/>
      <c r="D2261" s="124">
        <v>1.1000000000000001</v>
      </c>
      <c r="E2261" s="110"/>
      <c r="F2261" s="117">
        <f>+F2260*D2261</f>
        <v>42839.5</v>
      </c>
    </row>
    <row r="2262" spans="1:6" x14ac:dyDescent="0.25">
      <c r="A2262" s="111"/>
      <c r="B2262" s="134" t="s">
        <v>825</v>
      </c>
      <c r="C2262" s="115"/>
      <c r="D2262" s="124">
        <v>1.1000000000000001</v>
      </c>
      <c r="E2262" s="110"/>
      <c r="F2262" s="110"/>
    </row>
    <row r="2263" spans="1:6" x14ac:dyDescent="0.35">
      <c r="A2263" s="264" t="s">
        <v>1145</v>
      </c>
      <c r="B2263" s="242" t="s">
        <v>784</v>
      </c>
      <c r="C2263" s="208" t="s">
        <v>27</v>
      </c>
      <c r="D2263" s="208"/>
      <c r="E2263" s="209"/>
      <c r="F2263" s="209">
        <f>+D2262*F2261</f>
        <v>47123.450000000004</v>
      </c>
    </row>
    <row r="2264" spans="1:6" x14ac:dyDescent="0.35">
      <c r="A2264" s="206"/>
      <c r="B2264" s="207"/>
      <c r="C2264" s="208"/>
      <c r="D2264" s="208"/>
      <c r="E2264" s="210">
        <f>+E2247</f>
        <v>3035.45</v>
      </c>
      <c r="F2264" s="210">
        <f>+F2263/E2264</f>
        <v>15.524370356948724</v>
      </c>
    </row>
    <row r="2265" spans="1:6" x14ac:dyDescent="0.35">
      <c r="A2265" s="105"/>
      <c r="B2265" s="106"/>
      <c r="C2265" s="101"/>
      <c r="D2265" s="101"/>
      <c r="E2265" s="102"/>
      <c r="F2265" s="102"/>
    </row>
    <row r="2266" spans="1:6" x14ac:dyDescent="0.35">
      <c r="A2266" s="105"/>
      <c r="B2266" s="106"/>
      <c r="C2266" s="101"/>
      <c r="D2266" s="101"/>
      <c r="E2266" s="102"/>
      <c r="F2266" s="102"/>
    </row>
    <row r="2267" spans="1:6" x14ac:dyDescent="0.3">
      <c r="A2267" s="257" t="s">
        <v>164</v>
      </c>
      <c r="B2267" s="258" t="s">
        <v>165</v>
      </c>
      <c r="C2267" s="200" t="s">
        <v>2</v>
      </c>
      <c r="D2267" s="202" t="s">
        <v>765</v>
      </c>
      <c r="E2267" s="203" t="s">
        <v>766</v>
      </c>
      <c r="F2267" s="203" t="s">
        <v>767</v>
      </c>
    </row>
    <row r="2268" spans="1:6" x14ac:dyDescent="0.35">
      <c r="A2268" s="239" t="s">
        <v>195</v>
      </c>
      <c r="B2268" s="214" t="s">
        <v>193</v>
      </c>
      <c r="C2268" s="256" t="s">
        <v>27</v>
      </c>
      <c r="D2268" s="124"/>
      <c r="E2268" s="117"/>
      <c r="F2268" s="117"/>
    </row>
    <row r="2269" spans="1:6" ht="26" x14ac:dyDescent="0.35">
      <c r="A2269" s="239" t="s">
        <v>746</v>
      </c>
      <c r="B2269" s="214" t="s">
        <v>194</v>
      </c>
      <c r="C2269" s="256" t="s">
        <v>27</v>
      </c>
      <c r="D2269" s="124"/>
      <c r="E2269" s="117"/>
      <c r="F2269" s="117"/>
    </row>
    <row r="2270" spans="1:6" x14ac:dyDescent="0.35">
      <c r="A2270" s="111"/>
      <c r="B2270" s="112" t="s">
        <v>802</v>
      </c>
      <c r="C2270" s="118"/>
      <c r="D2270" s="118"/>
      <c r="E2270" s="119"/>
      <c r="F2270" s="119"/>
    </row>
    <row r="2271" spans="1:6" x14ac:dyDescent="0.25">
      <c r="A2271" s="107"/>
      <c r="B2271" s="263" t="s">
        <v>921</v>
      </c>
      <c r="C2271" s="124" t="s">
        <v>59</v>
      </c>
      <c r="D2271" s="124">
        <v>0.17</v>
      </c>
      <c r="E2271" s="117">
        <v>90000</v>
      </c>
      <c r="F2271" s="117">
        <f>D2271*E2271</f>
        <v>15300.000000000002</v>
      </c>
    </row>
    <row r="2272" spans="1:6" x14ac:dyDescent="0.35">
      <c r="A2272" s="107"/>
      <c r="B2272" s="108" t="s">
        <v>769</v>
      </c>
      <c r="C2272" s="109"/>
      <c r="D2272" s="124"/>
      <c r="E2272" s="117"/>
      <c r="F2272" s="110">
        <f>SUM(F2271:F2271)</f>
        <v>15300.000000000002</v>
      </c>
    </row>
    <row r="2273" spans="1:6" x14ac:dyDescent="0.3">
      <c r="A2273" s="111"/>
      <c r="B2273" s="136" t="s">
        <v>808</v>
      </c>
      <c r="C2273" s="115"/>
      <c r="D2273" s="124"/>
      <c r="E2273" s="117"/>
      <c r="F2273" s="110"/>
    </row>
    <row r="2274" spans="1:6" x14ac:dyDescent="0.25">
      <c r="A2274" s="111"/>
      <c r="B2274" s="134" t="s">
        <v>895</v>
      </c>
      <c r="C2274" s="115" t="s">
        <v>772</v>
      </c>
      <c r="D2274" s="124">
        <v>1.25</v>
      </c>
      <c r="E2274" s="117">
        <v>15000</v>
      </c>
      <c r="F2274" s="110">
        <f>+D2274*E2274</f>
        <v>18750</v>
      </c>
    </row>
    <row r="2275" spans="1:6" x14ac:dyDescent="0.25">
      <c r="A2275" s="111"/>
      <c r="B2275" s="134" t="s">
        <v>896</v>
      </c>
      <c r="C2275" s="115" t="s">
        <v>772</v>
      </c>
      <c r="D2275" s="124">
        <v>1.25</v>
      </c>
      <c r="E2275" s="117">
        <v>15000</v>
      </c>
      <c r="F2275" s="110">
        <f>+D2275*E2275</f>
        <v>18750</v>
      </c>
    </row>
    <row r="2276" spans="1:6" x14ac:dyDescent="0.3">
      <c r="A2276" s="111"/>
      <c r="B2276" s="136" t="s">
        <v>774</v>
      </c>
      <c r="C2276" s="115"/>
      <c r="D2276" s="124"/>
      <c r="E2276" s="117"/>
      <c r="F2276" s="110">
        <f>SUM(F2274:F2275)</f>
        <v>37500</v>
      </c>
    </row>
    <row r="2277" spans="1:6" x14ac:dyDescent="0.3">
      <c r="A2277" s="111"/>
      <c r="B2277" s="136" t="s">
        <v>775</v>
      </c>
      <c r="C2277" s="115"/>
      <c r="D2277" s="109"/>
      <c r="E2277" s="110"/>
      <c r="F2277" s="110">
        <f>+F2276+F2272</f>
        <v>52800</v>
      </c>
    </row>
    <row r="2278" spans="1:6" x14ac:dyDescent="0.25">
      <c r="A2278" s="111"/>
      <c r="B2278" s="134" t="s">
        <v>824</v>
      </c>
      <c r="C2278" s="115"/>
      <c r="D2278" s="124">
        <v>1.1000000000000001</v>
      </c>
      <c r="E2278" s="110"/>
      <c r="F2278" s="117">
        <f>+F2277*D2278</f>
        <v>58080.000000000007</v>
      </c>
    </row>
    <row r="2279" spans="1:6" x14ac:dyDescent="0.25">
      <c r="A2279" s="111"/>
      <c r="B2279" s="134" t="s">
        <v>825</v>
      </c>
      <c r="C2279" s="115"/>
      <c r="D2279" s="124">
        <v>1.1000000000000001</v>
      </c>
      <c r="E2279" s="110"/>
      <c r="F2279" s="110"/>
    </row>
    <row r="2280" spans="1:6" x14ac:dyDescent="0.35">
      <c r="A2280" s="264" t="s">
        <v>1147</v>
      </c>
      <c r="B2280" s="242" t="s">
        <v>784</v>
      </c>
      <c r="C2280" s="208" t="s">
        <v>27</v>
      </c>
      <c r="D2280" s="208"/>
      <c r="E2280" s="209"/>
      <c r="F2280" s="209">
        <f>+D2279*F2278</f>
        <v>63888.000000000015</v>
      </c>
    </row>
    <row r="2281" spans="1:6" x14ac:dyDescent="0.35">
      <c r="A2281" s="206"/>
      <c r="B2281" s="207"/>
      <c r="C2281" s="208"/>
      <c r="D2281" s="208"/>
      <c r="E2281" s="210">
        <f>+E2264</f>
        <v>3035.45</v>
      </c>
      <c r="F2281" s="210">
        <f>+F2280/E2281</f>
        <v>21.047291175937676</v>
      </c>
    </row>
    <row r="2282" spans="1:6" x14ac:dyDescent="0.35">
      <c r="A2282" s="105"/>
      <c r="B2282" s="106"/>
      <c r="C2282" s="101"/>
      <c r="D2282" s="101"/>
      <c r="E2282" s="102"/>
      <c r="F2282" s="102"/>
    </row>
    <row r="2283" spans="1:6" x14ac:dyDescent="0.35">
      <c r="A2283" s="105"/>
      <c r="B2283" s="106"/>
      <c r="C2283" s="101"/>
      <c r="D2283" s="101"/>
      <c r="E2283" s="102"/>
      <c r="F2283" s="102"/>
    </row>
    <row r="2284" spans="1:6" x14ac:dyDescent="0.3">
      <c r="A2284" s="257" t="s">
        <v>164</v>
      </c>
      <c r="B2284" s="258" t="s">
        <v>165</v>
      </c>
      <c r="C2284" s="200" t="s">
        <v>2</v>
      </c>
      <c r="D2284" s="202" t="s">
        <v>765</v>
      </c>
      <c r="E2284" s="203" t="s">
        <v>766</v>
      </c>
      <c r="F2284" s="203" t="s">
        <v>767</v>
      </c>
    </row>
    <row r="2285" spans="1:6" x14ac:dyDescent="0.35">
      <c r="A2285" s="239" t="s">
        <v>195</v>
      </c>
      <c r="B2285" s="214" t="s">
        <v>1148</v>
      </c>
      <c r="C2285" s="256" t="s">
        <v>35</v>
      </c>
      <c r="D2285" s="124"/>
      <c r="E2285" s="117"/>
      <c r="F2285" s="117"/>
    </row>
    <row r="2286" spans="1:6" x14ac:dyDescent="0.35">
      <c r="A2286" s="111"/>
      <c r="B2286" s="112" t="s">
        <v>802</v>
      </c>
      <c r="C2286" s="118"/>
      <c r="D2286" s="118"/>
      <c r="E2286" s="119"/>
      <c r="F2286" s="119"/>
    </row>
    <row r="2287" spans="1:6" x14ac:dyDescent="0.25">
      <c r="A2287" s="107"/>
      <c r="B2287" s="263" t="s">
        <v>1149</v>
      </c>
      <c r="C2287" s="124" t="s">
        <v>7</v>
      </c>
      <c r="D2287" s="124">
        <v>0.17</v>
      </c>
      <c r="E2287" s="117">
        <v>1200</v>
      </c>
      <c r="F2287" s="117">
        <f>D2287*E2287</f>
        <v>204.00000000000003</v>
      </c>
    </row>
    <row r="2288" spans="1:6" x14ac:dyDescent="0.35">
      <c r="A2288" s="107"/>
      <c r="B2288" s="108" t="s">
        <v>769</v>
      </c>
      <c r="C2288" s="109"/>
      <c r="D2288" s="124"/>
      <c r="E2288" s="117"/>
      <c r="F2288" s="110">
        <f>SUM(F2287:F2287)</f>
        <v>204.00000000000003</v>
      </c>
    </row>
    <row r="2289" spans="1:6" x14ac:dyDescent="0.3">
      <c r="A2289" s="111"/>
      <c r="B2289" s="136" t="s">
        <v>808</v>
      </c>
      <c r="C2289" s="115"/>
      <c r="D2289" s="124"/>
      <c r="E2289" s="117"/>
      <c r="F2289" s="110"/>
    </row>
    <row r="2290" spans="1:6" x14ac:dyDescent="0.25">
      <c r="A2290" s="111"/>
      <c r="B2290" s="134" t="s">
        <v>895</v>
      </c>
      <c r="C2290" s="115" t="s">
        <v>772</v>
      </c>
      <c r="D2290" s="124">
        <v>1.25</v>
      </c>
      <c r="E2290" s="117">
        <v>15000</v>
      </c>
      <c r="F2290" s="110">
        <f>+D2290*E2290</f>
        <v>18750</v>
      </c>
    </row>
    <row r="2291" spans="1:6" x14ac:dyDescent="0.25">
      <c r="A2291" s="111"/>
      <c r="B2291" s="134" t="s">
        <v>896</v>
      </c>
      <c r="C2291" s="115" t="s">
        <v>772</v>
      </c>
      <c r="D2291" s="124">
        <v>1.25</v>
      </c>
      <c r="E2291" s="117">
        <v>15000</v>
      </c>
      <c r="F2291" s="110">
        <f>+D2291*E2291</f>
        <v>18750</v>
      </c>
    </row>
    <row r="2292" spans="1:6" x14ac:dyDescent="0.3">
      <c r="A2292" s="111"/>
      <c r="B2292" s="136" t="s">
        <v>774</v>
      </c>
      <c r="C2292" s="115"/>
      <c r="D2292" s="124"/>
      <c r="E2292" s="117"/>
      <c r="F2292" s="110">
        <f>SUM(F2290:F2291)</f>
        <v>37500</v>
      </c>
    </row>
    <row r="2293" spans="1:6" x14ac:dyDescent="0.3">
      <c r="A2293" s="111"/>
      <c r="B2293" s="136" t="s">
        <v>775</v>
      </c>
      <c r="C2293" s="115"/>
      <c r="D2293" s="109"/>
      <c r="E2293" s="110"/>
      <c r="F2293" s="110">
        <f>+F2292+F2288</f>
        <v>37704</v>
      </c>
    </row>
    <row r="2294" spans="1:6" x14ac:dyDescent="0.25">
      <c r="A2294" s="111"/>
      <c r="B2294" s="134" t="s">
        <v>824</v>
      </c>
      <c r="C2294" s="115"/>
      <c r="D2294" s="124">
        <v>1.1000000000000001</v>
      </c>
      <c r="E2294" s="110"/>
      <c r="F2294" s="117">
        <f>+F2293*D2294</f>
        <v>41474.400000000001</v>
      </c>
    </row>
    <row r="2295" spans="1:6" x14ac:dyDescent="0.25">
      <c r="A2295" s="111"/>
      <c r="B2295" s="134" t="s">
        <v>825</v>
      </c>
      <c r="C2295" s="115"/>
      <c r="D2295" s="124">
        <v>1.1000000000000001</v>
      </c>
      <c r="E2295" s="110"/>
      <c r="F2295" s="110"/>
    </row>
    <row r="2296" spans="1:6" x14ac:dyDescent="0.35">
      <c r="A2296" s="264" t="s">
        <v>719</v>
      </c>
      <c r="B2296" s="242" t="s">
        <v>789</v>
      </c>
      <c r="C2296" s="208" t="s">
        <v>35</v>
      </c>
      <c r="D2296" s="208"/>
      <c r="E2296" s="209"/>
      <c r="F2296" s="209">
        <f>+D2295*F2294</f>
        <v>45621.840000000004</v>
      </c>
    </row>
    <row r="2297" spans="1:6" x14ac:dyDescent="0.35">
      <c r="A2297" s="206"/>
      <c r="B2297" s="207"/>
      <c r="C2297" s="208"/>
      <c r="D2297" s="208"/>
      <c r="E2297" s="210">
        <f>+E2281</f>
        <v>3035.45</v>
      </c>
      <c r="F2297" s="210">
        <f>+F2296/E2297</f>
        <v>15.029679289726403</v>
      </c>
    </row>
    <row r="2298" spans="1:6" x14ac:dyDescent="0.35">
      <c r="A2298" s="105"/>
      <c r="B2298" s="106"/>
      <c r="C2298" s="101"/>
      <c r="D2298" s="101"/>
      <c r="E2298" s="102"/>
      <c r="F2298" s="102"/>
    </row>
    <row r="2299" spans="1:6" x14ac:dyDescent="0.35">
      <c r="A2299" s="105"/>
      <c r="B2299" s="106"/>
      <c r="C2299" s="101"/>
      <c r="D2299" s="101"/>
      <c r="E2299" s="102"/>
      <c r="F2299" s="102"/>
    </row>
    <row r="2300" spans="1:6" x14ac:dyDescent="0.3">
      <c r="A2300" s="257" t="s">
        <v>164</v>
      </c>
      <c r="B2300" s="258" t="s">
        <v>165</v>
      </c>
      <c r="C2300" s="200" t="s">
        <v>2</v>
      </c>
      <c r="D2300" s="202" t="s">
        <v>765</v>
      </c>
      <c r="E2300" s="203" t="s">
        <v>766</v>
      </c>
      <c r="F2300" s="203" t="s">
        <v>767</v>
      </c>
    </row>
    <row r="2301" spans="1:6" x14ac:dyDescent="0.3">
      <c r="A2301" s="237" t="s">
        <v>719</v>
      </c>
      <c r="B2301" s="231" t="s">
        <v>908</v>
      </c>
      <c r="C2301" s="256"/>
      <c r="D2301" s="141"/>
      <c r="E2301" s="110"/>
      <c r="F2301" s="110"/>
    </row>
    <row r="2302" spans="1:6" x14ac:dyDescent="0.35">
      <c r="A2302" s="239" t="s">
        <v>720</v>
      </c>
      <c r="B2302" s="214" t="s">
        <v>198</v>
      </c>
      <c r="C2302" s="256"/>
      <c r="D2302" s="124"/>
      <c r="E2302" s="117"/>
      <c r="F2302" s="117"/>
    </row>
    <row r="2303" spans="1:6" x14ac:dyDescent="0.35">
      <c r="A2303" s="111"/>
      <c r="B2303" s="112" t="s">
        <v>802</v>
      </c>
      <c r="C2303" s="118"/>
      <c r="D2303" s="118"/>
      <c r="E2303" s="119"/>
      <c r="F2303" s="119"/>
    </row>
    <row r="2304" spans="1:6" x14ac:dyDescent="0.35">
      <c r="A2304" s="107"/>
      <c r="B2304" s="123" t="s">
        <v>909</v>
      </c>
      <c r="C2304" s="124" t="s">
        <v>35</v>
      </c>
      <c r="D2304" s="124">
        <v>1</v>
      </c>
      <c r="E2304" s="117">
        <f>75000/(2*0.98)</f>
        <v>38265.306122448979</v>
      </c>
      <c r="F2304" s="117">
        <f>D2304*E2304</f>
        <v>38265.306122448979</v>
      </c>
    </row>
    <row r="2305" spans="1:6" x14ac:dyDescent="0.35">
      <c r="A2305" s="107"/>
      <c r="B2305" s="120" t="s">
        <v>910</v>
      </c>
      <c r="C2305" s="124" t="s">
        <v>59</v>
      </c>
      <c r="D2305" s="124">
        <v>20</v>
      </c>
      <c r="E2305" s="117">
        <v>1000</v>
      </c>
      <c r="F2305" s="117">
        <f>D2305*E2305</f>
        <v>20000</v>
      </c>
    </row>
    <row r="2306" spans="1:6" x14ac:dyDescent="0.35">
      <c r="A2306" s="107"/>
      <c r="B2306" s="108" t="s">
        <v>769</v>
      </c>
      <c r="C2306" s="109"/>
      <c r="D2306" s="124"/>
      <c r="E2306" s="117"/>
      <c r="F2306" s="110">
        <f>SUM(F2304:F2305)</f>
        <v>58265.306122448979</v>
      </c>
    </row>
    <row r="2307" spans="1:6" x14ac:dyDescent="0.3">
      <c r="A2307" s="111"/>
      <c r="B2307" s="136" t="s">
        <v>808</v>
      </c>
      <c r="C2307" s="115"/>
      <c r="D2307" s="124"/>
      <c r="E2307" s="117"/>
      <c r="F2307" s="110"/>
    </row>
    <row r="2308" spans="1:6" x14ac:dyDescent="0.25">
      <c r="A2308" s="111"/>
      <c r="B2308" s="134" t="s">
        <v>820</v>
      </c>
      <c r="C2308" s="115" t="s">
        <v>772</v>
      </c>
      <c r="D2308" s="124">
        <v>0.75</v>
      </c>
      <c r="E2308" s="117">
        <v>7500</v>
      </c>
      <c r="F2308" s="117">
        <f>+D2308*E2308</f>
        <v>5625</v>
      </c>
    </row>
    <row r="2309" spans="1:6" x14ac:dyDescent="0.25">
      <c r="A2309" s="111"/>
      <c r="B2309" s="134" t="s">
        <v>821</v>
      </c>
      <c r="C2309" s="115" t="s">
        <v>772</v>
      </c>
      <c r="D2309" s="124">
        <v>0.75</v>
      </c>
      <c r="E2309" s="117">
        <v>7500</v>
      </c>
      <c r="F2309" s="117">
        <f>+D2309*E2309</f>
        <v>5625</v>
      </c>
    </row>
    <row r="2310" spans="1:6" x14ac:dyDescent="0.25">
      <c r="A2310" s="111"/>
      <c r="B2310" s="134" t="s">
        <v>773</v>
      </c>
      <c r="C2310" s="115" t="s">
        <v>772</v>
      </c>
      <c r="D2310" s="124">
        <v>1.25</v>
      </c>
      <c r="E2310" s="117">
        <v>15000</v>
      </c>
      <c r="F2310" s="117">
        <f>+D2310*E2310</f>
        <v>18750</v>
      </c>
    </row>
    <row r="2311" spans="1:6" x14ac:dyDescent="0.3">
      <c r="A2311" s="111"/>
      <c r="B2311" s="136" t="s">
        <v>774</v>
      </c>
      <c r="C2311" s="115"/>
      <c r="D2311" s="124"/>
      <c r="E2311" s="117"/>
      <c r="F2311" s="110">
        <f>SUM(F2308:F2310)</f>
        <v>30000</v>
      </c>
    </row>
    <row r="2312" spans="1:6" x14ac:dyDescent="0.3">
      <c r="A2312" s="111"/>
      <c r="B2312" s="136" t="s">
        <v>775</v>
      </c>
      <c r="C2312" s="115"/>
      <c r="D2312" s="109"/>
      <c r="E2312" s="110"/>
      <c r="F2312" s="110">
        <f>+F2311+F2306</f>
        <v>88265.306122448979</v>
      </c>
    </row>
    <row r="2313" spans="1:6" x14ac:dyDescent="0.25">
      <c r="A2313" s="111"/>
      <c r="B2313" s="134" t="s">
        <v>824</v>
      </c>
      <c r="C2313" s="115"/>
      <c r="D2313" s="124">
        <v>1.1000000000000001</v>
      </c>
      <c r="E2313" s="110"/>
      <c r="F2313" s="117">
        <f>+F2312*D2313</f>
        <v>97091.83673469389</v>
      </c>
    </row>
    <row r="2314" spans="1:6" x14ac:dyDescent="0.25">
      <c r="A2314" s="111"/>
      <c r="B2314" s="134" t="s">
        <v>825</v>
      </c>
      <c r="C2314" s="115"/>
      <c r="D2314" s="124">
        <v>1.1000000000000001</v>
      </c>
      <c r="E2314" s="110"/>
      <c r="F2314" s="110"/>
    </row>
    <row r="2315" spans="1:6" x14ac:dyDescent="0.35">
      <c r="A2315" s="261" t="s">
        <v>720</v>
      </c>
      <c r="B2315" s="242" t="s">
        <v>789</v>
      </c>
      <c r="C2315" s="208" t="s">
        <v>35</v>
      </c>
      <c r="D2315" s="208"/>
      <c r="E2315" s="209"/>
      <c r="F2315" s="209">
        <f>+D2314*F2313</f>
        <v>106801.02040816328</v>
      </c>
    </row>
    <row r="2316" spans="1:6" x14ac:dyDescent="0.35">
      <c r="A2316" s="206"/>
      <c r="B2316" s="207"/>
      <c r="C2316" s="208"/>
      <c r="D2316" s="208"/>
      <c r="E2316" s="210">
        <f>+E2297</f>
        <v>3035.45</v>
      </c>
      <c r="F2316" s="210">
        <f>+F2315/E2316</f>
        <v>35.184575732811702</v>
      </c>
    </row>
    <row r="2317" spans="1:6" ht="12.5" x14ac:dyDescent="0.35">
      <c r="A2317" s="178"/>
      <c r="B2317" s="104"/>
      <c r="C2317" s="104"/>
      <c r="D2317" s="104"/>
      <c r="E2317" s="104"/>
      <c r="F2317" s="104"/>
    </row>
    <row r="2318" spans="1:6" ht="12.5" x14ac:dyDescent="0.35">
      <c r="A2318" s="178"/>
      <c r="B2318" s="104"/>
      <c r="C2318" s="104"/>
      <c r="D2318" s="104"/>
      <c r="E2318" s="104"/>
      <c r="F2318" s="104"/>
    </row>
    <row r="2319" spans="1:6" x14ac:dyDescent="0.3">
      <c r="A2319" s="257" t="s">
        <v>164</v>
      </c>
      <c r="B2319" s="258" t="s">
        <v>165</v>
      </c>
      <c r="C2319" s="200" t="s">
        <v>2</v>
      </c>
      <c r="D2319" s="202" t="s">
        <v>765</v>
      </c>
      <c r="E2319" s="203" t="s">
        <v>766</v>
      </c>
      <c r="F2319" s="203" t="s">
        <v>767</v>
      </c>
    </row>
    <row r="2320" spans="1:6" x14ac:dyDescent="0.3">
      <c r="A2320" s="237" t="s">
        <v>719</v>
      </c>
      <c r="B2320" s="231" t="s">
        <v>908</v>
      </c>
      <c r="C2320" s="256"/>
      <c r="D2320" s="141"/>
      <c r="E2320" s="110"/>
      <c r="F2320" s="110"/>
    </row>
    <row r="2321" spans="1:6" x14ac:dyDescent="0.35">
      <c r="A2321" s="239" t="s">
        <v>721</v>
      </c>
      <c r="B2321" s="214" t="s">
        <v>200</v>
      </c>
      <c r="C2321" s="256" t="s">
        <v>27</v>
      </c>
      <c r="D2321" s="124"/>
      <c r="E2321" s="117"/>
      <c r="F2321" s="117"/>
    </row>
    <row r="2322" spans="1:6" x14ac:dyDescent="0.35">
      <c r="A2322" s="111"/>
      <c r="B2322" s="112" t="s">
        <v>802</v>
      </c>
      <c r="C2322" s="118"/>
      <c r="D2322" s="118"/>
      <c r="E2322" s="119"/>
      <c r="F2322" s="119"/>
    </row>
    <row r="2323" spans="1:6" x14ac:dyDescent="0.35">
      <c r="A2323" s="107"/>
      <c r="B2323" s="123" t="s">
        <v>911</v>
      </c>
      <c r="C2323" s="124" t="s">
        <v>59</v>
      </c>
      <c r="D2323" s="124">
        <v>1</v>
      </c>
      <c r="E2323" s="117">
        <v>36344</v>
      </c>
      <c r="F2323" s="117">
        <f>D2323*E2323</f>
        <v>36344</v>
      </c>
    </row>
    <row r="2324" spans="1:6" x14ac:dyDescent="0.35">
      <c r="A2324" s="107"/>
      <c r="B2324" s="120" t="s">
        <v>910</v>
      </c>
      <c r="C2324" s="124" t="s">
        <v>59</v>
      </c>
      <c r="D2324" s="124">
        <v>20</v>
      </c>
      <c r="E2324" s="117">
        <v>1000</v>
      </c>
      <c r="F2324" s="117">
        <f>D2324*E2324</f>
        <v>20000</v>
      </c>
    </row>
    <row r="2325" spans="1:6" x14ac:dyDescent="0.35">
      <c r="A2325" s="107"/>
      <c r="B2325" s="108" t="s">
        <v>769</v>
      </c>
      <c r="C2325" s="109"/>
      <c r="D2325" s="124"/>
      <c r="E2325" s="117"/>
      <c r="F2325" s="110">
        <f>SUM(F2323:F2324)</f>
        <v>56344</v>
      </c>
    </row>
    <row r="2326" spans="1:6" x14ac:dyDescent="0.3">
      <c r="A2326" s="111"/>
      <c r="B2326" s="136" t="s">
        <v>808</v>
      </c>
      <c r="C2326" s="115"/>
      <c r="D2326" s="124"/>
      <c r="E2326" s="117"/>
      <c r="F2326" s="110"/>
    </row>
    <row r="2327" spans="1:6" x14ac:dyDescent="0.25">
      <c r="A2327" s="111"/>
      <c r="B2327" s="134" t="s">
        <v>820</v>
      </c>
      <c r="C2327" s="115" t="s">
        <v>772</v>
      </c>
      <c r="D2327" s="124">
        <v>0.1</v>
      </c>
      <c r="E2327" s="117">
        <v>7500</v>
      </c>
      <c r="F2327" s="117">
        <f>+D2327*E2327</f>
        <v>750</v>
      </c>
    </row>
    <row r="2328" spans="1:6" x14ac:dyDescent="0.25">
      <c r="A2328" s="111"/>
      <c r="B2328" s="134" t="s">
        <v>821</v>
      </c>
      <c r="C2328" s="115" t="s">
        <v>772</v>
      </c>
      <c r="D2328" s="124">
        <v>0.1</v>
      </c>
      <c r="E2328" s="117">
        <v>7500</v>
      </c>
      <c r="F2328" s="117">
        <f>+D2328*E2328</f>
        <v>750</v>
      </c>
    </row>
    <row r="2329" spans="1:6" x14ac:dyDescent="0.25">
      <c r="A2329" s="111"/>
      <c r="B2329" s="134" t="s">
        <v>773</v>
      </c>
      <c r="C2329" s="115" t="s">
        <v>772</v>
      </c>
      <c r="D2329" s="124">
        <v>0.1</v>
      </c>
      <c r="E2329" s="117">
        <v>15000</v>
      </c>
      <c r="F2329" s="117">
        <f>+D2329*E2329</f>
        <v>1500</v>
      </c>
    </row>
    <row r="2330" spans="1:6" x14ac:dyDescent="0.3">
      <c r="A2330" s="111"/>
      <c r="B2330" s="136" t="s">
        <v>774</v>
      </c>
      <c r="C2330" s="115"/>
      <c r="D2330" s="124"/>
      <c r="E2330" s="117"/>
      <c r="F2330" s="110">
        <f>SUM(F2327:F2329)</f>
        <v>3000</v>
      </c>
    </row>
    <row r="2331" spans="1:6" x14ac:dyDescent="0.3">
      <c r="A2331" s="111"/>
      <c r="B2331" s="136" t="s">
        <v>775</v>
      </c>
      <c r="C2331" s="115"/>
      <c r="D2331" s="109"/>
      <c r="E2331" s="110"/>
      <c r="F2331" s="110">
        <f>+F2330+F2325</f>
        <v>59344</v>
      </c>
    </row>
    <row r="2332" spans="1:6" x14ac:dyDescent="0.25">
      <c r="A2332" s="111"/>
      <c r="B2332" s="134" t="s">
        <v>792</v>
      </c>
      <c r="C2332" s="115"/>
      <c r="D2332" s="124">
        <v>1.05</v>
      </c>
      <c r="E2332" s="110"/>
      <c r="F2332" s="117">
        <f>+F2331*D2332</f>
        <v>62311.200000000004</v>
      </c>
    </row>
    <row r="2333" spans="1:6" x14ac:dyDescent="0.25">
      <c r="A2333" s="111"/>
      <c r="B2333" s="134" t="s">
        <v>848</v>
      </c>
      <c r="C2333" s="115"/>
      <c r="D2333" s="124">
        <v>1.05</v>
      </c>
      <c r="E2333" s="110"/>
      <c r="F2333" s="110"/>
    </row>
    <row r="2334" spans="1:6" x14ac:dyDescent="0.35">
      <c r="A2334" s="261" t="s">
        <v>721</v>
      </c>
      <c r="B2334" s="242" t="s">
        <v>784</v>
      </c>
      <c r="C2334" s="208" t="s">
        <v>27</v>
      </c>
      <c r="D2334" s="208"/>
      <c r="E2334" s="209"/>
      <c r="F2334" s="209">
        <f>+D2333*F2332</f>
        <v>65426.760000000009</v>
      </c>
    </row>
    <row r="2335" spans="1:6" x14ac:dyDescent="0.35">
      <c r="A2335" s="206"/>
      <c r="B2335" s="207"/>
      <c r="C2335" s="208"/>
      <c r="D2335" s="208"/>
      <c r="E2335" s="210">
        <f>+E2316</f>
        <v>3035.45</v>
      </c>
      <c r="F2335" s="210">
        <f>+F2334/E2335</f>
        <v>21.554220955706736</v>
      </c>
    </row>
    <row r="2336" spans="1:6" ht="12.5" x14ac:dyDescent="0.35">
      <c r="A2336" s="178"/>
      <c r="B2336" s="104"/>
      <c r="C2336" s="104"/>
      <c r="D2336" s="104"/>
      <c r="E2336" s="104"/>
      <c r="F2336" s="104"/>
    </row>
    <row r="2337" spans="1:6" ht="12.5" x14ac:dyDescent="0.35">
      <c r="A2337" s="178"/>
      <c r="B2337" s="104"/>
      <c r="C2337" s="104"/>
      <c r="D2337" s="104"/>
      <c r="E2337" s="104"/>
      <c r="F2337" s="104"/>
    </row>
    <row r="2338" spans="1:6" x14ac:dyDescent="0.3">
      <c r="A2338" s="257" t="s">
        <v>164</v>
      </c>
      <c r="B2338" s="258" t="s">
        <v>165</v>
      </c>
      <c r="C2338" s="200" t="s">
        <v>2</v>
      </c>
      <c r="D2338" s="202" t="s">
        <v>765</v>
      </c>
      <c r="E2338" s="203" t="s">
        <v>766</v>
      </c>
      <c r="F2338" s="203" t="s">
        <v>767</v>
      </c>
    </row>
    <row r="2339" spans="1:6" x14ac:dyDescent="0.3">
      <c r="A2339" s="237" t="s">
        <v>719</v>
      </c>
      <c r="B2339" s="231" t="s">
        <v>908</v>
      </c>
      <c r="C2339" s="256"/>
      <c r="D2339" s="141"/>
      <c r="E2339" s="110"/>
      <c r="F2339" s="110"/>
    </row>
    <row r="2340" spans="1:6" x14ac:dyDescent="0.35">
      <c r="A2340" s="239" t="s">
        <v>722</v>
      </c>
      <c r="B2340" s="214" t="s">
        <v>912</v>
      </c>
      <c r="C2340" s="256" t="s">
        <v>27</v>
      </c>
      <c r="D2340" s="124"/>
      <c r="E2340" s="117"/>
      <c r="F2340" s="117"/>
    </row>
    <row r="2341" spans="1:6" x14ac:dyDescent="0.35">
      <c r="A2341" s="111"/>
      <c r="B2341" s="112" t="s">
        <v>802</v>
      </c>
      <c r="C2341" s="118"/>
      <c r="D2341" s="118"/>
      <c r="E2341" s="119"/>
      <c r="F2341" s="119"/>
    </row>
    <row r="2342" spans="1:6" x14ac:dyDescent="0.35">
      <c r="A2342" s="107"/>
      <c r="B2342" s="123" t="s">
        <v>913</v>
      </c>
      <c r="C2342" s="124" t="s">
        <v>59</v>
      </c>
      <c r="D2342" s="124">
        <v>1</v>
      </c>
      <c r="E2342" s="117">
        <f>7000</f>
        <v>7000</v>
      </c>
      <c r="F2342" s="117">
        <f>D2342*E2342</f>
        <v>7000</v>
      </c>
    </row>
    <row r="2343" spans="1:6" x14ac:dyDescent="0.35">
      <c r="A2343" s="107"/>
      <c r="B2343" s="120" t="s">
        <v>914</v>
      </c>
      <c r="C2343" s="124"/>
      <c r="D2343" s="124"/>
      <c r="E2343" s="117"/>
      <c r="F2343" s="117">
        <f>+F2342*0.15</f>
        <v>1050</v>
      </c>
    </row>
    <row r="2344" spans="1:6" x14ac:dyDescent="0.35">
      <c r="A2344" s="107"/>
      <c r="B2344" s="108" t="s">
        <v>769</v>
      </c>
      <c r="C2344" s="109"/>
      <c r="D2344" s="124"/>
      <c r="E2344" s="117"/>
      <c r="F2344" s="110">
        <f>SUM(F2342:F2343)</f>
        <v>8050</v>
      </c>
    </row>
    <row r="2345" spans="1:6" x14ac:dyDescent="0.3">
      <c r="A2345" s="111"/>
      <c r="B2345" s="136" t="s">
        <v>808</v>
      </c>
      <c r="C2345" s="115"/>
      <c r="D2345" s="124"/>
      <c r="E2345" s="117"/>
      <c r="F2345" s="110"/>
    </row>
    <row r="2346" spans="1:6" x14ac:dyDescent="0.25">
      <c r="A2346" s="111"/>
      <c r="B2346" s="134" t="s">
        <v>895</v>
      </c>
      <c r="C2346" s="115" t="s">
        <v>772</v>
      </c>
      <c r="D2346" s="124">
        <v>0.01</v>
      </c>
      <c r="E2346" s="117">
        <v>15000</v>
      </c>
      <c r="F2346" s="117">
        <f>+D2346*E2346</f>
        <v>150</v>
      </c>
    </row>
    <row r="2347" spans="1:6" x14ac:dyDescent="0.25">
      <c r="A2347" s="111"/>
      <c r="B2347" s="134" t="s">
        <v>896</v>
      </c>
      <c r="C2347" s="115" t="s">
        <v>772</v>
      </c>
      <c r="D2347" s="124">
        <v>0.01</v>
      </c>
      <c r="E2347" s="117">
        <v>15000</v>
      </c>
      <c r="F2347" s="117">
        <f>+D2347*E2347</f>
        <v>150</v>
      </c>
    </row>
    <row r="2348" spans="1:6" x14ac:dyDescent="0.3">
      <c r="A2348" s="111"/>
      <c r="B2348" s="136" t="s">
        <v>774</v>
      </c>
      <c r="C2348" s="115"/>
      <c r="D2348" s="124"/>
      <c r="E2348" s="117"/>
      <c r="F2348" s="110">
        <f>SUM(F2346:F2347)</f>
        <v>300</v>
      </c>
    </row>
    <row r="2349" spans="1:6" x14ac:dyDescent="0.3">
      <c r="A2349" s="111"/>
      <c r="B2349" s="136" t="s">
        <v>775</v>
      </c>
      <c r="C2349" s="115"/>
      <c r="D2349" s="109"/>
      <c r="E2349" s="110"/>
      <c r="F2349" s="110">
        <f>+F2348+F2344</f>
        <v>8350</v>
      </c>
    </row>
    <row r="2350" spans="1:6" x14ac:dyDescent="0.25">
      <c r="A2350" s="111"/>
      <c r="B2350" s="134" t="s">
        <v>812</v>
      </c>
      <c r="C2350" s="115"/>
      <c r="D2350" s="124">
        <v>1.1499999999999999</v>
      </c>
      <c r="E2350" s="110"/>
      <c r="F2350" s="117">
        <f>+F2349*D2350</f>
        <v>9602.5</v>
      </c>
    </row>
    <row r="2351" spans="1:6" x14ac:dyDescent="0.25">
      <c r="A2351" s="111"/>
      <c r="B2351" s="134" t="s">
        <v>813</v>
      </c>
      <c r="C2351" s="115"/>
      <c r="D2351" s="124">
        <v>1.1499999999999999</v>
      </c>
      <c r="E2351" s="110"/>
      <c r="F2351" s="110"/>
    </row>
    <row r="2352" spans="1:6" x14ac:dyDescent="0.35">
      <c r="A2352" s="261" t="s">
        <v>722</v>
      </c>
      <c r="B2352" s="242" t="s">
        <v>784</v>
      </c>
      <c r="C2352" s="208" t="s">
        <v>27</v>
      </c>
      <c r="D2352" s="208"/>
      <c r="E2352" s="209"/>
      <c r="F2352" s="209">
        <f>+D2351*F2350</f>
        <v>11042.875</v>
      </c>
    </row>
    <row r="2353" spans="1:6" x14ac:dyDescent="0.35">
      <c r="A2353" s="206"/>
      <c r="B2353" s="207"/>
      <c r="C2353" s="208"/>
      <c r="D2353" s="208"/>
      <c r="E2353" s="210">
        <f>+E2335</f>
        <v>3035.45</v>
      </c>
      <c r="F2353" s="210">
        <f>+F2352/E2353</f>
        <v>3.6379696585349786</v>
      </c>
    </row>
    <row r="2354" spans="1:6" ht="12.5" x14ac:dyDescent="0.35">
      <c r="A2354" s="178"/>
      <c r="B2354" s="104"/>
      <c r="C2354" s="104"/>
      <c r="D2354" s="104"/>
      <c r="E2354" s="104"/>
      <c r="F2354" s="104"/>
    </row>
    <row r="2355" spans="1:6" ht="12.5" x14ac:dyDescent="0.35">
      <c r="A2355" s="178"/>
      <c r="B2355" s="104"/>
      <c r="C2355" s="104"/>
      <c r="D2355" s="104"/>
      <c r="E2355" s="104"/>
      <c r="F2355" s="104"/>
    </row>
    <row r="2356" spans="1:6" x14ac:dyDescent="0.3">
      <c r="A2356" s="257" t="s">
        <v>164</v>
      </c>
      <c r="B2356" s="258" t="s">
        <v>165</v>
      </c>
      <c r="C2356" s="200" t="s">
        <v>2</v>
      </c>
      <c r="D2356" s="202" t="s">
        <v>765</v>
      </c>
      <c r="E2356" s="203" t="s">
        <v>766</v>
      </c>
      <c r="F2356" s="203" t="s">
        <v>767</v>
      </c>
    </row>
    <row r="2357" spans="1:6" x14ac:dyDescent="0.3">
      <c r="A2357" s="237" t="s">
        <v>719</v>
      </c>
      <c r="B2357" s="231" t="s">
        <v>908</v>
      </c>
      <c r="C2357" s="256"/>
      <c r="D2357" s="141"/>
      <c r="E2357" s="110"/>
      <c r="F2357" s="110"/>
    </row>
    <row r="2358" spans="1:6" x14ac:dyDescent="0.35">
      <c r="A2358" s="239" t="s">
        <v>723</v>
      </c>
      <c r="B2358" s="214" t="s">
        <v>204</v>
      </c>
      <c r="C2358" s="256" t="s">
        <v>27</v>
      </c>
      <c r="D2358" s="124"/>
      <c r="E2358" s="117"/>
      <c r="F2358" s="117"/>
    </row>
    <row r="2359" spans="1:6" x14ac:dyDescent="0.35">
      <c r="A2359" s="111"/>
      <c r="B2359" s="112" t="s">
        <v>802</v>
      </c>
      <c r="C2359" s="118"/>
      <c r="D2359" s="118"/>
      <c r="E2359" s="119"/>
      <c r="F2359" s="119"/>
    </row>
    <row r="2360" spans="1:6" x14ac:dyDescent="0.35">
      <c r="A2360" s="107"/>
      <c r="B2360" s="123" t="s">
        <v>204</v>
      </c>
      <c r="C2360" s="124" t="s">
        <v>27</v>
      </c>
      <c r="D2360" s="124">
        <v>1</v>
      </c>
      <c r="E2360" s="117">
        <v>24000</v>
      </c>
      <c r="F2360" s="117">
        <f>D2360*E2360</f>
        <v>24000</v>
      </c>
    </row>
    <row r="2361" spans="1:6" x14ac:dyDescent="0.35">
      <c r="A2361" s="107"/>
      <c r="B2361" s="120" t="s">
        <v>910</v>
      </c>
      <c r="C2361" s="124" t="s">
        <v>59</v>
      </c>
      <c r="D2361" s="124">
        <v>20</v>
      </c>
      <c r="E2361" s="117">
        <v>1000</v>
      </c>
      <c r="F2361" s="117">
        <f>D2361*E2361</f>
        <v>20000</v>
      </c>
    </row>
    <row r="2362" spans="1:6" x14ac:dyDescent="0.35">
      <c r="A2362" s="107"/>
      <c r="B2362" s="108" t="s">
        <v>769</v>
      </c>
      <c r="C2362" s="109"/>
      <c r="D2362" s="124"/>
      <c r="E2362" s="117"/>
      <c r="F2362" s="110">
        <f>SUM(F2360:F2361)</f>
        <v>44000</v>
      </c>
    </row>
    <row r="2363" spans="1:6" x14ac:dyDescent="0.3">
      <c r="A2363" s="111"/>
      <c r="B2363" s="136" t="s">
        <v>808</v>
      </c>
      <c r="C2363" s="115"/>
      <c r="D2363" s="124"/>
      <c r="E2363" s="117"/>
      <c r="F2363" s="110"/>
    </row>
    <row r="2364" spans="1:6" x14ac:dyDescent="0.35">
      <c r="A2364" s="111"/>
      <c r="B2364" s="143" t="s">
        <v>915</v>
      </c>
      <c r="C2364" s="115" t="s">
        <v>772</v>
      </c>
      <c r="D2364" s="124">
        <v>0.01</v>
      </c>
      <c r="E2364" s="117">
        <v>7500</v>
      </c>
      <c r="F2364" s="117">
        <f>+D2364*E2364</f>
        <v>75</v>
      </c>
    </row>
    <row r="2365" spans="1:6" x14ac:dyDescent="0.25">
      <c r="A2365" s="111"/>
      <c r="B2365" s="134" t="s">
        <v>895</v>
      </c>
      <c r="C2365" s="115" t="s">
        <v>772</v>
      </c>
      <c r="D2365" s="124">
        <v>0.01</v>
      </c>
      <c r="E2365" s="117">
        <v>15000</v>
      </c>
      <c r="F2365" s="117">
        <f>+D2365*E2365</f>
        <v>150</v>
      </c>
    </row>
    <row r="2366" spans="1:6" x14ac:dyDescent="0.3">
      <c r="A2366" s="111"/>
      <c r="B2366" s="136" t="s">
        <v>774</v>
      </c>
      <c r="C2366" s="115"/>
      <c r="D2366" s="124"/>
      <c r="E2366" s="117"/>
      <c r="F2366" s="110">
        <f>SUM(F2364:F2365)</f>
        <v>225</v>
      </c>
    </row>
    <row r="2367" spans="1:6" x14ac:dyDescent="0.3">
      <c r="A2367" s="111"/>
      <c r="B2367" s="136" t="s">
        <v>775</v>
      </c>
      <c r="C2367" s="115"/>
      <c r="D2367" s="109"/>
      <c r="E2367" s="110"/>
      <c r="F2367" s="110">
        <f>+F2366+F2362</f>
        <v>44225</v>
      </c>
    </row>
    <row r="2368" spans="1:6" x14ac:dyDescent="0.25">
      <c r="A2368" s="111"/>
      <c r="B2368" s="134" t="s">
        <v>792</v>
      </c>
      <c r="C2368" s="115"/>
      <c r="D2368" s="124">
        <v>1.05</v>
      </c>
      <c r="E2368" s="110"/>
      <c r="F2368" s="117">
        <f>+F2367*D2368</f>
        <v>46436.25</v>
      </c>
    </row>
    <row r="2369" spans="1:6" x14ac:dyDescent="0.25">
      <c r="A2369" s="111"/>
      <c r="B2369" s="134" t="s">
        <v>848</v>
      </c>
      <c r="C2369" s="115"/>
      <c r="D2369" s="124">
        <v>1.05</v>
      </c>
      <c r="E2369" s="110"/>
      <c r="F2369" s="110"/>
    </row>
    <row r="2370" spans="1:6" x14ac:dyDescent="0.35">
      <c r="A2370" s="261" t="s">
        <v>723</v>
      </c>
      <c r="B2370" s="242" t="s">
        <v>784</v>
      </c>
      <c r="C2370" s="208" t="s">
        <v>27</v>
      </c>
      <c r="D2370" s="208"/>
      <c r="E2370" s="209"/>
      <c r="F2370" s="209">
        <f>+D2369*F2368</f>
        <v>48758.0625</v>
      </c>
    </row>
    <row r="2371" spans="1:6" x14ac:dyDescent="0.35">
      <c r="A2371" s="206"/>
      <c r="B2371" s="207"/>
      <c r="C2371" s="208"/>
      <c r="D2371" s="208"/>
      <c r="E2371" s="210">
        <f>+E2353</f>
        <v>3035.45</v>
      </c>
      <c r="F2371" s="210">
        <f>+F2370/E2371</f>
        <v>16.062877827010823</v>
      </c>
    </row>
    <row r="2372" spans="1:6" ht="12.5" x14ac:dyDescent="0.35">
      <c r="A2372" s="178"/>
      <c r="B2372" s="104"/>
      <c r="C2372" s="104"/>
      <c r="D2372" s="104"/>
      <c r="E2372" s="104"/>
      <c r="F2372" s="104"/>
    </row>
    <row r="2373" spans="1:6" ht="12.5" x14ac:dyDescent="0.35">
      <c r="A2373" s="178"/>
      <c r="B2373" s="104"/>
      <c r="C2373" s="104"/>
      <c r="D2373" s="104"/>
      <c r="E2373" s="104"/>
      <c r="F2373" s="104"/>
    </row>
    <row r="2374" spans="1:6" x14ac:dyDescent="0.3">
      <c r="A2374" s="257" t="s">
        <v>164</v>
      </c>
      <c r="B2374" s="258" t="s">
        <v>165</v>
      </c>
      <c r="C2374" s="200" t="s">
        <v>2</v>
      </c>
      <c r="D2374" s="202" t="s">
        <v>765</v>
      </c>
      <c r="E2374" s="203" t="s">
        <v>766</v>
      </c>
      <c r="F2374" s="203" t="s">
        <v>767</v>
      </c>
    </row>
    <row r="2375" spans="1:6" x14ac:dyDescent="0.3">
      <c r="A2375" s="237" t="s">
        <v>719</v>
      </c>
      <c r="B2375" s="231" t="s">
        <v>908</v>
      </c>
      <c r="C2375" s="256"/>
      <c r="D2375" s="141"/>
      <c r="E2375" s="110"/>
      <c r="F2375" s="110"/>
    </row>
    <row r="2376" spans="1:6" x14ac:dyDescent="0.3">
      <c r="A2376" s="239" t="s">
        <v>724</v>
      </c>
      <c r="B2376" s="254" t="s">
        <v>916</v>
      </c>
      <c r="C2376" s="256" t="s">
        <v>27</v>
      </c>
      <c r="D2376" s="124"/>
      <c r="E2376" s="117"/>
      <c r="F2376" s="117"/>
    </row>
    <row r="2377" spans="1:6" x14ac:dyDescent="0.35">
      <c r="A2377" s="111"/>
      <c r="B2377" s="112" t="s">
        <v>802</v>
      </c>
      <c r="C2377" s="118"/>
      <c r="D2377" s="118"/>
      <c r="E2377" s="119"/>
      <c r="F2377" s="119"/>
    </row>
    <row r="2378" spans="1:6" x14ac:dyDescent="0.25">
      <c r="A2378" s="107"/>
      <c r="B2378" s="263" t="s">
        <v>917</v>
      </c>
      <c r="C2378" s="124" t="s">
        <v>59</v>
      </c>
      <c r="D2378" s="124">
        <v>1</v>
      </c>
      <c r="E2378" s="117">
        <v>46000</v>
      </c>
      <c r="F2378" s="117">
        <f>D2378*E2378</f>
        <v>46000</v>
      </c>
    </row>
    <row r="2379" spans="1:6" x14ac:dyDescent="0.35">
      <c r="A2379" s="107"/>
      <c r="B2379" s="108" t="s">
        <v>769</v>
      </c>
      <c r="C2379" s="109"/>
      <c r="D2379" s="124"/>
      <c r="E2379" s="117"/>
      <c r="F2379" s="110">
        <f>SUM(F2378:F2378)</f>
        <v>46000</v>
      </c>
    </row>
    <row r="2380" spans="1:6" x14ac:dyDescent="0.3">
      <c r="A2380" s="111"/>
      <c r="B2380" s="136" t="s">
        <v>808</v>
      </c>
      <c r="C2380" s="115"/>
      <c r="D2380" s="124"/>
      <c r="E2380" s="117"/>
      <c r="F2380" s="110"/>
    </row>
    <row r="2381" spans="1:6" x14ac:dyDescent="0.25">
      <c r="A2381" s="111"/>
      <c r="B2381" s="134" t="s">
        <v>895</v>
      </c>
      <c r="C2381" s="115" t="s">
        <v>772</v>
      </c>
      <c r="D2381" s="124">
        <v>0.3</v>
      </c>
      <c r="E2381" s="117">
        <v>15000</v>
      </c>
      <c r="F2381" s="117">
        <f>+D2381*E2381</f>
        <v>4500</v>
      </c>
    </row>
    <row r="2382" spans="1:6" x14ac:dyDescent="0.35">
      <c r="A2382" s="111"/>
      <c r="B2382" s="143" t="s">
        <v>896</v>
      </c>
      <c r="C2382" s="115" t="s">
        <v>772</v>
      </c>
      <c r="D2382" s="124">
        <v>0.3</v>
      </c>
      <c r="E2382" s="117">
        <v>15000</v>
      </c>
      <c r="F2382" s="117">
        <f>+D2382*E2382</f>
        <v>4500</v>
      </c>
    </row>
    <row r="2383" spans="1:6" x14ac:dyDescent="0.3">
      <c r="A2383" s="111"/>
      <c r="B2383" s="136" t="s">
        <v>774</v>
      </c>
      <c r="C2383" s="115"/>
      <c r="D2383" s="124"/>
      <c r="E2383" s="117"/>
      <c r="F2383" s="110">
        <f>SUM(F2381:F2382)</f>
        <v>9000</v>
      </c>
    </row>
    <row r="2384" spans="1:6" x14ac:dyDescent="0.3">
      <c r="A2384" s="111"/>
      <c r="B2384" s="136" t="s">
        <v>775</v>
      </c>
      <c r="C2384" s="115"/>
      <c r="D2384" s="109"/>
      <c r="E2384" s="110"/>
      <c r="F2384" s="110">
        <f>+F2383+F2379</f>
        <v>55000</v>
      </c>
    </row>
    <row r="2385" spans="1:6" x14ac:dyDescent="0.25">
      <c r="A2385" s="111"/>
      <c r="B2385" s="134" t="s">
        <v>812</v>
      </c>
      <c r="C2385" s="115"/>
      <c r="D2385" s="124">
        <v>1.1499999999999999</v>
      </c>
      <c r="E2385" s="110"/>
      <c r="F2385" s="117">
        <f>+F2384*D2385</f>
        <v>63249.999999999993</v>
      </c>
    </row>
    <row r="2386" spans="1:6" x14ac:dyDescent="0.25">
      <c r="A2386" s="111"/>
      <c r="B2386" s="134" t="s">
        <v>813</v>
      </c>
      <c r="C2386" s="115"/>
      <c r="D2386" s="124">
        <v>1.1499999999999999</v>
      </c>
      <c r="E2386" s="110"/>
      <c r="F2386" s="110"/>
    </row>
    <row r="2387" spans="1:6" x14ac:dyDescent="0.35">
      <c r="A2387" s="261" t="s">
        <v>724</v>
      </c>
      <c r="B2387" s="242" t="s">
        <v>784</v>
      </c>
      <c r="C2387" s="208" t="s">
        <v>27</v>
      </c>
      <c r="D2387" s="208"/>
      <c r="E2387" s="209"/>
      <c r="F2387" s="209">
        <f>+D2386*F2385</f>
        <v>72737.499999999985</v>
      </c>
    </row>
    <row r="2388" spans="1:6" x14ac:dyDescent="0.35">
      <c r="A2388" s="206"/>
      <c r="B2388" s="207"/>
      <c r="C2388" s="208"/>
      <c r="D2388" s="208"/>
      <c r="E2388" s="210">
        <f>+E2371</f>
        <v>3035.45</v>
      </c>
      <c r="F2388" s="210">
        <f>+F2387/E2388</f>
        <v>23.962674397535782</v>
      </c>
    </row>
    <row r="2389" spans="1:6" ht="12.5" x14ac:dyDescent="0.35">
      <c r="A2389" s="178"/>
      <c r="B2389" s="104"/>
      <c r="C2389" s="104"/>
      <c r="D2389" s="104"/>
      <c r="E2389" s="104"/>
      <c r="F2389" s="104"/>
    </row>
    <row r="2390" spans="1:6" ht="12.5" x14ac:dyDescent="0.35">
      <c r="A2390" s="178"/>
      <c r="B2390" s="104"/>
      <c r="C2390" s="104"/>
      <c r="D2390" s="104"/>
      <c r="E2390" s="104"/>
      <c r="F2390" s="104"/>
    </row>
    <row r="2391" spans="1:6" x14ac:dyDescent="0.3">
      <c r="A2391" s="257" t="s">
        <v>164</v>
      </c>
      <c r="B2391" s="258" t="s">
        <v>165</v>
      </c>
      <c r="C2391" s="200" t="s">
        <v>2</v>
      </c>
      <c r="D2391" s="202" t="s">
        <v>765</v>
      </c>
      <c r="E2391" s="203" t="s">
        <v>766</v>
      </c>
      <c r="F2391" s="203" t="s">
        <v>767</v>
      </c>
    </row>
    <row r="2392" spans="1:6" x14ac:dyDescent="0.3">
      <c r="A2392" s="237" t="s">
        <v>719</v>
      </c>
      <c r="B2392" s="231" t="s">
        <v>908</v>
      </c>
      <c r="C2392" s="256"/>
      <c r="D2392" s="141"/>
      <c r="E2392" s="110"/>
      <c r="F2392" s="110"/>
    </row>
    <row r="2393" spans="1:6" x14ac:dyDescent="0.35">
      <c r="A2393" s="239" t="s">
        <v>1150</v>
      </c>
      <c r="B2393" s="214" t="s">
        <v>661</v>
      </c>
      <c r="C2393" s="256" t="s">
        <v>27</v>
      </c>
      <c r="D2393" s="124"/>
      <c r="E2393" s="117"/>
      <c r="F2393" s="117"/>
    </row>
    <row r="2394" spans="1:6" x14ac:dyDescent="0.35">
      <c r="A2394" s="111"/>
      <c r="B2394" s="112" t="s">
        <v>802</v>
      </c>
      <c r="C2394" s="118"/>
      <c r="D2394" s="118"/>
      <c r="E2394" s="119"/>
      <c r="F2394" s="119"/>
    </row>
    <row r="2395" spans="1:6" x14ac:dyDescent="0.25">
      <c r="A2395" s="107"/>
      <c r="B2395" s="263" t="s">
        <v>918</v>
      </c>
      <c r="C2395" s="124" t="s">
        <v>59</v>
      </c>
      <c r="D2395" s="124">
        <v>0.17</v>
      </c>
      <c r="E2395" s="117">
        <v>120000</v>
      </c>
      <c r="F2395" s="117">
        <f>D2395*E2395</f>
        <v>20400</v>
      </c>
    </row>
    <row r="2396" spans="1:6" x14ac:dyDescent="0.25">
      <c r="A2396" s="107"/>
      <c r="B2396" s="145" t="s">
        <v>919</v>
      </c>
      <c r="C2396" s="124"/>
      <c r="D2396" s="124"/>
      <c r="E2396" s="117"/>
      <c r="F2396" s="117">
        <f>+F2395*0.2</f>
        <v>4080</v>
      </c>
    </row>
    <row r="2397" spans="1:6" x14ac:dyDescent="0.35">
      <c r="A2397" s="107"/>
      <c r="B2397" s="108" t="s">
        <v>769</v>
      </c>
      <c r="C2397" s="109"/>
      <c r="D2397" s="124"/>
      <c r="E2397" s="117"/>
      <c r="F2397" s="110">
        <f>SUM(F2395:F2396)</f>
        <v>24480</v>
      </c>
    </row>
    <row r="2398" spans="1:6" x14ac:dyDescent="0.3">
      <c r="A2398" s="111"/>
      <c r="B2398" s="136" t="s">
        <v>808</v>
      </c>
      <c r="C2398" s="115"/>
      <c r="D2398" s="124"/>
      <c r="E2398" s="117"/>
      <c r="F2398" s="110"/>
    </row>
    <row r="2399" spans="1:6" x14ac:dyDescent="0.25">
      <c r="A2399" s="111"/>
      <c r="B2399" s="134" t="s">
        <v>920</v>
      </c>
      <c r="C2399" s="115" t="s">
        <v>772</v>
      </c>
      <c r="D2399" s="124">
        <v>1.25</v>
      </c>
      <c r="E2399" s="117">
        <v>15000</v>
      </c>
      <c r="F2399" s="117">
        <f>+D2399*E2399</f>
        <v>18750</v>
      </c>
    </row>
    <row r="2400" spans="1:6" x14ac:dyDescent="0.3">
      <c r="A2400" s="111"/>
      <c r="B2400" s="136" t="s">
        <v>774</v>
      </c>
      <c r="C2400" s="115"/>
      <c r="D2400" s="124"/>
      <c r="E2400" s="117"/>
      <c r="F2400" s="110">
        <f>SUM(F2399:F2399)</f>
        <v>18750</v>
      </c>
    </row>
    <row r="2401" spans="1:6" x14ac:dyDescent="0.3">
      <c r="A2401" s="111"/>
      <c r="B2401" s="136" t="s">
        <v>775</v>
      </c>
      <c r="C2401" s="115"/>
      <c r="D2401" s="109"/>
      <c r="E2401" s="110"/>
      <c r="F2401" s="110">
        <f>+F2400+F2397</f>
        <v>43230</v>
      </c>
    </row>
    <row r="2402" spans="1:6" x14ac:dyDescent="0.25">
      <c r="A2402" s="111"/>
      <c r="B2402" s="134" t="s">
        <v>792</v>
      </c>
      <c r="C2402" s="115"/>
      <c r="D2402" s="124">
        <v>1.05</v>
      </c>
      <c r="E2402" s="110"/>
      <c r="F2402" s="117">
        <f>+F2401*D2402</f>
        <v>45391.5</v>
      </c>
    </row>
    <row r="2403" spans="1:6" x14ac:dyDescent="0.25">
      <c r="A2403" s="111"/>
      <c r="B2403" s="134" t="s">
        <v>848</v>
      </c>
      <c r="C2403" s="115"/>
      <c r="D2403" s="124">
        <v>1.05</v>
      </c>
      <c r="E2403" s="110"/>
      <c r="F2403" s="110"/>
    </row>
    <row r="2404" spans="1:6" x14ac:dyDescent="0.35">
      <c r="A2404" s="261" t="s">
        <v>1150</v>
      </c>
      <c r="B2404" s="242" t="s">
        <v>784</v>
      </c>
      <c r="C2404" s="208" t="s">
        <v>27</v>
      </c>
      <c r="D2404" s="208"/>
      <c r="E2404" s="209"/>
      <c r="F2404" s="209">
        <f>+D2403*F2402</f>
        <v>47661.075000000004</v>
      </c>
    </row>
    <row r="2405" spans="1:6" x14ac:dyDescent="0.35">
      <c r="A2405" s="206"/>
      <c r="B2405" s="207"/>
      <c r="C2405" s="208"/>
      <c r="D2405" s="208"/>
      <c r="E2405" s="210">
        <f>+E2388</f>
        <v>3035.45</v>
      </c>
      <c r="F2405" s="210">
        <f>+F2404/E2405</f>
        <v>15.701485776408772</v>
      </c>
    </row>
    <row r="2406" spans="1:6" ht="12.5" x14ac:dyDescent="0.35">
      <c r="A2406" s="178"/>
      <c r="B2406" s="104"/>
      <c r="C2406" s="104"/>
      <c r="D2406" s="104"/>
      <c r="E2406" s="104"/>
      <c r="F2406" s="104"/>
    </row>
    <row r="2407" spans="1:6" ht="12.5" x14ac:dyDescent="0.35">
      <c r="A2407" s="178"/>
      <c r="B2407" s="104"/>
      <c r="C2407" s="104"/>
      <c r="D2407" s="104"/>
      <c r="E2407" s="104"/>
      <c r="F2407" s="104"/>
    </row>
    <row r="2408" spans="1:6" x14ac:dyDescent="0.3">
      <c r="A2408" s="257" t="s">
        <v>164</v>
      </c>
      <c r="B2408" s="258" t="s">
        <v>165</v>
      </c>
      <c r="C2408" s="200" t="s">
        <v>2</v>
      </c>
      <c r="D2408" s="202" t="s">
        <v>765</v>
      </c>
      <c r="E2408" s="203" t="s">
        <v>766</v>
      </c>
      <c r="F2408" s="203" t="s">
        <v>767</v>
      </c>
    </row>
    <row r="2409" spans="1:6" x14ac:dyDescent="0.3">
      <c r="A2409" s="237" t="s">
        <v>719</v>
      </c>
      <c r="B2409" s="231" t="s">
        <v>908</v>
      </c>
      <c r="C2409" s="256"/>
      <c r="D2409" s="141"/>
      <c r="E2409" s="110"/>
      <c r="F2409" s="110"/>
    </row>
    <row r="2410" spans="1:6" x14ac:dyDescent="0.3">
      <c r="A2410" s="239" t="s">
        <v>1151</v>
      </c>
      <c r="B2410" s="235" t="s">
        <v>192</v>
      </c>
      <c r="C2410" s="256" t="s">
        <v>27</v>
      </c>
      <c r="D2410" s="124"/>
      <c r="E2410" s="117"/>
      <c r="F2410" s="117"/>
    </row>
    <row r="2411" spans="1:6" x14ac:dyDescent="0.35">
      <c r="A2411" s="111"/>
      <c r="B2411" s="112" t="s">
        <v>802</v>
      </c>
      <c r="C2411" s="118"/>
      <c r="D2411" s="118"/>
      <c r="E2411" s="119"/>
      <c r="F2411" s="119"/>
    </row>
    <row r="2412" spans="1:6" x14ac:dyDescent="0.25">
      <c r="A2412" s="107"/>
      <c r="B2412" s="263" t="s">
        <v>1152</v>
      </c>
      <c r="C2412" s="124" t="s">
        <v>59</v>
      </c>
      <c r="D2412" s="124">
        <v>0.17</v>
      </c>
      <c r="E2412" s="117">
        <v>120000</v>
      </c>
      <c r="F2412" s="117">
        <f>D2412*E2412</f>
        <v>20400</v>
      </c>
    </row>
    <row r="2413" spans="1:6" x14ac:dyDescent="0.25">
      <c r="A2413" s="107"/>
      <c r="B2413" s="145" t="s">
        <v>919</v>
      </c>
      <c r="C2413" s="124"/>
      <c r="D2413" s="124"/>
      <c r="E2413" s="117"/>
      <c r="F2413" s="117">
        <f>+F2412*0.2</f>
        <v>4080</v>
      </c>
    </row>
    <row r="2414" spans="1:6" x14ac:dyDescent="0.35">
      <c r="A2414" s="107"/>
      <c r="B2414" s="108" t="s">
        <v>769</v>
      </c>
      <c r="C2414" s="109"/>
      <c r="D2414" s="124"/>
      <c r="E2414" s="117"/>
      <c r="F2414" s="110">
        <f>SUM(F2412:F2413)</f>
        <v>24480</v>
      </c>
    </row>
    <row r="2415" spans="1:6" x14ac:dyDescent="0.3">
      <c r="A2415" s="111"/>
      <c r="B2415" s="136" t="s">
        <v>808</v>
      </c>
      <c r="C2415" s="115"/>
      <c r="D2415" s="124"/>
      <c r="E2415" s="117"/>
      <c r="F2415" s="110"/>
    </row>
    <row r="2416" spans="1:6" x14ac:dyDescent="0.25">
      <c r="A2416" s="111"/>
      <c r="B2416" s="134" t="s">
        <v>920</v>
      </c>
      <c r="C2416" s="115" t="s">
        <v>772</v>
      </c>
      <c r="D2416" s="124">
        <v>1.25</v>
      </c>
      <c r="E2416" s="117">
        <v>15000</v>
      </c>
      <c r="F2416" s="117">
        <f>+D2416*E2416</f>
        <v>18750</v>
      </c>
    </row>
    <row r="2417" spans="1:6" x14ac:dyDescent="0.3">
      <c r="A2417" s="111"/>
      <c r="B2417" s="136" t="s">
        <v>774</v>
      </c>
      <c r="C2417" s="115"/>
      <c r="D2417" s="124"/>
      <c r="E2417" s="117"/>
      <c r="F2417" s="110">
        <f>SUM(F2416:F2416)</f>
        <v>18750</v>
      </c>
    </row>
    <row r="2418" spans="1:6" x14ac:dyDescent="0.3">
      <c r="A2418" s="111"/>
      <c r="B2418" s="136" t="s">
        <v>775</v>
      </c>
      <c r="C2418" s="115"/>
      <c r="D2418" s="109"/>
      <c r="E2418" s="110"/>
      <c r="F2418" s="110">
        <f>+F2417+F2414</f>
        <v>43230</v>
      </c>
    </row>
    <row r="2419" spans="1:6" x14ac:dyDescent="0.25">
      <c r="A2419" s="111"/>
      <c r="B2419" s="134" t="s">
        <v>792</v>
      </c>
      <c r="C2419" s="115"/>
      <c r="D2419" s="124">
        <v>1.1000000000000001</v>
      </c>
      <c r="E2419" s="110"/>
      <c r="F2419" s="117">
        <f>+F2418*D2419</f>
        <v>47553.000000000007</v>
      </c>
    </row>
    <row r="2420" spans="1:6" x14ac:dyDescent="0.25">
      <c r="A2420" s="111"/>
      <c r="B2420" s="134" t="s">
        <v>848</v>
      </c>
      <c r="C2420" s="115"/>
      <c r="D2420" s="124">
        <v>1.1000000000000001</v>
      </c>
      <c r="E2420" s="110"/>
      <c r="F2420" s="110"/>
    </row>
    <row r="2421" spans="1:6" x14ac:dyDescent="0.35">
      <c r="A2421" s="261" t="s">
        <v>1151</v>
      </c>
      <c r="B2421" s="242" t="s">
        <v>784</v>
      </c>
      <c r="C2421" s="208" t="s">
        <v>27</v>
      </c>
      <c r="D2421" s="208"/>
      <c r="E2421" s="209"/>
      <c r="F2421" s="209">
        <f>+D2420*F2419</f>
        <v>52308.30000000001</v>
      </c>
    </row>
    <row r="2422" spans="1:6" x14ac:dyDescent="0.35">
      <c r="A2422" s="206"/>
      <c r="B2422" s="207"/>
      <c r="C2422" s="208"/>
      <c r="D2422" s="208"/>
      <c r="E2422" s="210">
        <f>+E2405</f>
        <v>3035.45</v>
      </c>
      <c r="F2422" s="210">
        <f>+F2421/E2422</f>
        <v>17.23246965029897</v>
      </c>
    </row>
    <row r="2423" spans="1:6" ht="12.5" x14ac:dyDescent="0.35">
      <c r="A2423" s="178"/>
      <c r="B2423" s="104"/>
      <c r="C2423" s="104"/>
      <c r="D2423" s="104"/>
      <c r="E2423" s="104"/>
      <c r="F2423" s="104"/>
    </row>
    <row r="2424" spans="1:6" ht="12.5" x14ac:dyDescent="0.35">
      <c r="A2424" s="178"/>
      <c r="B2424" s="104"/>
      <c r="C2424" s="104"/>
      <c r="D2424" s="104"/>
      <c r="E2424" s="104"/>
      <c r="F2424" s="104"/>
    </row>
    <row r="2425" spans="1:6" x14ac:dyDescent="0.3">
      <c r="A2425" s="257" t="s">
        <v>207</v>
      </c>
      <c r="B2425" s="258" t="s">
        <v>208</v>
      </c>
      <c r="C2425" s="200" t="s">
        <v>2</v>
      </c>
      <c r="D2425" s="202" t="s">
        <v>765</v>
      </c>
      <c r="E2425" s="203" t="s">
        <v>766</v>
      </c>
      <c r="F2425" s="203" t="s">
        <v>767</v>
      </c>
    </row>
    <row r="2426" spans="1:6" x14ac:dyDescent="0.35">
      <c r="A2426" s="237" t="s">
        <v>209</v>
      </c>
      <c r="B2426" s="265" t="s">
        <v>636</v>
      </c>
      <c r="C2426" s="256"/>
      <c r="D2426" s="141"/>
      <c r="E2426" s="110"/>
      <c r="F2426" s="110"/>
    </row>
    <row r="2427" spans="1:6" x14ac:dyDescent="0.35">
      <c r="A2427" s="239" t="s">
        <v>211</v>
      </c>
      <c r="B2427" s="205" t="s">
        <v>212</v>
      </c>
      <c r="C2427" s="256" t="s">
        <v>27</v>
      </c>
      <c r="D2427" s="124"/>
      <c r="E2427" s="117"/>
      <c r="F2427" s="117"/>
    </row>
    <row r="2428" spans="1:6" x14ac:dyDescent="0.35">
      <c r="A2428" s="111"/>
      <c r="B2428" s="112" t="s">
        <v>922</v>
      </c>
      <c r="C2428" s="118"/>
      <c r="D2428" s="118"/>
      <c r="E2428" s="119"/>
      <c r="F2428" s="119"/>
    </row>
    <row r="2429" spans="1:6" x14ac:dyDescent="0.35">
      <c r="A2429" s="111"/>
      <c r="B2429" s="120" t="s">
        <v>923</v>
      </c>
      <c r="C2429" s="115"/>
      <c r="D2429" s="116"/>
      <c r="E2429" s="117"/>
      <c r="F2429" s="119"/>
    </row>
    <row r="2430" spans="1:6" x14ac:dyDescent="0.35">
      <c r="A2430" s="111"/>
      <c r="B2430" s="120" t="s">
        <v>924</v>
      </c>
      <c r="C2430" s="115" t="s">
        <v>38</v>
      </c>
      <c r="D2430" s="116">
        <v>0.01</v>
      </c>
      <c r="E2430" s="117">
        <v>55000</v>
      </c>
      <c r="F2430" s="119">
        <f>D2430*E2430</f>
        <v>550</v>
      </c>
    </row>
    <row r="2431" spans="1:6" x14ac:dyDescent="0.35">
      <c r="A2431" s="111"/>
      <c r="B2431" s="120" t="s">
        <v>925</v>
      </c>
      <c r="C2431" s="115" t="s">
        <v>38</v>
      </c>
      <c r="D2431" s="116">
        <v>0.04</v>
      </c>
      <c r="E2431" s="117">
        <v>16000</v>
      </c>
      <c r="F2431" s="119">
        <f>D2431*E2431</f>
        <v>640</v>
      </c>
    </row>
    <row r="2432" spans="1:6" x14ac:dyDescent="0.35">
      <c r="A2432" s="111"/>
      <c r="B2432" s="120" t="s">
        <v>926</v>
      </c>
      <c r="C2432" s="115" t="s">
        <v>38</v>
      </c>
      <c r="D2432" s="116"/>
      <c r="E2432" s="117"/>
      <c r="F2432" s="119">
        <f>D2432*E2432</f>
        <v>0</v>
      </c>
    </row>
    <row r="2433" spans="1:6" x14ac:dyDescent="0.35">
      <c r="A2433" s="111"/>
      <c r="B2433" s="120" t="s">
        <v>927</v>
      </c>
      <c r="C2433" s="115" t="s">
        <v>804</v>
      </c>
      <c r="D2433" s="116">
        <v>0.13</v>
      </c>
      <c r="E2433" s="117">
        <v>51000</v>
      </c>
      <c r="F2433" s="119">
        <f>D2433*E2433</f>
        <v>6630</v>
      </c>
    </row>
    <row r="2434" spans="1:6" x14ac:dyDescent="0.35">
      <c r="A2434" s="111"/>
      <c r="B2434" s="120" t="s">
        <v>928</v>
      </c>
      <c r="C2434" s="115"/>
      <c r="D2434" s="116"/>
      <c r="E2434" s="117"/>
      <c r="F2434" s="119"/>
    </row>
    <row r="2435" spans="1:6" x14ac:dyDescent="0.35">
      <c r="A2435" s="111"/>
      <c r="B2435" s="120" t="s">
        <v>929</v>
      </c>
      <c r="C2435" s="115" t="s">
        <v>38</v>
      </c>
      <c r="D2435" s="116">
        <v>0.2</v>
      </c>
      <c r="E2435" s="117">
        <v>55000</v>
      </c>
      <c r="F2435" s="119">
        <f>D2435*E2435</f>
        <v>11000</v>
      </c>
    </row>
    <row r="2436" spans="1:6" x14ac:dyDescent="0.35">
      <c r="A2436" s="111"/>
      <c r="B2436" s="120" t="s">
        <v>930</v>
      </c>
      <c r="C2436" s="115" t="s">
        <v>38</v>
      </c>
      <c r="D2436" s="116">
        <v>0.65</v>
      </c>
      <c r="E2436" s="117">
        <v>135000</v>
      </c>
      <c r="F2436" s="119">
        <f>D2436*E2436</f>
        <v>87750</v>
      </c>
    </row>
    <row r="2437" spans="1:6" x14ac:dyDescent="0.35">
      <c r="A2437" s="111"/>
      <c r="B2437" s="120" t="s">
        <v>926</v>
      </c>
      <c r="C2437" s="115" t="s">
        <v>38</v>
      </c>
      <c r="D2437" s="116"/>
      <c r="E2437" s="117"/>
      <c r="F2437" s="119">
        <f>D2437*E2437</f>
        <v>0</v>
      </c>
    </row>
    <row r="2438" spans="1:6" x14ac:dyDescent="0.35">
      <c r="A2438" s="111"/>
      <c r="B2438" s="120" t="s">
        <v>927</v>
      </c>
      <c r="C2438" s="115" t="s">
        <v>804</v>
      </c>
      <c r="D2438" s="116">
        <v>0.6</v>
      </c>
      <c r="E2438" s="117">
        <v>51000</v>
      </c>
      <c r="F2438" s="119">
        <f>D2438*E2438</f>
        <v>30600</v>
      </c>
    </row>
    <row r="2439" spans="1:6" x14ac:dyDescent="0.35">
      <c r="A2439" s="111"/>
      <c r="B2439" s="120" t="s">
        <v>931</v>
      </c>
      <c r="C2439" s="115"/>
      <c r="D2439" s="116"/>
      <c r="E2439" s="117"/>
      <c r="F2439" s="119"/>
    </row>
    <row r="2440" spans="1:6" x14ac:dyDescent="0.35">
      <c r="A2440" s="111"/>
      <c r="B2440" s="120" t="s">
        <v>929</v>
      </c>
      <c r="C2440" s="115" t="s">
        <v>38</v>
      </c>
      <c r="D2440" s="116">
        <v>5.0000000000000001E-3</v>
      </c>
      <c r="E2440" s="117">
        <v>65000</v>
      </c>
      <c r="F2440" s="119">
        <f>D2440*E2440</f>
        <v>325</v>
      </c>
    </row>
    <row r="2441" spans="1:6" x14ac:dyDescent="0.35">
      <c r="A2441" s="111"/>
      <c r="B2441" s="120" t="s">
        <v>926</v>
      </c>
      <c r="C2441" s="115" t="s">
        <v>38</v>
      </c>
      <c r="D2441" s="116"/>
      <c r="E2441" s="117"/>
      <c r="F2441" s="119"/>
    </row>
    <row r="2442" spans="1:6" x14ac:dyDescent="0.35">
      <c r="A2442" s="111"/>
      <c r="B2442" s="120" t="s">
        <v>927</v>
      </c>
      <c r="C2442" s="115" t="s">
        <v>804</v>
      </c>
      <c r="D2442" s="116">
        <v>0.15</v>
      </c>
      <c r="E2442" s="117">
        <v>51000</v>
      </c>
      <c r="F2442" s="119">
        <f>D2442*E2442</f>
        <v>7650</v>
      </c>
    </row>
    <row r="2443" spans="1:6" x14ac:dyDescent="0.35">
      <c r="A2443" s="111"/>
      <c r="B2443" s="120" t="s">
        <v>932</v>
      </c>
      <c r="C2443" s="115"/>
      <c r="D2443" s="116"/>
      <c r="E2443" s="117"/>
      <c r="F2443" s="119"/>
    </row>
    <row r="2444" spans="1:6" x14ac:dyDescent="0.35">
      <c r="A2444" s="111"/>
      <c r="B2444" s="120" t="s">
        <v>929</v>
      </c>
      <c r="C2444" s="115" t="s">
        <v>38</v>
      </c>
      <c r="D2444" s="116">
        <v>5.0000000000000001E-3</v>
      </c>
      <c r="E2444" s="117">
        <v>65000</v>
      </c>
      <c r="F2444" s="119">
        <f>D2444*E2444</f>
        <v>325</v>
      </c>
    </row>
    <row r="2445" spans="1:6" x14ac:dyDescent="0.35">
      <c r="A2445" s="111"/>
      <c r="B2445" s="120" t="s">
        <v>926</v>
      </c>
      <c r="C2445" s="115" t="s">
        <v>38</v>
      </c>
      <c r="D2445" s="116"/>
      <c r="E2445" s="117"/>
      <c r="F2445" s="119"/>
    </row>
    <row r="2446" spans="1:6" x14ac:dyDescent="0.35">
      <c r="A2446" s="111"/>
      <c r="B2446" s="120" t="s">
        <v>927</v>
      </c>
      <c r="C2446" s="115" t="s">
        <v>804</v>
      </c>
      <c r="D2446" s="116">
        <v>5.0000000000000001E-3</v>
      </c>
      <c r="E2446" s="117">
        <v>51000</v>
      </c>
      <c r="F2446" s="119">
        <f>D2446*E2446</f>
        <v>255</v>
      </c>
    </row>
    <row r="2447" spans="1:6" x14ac:dyDescent="0.35">
      <c r="A2447" s="111"/>
      <c r="B2447" s="120" t="s">
        <v>933</v>
      </c>
      <c r="C2447" s="115"/>
      <c r="D2447" s="116"/>
      <c r="E2447" s="117"/>
      <c r="F2447" s="119"/>
    </row>
    <row r="2448" spans="1:6" x14ac:dyDescent="0.35">
      <c r="A2448" s="111"/>
      <c r="B2448" s="120" t="s">
        <v>929</v>
      </c>
      <c r="C2448" s="115" t="s">
        <v>38</v>
      </c>
      <c r="D2448" s="116">
        <v>6.0000000000000001E-3</v>
      </c>
      <c r="E2448" s="117">
        <v>65000</v>
      </c>
      <c r="F2448" s="119">
        <f>D2448*E2448</f>
        <v>390</v>
      </c>
    </row>
    <row r="2449" spans="1:6" x14ac:dyDescent="0.35">
      <c r="A2449" s="111"/>
      <c r="B2449" s="120" t="s">
        <v>926</v>
      </c>
      <c r="C2449" s="115" t="s">
        <v>38</v>
      </c>
      <c r="D2449" s="116"/>
      <c r="E2449" s="117"/>
      <c r="F2449" s="119">
        <f>D2449*E2449</f>
        <v>0</v>
      </c>
    </row>
    <row r="2450" spans="1:6" x14ac:dyDescent="0.35">
      <c r="A2450" s="111"/>
      <c r="B2450" s="120" t="s">
        <v>927</v>
      </c>
      <c r="C2450" s="115" t="s">
        <v>804</v>
      </c>
      <c r="D2450" s="116">
        <v>0.05</v>
      </c>
      <c r="E2450" s="117">
        <v>51000</v>
      </c>
      <c r="F2450" s="119">
        <f>D2450*E2450</f>
        <v>2550</v>
      </c>
    </row>
    <row r="2451" spans="1:6" x14ac:dyDescent="0.35">
      <c r="A2451" s="107"/>
      <c r="B2451" s="108" t="s">
        <v>769</v>
      </c>
      <c r="C2451" s="109"/>
      <c r="D2451" s="124"/>
      <c r="E2451" s="117"/>
      <c r="F2451" s="110">
        <f>SUM(F2430:F2450)</f>
        <v>148665</v>
      </c>
    </row>
    <row r="2452" spans="1:6" x14ac:dyDescent="0.3">
      <c r="A2452" s="111"/>
      <c r="B2452" s="136" t="s">
        <v>808</v>
      </c>
      <c r="C2452" s="115"/>
      <c r="D2452" s="124"/>
      <c r="E2452" s="117"/>
      <c r="F2452" s="110"/>
    </row>
    <row r="2453" spans="1:6" x14ac:dyDescent="0.25">
      <c r="A2453" s="111"/>
      <c r="B2453" s="134" t="s">
        <v>820</v>
      </c>
      <c r="C2453" s="115" t="s">
        <v>772</v>
      </c>
      <c r="D2453" s="124">
        <v>0.45</v>
      </c>
      <c r="E2453" s="117">
        <v>7500</v>
      </c>
      <c r="F2453" s="117">
        <f>+D2453*E2453</f>
        <v>3375</v>
      </c>
    </row>
    <row r="2454" spans="1:6" x14ac:dyDescent="0.25">
      <c r="A2454" s="111"/>
      <c r="B2454" s="134" t="s">
        <v>821</v>
      </c>
      <c r="C2454" s="115" t="s">
        <v>772</v>
      </c>
      <c r="D2454" s="124">
        <v>0.45</v>
      </c>
      <c r="E2454" s="117">
        <v>7500</v>
      </c>
      <c r="F2454" s="117">
        <f>+D2454*E2454</f>
        <v>3375</v>
      </c>
    </row>
    <row r="2455" spans="1:6" x14ac:dyDescent="0.25">
      <c r="A2455" s="111"/>
      <c r="B2455" s="134" t="s">
        <v>851</v>
      </c>
      <c r="C2455" s="115" t="s">
        <v>772</v>
      </c>
      <c r="D2455" s="124">
        <v>0.45</v>
      </c>
      <c r="E2455" s="117">
        <v>15000</v>
      </c>
      <c r="F2455" s="117">
        <f>+D2455*E2455</f>
        <v>6750</v>
      </c>
    </row>
    <row r="2456" spans="1:6" x14ac:dyDescent="0.3">
      <c r="A2456" s="111"/>
      <c r="B2456" s="136" t="s">
        <v>774</v>
      </c>
      <c r="C2456" s="115"/>
      <c r="D2456" s="124"/>
      <c r="E2456" s="117"/>
      <c r="F2456" s="110">
        <f>SUM(F2453:F2455)</f>
        <v>13500</v>
      </c>
    </row>
    <row r="2457" spans="1:6" x14ac:dyDescent="0.3">
      <c r="A2457" s="111"/>
      <c r="B2457" s="136" t="s">
        <v>775</v>
      </c>
      <c r="C2457" s="115"/>
      <c r="D2457" s="109"/>
      <c r="E2457" s="110"/>
      <c r="F2457" s="110">
        <f>+F2456+F2451</f>
        <v>162165</v>
      </c>
    </row>
    <row r="2458" spans="1:6" x14ac:dyDescent="0.25">
      <c r="A2458" s="111"/>
      <c r="B2458" s="134" t="s">
        <v>824</v>
      </c>
      <c r="C2458" s="115"/>
      <c r="D2458" s="124">
        <v>1.1000000000000001</v>
      </c>
      <c r="E2458" s="110"/>
      <c r="F2458" s="117">
        <f>+F2457*D2458</f>
        <v>178381.5</v>
      </c>
    </row>
    <row r="2459" spans="1:6" x14ac:dyDescent="0.25">
      <c r="A2459" s="111"/>
      <c r="B2459" s="134" t="s">
        <v>813</v>
      </c>
      <c r="C2459" s="115"/>
      <c r="D2459" s="124">
        <v>1.1499999999999999</v>
      </c>
      <c r="E2459" s="110"/>
      <c r="F2459" s="110"/>
    </row>
    <row r="2460" spans="1:6" x14ac:dyDescent="0.35">
      <c r="A2460" s="261" t="s">
        <v>211</v>
      </c>
      <c r="B2460" s="242" t="s">
        <v>784</v>
      </c>
      <c r="C2460" s="208" t="s">
        <v>27</v>
      </c>
      <c r="D2460" s="208"/>
      <c r="E2460" s="209"/>
      <c r="F2460" s="209">
        <f>+D2459*F2458</f>
        <v>205138.72499999998</v>
      </c>
    </row>
    <row r="2461" spans="1:6" x14ac:dyDescent="0.35">
      <c r="A2461" s="206"/>
      <c r="B2461" s="207"/>
      <c r="C2461" s="208"/>
      <c r="D2461" s="208"/>
      <c r="E2461" s="210">
        <f>+E2422</f>
        <v>3035.45</v>
      </c>
      <c r="F2461" s="210">
        <f>+F2460/E2461</f>
        <v>67.580992933502444</v>
      </c>
    </row>
    <row r="2462" spans="1:6" ht="12.5" x14ac:dyDescent="0.35">
      <c r="A2462" s="178"/>
      <c r="B2462" s="104"/>
      <c r="C2462" s="104"/>
      <c r="D2462" s="104"/>
      <c r="E2462" s="104"/>
      <c r="F2462" s="104"/>
    </row>
    <row r="2463" spans="1:6" ht="12.5" x14ac:dyDescent="0.35">
      <c r="A2463" s="178"/>
      <c r="B2463" s="104"/>
      <c r="C2463" s="104"/>
      <c r="D2463" s="104"/>
      <c r="E2463" s="104"/>
      <c r="F2463" s="104"/>
    </row>
    <row r="2464" spans="1:6" x14ac:dyDescent="0.3">
      <c r="A2464" s="257" t="s">
        <v>207</v>
      </c>
      <c r="B2464" s="258" t="s">
        <v>208</v>
      </c>
      <c r="C2464" s="200" t="s">
        <v>2</v>
      </c>
      <c r="D2464" s="202" t="s">
        <v>765</v>
      </c>
      <c r="E2464" s="203" t="s">
        <v>766</v>
      </c>
      <c r="F2464" s="203" t="s">
        <v>767</v>
      </c>
    </row>
    <row r="2465" spans="1:6" x14ac:dyDescent="0.35">
      <c r="A2465" s="237" t="s">
        <v>209</v>
      </c>
      <c r="B2465" s="265" t="s">
        <v>636</v>
      </c>
      <c r="C2465" s="256"/>
      <c r="D2465" s="141"/>
      <c r="E2465" s="110"/>
      <c r="F2465" s="110"/>
    </row>
    <row r="2466" spans="1:6" x14ac:dyDescent="0.35">
      <c r="A2466" s="239" t="s">
        <v>213</v>
      </c>
      <c r="B2466" s="205" t="s">
        <v>934</v>
      </c>
      <c r="C2466" s="256" t="s">
        <v>27</v>
      </c>
      <c r="D2466" s="124"/>
      <c r="E2466" s="117"/>
      <c r="F2466" s="117"/>
    </row>
    <row r="2467" spans="1:6" x14ac:dyDescent="0.35">
      <c r="A2467" s="111"/>
      <c r="B2467" s="112" t="s">
        <v>922</v>
      </c>
      <c r="C2467" s="118"/>
      <c r="D2467" s="118"/>
      <c r="E2467" s="119"/>
      <c r="F2467" s="119"/>
    </row>
    <row r="2468" spans="1:6" x14ac:dyDescent="0.35">
      <c r="A2468" s="111"/>
      <c r="B2468" s="120" t="s">
        <v>923</v>
      </c>
      <c r="C2468" s="115"/>
      <c r="D2468" s="116"/>
      <c r="E2468" s="117"/>
      <c r="F2468" s="119"/>
    </row>
    <row r="2469" spans="1:6" x14ac:dyDescent="0.35">
      <c r="A2469" s="111"/>
      <c r="B2469" s="120" t="s">
        <v>924</v>
      </c>
      <c r="C2469" s="115" t="s">
        <v>38</v>
      </c>
      <c r="D2469" s="116">
        <v>1.7999999999999999E-2</v>
      </c>
      <c r="E2469" s="117">
        <v>55000</v>
      </c>
      <c r="F2469" s="119">
        <f>D2469*E2469</f>
        <v>989.99999999999989</v>
      </c>
    </row>
    <row r="2470" spans="1:6" x14ac:dyDescent="0.35">
      <c r="A2470" s="111"/>
      <c r="B2470" s="120" t="s">
        <v>925</v>
      </c>
      <c r="C2470" s="115" t="s">
        <v>38</v>
      </c>
      <c r="D2470" s="116">
        <v>0.05</v>
      </c>
      <c r="E2470" s="117">
        <v>16000</v>
      </c>
      <c r="F2470" s="119">
        <f t="shared" ref="F2470:F2489" si="17">D2470*E2470</f>
        <v>800</v>
      </c>
    </row>
    <row r="2471" spans="1:6" x14ac:dyDescent="0.35">
      <c r="A2471" s="111"/>
      <c r="B2471" s="120" t="s">
        <v>926</v>
      </c>
      <c r="C2471" s="115" t="s">
        <v>38</v>
      </c>
      <c r="D2471" s="116">
        <v>0.04</v>
      </c>
      <c r="E2471" s="117">
        <v>1000</v>
      </c>
      <c r="F2471" s="119">
        <f t="shared" si="17"/>
        <v>40</v>
      </c>
    </row>
    <row r="2472" spans="1:6" x14ac:dyDescent="0.35">
      <c r="A2472" s="111"/>
      <c r="B2472" s="120" t="s">
        <v>927</v>
      </c>
      <c r="C2472" s="115" t="s">
        <v>804</v>
      </c>
      <c r="D2472" s="116">
        <v>0.17</v>
      </c>
      <c r="E2472" s="117">
        <v>51000</v>
      </c>
      <c r="F2472" s="119">
        <f t="shared" si="17"/>
        <v>8670</v>
      </c>
    </row>
    <row r="2473" spans="1:6" x14ac:dyDescent="0.35">
      <c r="A2473" s="111"/>
      <c r="B2473" s="120" t="s">
        <v>928</v>
      </c>
      <c r="C2473" s="115"/>
      <c r="D2473" s="116"/>
      <c r="E2473" s="117"/>
      <c r="F2473" s="119"/>
    </row>
    <row r="2474" spans="1:6" x14ac:dyDescent="0.35">
      <c r="A2474" s="111"/>
      <c r="B2474" s="120" t="s">
        <v>929</v>
      </c>
      <c r="C2474" s="115" t="s">
        <v>38</v>
      </c>
      <c r="D2474" s="116">
        <v>0.26</v>
      </c>
      <c r="E2474" s="117">
        <v>55000</v>
      </c>
      <c r="F2474" s="119">
        <f t="shared" si="17"/>
        <v>14300</v>
      </c>
    </row>
    <row r="2475" spans="1:6" x14ac:dyDescent="0.35">
      <c r="A2475" s="111"/>
      <c r="B2475" s="120" t="s">
        <v>930</v>
      </c>
      <c r="C2475" s="115" t="s">
        <v>38</v>
      </c>
      <c r="D2475" s="116">
        <v>0.87</v>
      </c>
      <c r="E2475" s="117">
        <v>135000</v>
      </c>
      <c r="F2475" s="119">
        <f t="shared" si="17"/>
        <v>117450</v>
      </c>
    </row>
    <row r="2476" spans="1:6" x14ac:dyDescent="0.35">
      <c r="A2476" s="111"/>
      <c r="B2476" s="120" t="s">
        <v>926</v>
      </c>
      <c r="C2476" s="115" t="s">
        <v>38</v>
      </c>
      <c r="D2476" s="116">
        <v>0.04</v>
      </c>
      <c r="E2476" s="117">
        <v>1000</v>
      </c>
      <c r="F2476" s="119">
        <f t="shared" si="17"/>
        <v>40</v>
      </c>
    </row>
    <row r="2477" spans="1:6" x14ac:dyDescent="0.35">
      <c r="A2477" s="111"/>
      <c r="B2477" s="120" t="s">
        <v>927</v>
      </c>
      <c r="C2477" s="115" t="s">
        <v>804</v>
      </c>
      <c r="D2477" s="116">
        <v>0.8</v>
      </c>
      <c r="E2477" s="117">
        <v>51000</v>
      </c>
      <c r="F2477" s="119">
        <f t="shared" si="17"/>
        <v>40800</v>
      </c>
    </row>
    <row r="2478" spans="1:6" x14ac:dyDescent="0.35">
      <c r="A2478" s="111"/>
      <c r="B2478" s="120" t="s">
        <v>931</v>
      </c>
      <c r="C2478" s="115"/>
      <c r="D2478" s="116"/>
      <c r="E2478" s="117"/>
      <c r="F2478" s="119"/>
    </row>
    <row r="2479" spans="1:6" x14ac:dyDescent="0.35">
      <c r="A2479" s="111"/>
      <c r="B2479" s="120" t="s">
        <v>929</v>
      </c>
      <c r="C2479" s="115" t="s">
        <v>38</v>
      </c>
      <c r="D2479" s="116">
        <v>5.0000000000000001E-3</v>
      </c>
      <c r="E2479" s="117">
        <v>65000</v>
      </c>
      <c r="F2479" s="119">
        <f t="shared" si="17"/>
        <v>325</v>
      </c>
    </row>
    <row r="2480" spans="1:6" x14ac:dyDescent="0.35">
      <c r="A2480" s="111"/>
      <c r="B2480" s="120" t="s">
        <v>926</v>
      </c>
      <c r="C2480" s="115" t="s">
        <v>38</v>
      </c>
      <c r="D2480" s="116">
        <v>8.0000000000000002E-3</v>
      </c>
      <c r="E2480" s="117">
        <v>1000</v>
      </c>
      <c r="F2480" s="119">
        <f t="shared" si="17"/>
        <v>8</v>
      </c>
    </row>
    <row r="2481" spans="1:6" x14ac:dyDescent="0.35">
      <c r="A2481" s="111"/>
      <c r="B2481" s="120" t="s">
        <v>927</v>
      </c>
      <c r="C2481" s="115" t="s">
        <v>804</v>
      </c>
      <c r="D2481" s="116">
        <v>0.2</v>
      </c>
      <c r="E2481" s="117">
        <v>51000</v>
      </c>
      <c r="F2481" s="119">
        <f t="shared" si="17"/>
        <v>10200</v>
      </c>
    </row>
    <row r="2482" spans="1:6" x14ac:dyDescent="0.35">
      <c r="A2482" s="111"/>
      <c r="B2482" s="120" t="s">
        <v>932</v>
      </c>
      <c r="C2482" s="115"/>
      <c r="D2482" s="116"/>
      <c r="E2482" s="117"/>
      <c r="F2482" s="119"/>
    </row>
    <row r="2483" spans="1:6" x14ac:dyDescent="0.35">
      <c r="A2483" s="111"/>
      <c r="B2483" s="120" t="s">
        <v>929</v>
      </c>
      <c r="C2483" s="115" t="s">
        <v>38</v>
      </c>
      <c r="D2483" s="116">
        <v>5.0000000000000001E-3</v>
      </c>
      <c r="E2483" s="117">
        <v>65000</v>
      </c>
      <c r="F2483" s="119">
        <f t="shared" si="17"/>
        <v>325</v>
      </c>
    </row>
    <row r="2484" spans="1:6" x14ac:dyDescent="0.35">
      <c r="A2484" s="111"/>
      <c r="B2484" s="120" t="s">
        <v>926</v>
      </c>
      <c r="C2484" s="115" t="s">
        <v>38</v>
      </c>
      <c r="D2484" s="116">
        <v>8.0000000000000002E-3</v>
      </c>
      <c r="E2484" s="117">
        <v>1000</v>
      </c>
      <c r="F2484" s="119">
        <f t="shared" si="17"/>
        <v>8</v>
      </c>
    </row>
    <row r="2485" spans="1:6" x14ac:dyDescent="0.35">
      <c r="A2485" s="111"/>
      <c r="B2485" s="120" t="s">
        <v>927</v>
      </c>
      <c r="C2485" s="115" t="s">
        <v>804</v>
      </c>
      <c r="D2485" s="116">
        <v>5.0000000000000001E-3</v>
      </c>
      <c r="E2485" s="117">
        <v>51000</v>
      </c>
      <c r="F2485" s="119">
        <f t="shared" si="17"/>
        <v>255</v>
      </c>
    </row>
    <row r="2486" spans="1:6" x14ac:dyDescent="0.35">
      <c r="A2486" s="111"/>
      <c r="B2486" s="120" t="s">
        <v>933</v>
      </c>
      <c r="C2486" s="115"/>
      <c r="D2486" s="116"/>
      <c r="E2486" s="117"/>
      <c r="F2486" s="119"/>
    </row>
    <row r="2487" spans="1:6" x14ac:dyDescent="0.35">
      <c r="A2487" s="111"/>
      <c r="B2487" s="120" t="s">
        <v>929</v>
      </c>
      <c r="C2487" s="115" t="s">
        <v>38</v>
      </c>
      <c r="D2487" s="116">
        <v>6.0000000000000001E-3</v>
      </c>
      <c r="E2487" s="117">
        <v>65000</v>
      </c>
      <c r="F2487" s="119">
        <f t="shared" si="17"/>
        <v>390</v>
      </c>
    </row>
    <row r="2488" spans="1:6" x14ac:dyDescent="0.35">
      <c r="A2488" s="111"/>
      <c r="B2488" s="120" t="s">
        <v>926</v>
      </c>
      <c r="C2488" s="115" t="s">
        <v>38</v>
      </c>
      <c r="D2488" s="116">
        <v>0.01</v>
      </c>
      <c r="E2488" s="117">
        <v>1000</v>
      </c>
      <c r="F2488" s="119">
        <f t="shared" si="17"/>
        <v>10</v>
      </c>
    </row>
    <row r="2489" spans="1:6" x14ac:dyDescent="0.35">
      <c r="A2489" s="111"/>
      <c r="B2489" s="120" t="s">
        <v>927</v>
      </c>
      <c r="C2489" s="115" t="s">
        <v>804</v>
      </c>
      <c r="D2489" s="116">
        <v>0.06</v>
      </c>
      <c r="E2489" s="117">
        <v>51000</v>
      </c>
      <c r="F2489" s="119">
        <f t="shared" si="17"/>
        <v>3060</v>
      </c>
    </row>
    <row r="2490" spans="1:6" x14ac:dyDescent="0.35">
      <c r="A2490" s="107"/>
      <c r="B2490" s="108" t="s">
        <v>769</v>
      </c>
      <c r="C2490" s="109"/>
      <c r="D2490" s="124"/>
      <c r="E2490" s="117"/>
      <c r="F2490" s="110">
        <f>SUM(F2469:F2489)</f>
        <v>197671</v>
      </c>
    </row>
    <row r="2491" spans="1:6" x14ac:dyDescent="0.3">
      <c r="A2491" s="111"/>
      <c r="B2491" s="136" t="s">
        <v>808</v>
      </c>
      <c r="C2491" s="115"/>
      <c r="D2491" s="124"/>
      <c r="E2491" s="117"/>
      <c r="F2491" s="110"/>
    </row>
    <row r="2492" spans="1:6" x14ac:dyDescent="0.25">
      <c r="A2492" s="111"/>
      <c r="B2492" s="134" t="s">
        <v>820</v>
      </c>
      <c r="C2492" s="115" t="s">
        <v>772</v>
      </c>
      <c r="D2492" s="124">
        <v>0.45</v>
      </c>
      <c r="E2492" s="117">
        <v>7500</v>
      </c>
      <c r="F2492" s="117">
        <f>+D2492*E2492</f>
        <v>3375</v>
      </c>
    </row>
    <row r="2493" spans="1:6" x14ac:dyDescent="0.25">
      <c r="A2493" s="111"/>
      <c r="B2493" s="134" t="s">
        <v>821</v>
      </c>
      <c r="C2493" s="115" t="s">
        <v>772</v>
      </c>
      <c r="D2493" s="124">
        <v>0.45</v>
      </c>
      <c r="E2493" s="117">
        <v>7500</v>
      </c>
      <c r="F2493" s="117">
        <f>+D2493*E2493</f>
        <v>3375</v>
      </c>
    </row>
    <row r="2494" spans="1:6" x14ac:dyDescent="0.25">
      <c r="A2494" s="111"/>
      <c r="B2494" s="134" t="s">
        <v>851</v>
      </c>
      <c r="C2494" s="115" t="s">
        <v>772</v>
      </c>
      <c r="D2494" s="124">
        <v>0.45</v>
      </c>
      <c r="E2494" s="117">
        <v>15000</v>
      </c>
      <c r="F2494" s="117">
        <f>+D2494*E2494</f>
        <v>6750</v>
      </c>
    </row>
    <row r="2495" spans="1:6" x14ac:dyDescent="0.3">
      <c r="A2495" s="111"/>
      <c r="B2495" s="136" t="s">
        <v>774</v>
      </c>
      <c r="C2495" s="115"/>
      <c r="D2495" s="124"/>
      <c r="E2495" s="117"/>
      <c r="F2495" s="110">
        <f>SUM(F2492:F2494)</f>
        <v>13500</v>
      </c>
    </row>
    <row r="2496" spans="1:6" x14ac:dyDescent="0.3">
      <c r="A2496" s="111"/>
      <c r="B2496" s="136" t="s">
        <v>775</v>
      </c>
      <c r="C2496" s="115"/>
      <c r="D2496" s="109"/>
      <c r="E2496" s="110"/>
      <c r="F2496" s="110">
        <f>+F2495+F2490</f>
        <v>211171</v>
      </c>
    </row>
    <row r="2497" spans="1:6" x14ac:dyDescent="0.25">
      <c r="A2497" s="111"/>
      <c r="B2497" s="134" t="s">
        <v>812</v>
      </c>
      <c r="C2497" s="115"/>
      <c r="D2497" s="124">
        <v>1.1499999999999999</v>
      </c>
      <c r="E2497" s="110"/>
      <c r="F2497" s="117">
        <f>+F2496*D2497</f>
        <v>242846.65</v>
      </c>
    </row>
    <row r="2498" spans="1:6" x14ac:dyDescent="0.25">
      <c r="A2498" s="111"/>
      <c r="B2498" s="134" t="s">
        <v>813</v>
      </c>
      <c r="C2498" s="115"/>
      <c r="D2498" s="124">
        <v>1.1499999999999999</v>
      </c>
      <c r="E2498" s="110"/>
      <c r="F2498" s="110"/>
    </row>
    <row r="2499" spans="1:6" x14ac:dyDescent="0.35">
      <c r="A2499" s="261" t="s">
        <v>213</v>
      </c>
      <c r="B2499" s="242" t="s">
        <v>784</v>
      </c>
      <c r="C2499" s="208" t="s">
        <v>27</v>
      </c>
      <c r="D2499" s="208"/>
      <c r="E2499" s="209"/>
      <c r="F2499" s="209">
        <f>+D2498*F2497</f>
        <v>279273.64749999996</v>
      </c>
    </row>
    <row r="2500" spans="1:6" x14ac:dyDescent="0.35">
      <c r="A2500" s="206"/>
      <c r="B2500" s="207"/>
      <c r="C2500" s="208"/>
      <c r="D2500" s="208"/>
      <c r="E2500" s="210">
        <f>+E2461</f>
        <v>3035.45</v>
      </c>
      <c r="F2500" s="210">
        <f>+F2499/E2500</f>
        <v>92.004034821855072</v>
      </c>
    </row>
    <row r="2501" spans="1:6" ht="12.5" x14ac:dyDescent="0.35">
      <c r="A2501" s="178"/>
      <c r="B2501" s="104"/>
      <c r="C2501" s="104"/>
      <c r="D2501" s="104"/>
      <c r="E2501" s="104"/>
      <c r="F2501" s="104"/>
    </row>
    <row r="2502" spans="1:6" ht="12.5" x14ac:dyDescent="0.35">
      <c r="A2502" s="178"/>
      <c r="B2502" s="104"/>
      <c r="C2502" s="104"/>
      <c r="D2502" s="104"/>
      <c r="E2502" s="104"/>
      <c r="F2502" s="104"/>
    </row>
    <row r="2503" spans="1:6" x14ac:dyDescent="0.3">
      <c r="A2503" s="257" t="s">
        <v>207</v>
      </c>
      <c r="B2503" s="258" t="s">
        <v>208</v>
      </c>
      <c r="C2503" s="200" t="s">
        <v>2</v>
      </c>
      <c r="D2503" s="202" t="s">
        <v>765</v>
      </c>
      <c r="E2503" s="203" t="s">
        <v>766</v>
      </c>
      <c r="F2503" s="203" t="s">
        <v>767</v>
      </c>
    </row>
    <row r="2504" spans="1:6" x14ac:dyDescent="0.35">
      <c r="A2504" s="237" t="s">
        <v>209</v>
      </c>
      <c r="B2504" s="265" t="s">
        <v>636</v>
      </c>
      <c r="C2504" s="256"/>
      <c r="D2504" s="141"/>
      <c r="E2504" s="110"/>
      <c r="F2504" s="110"/>
    </row>
    <row r="2505" spans="1:6" x14ac:dyDescent="0.35">
      <c r="A2505" s="239" t="s">
        <v>214</v>
      </c>
      <c r="B2505" s="205" t="s">
        <v>935</v>
      </c>
      <c r="C2505" s="256" t="s">
        <v>27</v>
      </c>
      <c r="D2505" s="124"/>
      <c r="E2505" s="117"/>
      <c r="F2505" s="117"/>
    </row>
    <row r="2506" spans="1:6" x14ac:dyDescent="0.35">
      <c r="A2506" s="111"/>
      <c r="B2506" s="112" t="s">
        <v>922</v>
      </c>
      <c r="C2506" s="118"/>
      <c r="D2506" s="118"/>
      <c r="E2506" s="119"/>
      <c r="F2506" s="119"/>
    </row>
    <row r="2507" spans="1:6" x14ac:dyDescent="0.35">
      <c r="A2507" s="111"/>
      <c r="B2507" s="120" t="s">
        <v>923</v>
      </c>
      <c r="C2507" s="115"/>
      <c r="D2507" s="116"/>
      <c r="E2507" s="117"/>
      <c r="F2507" s="119"/>
    </row>
    <row r="2508" spans="1:6" x14ac:dyDescent="0.35">
      <c r="A2508" s="111"/>
      <c r="B2508" s="120" t="s">
        <v>924</v>
      </c>
      <c r="C2508" s="115" t="s">
        <v>38</v>
      </c>
      <c r="D2508" s="116">
        <v>1.7999999999999999E-2</v>
      </c>
      <c r="E2508" s="117">
        <v>55000</v>
      </c>
      <c r="F2508" s="119">
        <f>D2508*E2508</f>
        <v>989.99999999999989</v>
      </c>
    </row>
    <row r="2509" spans="1:6" x14ac:dyDescent="0.35">
      <c r="A2509" s="111"/>
      <c r="B2509" s="120" t="s">
        <v>925</v>
      </c>
      <c r="C2509" s="115" t="s">
        <v>38</v>
      </c>
      <c r="D2509" s="116">
        <v>0.05</v>
      </c>
      <c r="E2509" s="117">
        <v>16000</v>
      </c>
      <c r="F2509" s="119">
        <f>D2509*E2509</f>
        <v>800</v>
      </c>
    </row>
    <row r="2510" spans="1:6" x14ac:dyDescent="0.35">
      <c r="A2510" s="111"/>
      <c r="B2510" s="120" t="s">
        <v>926</v>
      </c>
      <c r="C2510" s="115" t="s">
        <v>38</v>
      </c>
      <c r="D2510" s="116">
        <v>0.04</v>
      </c>
      <c r="E2510" s="117">
        <v>1000</v>
      </c>
      <c r="F2510" s="119">
        <f>D2510*E2510</f>
        <v>40</v>
      </c>
    </row>
    <row r="2511" spans="1:6" x14ac:dyDescent="0.35">
      <c r="A2511" s="111"/>
      <c r="B2511" s="120" t="s">
        <v>927</v>
      </c>
      <c r="C2511" s="115" t="s">
        <v>804</v>
      </c>
      <c r="D2511" s="116">
        <v>0.17</v>
      </c>
      <c r="E2511" s="117">
        <v>51000</v>
      </c>
      <c r="F2511" s="119">
        <f>D2511*E2511</f>
        <v>8670</v>
      </c>
    </row>
    <row r="2512" spans="1:6" x14ac:dyDescent="0.35">
      <c r="A2512" s="111"/>
      <c r="B2512" s="120" t="s">
        <v>928</v>
      </c>
      <c r="C2512" s="115"/>
      <c r="D2512" s="116"/>
      <c r="E2512" s="117"/>
      <c r="F2512" s="119"/>
    </row>
    <row r="2513" spans="1:6" x14ac:dyDescent="0.35">
      <c r="A2513" s="111"/>
      <c r="B2513" s="120" t="s">
        <v>929</v>
      </c>
      <c r="C2513" s="115" t="s">
        <v>38</v>
      </c>
      <c r="D2513" s="116">
        <v>0.26</v>
      </c>
      <c r="E2513" s="117">
        <v>55000</v>
      </c>
      <c r="F2513" s="119">
        <f>D2513*E2513</f>
        <v>14300</v>
      </c>
    </row>
    <row r="2514" spans="1:6" x14ac:dyDescent="0.35">
      <c r="A2514" s="111"/>
      <c r="B2514" s="120" t="s">
        <v>930</v>
      </c>
      <c r="C2514" s="115" t="s">
        <v>38</v>
      </c>
      <c r="D2514" s="116">
        <v>0.87</v>
      </c>
      <c r="E2514" s="117">
        <v>135000</v>
      </c>
      <c r="F2514" s="119">
        <f>D2514*E2514</f>
        <v>117450</v>
      </c>
    </row>
    <row r="2515" spans="1:6" x14ac:dyDescent="0.35">
      <c r="A2515" s="111"/>
      <c r="B2515" s="120" t="s">
        <v>926</v>
      </c>
      <c r="C2515" s="115" t="s">
        <v>38</v>
      </c>
      <c r="D2515" s="116">
        <v>0.04</v>
      </c>
      <c r="E2515" s="117">
        <v>1000</v>
      </c>
      <c r="F2515" s="119">
        <f>D2515*E2515</f>
        <v>40</v>
      </c>
    </row>
    <row r="2516" spans="1:6" x14ac:dyDescent="0.35">
      <c r="A2516" s="111"/>
      <c r="B2516" s="120" t="s">
        <v>927</v>
      </c>
      <c r="C2516" s="115" t="s">
        <v>804</v>
      </c>
      <c r="D2516" s="116">
        <v>0.8</v>
      </c>
      <c r="E2516" s="117">
        <v>51000</v>
      </c>
      <c r="F2516" s="119">
        <f>D2516*E2516</f>
        <v>40800</v>
      </c>
    </row>
    <row r="2517" spans="1:6" x14ac:dyDescent="0.35">
      <c r="A2517" s="111"/>
      <c r="B2517" s="120" t="s">
        <v>931</v>
      </c>
      <c r="C2517" s="115"/>
      <c r="D2517" s="116"/>
      <c r="E2517" s="117"/>
      <c r="F2517" s="119"/>
    </row>
    <row r="2518" spans="1:6" x14ac:dyDescent="0.35">
      <c r="A2518" s="111"/>
      <c r="B2518" s="120" t="s">
        <v>929</v>
      </c>
      <c r="C2518" s="115" t="s">
        <v>38</v>
      </c>
      <c r="D2518" s="116">
        <v>5.0000000000000001E-3</v>
      </c>
      <c r="E2518" s="117">
        <v>65000</v>
      </c>
      <c r="F2518" s="119">
        <f>D2518*E2518</f>
        <v>325</v>
      </c>
    </row>
    <row r="2519" spans="1:6" x14ac:dyDescent="0.35">
      <c r="A2519" s="111"/>
      <c r="B2519" s="120" t="s">
        <v>926</v>
      </c>
      <c r="C2519" s="115" t="s">
        <v>38</v>
      </c>
      <c r="D2519" s="116">
        <v>8.0000000000000002E-3</v>
      </c>
      <c r="E2519" s="117">
        <v>1000</v>
      </c>
      <c r="F2519" s="119">
        <f>D2519*E2519</f>
        <v>8</v>
      </c>
    </row>
    <row r="2520" spans="1:6" x14ac:dyDescent="0.35">
      <c r="A2520" s="111"/>
      <c r="B2520" s="120" t="s">
        <v>927</v>
      </c>
      <c r="C2520" s="115" t="s">
        <v>804</v>
      </c>
      <c r="D2520" s="116">
        <v>0.2</v>
      </c>
      <c r="E2520" s="117">
        <v>51000</v>
      </c>
      <c r="F2520" s="119">
        <f>D2520*E2520</f>
        <v>10200</v>
      </c>
    </row>
    <row r="2521" spans="1:6" x14ac:dyDescent="0.35">
      <c r="A2521" s="111"/>
      <c r="B2521" s="120" t="s">
        <v>932</v>
      </c>
      <c r="C2521" s="115"/>
      <c r="D2521" s="116"/>
      <c r="E2521" s="117"/>
      <c r="F2521" s="119"/>
    </row>
    <row r="2522" spans="1:6" x14ac:dyDescent="0.35">
      <c r="A2522" s="111"/>
      <c r="B2522" s="120" t="s">
        <v>929</v>
      </c>
      <c r="C2522" s="115" t="s">
        <v>38</v>
      </c>
      <c r="D2522" s="116">
        <v>5.0000000000000001E-3</v>
      </c>
      <c r="E2522" s="117">
        <v>65000</v>
      </c>
      <c r="F2522" s="119">
        <f>D2522*E2522</f>
        <v>325</v>
      </c>
    </row>
    <row r="2523" spans="1:6" x14ac:dyDescent="0.35">
      <c r="A2523" s="111"/>
      <c r="B2523" s="120" t="s">
        <v>926</v>
      </c>
      <c r="C2523" s="115" t="s">
        <v>38</v>
      </c>
      <c r="D2523" s="116">
        <v>8.0000000000000002E-3</v>
      </c>
      <c r="E2523" s="117">
        <v>1000</v>
      </c>
      <c r="F2523" s="119"/>
    </row>
    <row r="2524" spans="1:6" x14ac:dyDescent="0.35">
      <c r="A2524" s="111"/>
      <c r="B2524" s="120" t="s">
        <v>927</v>
      </c>
      <c r="C2524" s="115" t="s">
        <v>804</v>
      </c>
      <c r="D2524" s="116">
        <v>5.0000000000000001E-3</v>
      </c>
      <c r="E2524" s="117">
        <v>51000</v>
      </c>
      <c r="F2524" s="119">
        <f>D2524*E2524</f>
        <v>255</v>
      </c>
    </row>
    <row r="2525" spans="1:6" x14ac:dyDescent="0.35">
      <c r="A2525" s="111"/>
      <c r="B2525" s="120" t="s">
        <v>933</v>
      </c>
      <c r="C2525" s="115"/>
      <c r="D2525" s="116"/>
      <c r="E2525" s="117"/>
      <c r="F2525" s="119"/>
    </row>
    <row r="2526" spans="1:6" x14ac:dyDescent="0.35">
      <c r="A2526" s="111"/>
      <c r="B2526" s="120" t="s">
        <v>929</v>
      </c>
      <c r="C2526" s="115" t="s">
        <v>38</v>
      </c>
      <c r="D2526" s="116">
        <v>6.0000000000000001E-3</v>
      </c>
      <c r="E2526" s="117">
        <v>65000</v>
      </c>
      <c r="F2526" s="119">
        <f>D2526*E2526</f>
        <v>390</v>
      </c>
    </row>
    <row r="2527" spans="1:6" x14ac:dyDescent="0.35">
      <c r="A2527" s="111"/>
      <c r="B2527" s="120" t="s">
        <v>926</v>
      </c>
      <c r="C2527" s="115" t="s">
        <v>38</v>
      </c>
      <c r="D2527" s="116">
        <v>0.01</v>
      </c>
      <c r="E2527" s="117">
        <v>1000</v>
      </c>
      <c r="F2527" s="119">
        <f>D2527*E2527</f>
        <v>10</v>
      </c>
    </row>
    <row r="2528" spans="1:6" x14ac:dyDescent="0.35">
      <c r="A2528" s="111"/>
      <c r="B2528" s="120" t="s">
        <v>927</v>
      </c>
      <c r="C2528" s="115" t="s">
        <v>804</v>
      </c>
      <c r="D2528" s="116">
        <v>0.06</v>
      </c>
      <c r="E2528" s="117">
        <v>51000</v>
      </c>
      <c r="F2528" s="119">
        <f>D2528*E2528</f>
        <v>3060</v>
      </c>
    </row>
    <row r="2529" spans="1:6" x14ac:dyDescent="0.35">
      <c r="A2529" s="107"/>
      <c r="B2529" s="108" t="s">
        <v>769</v>
      </c>
      <c r="C2529" s="109"/>
      <c r="D2529" s="124"/>
      <c r="E2529" s="117"/>
      <c r="F2529" s="110">
        <f>SUM(F2508:F2528)</f>
        <v>197663</v>
      </c>
    </row>
    <row r="2530" spans="1:6" x14ac:dyDescent="0.3">
      <c r="A2530" s="111"/>
      <c r="B2530" s="136" t="s">
        <v>808</v>
      </c>
      <c r="C2530" s="115"/>
      <c r="D2530" s="124"/>
      <c r="E2530" s="117"/>
      <c r="F2530" s="110"/>
    </row>
    <row r="2531" spans="1:6" x14ac:dyDescent="0.25">
      <c r="A2531" s="111"/>
      <c r="B2531" s="134" t="s">
        <v>820</v>
      </c>
      <c r="C2531" s="115" t="s">
        <v>772</v>
      </c>
      <c r="D2531" s="124">
        <v>1.45</v>
      </c>
      <c r="E2531" s="117">
        <v>7500</v>
      </c>
      <c r="F2531" s="117">
        <f>+D2531*E2531</f>
        <v>10875</v>
      </c>
    </row>
    <row r="2532" spans="1:6" x14ac:dyDescent="0.25">
      <c r="A2532" s="111"/>
      <c r="B2532" s="134" t="s">
        <v>821</v>
      </c>
      <c r="C2532" s="115" t="s">
        <v>772</v>
      </c>
      <c r="D2532" s="124">
        <v>1.45</v>
      </c>
      <c r="E2532" s="117">
        <v>7500</v>
      </c>
      <c r="F2532" s="117">
        <f>+D2532*E2532</f>
        <v>10875</v>
      </c>
    </row>
    <row r="2533" spans="1:6" x14ac:dyDescent="0.25">
      <c r="A2533" s="111"/>
      <c r="B2533" s="134" t="s">
        <v>851</v>
      </c>
      <c r="C2533" s="115" t="s">
        <v>772</v>
      </c>
      <c r="D2533" s="124">
        <v>1.45</v>
      </c>
      <c r="E2533" s="117">
        <v>15000</v>
      </c>
      <c r="F2533" s="117">
        <f>+D2533*E2533</f>
        <v>21750</v>
      </c>
    </row>
    <row r="2534" spans="1:6" x14ac:dyDescent="0.3">
      <c r="A2534" s="111"/>
      <c r="B2534" s="136" t="s">
        <v>774</v>
      </c>
      <c r="C2534" s="115"/>
      <c r="D2534" s="124"/>
      <c r="E2534" s="117"/>
      <c r="F2534" s="110">
        <f>SUM(F2531:F2533)</f>
        <v>43500</v>
      </c>
    </row>
    <row r="2535" spans="1:6" x14ac:dyDescent="0.3">
      <c r="A2535" s="111"/>
      <c r="B2535" s="136" t="s">
        <v>775</v>
      </c>
      <c r="C2535" s="115"/>
      <c r="D2535" s="109"/>
      <c r="E2535" s="110"/>
      <c r="F2535" s="110">
        <f>+F2534+F2529</f>
        <v>241163</v>
      </c>
    </row>
    <row r="2536" spans="1:6" x14ac:dyDescent="0.25">
      <c r="A2536" s="111"/>
      <c r="B2536" s="134" t="s">
        <v>936</v>
      </c>
      <c r="C2536" s="115"/>
      <c r="D2536" s="124">
        <v>1.2</v>
      </c>
      <c r="E2536" s="110"/>
      <c r="F2536" s="117">
        <f>+F2535*D2536</f>
        <v>289395.59999999998</v>
      </c>
    </row>
    <row r="2537" spans="1:6" x14ac:dyDescent="0.25">
      <c r="A2537" s="111"/>
      <c r="B2537" s="134" t="s">
        <v>835</v>
      </c>
      <c r="C2537" s="115"/>
      <c r="D2537" s="124">
        <v>1.25</v>
      </c>
      <c r="E2537" s="110"/>
      <c r="F2537" s="110"/>
    </row>
    <row r="2538" spans="1:6" x14ac:dyDescent="0.35">
      <c r="A2538" s="261" t="s">
        <v>214</v>
      </c>
      <c r="B2538" s="242" t="s">
        <v>784</v>
      </c>
      <c r="C2538" s="208" t="s">
        <v>27</v>
      </c>
      <c r="D2538" s="208"/>
      <c r="E2538" s="209"/>
      <c r="F2538" s="209">
        <f>+D2537*F2536</f>
        <v>361744.5</v>
      </c>
    </row>
    <row r="2539" spans="1:6" x14ac:dyDescent="0.35">
      <c r="A2539" s="206"/>
      <c r="B2539" s="207"/>
      <c r="C2539" s="208"/>
      <c r="D2539" s="208"/>
      <c r="E2539" s="210">
        <f>+E2500</f>
        <v>3035.45</v>
      </c>
      <c r="F2539" s="210">
        <f>+F2538/E2539</f>
        <v>119.17326920225997</v>
      </c>
    </row>
    <row r="2540" spans="1:6" x14ac:dyDescent="0.35">
      <c r="A2540" s="126"/>
      <c r="B2540" s="127"/>
      <c r="C2540" s="128"/>
      <c r="D2540" s="128"/>
      <c r="E2540" s="129"/>
      <c r="F2540" s="129"/>
    </row>
    <row r="2541" spans="1:6" x14ac:dyDescent="0.35">
      <c r="A2541" s="105"/>
      <c r="B2541" s="106"/>
      <c r="C2541" s="101"/>
      <c r="D2541" s="101"/>
      <c r="E2541" s="102"/>
      <c r="F2541" s="102"/>
    </row>
    <row r="2542" spans="1:6" x14ac:dyDescent="0.3">
      <c r="A2542" s="257" t="s">
        <v>207</v>
      </c>
      <c r="B2542" s="258" t="s">
        <v>208</v>
      </c>
      <c r="C2542" s="200" t="s">
        <v>2</v>
      </c>
      <c r="D2542" s="202" t="s">
        <v>765</v>
      </c>
      <c r="E2542" s="203" t="s">
        <v>766</v>
      </c>
      <c r="F2542" s="203" t="s">
        <v>767</v>
      </c>
    </row>
    <row r="2543" spans="1:6" x14ac:dyDescent="0.35">
      <c r="A2543" s="237" t="s">
        <v>209</v>
      </c>
      <c r="B2543" s="265" t="s">
        <v>636</v>
      </c>
      <c r="C2543" s="256"/>
      <c r="D2543" s="141"/>
      <c r="E2543" s="110"/>
      <c r="F2543" s="110"/>
    </row>
    <row r="2544" spans="1:6" x14ac:dyDescent="0.35">
      <c r="A2544" s="239" t="s">
        <v>215</v>
      </c>
      <c r="B2544" s="205" t="s">
        <v>1153</v>
      </c>
      <c r="C2544" s="256" t="s">
        <v>27</v>
      </c>
      <c r="D2544" s="124"/>
      <c r="E2544" s="117"/>
      <c r="F2544" s="117"/>
    </row>
    <row r="2545" spans="1:6" x14ac:dyDescent="0.35">
      <c r="A2545" s="111"/>
      <c r="B2545" s="112" t="s">
        <v>922</v>
      </c>
      <c r="C2545" s="118"/>
      <c r="D2545" s="118"/>
      <c r="E2545" s="119"/>
      <c r="F2545" s="119"/>
    </row>
    <row r="2546" spans="1:6" x14ac:dyDescent="0.35">
      <c r="A2546" s="111"/>
      <c r="B2546" s="120" t="s">
        <v>923</v>
      </c>
      <c r="C2546" s="115"/>
      <c r="D2546" s="116"/>
      <c r="E2546" s="117"/>
      <c r="F2546" s="119"/>
    </row>
    <row r="2547" spans="1:6" x14ac:dyDescent="0.35">
      <c r="A2547" s="111"/>
      <c r="B2547" s="120" t="s">
        <v>924</v>
      </c>
      <c r="C2547" s="115" t="s">
        <v>38</v>
      </c>
      <c r="D2547" s="116">
        <v>1.7999999999999999E-2</v>
      </c>
      <c r="E2547" s="117">
        <v>55000</v>
      </c>
      <c r="F2547" s="119">
        <f>D2547*E2547</f>
        <v>989.99999999999989</v>
      </c>
    </row>
    <row r="2548" spans="1:6" x14ac:dyDescent="0.35">
      <c r="A2548" s="111"/>
      <c r="B2548" s="120" t="s">
        <v>925</v>
      </c>
      <c r="C2548" s="115" t="s">
        <v>38</v>
      </c>
      <c r="D2548" s="116">
        <v>0.05</v>
      </c>
      <c r="E2548" s="117">
        <v>16000</v>
      </c>
      <c r="F2548" s="119">
        <f>D2548*E2548</f>
        <v>800</v>
      </c>
    </row>
    <row r="2549" spans="1:6" x14ac:dyDescent="0.35">
      <c r="A2549" s="111"/>
      <c r="B2549" s="120" t="s">
        <v>926</v>
      </c>
      <c r="C2549" s="115" t="s">
        <v>38</v>
      </c>
      <c r="D2549" s="116">
        <v>0.04</v>
      </c>
      <c r="E2549" s="117">
        <v>1000</v>
      </c>
      <c r="F2549" s="119">
        <f>D2549*E2549</f>
        <v>40</v>
      </c>
    </row>
    <row r="2550" spans="1:6" x14ac:dyDescent="0.35">
      <c r="A2550" s="111"/>
      <c r="B2550" s="120" t="s">
        <v>927</v>
      </c>
      <c r="C2550" s="115" t="s">
        <v>804</v>
      </c>
      <c r="D2550" s="116">
        <v>0.17</v>
      </c>
      <c r="E2550" s="117">
        <v>51000</v>
      </c>
      <c r="F2550" s="119">
        <f>D2550*E2550</f>
        <v>8670</v>
      </c>
    </row>
    <row r="2551" spans="1:6" x14ac:dyDescent="0.35">
      <c r="A2551" s="111"/>
      <c r="B2551" s="120" t="s">
        <v>928</v>
      </c>
      <c r="C2551" s="115"/>
      <c r="D2551" s="116"/>
      <c r="E2551" s="117"/>
      <c r="F2551" s="119"/>
    </row>
    <row r="2552" spans="1:6" x14ac:dyDescent="0.35">
      <c r="A2552" s="111"/>
      <c r="B2552" s="120" t="s">
        <v>929</v>
      </c>
      <c r="C2552" s="115" t="s">
        <v>38</v>
      </c>
      <c r="D2552" s="116">
        <v>0.26</v>
      </c>
      <c r="E2552" s="117">
        <v>55000</v>
      </c>
      <c r="F2552" s="119">
        <f>D2552*E2552</f>
        <v>14300</v>
      </c>
    </row>
    <row r="2553" spans="1:6" x14ac:dyDescent="0.35">
      <c r="A2553" s="111"/>
      <c r="B2553" s="120" t="s">
        <v>930</v>
      </c>
      <c r="C2553" s="115" t="s">
        <v>38</v>
      </c>
      <c r="D2553" s="116">
        <v>0.87</v>
      </c>
      <c r="E2553" s="117">
        <v>135000</v>
      </c>
      <c r="F2553" s="119">
        <f>D2553*E2553</f>
        <v>117450</v>
      </c>
    </row>
    <row r="2554" spans="1:6" x14ac:dyDescent="0.35">
      <c r="A2554" s="111"/>
      <c r="B2554" s="120" t="s">
        <v>926</v>
      </c>
      <c r="C2554" s="115" t="s">
        <v>38</v>
      </c>
      <c r="D2554" s="116">
        <v>0.04</v>
      </c>
      <c r="E2554" s="117">
        <v>1000</v>
      </c>
      <c r="F2554" s="119">
        <f>D2554*E2554</f>
        <v>40</v>
      </c>
    </row>
    <row r="2555" spans="1:6" x14ac:dyDescent="0.35">
      <c r="A2555" s="111"/>
      <c r="B2555" s="120" t="s">
        <v>927</v>
      </c>
      <c r="C2555" s="115" t="s">
        <v>804</v>
      </c>
      <c r="D2555" s="116">
        <v>0.8</v>
      </c>
      <c r="E2555" s="117">
        <v>51000</v>
      </c>
      <c r="F2555" s="119">
        <f>D2555*E2555</f>
        <v>40800</v>
      </c>
    </row>
    <row r="2556" spans="1:6" x14ac:dyDescent="0.35">
      <c r="A2556" s="111"/>
      <c r="B2556" s="120" t="s">
        <v>931</v>
      </c>
      <c r="C2556" s="115"/>
      <c r="D2556" s="116"/>
      <c r="E2556" s="117"/>
      <c r="F2556" s="119"/>
    </row>
    <row r="2557" spans="1:6" x14ac:dyDescent="0.35">
      <c r="A2557" s="111"/>
      <c r="B2557" s="120" t="s">
        <v>929</v>
      </c>
      <c r="C2557" s="115" t="s">
        <v>38</v>
      </c>
      <c r="D2557" s="116">
        <v>5.0000000000000001E-3</v>
      </c>
      <c r="E2557" s="117">
        <v>65000</v>
      </c>
      <c r="F2557" s="119">
        <f>D2557*E2557</f>
        <v>325</v>
      </c>
    </row>
    <row r="2558" spans="1:6" x14ac:dyDescent="0.35">
      <c r="A2558" s="111"/>
      <c r="B2558" s="120" t="s">
        <v>926</v>
      </c>
      <c r="C2558" s="115" t="s">
        <v>38</v>
      </c>
      <c r="D2558" s="116">
        <v>8.0000000000000002E-3</v>
      </c>
      <c r="E2558" s="117">
        <v>1000</v>
      </c>
      <c r="F2558" s="119">
        <f>D2558*E2558</f>
        <v>8</v>
      </c>
    </row>
    <row r="2559" spans="1:6" x14ac:dyDescent="0.35">
      <c r="A2559" s="111"/>
      <c r="B2559" s="120" t="s">
        <v>927</v>
      </c>
      <c r="C2559" s="115" t="s">
        <v>804</v>
      </c>
      <c r="D2559" s="116">
        <v>0.2</v>
      </c>
      <c r="E2559" s="117">
        <v>51000</v>
      </c>
      <c r="F2559" s="119">
        <f>D2559*E2559</f>
        <v>10200</v>
      </c>
    </row>
    <row r="2560" spans="1:6" x14ac:dyDescent="0.35">
      <c r="A2560" s="111"/>
      <c r="B2560" s="120" t="s">
        <v>932</v>
      </c>
      <c r="C2560" s="115"/>
      <c r="D2560" s="116"/>
      <c r="E2560" s="117"/>
      <c r="F2560" s="119"/>
    </row>
    <row r="2561" spans="1:6" x14ac:dyDescent="0.35">
      <c r="A2561" s="111"/>
      <c r="B2561" s="120" t="s">
        <v>929</v>
      </c>
      <c r="C2561" s="115" t="s">
        <v>38</v>
      </c>
      <c r="D2561" s="116">
        <v>5.0000000000000001E-3</v>
      </c>
      <c r="E2561" s="117">
        <v>65000</v>
      </c>
      <c r="F2561" s="119">
        <f>D2561*E2561</f>
        <v>325</v>
      </c>
    </row>
    <row r="2562" spans="1:6" x14ac:dyDescent="0.35">
      <c r="A2562" s="111"/>
      <c r="B2562" s="120" t="s">
        <v>926</v>
      </c>
      <c r="C2562" s="115" t="s">
        <v>38</v>
      </c>
      <c r="D2562" s="116">
        <v>8.0000000000000002E-3</v>
      </c>
      <c r="E2562" s="117">
        <v>1000</v>
      </c>
      <c r="F2562" s="119"/>
    </row>
    <row r="2563" spans="1:6" x14ac:dyDescent="0.35">
      <c r="A2563" s="111"/>
      <c r="B2563" s="120" t="s">
        <v>927</v>
      </c>
      <c r="C2563" s="115" t="s">
        <v>804</v>
      </c>
      <c r="D2563" s="116">
        <v>5.0000000000000001E-3</v>
      </c>
      <c r="E2563" s="117">
        <v>51000</v>
      </c>
      <c r="F2563" s="119">
        <f>D2563*E2563</f>
        <v>255</v>
      </c>
    </row>
    <row r="2564" spans="1:6" x14ac:dyDescent="0.35">
      <c r="A2564" s="111"/>
      <c r="B2564" s="120" t="s">
        <v>933</v>
      </c>
      <c r="C2564" s="115"/>
      <c r="D2564" s="116"/>
      <c r="E2564" s="117"/>
      <c r="F2564" s="119"/>
    </row>
    <row r="2565" spans="1:6" x14ac:dyDescent="0.35">
      <c r="A2565" s="111"/>
      <c r="B2565" s="120" t="s">
        <v>929</v>
      </c>
      <c r="C2565" s="115" t="s">
        <v>38</v>
      </c>
      <c r="D2565" s="116">
        <v>6.0000000000000001E-3</v>
      </c>
      <c r="E2565" s="117">
        <v>65000</v>
      </c>
      <c r="F2565" s="119">
        <f>D2565*E2565</f>
        <v>390</v>
      </c>
    </row>
    <row r="2566" spans="1:6" x14ac:dyDescent="0.35">
      <c r="A2566" s="111"/>
      <c r="B2566" s="120" t="s">
        <v>926</v>
      </c>
      <c r="C2566" s="115" t="s">
        <v>38</v>
      </c>
      <c r="D2566" s="116">
        <v>0.01</v>
      </c>
      <c r="E2566" s="117">
        <v>1000</v>
      </c>
      <c r="F2566" s="119">
        <f>D2566*E2566</f>
        <v>10</v>
      </c>
    </row>
    <row r="2567" spans="1:6" x14ac:dyDescent="0.35">
      <c r="A2567" s="111"/>
      <c r="B2567" s="120" t="s">
        <v>927</v>
      </c>
      <c r="C2567" s="115" t="s">
        <v>804</v>
      </c>
      <c r="D2567" s="116">
        <v>0.06</v>
      </c>
      <c r="E2567" s="117">
        <v>51000</v>
      </c>
      <c r="F2567" s="119">
        <f>D2567*E2567</f>
        <v>3060</v>
      </c>
    </row>
    <row r="2568" spans="1:6" x14ac:dyDescent="0.35">
      <c r="A2568" s="107"/>
      <c r="B2568" s="108" t="s">
        <v>769</v>
      </c>
      <c r="C2568" s="109"/>
      <c r="D2568" s="124"/>
      <c r="E2568" s="117"/>
      <c r="F2568" s="110">
        <f>SUM(F2547:F2567)</f>
        <v>197663</v>
      </c>
    </row>
    <row r="2569" spans="1:6" x14ac:dyDescent="0.3">
      <c r="A2569" s="111"/>
      <c r="B2569" s="136" t="s">
        <v>808</v>
      </c>
      <c r="C2569" s="115"/>
      <c r="D2569" s="124"/>
      <c r="E2569" s="117"/>
      <c r="F2569" s="110"/>
    </row>
    <row r="2570" spans="1:6" x14ac:dyDescent="0.25">
      <c r="A2570" s="111"/>
      <c r="B2570" s="134" t="s">
        <v>820</v>
      </c>
      <c r="C2570" s="115" t="s">
        <v>772</v>
      </c>
      <c r="D2570" s="124">
        <v>3</v>
      </c>
      <c r="E2570" s="117">
        <v>7500</v>
      </c>
      <c r="F2570" s="117">
        <f>+D2570*E2570</f>
        <v>22500</v>
      </c>
    </row>
    <row r="2571" spans="1:6" x14ac:dyDescent="0.25">
      <c r="A2571" s="111"/>
      <c r="B2571" s="134" t="s">
        <v>821</v>
      </c>
      <c r="C2571" s="115" t="s">
        <v>772</v>
      </c>
      <c r="D2571" s="124">
        <v>3</v>
      </c>
      <c r="E2571" s="117">
        <v>7500</v>
      </c>
      <c r="F2571" s="117">
        <f>+D2571*E2571</f>
        <v>22500</v>
      </c>
    </row>
    <row r="2572" spans="1:6" x14ac:dyDescent="0.25">
      <c r="A2572" s="111"/>
      <c r="B2572" s="134" t="s">
        <v>773</v>
      </c>
      <c r="C2572" s="115" t="s">
        <v>772</v>
      </c>
      <c r="D2572" s="124">
        <v>2.5</v>
      </c>
      <c r="E2572" s="117">
        <v>15000</v>
      </c>
      <c r="F2572" s="117">
        <f>+D2572*E2572</f>
        <v>37500</v>
      </c>
    </row>
    <row r="2573" spans="1:6" x14ac:dyDescent="0.25">
      <c r="A2573" s="111"/>
      <c r="B2573" s="134" t="s">
        <v>851</v>
      </c>
      <c r="C2573" s="115" t="s">
        <v>772</v>
      </c>
      <c r="D2573" s="124">
        <v>8</v>
      </c>
      <c r="E2573" s="117">
        <v>15000</v>
      </c>
      <c r="F2573" s="117">
        <f>+D2573*E2573</f>
        <v>120000</v>
      </c>
    </row>
    <row r="2574" spans="1:6" x14ac:dyDescent="0.3">
      <c r="A2574" s="111"/>
      <c r="B2574" s="136" t="s">
        <v>774</v>
      </c>
      <c r="C2574" s="115"/>
      <c r="D2574" s="124"/>
      <c r="E2574" s="117"/>
      <c r="F2574" s="110">
        <f>SUM(F2570:F2573)</f>
        <v>202500</v>
      </c>
    </row>
    <row r="2575" spans="1:6" x14ac:dyDescent="0.3">
      <c r="A2575" s="111"/>
      <c r="B2575" s="136" t="s">
        <v>775</v>
      </c>
      <c r="C2575" s="115"/>
      <c r="D2575" s="109"/>
      <c r="E2575" s="110"/>
      <c r="F2575" s="110">
        <f>+F2574+F2568</f>
        <v>400163</v>
      </c>
    </row>
    <row r="2576" spans="1:6" x14ac:dyDescent="0.25">
      <c r="A2576" s="111"/>
      <c r="B2576" s="134" t="s">
        <v>776</v>
      </c>
      <c r="C2576" s="115"/>
      <c r="D2576" s="124">
        <v>1.25</v>
      </c>
      <c r="E2576" s="110"/>
      <c r="F2576" s="117">
        <f>+F2575*D2576</f>
        <v>500203.75</v>
      </c>
    </row>
    <row r="2577" spans="1:6" x14ac:dyDescent="0.25">
      <c r="A2577" s="111"/>
      <c r="B2577" s="134" t="s">
        <v>835</v>
      </c>
      <c r="C2577" s="115"/>
      <c r="D2577" s="124">
        <v>1.25</v>
      </c>
      <c r="E2577" s="110"/>
      <c r="F2577" s="110"/>
    </row>
    <row r="2578" spans="1:6" x14ac:dyDescent="0.35">
      <c r="A2578" s="261" t="s">
        <v>215</v>
      </c>
      <c r="B2578" s="242" t="s">
        <v>784</v>
      </c>
      <c r="C2578" s="208" t="s">
        <v>27</v>
      </c>
      <c r="D2578" s="208"/>
      <c r="E2578" s="209"/>
      <c r="F2578" s="209">
        <f>+D2577*F2576</f>
        <v>625254.6875</v>
      </c>
    </row>
    <row r="2579" spans="1:6" x14ac:dyDescent="0.35">
      <c r="A2579" s="206"/>
      <c r="B2579" s="207"/>
      <c r="C2579" s="208"/>
      <c r="D2579" s="208"/>
      <c r="E2579" s="210">
        <f>+E2539</f>
        <v>3035.45</v>
      </c>
      <c r="F2579" s="210">
        <f>+F2578/E2579</f>
        <v>205.98418274061507</v>
      </c>
    </row>
    <row r="2580" spans="1:6" x14ac:dyDescent="0.35">
      <c r="A2580" s="105"/>
      <c r="B2580" s="106"/>
      <c r="C2580" s="101"/>
      <c r="D2580" s="101"/>
      <c r="E2580" s="102"/>
      <c r="F2580" s="102"/>
    </row>
    <row r="2581" spans="1:6" x14ac:dyDescent="0.35">
      <c r="A2581" s="105"/>
      <c r="B2581" s="106"/>
      <c r="C2581" s="101"/>
      <c r="D2581" s="101"/>
      <c r="E2581" s="102"/>
      <c r="F2581" s="102"/>
    </row>
    <row r="2582" spans="1:6" x14ac:dyDescent="0.3">
      <c r="A2582" s="257" t="s">
        <v>207</v>
      </c>
      <c r="B2582" s="258" t="s">
        <v>208</v>
      </c>
      <c r="C2582" s="200" t="s">
        <v>2</v>
      </c>
      <c r="D2582" s="202" t="s">
        <v>765</v>
      </c>
      <c r="E2582" s="203" t="s">
        <v>766</v>
      </c>
      <c r="F2582" s="203" t="s">
        <v>767</v>
      </c>
    </row>
    <row r="2583" spans="1:6" x14ac:dyDescent="0.35">
      <c r="A2583" s="237" t="s">
        <v>209</v>
      </c>
      <c r="B2583" s="265" t="s">
        <v>636</v>
      </c>
      <c r="C2583" s="256"/>
      <c r="D2583" s="141"/>
      <c r="E2583" s="110"/>
      <c r="F2583" s="110"/>
    </row>
    <row r="2584" spans="1:6" x14ac:dyDescent="0.35">
      <c r="A2584" s="239" t="s">
        <v>216</v>
      </c>
      <c r="B2584" s="205" t="s">
        <v>937</v>
      </c>
      <c r="C2584" s="256" t="s">
        <v>27</v>
      </c>
      <c r="D2584" s="124"/>
      <c r="E2584" s="117"/>
      <c r="F2584" s="117"/>
    </row>
    <row r="2585" spans="1:6" x14ac:dyDescent="0.35">
      <c r="A2585" s="111"/>
      <c r="B2585" s="112" t="s">
        <v>922</v>
      </c>
      <c r="C2585" s="118"/>
      <c r="D2585" s="118"/>
      <c r="E2585" s="119"/>
      <c r="F2585" s="119"/>
    </row>
    <row r="2586" spans="1:6" x14ac:dyDescent="0.35">
      <c r="A2586" s="111"/>
      <c r="B2586" s="120" t="s">
        <v>923</v>
      </c>
      <c r="C2586" s="115"/>
      <c r="D2586" s="116"/>
      <c r="E2586" s="117"/>
      <c r="F2586" s="119"/>
    </row>
    <row r="2587" spans="1:6" x14ac:dyDescent="0.35">
      <c r="A2587" s="111"/>
      <c r="B2587" s="120" t="s">
        <v>924</v>
      </c>
      <c r="C2587" s="115" t="s">
        <v>38</v>
      </c>
      <c r="D2587" s="116">
        <v>1.7999999999999999E-2</v>
      </c>
      <c r="E2587" s="117">
        <v>55000</v>
      </c>
      <c r="F2587" s="119">
        <f>D2587*E2587</f>
        <v>989.99999999999989</v>
      </c>
    </row>
    <row r="2588" spans="1:6" x14ac:dyDescent="0.35">
      <c r="A2588" s="111"/>
      <c r="B2588" s="120" t="s">
        <v>925</v>
      </c>
      <c r="C2588" s="115" t="s">
        <v>38</v>
      </c>
      <c r="D2588" s="116">
        <v>0.05</v>
      </c>
      <c r="E2588" s="117">
        <v>16000</v>
      </c>
      <c r="F2588" s="119">
        <f t="shared" ref="F2588:F2607" si="18">D2588*E2588</f>
        <v>800</v>
      </c>
    </row>
    <row r="2589" spans="1:6" x14ac:dyDescent="0.35">
      <c r="A2589" s="111"/>
      <c r="B2589" s="120" t="s">
        <v>926</v>
      </c>
      <c r="C2589" s="115" t="s">
        <v>38</v>
      </c>
      <c r="D2589" s="116">
        <v>0.04</v>
      </c>
      <c r="E2589" s="117">
        <v>1000</v>
      </c>
      <c r="F2589" s="119">
        <f t="shared" si="18"/>
        <v>40</v>
      </c>
    </row>
    <row r="2590" spans="1:6" x14ac:dyDescent="0.35">
      <c r="A2590" s="111"/>
      <c r="B2590" s="120" t="s">
        <v>927</v>
      </c>
      <c r="C2590" s="115" t="s">
        <v>804</v>
      </c>
      <c r="D2590" s="116">
        <v>0.15</v>
      </c>
      <c r="E2590" s="117">
        <v>51000</v>
      </c>
      <c r="F2590" s="119">
        <f t="shared" si="18"/>
        <v>7650</v>
      </c>
    </row>
    <row r="2591" spans="1:6" x14ac:dyDescent="0.35">
      <c r="A2591" s="111"/>
      <c r="B2591" s="120" t="s">
        <v>928</v>
      </c>
      <c r="C2591" s="115"/>
      <c r="D2591" s="116"/>
      <c r="E2591" s="117"/>
      <c r="F2591" s="119"/>
    </row>
    <row r="2592" spans="1:6" x14ac:dyDescent="0.35">
      <c r="A2592" s="111"/>
      <c r="B2592" s="120" t="s">
        <v>929</v>
      </c>
      <c r="C2592" s="115" t="s">
        <v>38</v>
      </c>
      <c r="D2592" s="116">
        <v>0.26</v>
      </c>
      <c r="E2592" s="117">
        <v>55000</v>
      </c>
      <c r="F2592" s="119">
        <f t="shared" si="18"/>
        <v>14300</v>
      </c>
    </row>
    <row r="2593" spans="1:6" x14ac:dyDescent="0.35">
      <c r="A2593" s="111"/>
      <c r="B2593" s="120" t="s">
        <v>930</v>
      </c>
      <c r="C2593" s="115" t="s">
        <v>38</v>
      </c>
      <c r="D2593" s="116">
        <v>0.87</v>
      </c>
      <c r="E2593" s="117">
        <v>135000</v>
      </c>
      <c r="F2593" s="119">
        <f t="shared" si="18"/>
        <v>117450</v>
      </c>
    </row>
    <row r="2594" spans="1:6" x14ac:dyDescent="0.35">
      <c r="A2594" s="111"/>
      <c r="B2594" s="120" t="s">
        <v>926</v>
      </c>
      <c r="C2594" s="115" t="s">
        <v>38</v>
      </c>
      <c r="D2594" s="116">
        <v>0.04</v>
      </c>
      <c r="E2594" s="117">
        <v>1000</v>
      </c>
      <c r="F2594" s="119">
        <f t="shared" si="18"/>
        <v>40</v>
      </c>
    </row>
    <row r="2595" spans="1:6" x14ac:dyDescent="0.35">
      <c r="A2595" s="111"/>
      <c r="B2595" s="120" t="s">
        <v>927</v>
      </c>
      <c r="C2595" s="115" t="s">
        <v>804</v>
      </c>
      <c r="D2595" s="116">
        <v>0.3</v>
      </c>
      <c r="E2595" s="117">
        <v>51000</v>
      </c>
      <c r="F2595" s="119">
        <f t="shared" si="18"/>
        <v>15300</v>
      </c>
    </row>
    <row r="2596" spans="1:6" x14ac:dyDescent="0.35">
      <c r="A2596" s="111"/>
      <c r="B2596" s="120" t="s">
        <v>931</v>
      </c>
      <c r="C2596" s="115"/>
      <c r="D2596" s="116"/>
      <c r="E2596" s="117"/>
      <c r="F2596" s="119"/>
    </row>
    <row r="2597" spans="1:6" x14ac:dyDescent="0.35">
      <c r="A2597" s="111"/>
      <c r="B2597" s="120" t="s">
        <v>929</v>
      </c>
      <c r="C2597" s="115" t="s">
        <v>38</v>
      </c>
      <c r="D2597" s="116">
        <v>5.0000000000000001E-3</v>
      </c>
      <c r="E2597" s="117">
        <v>65000</v>
      </c>
      <c r="F2597" s="119">
        <f t="shared" si="18"/>
        <v>325</v>
      </c>
    </row>
    <row r="2598" spans="1:6" x14ac:dyDescent="0.35">
      <c r="A2598" s="111"/>
      <c r="B2598" s="120" t="s">
        <v>926</v>
      </c>
      <c r="C2598" s="115" t="s">
        <v>38</v>
      </c>
      <c r="D2598" s="116">
        <v>8.0000000000000002E-3</v>
      </c>
      <c r="E2598" s="117">
        <v>1000</v>
      </c>
      <c r="F2598" s="119">
        <f t="shared" si="18"/>
        <v>8</v>
      </c>
    </row>
    <row r="2599" spans="1:6" x14ac:dyDescent="0.35">
      <c r="A2599" s="111"/>
      <c r="B2599" s="120" t="s">
        <v>927</v>
      </c>
      <c r="C2599" s="115" t="s">
        <v>804</v>
      </c>
      <c r="D2599" s="116">
        <v>0.1</v>
      </c>
      <c r="E2599" s="117">
        <v>51000</v>
      </c>
      <c r="F2599" s="119">
        <f t="shared" si="18"/>
        <v>5100</v>
      </c>
    </row>
    <row r="2600" spans="1:6" x14ac:dyDescent="0.35">
      <c r="A2600" s="111"/>
      <c r="B2600" s="120" t="s">
        <v>932</v>
      </c>
      <c r="C2600" s="115"/>
      <c r="D2600" s="116"/>
      <c r="E2600" s="117"/>
      <c r="F2600" s="119"/>
    </row>
    <row r="2601" spans="1:6" x14ac:dyDescent="0.35">
      <c r="A2601" s="111"/>
      <c r="B2601" s="120" t="s">
        <v>929</v>
      </c>
      <c r="C2601" s="115" t="s">
        <v>38</v>
      </c>
      <c r="D2601" s="116">
        <v>5.0000000000000001E-3</v>
      </c>
      <c r="E2601" s="117">
        <v>65000</v>
      </c>
      <c r="F2601" s="119">
        <f t="shared" si="18"/>
        <v>325</v>
      </c>
    </row>
    <row r="2602" spans="1:6" x14ac:dyDescent="0.35">
      <c r="A2602" s="111"/>
      <c r="B2602" s="120" t="s">
        <v>926</v>
      </c>
      <c r="C2602" s="115" t="s">
        <v>38</v>
      </c>
      <c r="D2602" s="116">
        <v>8.0000000000000002E-3</v>
      </c>
      <c r="E2602" s="117">
        <v>1000</v>
      </c>
      <c r="F2602" s="119">
        <f t="shared" si="18"/>
        <v>8</v>
      </c>
    </row>
    <row r="2603" spans="1:6" x14ac:dyDescent="0.35">
      <c r="A2603" s="111"/>
      <c r="B2603" s="120" t="s">
        <v>927</v>
      </c>
      <c r="C2603" s="115" t="s">
        <v>804</v>
      </c>
      <c r="D2603" s="116">
        <v>5.0000000000000001E-3</v>
      </c>
      <c r="E2603" s="117">
        <v>51000</v>
      </c>
      <c r="F2603" s="119">
        <f t="shared" si="18"/>
        <v>255</v>
      </c>
    </row>
    <row r="2604" spans="1:6" x14ac:dyDescent="0.35">
      <c r="A2604" s="111"/>
      <c r="B2604" s="120" t="s">
        <v>933</v>
      </c>
      <c r="C2604" s="115"/>
      <c r="D2604" s="116"/>
      <c r="E2604" s="117"/>
      <c r="F2604" s="119"/>
    </row>
    <row r="2605" spans="1:6" x14ac:dyDescent="0.35">
      <c r="A2605" s="111"/>
      <c r="B2605" s="120" t="s">
        <v>929</v>
      </c>
      <c r="C2605" s="115" t="s">
        <v>38</v>
      </c>
      <c r="D2605" s="116">
        <v>6.0000000000000001E-3</v>
      </c>
      <c r="E2605" s="117">
        <v>65000</v>
      </c>
      <c r="F2605" s="119">
        <f t="shared" si="18"/>
        <v>390</v>
      </c>
    </row>
    <row r="2606" spans="1:6" x14ac:dyDescent="0.35">
      <c r="A2606" s="111"/>
      <c r="B2606" s="120" t="s">
        <v>926</v>
      </c>
      <c r="C2606" s="115" t="s">
        <v>38</v>
      </c>
      <c r="D2606" s="116">
        <v>0.01</v>
      </c>
      <c r="E2606" s="117">
        <v>1000</v>
      </c>
      <c r="F2606" s="119">
        <f t="shared" si="18"/>
        <v>10</v>
      </c>
    </row>
    <row r="2607" spans="1:6" x14ac:dyDescent="0.35">
      <c r="A2607" s="111"/>
      <c r="B2607" s="120" t="s">
        <v>927</v>
      </c>
      <c r="C2607" s="115" t="s">
        <v>804</v>
      </c>
      <c r="D2607" s="116">
        <v>0.04</v>
      </c>
      <c r="E2607" s="117">
        <v>51000</v>
      </c>
      <c r="F2607" s="119">
        <f t="shared" si="18"/>
        <v>2040</v>
      </c>
    </row>
    <row r="2608" spans="1:6" x14ac:dyDescent="0.35">
      <c r="A2608" s="107"/>
      <c r="B2608" s="108" t="s">
        <v>769</v>
      </c>
      <c r="C2608" s="109"/>
      <c r="D2608" s="124"/>
      <c r="E2608" s="117"/>
      <c r="F2608" s="110">
        <f>SUM(F2587:F2607)</f>
        <v>165031</v>
      </c>
    </row>
    <row r="2609" spans="1:6" x14ac:dyDescent="0.3">
      <c r="A2609" s="111"/>
      <c r="B2609" s="136" t="s">
        <v>808</v>
      </c>
      <c r="C2609" s="115"/>
      <c r="D2609" s="124"/>
      <c r="E2609" s="117"/>
      <c r="F2609" s="110"/>
    </row>
    <row r="2610" spans="1:6" x14ac:dyDescent="0.25">
      <c r="A2610" s="111"/>
      <c r="B2610" s="134" t="s">
        <v>820</v>
      </c>
      <c r="C2610" s="115" t="s">
        <v>772</v>
      </c>
      <c r="D2610" s="124">
        <v>0.1</v>
      </c>
      <c r="E2610" s="117">
        <v>7500</v>
      </c>
      <c r="F2610" s="117">
        <f>+D2610*E2610</f>
        <v>750</v>
      </c>
    </row>
    <row r="2611" spans="1:6" x14ac:dyDescent="0.25">
      <c r="A2611" s="111"/>
      <c r="B2611" s="134" t="s">
        <v>821</v>
      </c>
      <c r="C2611" s="115" t="s">
        <v>772</v>
      </c>
      <c r="D2611" s="124">
        <v>0.1</v>
      </c>
      <c r="E2611" s="117">
        <v>7500</v>
      </c>
      <c r="F2611" s="117">
        <f>+D2611*E2611</f>
        <v>750</v>
      </c>
    </row>
    <row r="2612" spans="1:6" x14ac:dyDescent="0.25">
      <c r="A2612" s="111"/>
      <c r="B2612" s="134" t="s">
        <v>851</v>
      </c>
      <c r="C2612" s="115" t="s">
        <v>772</v>
      </c>
      <c r="D2612" s="124">
        <v>0.1</v>
      </c>
      <c r="E2612" s="117">
        <v>15000</v>
      </c>
      <c r="F2612" s="117">
        <f>+D2612*E2612</f>
        <v>1500</v>
      </c>
    </row>
    <row r="2613" spans="1:6" x14ac:dyDescent="0.3">
      <c r="A2613" s="111"/>
      <c r="B2613" s="136" t="s">
        <v>774</v>
      </c>
      <c r="C2613" s="115"/>
      <c r="D2613" s="124"/>
      <c r="E2613" s="117"/>
      <c r="F2613" s="110">
        <f>SUM(F2610:F2612)</f>
        <v>3000</v>
      </c>
    </row>
    <row r="2614" spans="1:6" x14ac:dyDescent="0.3">
      <c r="A2614" s="111"/>
      <c r="B2614" s="136" t="s">
        <v>775</v>
      </c>
      <c r="C2614" s="115"/>
      <c r="D2614" s="109"/>
      <c r="E2614" s="110"/>
      <c r="F2614" s="110">
        <f>+F2613+F2608</f>
        <v>168031</v>
      </c>
    </row>
    <row r="2615" spans="1:6" x14ac:dyDescent="0.25">
      <c r="A2615" s="111"/>
      <c r="B2615" s="134" t="s">
        <v>792</v>
      </c>
      <c r="C2615" s="115"/>
      <c r="D2615" s="124">
        <v>1.05</v>
      </c>
      <c r="E2615" s="110"/>
      <c r="F2615" s="110">
        <f>+F2614*D2615</f>
        <v>176432.55000000002</v>
      </c>
    </row>
    <row r="2616" spans="1:6" x14ac:dyDescent="0.25">
      <c r="A2616" s="111"/>
      <c r="B2616" s="134" t="s">
        <v>848</v>
      </c>
      <c r="C2616" s="115"/>
      <c r="D2616" s="124">
        <v>1.05</v>
      </c>
      <c r="E2616" s="110"/>
      <c r="F2616" s="110"/>
    </row>
    <row r="2617" spans="1:6" x14ac:dyDescent="0.35">
      <c r="A2617" s="261" t="s">
        <v>216</v>
      </c>
      <c r="B2617" s="242" t="s">
        <v>784</v>
      </c>
      <c r="C2617" s="208" t="s">
        <v>27</v>
      </c>
      <c r="D2617" s="208"/>
      <c r="E2617" s="209"/>
      <c r="F2617" s="209">
        <f>+D2616*F2615</f>
        <v>185254.17750000002</v>
      </c>
    </row>
    <row r="2618" spans="1:6" x14ac:dyDescent="0.35">
      <c r="A2618" s="206"/>
      <c r="B2618" s="207"/>
      <c r="C2618" s="208"/>
      <c r="D2618" s="208"/>
      <c r="E2618" s="210">
        <f>+E2579</f>
        <v>3035.45</v>
      </c>
      <c r="F2618" s="210">
        <f>+F2617/E2618</f>
        <v>61.030218748455759</v>
      </c>
    </row>
    <row r="2619" spans="1:6" x14ac:dyDescent="0.35">
      <c r="A2619" s="126"/>
      <c r="B2619" s="127"/>
      <c r="C2619" s="128"/>
      <c r="D2619" s="128"/>
      <c r="E2619" s="129"/>
      <c r="F2619" s="129"/>
    </row>
    <row r="2620" spans="1:6" x14ac:dyDescent="0.35">
      <c r="A2620" s="130"/>
      <c r="B2620" s="131"/>
      <c r="C2620" s="132"/>
      <c r="D2620" s="132"/>
      <c r="E2620" s="133"/>
      <c r="F2620" s="133"/>
    </row>
    <row r="2621" spans="1:6" x14ac:dyDescent="0.3">
      <c r="A2621" s="257" t="s">
        <v>207</v>
      </c>
      <c r="B2621" s="258" t="s">
        <v>208</v>
      </c>
      <c r="C2621" s="200" t="s">
        <v>2</v>
      </c>
      <c r="D2621" s="202" t="s">
        <v>765</v>
      </c>
      <c r="E2621" s="203" t="s">
        <v>766</v>
      </c>
      <c r="F2621" s="203" t="s">
        <v>767</v>
      </c>
    </row>
    <row r="2622" spans="1:6" x14ac:dyDescent="0.35">
      <c r="A2622" s="237" t="s">
        <v>209</v>
      </c>
      <c r="B2622" s="265" t="s">
        <v>636</v>
      </c>
      <c r="C2622" s="256"/>
      <c r="D2622" s="141"/>
      <c r="E2622" s="110"/>
      <c r="F2622" s="110"/>
    </row>
    <row r="2623" spans="1:6" x14ac:dyDescent="0.35">
      <c r="A2623" s="239" t="s">
        <v>217</v>
      </c>
      <c r="B2623" s="240" t="s">
        <v>938</v>
      </c>
      <c r="C2623" s="256" t="s">
        <v>27</v>
      </c>
      <c r="D2623" s="124"/>
      <c r="E2623" s="117"/>
      <c r="F2623" s="117"/>
    </row>
    <row r="2624" spans="1:6" x14ac:dyDescent="0.35">
      <c r="A2624" s="111"/>
      <c r="B2624" s="112" t="s">
        <v>802</v>
      </c>
      <c r="C2624" s="118"/>
      <c r="D2624" s="118"/>
      <c r="E2624" s="119"/>
      <c r="F2624" s="119"/>
    </row>
    <row r="2625" spans="1:6" x14ac:dyDescent="0.35">
      <c r="A2625" s="109"/>
      <c r="B2625" s="123" t="s">
        <v>939</v>
      </c>
      <c r="C2625" s="124" t="s">
        <v>27</v>
      </c>
      <c r="D2625" s="146">
        <v>1</v>
      </c>
      <c r="E2625" s="117">
        <f>450000/6</f>
        <v>75000</v>
      </c>
      <c r="F2625" s="147">
        <f>D2625*E2625</f>
        <v>75000</v>
      </c>
    </row>
    <row r="2626" spans="1:6" x14ac:dyDescent="0.35">
      <c r="A2626" s="107"/>
      <c r="B2626" s="108" t="s">
        <v>769</v>
      </c>
      <c r="C2626" s="109"/>
      <c r="D2626" s="124"/>
      <c r="E2626" s="117"/>
      <c r="F2626" s="110">
        <f>SUM(F2625:F2625)</f>
        <v>75000</v>
      </c>
    </row>
    <row r="2627" spans="1:6" x14ac:dyDescent="0.3">
      <c r="A2627" s="109"/>
      <c r="B2627" s="148" t="s">
        <v>808</v>
      </c>
      <c r="C2627" s="124"/>
      <c r="D2627" s="124"/>
      <c r="E2627" s="117"/>
      <c r="F2627" s="110"/>
    </row>
    <row r="2628" spans="1:6" x14ac:dyDescent="0.25">
      <c r="A2628" s="109"/>
      <c r="B2628" s="149" t="s">
        <v>821</v>
      </c>
      <c r="C2628" s="124" t="s">
        <v>772</v>
      </c>
      <c r="D2628" s="124">
        <v>0.25</v>
      </c>
      <c r="E2628" s="117">
        <v>7500</v>
      </c>
      <c r="F2628" s="117">
        <f>+D2628*E2628</f>
        <v>1875</v>
      </c>
    </row>
    <row r="2629" spans="1:6" x14ac:dyDescent="0.25">
      <c r="A2629" s="109"/>
      <c r="B2629" s="149" t="s">
        <v>794</v>
      </c>
      <c r="C2629" s="124" t="s">
        <v>772</v>
      </c>
      <c r="D2629" s="124">
        <v>0.25</v>
      </c>
      <c r="E2629" s="117">
        <v>15000</v>
      </c>
      <c r="F2629" s="117">
        <f>+D2629*E2629</f>
        <v>3750</v>
      </c>
    </row>
    <row r="2630" spans="1:6" x14ac:dyDescent="0.3">
      <c r="A2630" s="109"/>
      <c r="B2630" s="148" t="s">
        <v>774</v>
      </c>
      <c r="C2630" s="124"/>
      <c r="D2630" s="124"/>
      <c r="E2630" s="117"/>
      <c r="F2630" s="110">
        <f>SUM(F2628:F2629)</f>
        <v>5625</v>
      </c>
    </row>
    <row r="2631" spans="1:6" x14ac:dyDescent="0.3">
      <c r="A2631" s="109"/>
      <c r="B2631" s="148" t="s">
        <v>775</v>
      </c>
      <c r="C2631" s="124"/>
      <c r="D2631" s="109"/>
      <c r="E2631" s="110"/>
      <c r="F2631" s="110">
        <f>+F2630+F2626</f>
        <v>80625</v>
      </c>
    </row>
    <row r="2632" spans="1:6" x14ac:dyDescent="0.25">
      <c r="A2632" s="109"/>
      <c r="B2632" s="149" t="s">
        <v>812</v>
      </c>
      <c r="C2632" s="124"/>
      <c r="D2632" s="124">
        <v>1.1499999999999999</v>
      </c>
      <c r="E2632" s="110"/>
      <c r="F2632" s="110">
        <f>+F2631*D2632</f>
        <v>92718.75</v>
      </c>
    </row>
    <row r="2633" spans="1:6" x14ac:dyDescent="0.25">
      <c r="A2633" s="111"/>
      <c r="B2633" s="134" t="s">
        <v>826</v>
      </c>
      <c r="C2633" s="115"/>
      <c r="D2633" s="124">
        <v>1.2</v>
      </c>
      <c r="E2633" s="110"/>
      <c r="F2633" s="110"/>
    </row>
    <row r="2634" spans="1:6" x14ac:dyDescent="0.35">
      <c r="A2634" s="261" t="s">
        <v>217</v>
      </c>
      <c r="B2634" s="242" t="s">
        <v>784</v>
      </c>
      <c r="C2634" s="208" t="s">
        <v>27</v>
      </c>
      <c r="D2634" s="208"/>
      <c r="E2634" s="209"/>
      <c r="F2634" s="209">
        <f>+D2633*F2632</f>
        <v>111262.5</v>
      </c>
    </row>
    <row r="2635" spans="1:6" x14ac:dyDescent="0.35">
      <c r="A2635" s="206"/>
      <c r="B2635" s="207"/>
      <c r="C2635" s="208"/>
      <c r="D2635" s="208"/>
      <c r="E2635" s="210">
        <f>+E2618</f>
        <v>3035.45</v>
      </c>
      <c r="F2635" s="210">
        <f>+F2634/E2635</f>
        <v>36.654367556704941</v>
      </c>
    </row>
    <row r="2636" spans="1:6" x14ac:dyDescent="0.35">
      <c r="A2636" s="126"/>
      <c r="B2636" s="127"/>
      <c r="C2636" s="128"/>
      <c r="D2636" s="128"/>
      <c r="E2636" s="129"/>
      <c r="F2636" s="129"/>
    </row>
    <row r="2637" spans="1:6" x14ac:dyDescent="0.35">
      <c r="A2637" s="105"/>
      <c r="B2637" s="106"/>
      <c r="C2637" s="101"/>
      <c r="D2637" s="101"/>
      <c r="E2637" s="102"/>
      <c r="F2637" s="102"/>
    </row>
    <row r="2638" spans="1:6" x14ac:dyDescent="0.3">
      <c r="A2638" s="257" t="s">
        <v>207</v>
      </c>
      <c r="B2638" s="258" t="s">
        <v>208</v>
      </c>
      <c r="C2638" s="200" t="s">
        <v>2</v>
      </c>
      <c r="D2638" s="202" t="s">
        <v>765</v>
      </c>
      <c r="E2638" s="203" t="s">
        <v>766</v>
      </c>
      <c r="F2638" s="203" t="s">
        <v>767</v>
      </c>
    </row>
    <row r="2639" spans="1:6" x14ac:dyDescent="0.35">
      <c r="A2639" s="237" t="s">
        <v>209</v>
      </c>
      <c r="B2639" s="265" t="s">
        <v>636</v>
      </c>
      <c r="C2639" s="256"/>
      <c r="D2639" s="141"/>
      <c r="E2639" s="110"/>
      <c r="F2639" s="110"/>
    </row>
    <row r="2640" spans="1:6" x14ac:dyDescent="0.35">
      <c r="A2640" s="239" t="s">
        <v>218</v>
      </c>
      <c r="B2640" s="240" t="s">
        <v>219</v>
      </c>
      <c r="C2640" s="256" t="s">
        <v>59</v>
      </c>
      <c r="D2640" s="124"/>
      <c r="E2640" s="117"/>
      <c r="F2640" s="117"/>
    </row>
    <row r="2641" spans="1:6" x14ac:dyDescent="0.35">
      <c r="A2641" s="111"/>
      <c r="B2641" s="112" t="s">
        <v>802</v>
      </c>
      <c r="C2641" s="118"/>
      <c r="D2641" s="118"/>
      <c r="E2641" s="119"/>
      <c r="F2641" s="119"/>
    </row>
    <row r="2642" spans="1:6" x14ac:dyDescent="0.35">
      <c r="A2642" s="109"/>
      <c r="B2642" s="123" t="s">
        <v>219</v>
      </c>
      <c r="C2642" s="124" t="s">
        <v>59</v>
      </c>
      <c r="D2642" s="146">
        <v>1</v>
      </c>
      <c r="E2642" s="117">
        <v>275000</v>
      </c>
      <c r="F2642" s="147">
        <f>D2642*E2642</f>
        <v>275000</v>
      </c>
    </row>
    <row r="2643" spans="1:6" x14ac:dyDescent="0.35">
      <c r="A2643" s="109"/>
      <c r="B2643" s="123" t="s">
        <v>1154</v>
      </c>
      <c r="C2643" s="124"/>
      <c r="D2643" s="146"/>
      <c r="E2643" s="117"/>
      <c r="F2643" s="147">
        <f>0.15*F2642</f>
        <v>41250</v>
      </c>
    </row>
    <row r="2644" spans="1:6" x14ac:dyDescent="0.35">
      <c r="A2644" s="107"/>
      <c r="B2644" s="108" t="s">
        <v>769</v>
      </c>
      <c r="C2644" s="109"/>
      <c r="D2644" s="124"/>
      <c r="E2644" s="117"/>
      <c r="F2644" s="110">
        <f>SUM(F2642:F2643)</f>
        <v>316250</v>
      </c>
    </row>
    <row r="2645" spans="1:6" x14ac:dyDescent="0.3">
      <c r="A2645" s="109"/>
      <c r="B2645" s="148" t="s">
        <v>808</v>
      </c>
      <c r="C2645" s="124"/>
      <c r="D2645" s="124"/>
      <c r="E2645" s="117"/>
      <c r="F2645" s="110"/>
    </row>
    <row r="2646" spans="1:6" x14ac:dyDescent="0.25">
      <c r="A2646" s="109"/>
      <c r="B2646" s="149" t="s">
        <v>821</v>
      </c>
      <c r="C2646" s="124" t="s">
        <v>772</v>
      </c>
      <c r="D2646" s="124">
        <v>0.25</v>
      </c>
      <c r="E2646" s="117">
        <v>7500</v>
      </c>
      <c r="F2646" s="117">
        <f>+D2646*E2646</f>
        <v>1875</v>
      </c>
    </row>
    <row r="2647" spans="1:6" x14ac:dyDescent="0.25">
      <c r="A2647" s="109"/>
      <c r="B2647" s="149" t="s">
        <v>851</v>
      </c>
      <c r="C2647" s="124" t="s">
        <v>772</v>
      </c>
      <c r="D2647" s="124">
        <v>0.25</v>
      </c>
      <c r="E2647" s="117">
        <v>15000</v>
      </c>
      <c r="F2647" s="117">
        <f>+D2647*E2647</f>
        <v>3750</v>
      </c>
    </row>
    <row r="2648" spans="1:6" x14ac:dyDescent="0.3">
      <c r="A2648" s="109"/>
      <c r="B2648" s="148" t="s">
        <v>774</v>
      </c>
      <c r="C2648" s="124"/>
      <c r="D2648" s="124"/>
      <c r="E2648" s="117"/>
      <c r="F2648" s="110">
        <f>SUM(F2646:F2647)</f>
        <v>5625</v>
      </c>
    </row>
    <row r="2649" spans="1:6" x14ac:dyDescent="0.3">
      <c r="A2649" s="109"/>
      <c r="B2649" s="148" t="s">
        <v>775</v>
      </c>
      <c r="C2649" s="124"/>
      <c r="D2649" s="109"/>
      <c r="E2649" s="110"/>
      <c r="F2649" s="110">
        <f>+F2648+F2644</f>
        <v>321875</v>
      </c>
    </row>
    <row r="2650" spans="1:6" x14ac:dyDescent="0.25">
      <c r="A2650" s="109"/>
      <c r="B2650" s="149" t="s">
        <v>936</v>
      </c>
      <c r="C2650" s="124"/>
      <c r="D2650" s="124">
        <v>1.2</v>
      </c>
      <c r="E2650" s="110"/>
      <c r="F2650" s="110">
        <f>+F2649*D2650</f>
        <v>386250</v>
      </c>
    </row>
    <row r="2651" spans="1:6" x14ac:dyDescent="0.25">
      <c r="A2651" s="111"/>
      <c r="B2651" s="134" t="s">
        <v>835</v>
      </c>
      <c r="C2651" s="115"/>
      <c r="D2651" s="124">
        <v>1.25</v>
      </c>
      <c r="E2651" s="110"/>
      <c r="F2651" s="110"/>
    </row>
    <row r="2652" spans="1:6" x14ac:dyDescent="0.35">
      <c r="A2652" s="261" t="s">
        <v>218</v>
      </c>
      <c r="B2652" s="242" t="s">
        <v>785</v>
      </c>
      <c r="C2652" s="208" t="s">
        <v>59</v>
      </c>
      <c r="D2652" s="208"/>
      <c r="E2652" s="209"/>
      <c r="F2652" s="209">
        <f>+D2651*F2650</f>
        <v>482812.5</v>
      </c>
    </row>
    <row r="2653" spans="1:6" x14ac:dyDescent="0.35">
      <c r="A2653" s="206"/>
      <c r="B2653" s="207"/>
      <c r="C2653" s="208"/>
      <c r="D2653" s="208"/>
      <c r="E2653" s="210">
        <f>+E2635</f>
        <v>3035.45</v>
      </c>
      <c r="F2653" s="210">
        <f>+F2652/E2653</f>
        <v>159.05796504636876</v>
      </c>
    </row>
    <row r="2654" spans="1:6" x14ac:dyDescent="0.35">
      <c r="A2654" s="105"/>
      <c r="B2654" s="106"/>
      <c r="C2654" s="101"/>
      <c r="D2654" s="101"/>
      <c r="E2654" s="102"/>
      <c r="F2654" s="102"/>
    </row>
    <row r="2655" spans="1:6" x14ac:dyDescent="0.35">
      <c r="A2655" s="105"/>
      <c r="B2655" s="106"/>
      <c r="C2655" s="101"/>
      <c r="D2655" s="101"/>
      <c r="E2655" s="102"/>
      <c r="F2655" s="102"/>
    </row>
    <row r="2656" spans="1:6" x14ac:dyDescent="0.3">
      <c r="A2656" s="257" t="s">
        <v>207</v>
      </c>
      <c r="B2656" s="258" t="s">
        <v>208</v>
      </c>
      <c r="C2656" s="200" t="s">
        <v>2</v>
      </c>
      <c r="D2656" s="202" t="s">
        <v>765</v>
      </c>
      <c r="E2656" s="203" t="s">
        <v>766</v>
      </c>
      <c r="F2656" s="203" t="s">
        <v>767</v>
      </c>
    </row>
    <row r="2657" spans="1:6" x14ac:dyDescent="0.35">
      <c r="A2657" s="237" t="s">
        <v>209</v>
      </c>
      <c r="B2657" s="265" t="s">
        <v>636</v>
      </c>
      <c r="C2657" s="256"/>
      <c r="D2657" s="141"/>
      <c r="E2657" s="110"/>
      <c r="F2657" s="110"/>
    </row>
    <row r="2658" spans="1:6" x14ac:dyDescent="0.35">
      <c r="A2658" s="239" t="s">
        <v>220</v>
      </c>
      <c r="B2658" s="240" t="s">
        <v>221</v>
      </c>
      <c r="C2658" s="256" t="s">
        <v>59</v>
      </c>
      <c r="D2658" s="124"/>
      <c r="E2658" s="117"/>
      <c r="F2658" s="117"/>
    </row>
    <row r="2659" spans="1:6" x14ac:dyDescent="0.35">
      <c r="A2659" s="111"/>
      <c r="B2659" s="112" t="s">
        <v>802</v>
      </c>
      <c r="C2659" s="118"/>
      <c r="D2659" s="118"/>
      <c r="E2659" s="119"/>
      <c r="F2659" s="119"/>
    </row>
    <row r="2660" spans="1:6" x14ac:dyDescent="0.35">
      <c r="A2660" s="109"/>
      <c r="B2660" s="123" t="s">
        <v>1155</v>
      </c>
      <c r="C2660" s="124" t="s">
        <v>59</v>
      </c>
      <c r="D2660" s="146">
        <v>1</v>
      </c>
      <c r="E2660" s="117">
        <v>7250000</v>
      </c>
      <c r="F2660" s="147">
        <f>D2660*E2660</f>
        <v>7250000</v>
      </c>
    </row>
    <row r="2661" spans="1:6" x14ac:dyDescent="0.35">
      <c r="A2661" s="109"/>
      <c r="B2661" s="123" t="s">
        <v>1154</v>
      </c>
      <c r="C2661" s="124"/>
      <c r="D2661" s="146"/>
      <c r="E2661" s="117"/>
      <c r="F2661" s="147">
        <f>0.15*F2660</f>
        <v>1087500</v>
      </c>
    </row>
    <row r="2662" spans="1:6" x14ac:dyDescent="0.35">
      <c r="A2662" s="107"/>
      <c r="B2662" s="108" t="s">
        <v>769</v>
      </c>
      <c r="C2662" s="109"/>
      <c r="D2662" s="124"/>
      <c r="E2662" s="117"/>
      <c r="F2662" s="110">
        <f>SUM(F2660:F2661)</f>
        <v>8337500</v>
      </c>
    </row>
    <row r="2663" spans="1:6" x14ac:dyDescent="0.3">
      <c r="A2663" s="109"/>
      <c r="B2663" s="148" t="s">
        <v>808</v>
      </c>
      <c r="C2663" s="124"/>
      <c r="D2663" s="124"/>
      <c r="E2663" s="117"/>
      <c r="F2663" s="110"/>
    </row>
    <row r="2664" spans="1:6" x14ac:dyDescent="0.25">
      <c r="A2664" s="109"/>
      <c r="B2664" s="149" t="s">
        <v>821</v>
      </c>
      <c r="C2664" s="124" t="s">
        <v>772</v>
      </c>
      <c r="D2664" s="124">
        <v>0.25</v>
      </c>
      <c r="E2664" s="117">
        <v>7500</v>
      </c>
      <c r="F2664" s="117">
        <f>+D2664*E2664</f>
        <v>1875</v>
      </c>
    </row>
    <row r="2665" spans="1:6" x14ac:dyDescent="0.25">
      <c r="A2665" s="109"/>
      <c r="B2665" s="149" t="s">
        <v>851</v>
      </c>
      <c r="C2665" s="124" t="s">
        <v>772</v>
      </c>
      <c r="D2665" s="124">
        <v>0.25</v>
      </c>
      <c r="E2665" s="117">
        <v>15000</v>
      </c>
      <c r="F2665" s="117">
        <f>+D2665*E2665</f>
        <v>3750</v>
      </c>
    </row>
    <row r="2666" spans="1:6" x14ac:dyDescent="0.3">
      <c r="A2666" s="109"/>
      <c r="B2666" s="148" t="s">
        <v>774</v>
      </c>
      <c r="C2666" s="124"/>
      <c r="D2666" s="124"/>
      <c r="E2666" s="117"/>
      <c r="F2666" s="110">
        <f>SUM(F2664:F2665)</f>
        <v>5625</v>
      </c>
    </row>
    <row r="2667" spans="1:6" x14ac:dyDescent="0.3">
      <c r="A2667" s="109"/>
      <c r="B2667" s="148" t="s">
        <v>775</v>
      </c>
      <c r="C2667" s="124"/>
      <c r="D2667" s="109"/>
      <c r="E2667" s="110"/>
      <c r="F2667" s="110">
        <f>+F2666+F2662</f>
        <v>8343125</v>
      </c>
    </row>
    <row r="2668" spans="1:6" x14ac:dyDescent="0.25">
      <c r="A2668" s="109"/>
      <c r="B2668" s="149" t="s">
        <v>936</v>
      </c>
      <c r="C2668" s="124"/>
      <c r="D2668" s="124">
        <v>1.2</v>
      </c>
      <c r="E2668" s="110"/>
      <c r="F2668" s="110">
        <f>+F2667*D2668</f>
        <v>10011750</v>
      </c>
    </row>
    <row r="2669" spans="1:6" x14ac:dyDescent="0.25">
      <c r="A2669" s="111"/>
      <c r="B2669" s="134" t="s">
        <v>835</v>
      </c>
      <c r="C2669" s="115"/>
      <c r="D2669" s="124">
        <v>1.25</v>
      </c>
      <c r="E2669" s="110"/>
      <c r="F2669" s="110"/>
    </row>
    <row r="2670" spans="1:6" x14ac:dyDescent="0.35">
      <c r="A2670" s="261" t="s">
        <v>217</v>
      </c>
      <c r="B2670" s="242" t="s">
        <v>785</v>
      </c>
      <c r="C2670" s="208" t="s">
        <v>59</v>
      </c>
      <c r="D2670" s="208"/>
      <c r="E2670" s="209"/>
      <c r="F2670" s="209">
        <f>+D2669*F2668</f>
        <v>12514687.5</v>
      </c>
    </row>
    <row r="2671" spans="1:6" x14ac:dyDescent="0.35">
      <c r="A2671" s="206"/>
      <c r="B2671" s="207"/>
      <c r="C2671" s="208"/>
      <c r="D2671" s="208"/>
      <c r="E2671" s="210">
        <f>+E2653</f>
        <v>3035.45</v>
      </c>
      <c r="F2671" s="210">
        <f>+F2670/E2671</f>
        <v>4122.844224085391</v>
      </c>
    </row>
    <row r="2672" spans="1:6" x14ac:dyDescent="0.35">
      <c r="A2672" s="105"/>
      <c r="B2672" s="106"/>
      <c r="C2672" s="101"/>
      <c r="D2672" s="101"/>
      <c r="E2672" s="102"/>
      <c r="F2672" s="102"/>
    </row>
    <row r="2673" spans="1:6" x14ac:dyDescent="0.35">
      <c r="A2673" s="105"/>
      <c r="B2673" s="106"/>
      <c r="C2673" s="101"/>
      <c r="D2673" s="101"/>
      <c r="E2673" s="102"/>
      <c r="F2673" s="102"/>
    </row>
    <row r="2674" spans="1:6" x14ac:dyDescent="0.3">
      <c r="A2674" s="257" t="s">
        <v>222</v>
      </c>
      <c r="B2674" s="258" t="s">
        <v>223</v>
      </c>
      <c r="C2674" s="200" t="s">
        <v>2</v>
      </c>
      <c r="D2674" s="202" t="s">
        <v>765</v>
      </c>
      <c r="E2674" s="203" t="s">
        <v>766</v>
      </c>
      <c r="F2674" s="203" t="s">
        <v>767</v>
      </c>
    </row>
    <row r="2675" spans="1:6" x14ac:dyDescent="0.35">
      <c r="A2675" s="239" t="s">
        <v>224</v>
      </c>
      <c r="B2675" s="205" t="s">
        <v>225</v>
      </c>
      <c r="C2675" s="256" t="s">
        <v>35</v>
      </c>
      <c r="D2675" s="141"/>
      <c r="E2675" s="110"/>
      <c r="F2675" s="110"/>
    </row>
    <row r="2676" spans="1:6" x14ac:dyDescent="0.35">
      <c r="A2676" s="111"/>
      <c r="B2676" s="112" t="s">
        <v>802</v>
      </c>
      <c r="C2676" s="118"/>
      <c r="D2676" s="118"/>
      <c r="E2676" s="119"/>
      <c r="F2676" s="119"/>
    </row>
    <row r="2677" spans="1:6" ht="12.5" x14ac:dyDescent="0.35">
      <c r="A2677" s="115"/>
      <c r="B2677" s="120" t="s">
        <v>940</v>
      </c>
      <c r="C2677" s="144" t="s">
        <v>35</v>
      </c>
      <c r="D2677" s="118">
        <v>1</v>
      </c>
      <c r="E2677" s="119">
        <v>19500</v>
      </c>
      <c r="F2677" s="119">
        <f>+D2677*E2677</f>
        <v>19500</v>
      </c>
    </row>
    <row r="2678" spans="1:6" ht="12.5" x14ac:dyDescent="0.35">
      <c r="A2678" s="115"/>
      <c r="B2678" s="120" t="s">
        <v>941</v>
      </c>
      <c r="C2678" s="118" t="s">
        <v>59</v>
      </c>
      <c r="D2678" s="118">
        <v>1.5</v>
      </c>
      <c r="E2678" s="119">
        <v>5000</v>
      </c>
      <c r="F2678" s="119">
        <f>+D2678*E2678</f>
        <v>7500</v>
      </c>
    </row>
    <row r="2679" spans="1:6" ht="12.5" x14ac:dyDescent="0.35">
      <c r="A2679" s="115"/>
      <c r="B2679" s="120" t="s">
        <v>833</v>
      </c>
      <c r="C2679" s="118" t="s">
        <v>832</v>
      </c>
      <c r="D2679" s="118">
        <v>3.5</v>
      </c>
      <c r="E2679" s="119">
        <v>5500</v>
      </c>
      <c r="F2679" s="119">
        <f>+D2679*E2679</f>
        <v>19250</v>
      </c>
    </row>
    <row r="2680" spans="1:6" x14ac:dyDescent="0.35">
      <c r="A2680" s="107"/>
      <c r="B2680" s="108" t="s">
        <v>769</v>
      </c>
      <c r="C2680" s="109"/>
      <c r="D2680" s="124"/>
      <c r="E2680" s="117"/>
      <c r="F2680" s="110">
        <f>SUM(F2677:F2679)</f>
        <v>46250</v>
      </c>
    </row>
    <row r="2681" spans="1:6" x14ac:dyDescent="0.3">
      <c r="A2681" s="111"/>
      <c r="B2681" s="136" t="s">
        <v>808</v>
      </c>
      <c r="C2681" s="115"/>
      <c r="D2681" s="124"/>
      <c r="E2681" s="117"/>
      <c r="F2681" s="110"/>
    </row>
    <row r="2682" spans="1:6" x14ac:dyDescent="0.25">
      <c r="A2682" s="111"/>
      <c r="B2682" s="134" t="s">
        <v>821</v>
      </c>
      <c r="C2682" s="115" t="s">
        <v>772</v>
      </c>
      <c r="D2682" s="124">
        <v>1.75</v>
      </c>
      <c r="E2682" s="117">
        <v>7500</v>
      </c>
      <c r="F2682" s="117">
        <f>+D2682*E2682</f>
        <v>13125</v>
      </c>
    </row>
    <row r="2683" spans="1:6" x14ac:dyDescent="0.25">
      <c r="A2683" s="111"/>
      <c r="B2683" s="134" t="s">
        <v>773</v>
      </c>
      <c r="C2683" s="115" t="s">
        <v>772</v>
      </c>
      <c r="D2683" s="124">
        <v>1.75</v>
      </c>
      <c r="E2683" s="117">
        <v>15000</v>
      </c>
      <c r="F2683" s="117">
        <f>+D2683*E2683</f>
        <v>26250</v>
      </c>
    </row>
    <row r="2684" spans="1:6" x14ac:dyDescent="0.3">
      <c r="A2684" s="111"/>
      <c r="B2684" s="136" t="s">
        <v>774</v>
      </c>
      <c r="C2684" s="115"/>
      <c r="D2684" s="124"/>
      <c r="E2684" s="117"/>
      <c r="F2684" s="110">
        <f>SUM(F2682:F2683)</f>
        <v>39375</v>
      </c>
    </row>
    <row r="2685" spans="1:6" x14ac:dyDescent="0.3">
      <c r="A2685" s="111"/>
      <c r="B2685" s="136" t="s">
        <v>775</v>
      </c>
      <c r="C2685" s="115"/>
      <c r="D2685" s="109"/>
      <c r="E2685" s="110"/>
      <c r="F2685" s="110">
        <f>+F2684+F2680</f>
        <v>85625</v>
      </c>
    </row>
    <row r="2686" spans="1:6" x14ac:dyDescent="0.25">
      <c r="A2686" s="111"/>
      <c r="B2686" s="134" t="s">
        <v>812</v>
      </c>
      <c r="C2686" s="115"/>
      <c r="D2686" s="124">
        <v>1.1499999999999999</v>
      </c>
      <c r="E2686" s="110"/>
      <c r="F2686" s="110">
        <f>+F2685*D2686</f>
        <v>98468.749999999985</v>
      </c>
    </row>
    <row r="2687" spans="1:6" x14ac:dyDescent="0.25">
      <c r="A2687" s="111"/>
      <c r="B2687" s="134" t="s">
        <v>826</v>
      </c>
      <c r="C2687" s="115"/>
      <c r="D2687" s="124">
        <v>1.2</v>
      </c>
      <c r="E2687" s="110"/>
      <c r="F2687" s="110"/>
    </row>
    <row r="2688" spans="1:6" x14ac:dyDescent="0.35">
      <c r="A2688" s="261" t="s">
        <v>224</v>
      </c>
      <c r="B2688" s="242" t="s">
        <v>789</v>
      </c>
      <c r="C2688" s="208" t="s">
        <v>35</v>
      </c>
      <c r="D2688" s="208"/>
      <c r="E2688" s="209"/>
      <c r="F2688" s="209">
        <f>+D2687*F2686</f>
        <v>118162.49999999997</v>
      </c>
    </row>
    <row r="2689" spans="1:8" x14ac:dyDescent="0.35">
      <c r="A2689" s="206"/>
      <c r="B2689" s="207"/>
      <c r="C2689" s="208"/>
      <c r="D2689" s="208"/>
      <c r="E2689" s="210">
        <f>+E2671</f>
        <v>3035.45</v>
      </c>
      <c r="F2689" s="210">
        <f>+F2688/E2689</f>
        <v>38.927506629988955</v>
      </c>
    </row>
    <row r="2690" spans="1:8" s="139" customFormat="1" x14ac:dyDescent="0.35">
      <c r="A2690" s="105"/>
      <c r="B2690" s="106"/>
      <c r="C2690" s="101"/>
      <c r="D2690" s="101"/>
      <c r="E2690" s="161"/>
      <c r="F2690" s="161"/>
      <c r="G2690" s="138"/>
      <c r="H2690" s="177"/>
    </row>
    <row r="2691" spans="1:8" s="139" customFormat="1" x14ac:dyDescent="0.35">
      <c r="A2691" s="105"/>
      <c r="B2691" s="106"/>
      <c r="C2691" s="101"/>
      <c r="D2691" s="101"/>
      <c r="E2691" s="161"/>
      <c r="F2691" s="161"/>
      <c r="G2691" s="138"/>
      <c r="H2691" s="177"/>
    </row>
    <row r="2692" spans="1:8" s="139" customFormat="1" x14ac:dyDescent="0.3">
      <c r="A2692" s="257" t="s">
        <v>222</v>
      </c>
      <c r="B2692" s="258" t="s">
        <v>223</v>
      </c>
      <c r="C2692" s="200" t="s">
        <v>2</v>
      </c>
      <c r="D2692" s="202" t="s">
        <v>765</v>
      </c>
      <c r="E2692" s="203" t="s">
        <v>766</v>
      </c>
      <c r="F2692" s="203" t="s">
        <v>767</v>
      </c>
      <c r="G2692" s="138"/>
      <c r="H2692" s="177"/>
    </row>
    <row r="2693" spans="1:8" s="139" customFormat="1" x14ac:dyDescent="0.35">
      <c r="A2693" s="239" t="s">
        <v>226</v>
      </c>
      <c r="B2693" s="205" t="s">
        <v>1156</v>
      </c>
      <c r="C2693" s="256" t="s">
        <v>35</v>
      </c>
      <c r="D2693" s="141"/>
      <c r="E2693" s="110"/>
      <c r="F2693" s="110"/>
      <c r="G2693" s="138"/>
      <c r="H2693" s="177"/>
    </row>
    <row r="2694" spans="1:8" s="139" customFormat="1" x14ac:dyDescent="0.35">
      <c r="A2694" s="111"/>
      <c r="B2694" s="112" t="s">
        <v>802</v>
      </c>
      <c r="C2694" s="118"/>
      <c r="D2694" s="118"/>
      <c r="E2694" s="119"/>
      <c r="F2694" s="119"/>
      <c r="G2694" s="138"/>
      <c r="H2694" s="177"/>
    </row>
    <row r="2695" spans="1:8" s="139" customFormat="1" ht="12.5" x14ac:dyDescent="0.35">
      <c r="A2695" s="115"/>
      <c r="B2695" s="120" t="s">
        <v>1156</v>
      </c>
      <c r="C2695" s="144" t="s">
        <v>35</v>
      </c>
      <c r="D2695" s="118">
        <v>1</v>
      </c>
      <c r="E2695" s="119">
        <v>60500</v>
      </c>
      <c r="F2695" s="119">
        <f>+D2695*E2695</f>
        <v>60500</v>
      </c>
      <c r="G2695" s="138"/>
      <c r="H2695" s="177"/>
    </row>
    <row r="2696" spans="1:8" s="139" customFormat="1" ht="12.5" x14ac:dyDescent="0.35">
      <c r="A2696" s="115"/>
      <c r="B2696" s="120" t="s">
        <v>1157</v>
      </c>
      <c r="C2696" s="118"/>
      <c r="D2696" s="118"/>
      <c r="E2696" s="119"/>
      <c r="F2696" s="119">
        <f>F2695*0.15</f>
        <v>9075</v>
      </c>
      <c r="G2696" s="138"/>
      <c r="H2696" s="177"/>
    </row>
    <row r="2697" spans="1:8" s="139" customFormat="1" x14ac:dyDescent="0.35">
      <c r="A2697" s="107"/>
      <c r="B2697" s="108" t="s">
        <v>769</v>
      </c>
      <c r="C2697" s="109"/>
      <c r="D2697" s="124"/>
      <c r="E2697" s="117"/>
      <c r="F2697" s="110">
        <f>SUM(F2695:F2696)</f>
        <v>69575</v>
      </c>
      <c r="G2697" s="138"/>
      <c r="H2697" s="177"/>
    </row>
    <row r="2698" spans="1:8" s="139" customFormat="1" x14ac:dyDescent="0.3">
      <c r="A2698" s="111"/>
      <c r="B2698" s="136" t="s">
        <v>808</v>
      </c>
      <c r="C2698" s="115"/>
      <c r="D2698" s="124"/>
      <c r="E2698" s="117"/>
      <c r="F2698" s="110"/>
      <c r="G2698" s="138"/>
      <c r="H2698" s="177"/>
    </row>
    <row r="2699" spans="1:8" s="139" customFormat="1" x14ac:dyDescent="0.25">
      <c r="A2699" s="111"/>
      <c r="B2699" s="134" t="s">
        <v>821</v>
      </c>
      <c r="C2699" s="115" t="s">
        <v>772</v>
      </c>
      <c r="D2699" s="124">
        <v>1.75</v>
      </c>
      <c r="E2699" s="117">
        <v>7500</v>
      </c>
      <c r="F2699" s="117">
        <f>+D2699*E2699</f>
        <v>13125</v>
      </c>
      <c r="G2699" s="138"/>
      <c r="H2699" s="177"/>
    </row>
    <row r="2700" spans="1:8" s="139" customFormat="1" x14ac:dyDescent="0.25">
      <c r="A2700" s="111"/>
      <c r="B2700" s="134" t="s">
        <v>773</v>
      </c>
      <c r="C2700" s="115" t="s">
        <v>772</v>
      </c>
      <c r="D2700" s="124">
        <v>1.75</v>
      </c>
      <c r="E2700" s="117">
        <v>15000</v>
      </c>
      <c r="F2700" s="117">
        <f>+D2700*E2700</f>
        <v>26250</v>
      </c>
      <c r="G2700" s="138"/>
      <c r="H2700" s="177"/>
    </row>
    <row r="2701" spans="1:8" s="139" customFormat="1" x14ac:dyDescent="0.3">
      <c r="A2701" s="111"/>
      <c r="B2701" s="136" t="s">
        <v>774</v>
      </c>
      <c r="C2701" s="115"/>
      <c r="D2701" s="124"/>
      <c r="E2701" s="117"/>
      <c r="F2701" s="110">
        <f>SUM(F2699:F2700)</f>
        <v>39375</v>
      </c>
      <c r="G2701" s="138"/>
      <c r="H2701" s="177"/>
    </row>
    <row r="2702" spans="1:8" s="139" customFormat="1" x14ac:dyDescent="0.3">
      <c r="A2702" s="111"/>
      <c r="B2702" s="136" t="s">
        <v>775</v>
      </c>
      <c r="C2702" s="115"/>
      <c r="D2702" s="109"/>
      <c r="E2702" s="110"/>
      <c r="F2702" s="110">
        <f>+F2701+F2697</f>
        <v>108950</v>
      </c>
      <c r="G2702" s="138"/>
      <c r="H2702" s="177"/>
    </row>
    <row r="2703" spans="1:8" s="139" customFormat="1" x14ac:dyDescent="0.25">
      <c r="A2703" s="111"/>
      <c r="B2703" s="134" t="s">
        <v>812</v>
      </c>
      <c r="C2703" s="115"/>
      <c r="D2703" s="124">
        <v>1.1499999999999999</v>
      </c>
      <c r="E2703" s="110"/>
      <c r="F2703" s="110">
        <f>+F2702*D2703</f>
        <v>125292.49999999999</v>
      </c>
      <c r="G2703" s="138"/>
      <c r="H2703" s="177"/>
    </row>
    <row r="2704" spans="1:8" s="139" customFormat="1" x14ac:dyDescent="0.25">
      <c r="A2704" s="111"/>
      <c r="B2704" s="134" t="s">
        <v>826</v>
      </c>
      <c r="C2704" s="115"/>
      <c r="D2704" s="124">
        <v>1.2</v>
      </c>
      <c r="E2704" s="110"/>
      <c r="F2704" s="110"/>
      <c r="G2704" s="138"/>
      <c r="H2704" s="177"/>
    </row>
    <row r="2705" spans="1:8" s="139" customFormat="1" x14ac:dyDescent="0.35">
      <c r="A2705" s="261" t="s">
        <v>226</v>
      </c>
      <c r="B2705" s="242" t="s">
        <v>789</v>
      </c>
      <c r="C2705" s="208" t="s">
        <v>35</v>
      </c>
      <c r="D2705" s="208"/>
      <c r="E2705" s="209"/>
      <c r="F2705" s="209">
        <f>+D2704*F2703</f>
        <v>150350.99999999997</v>
      </c>
      <c r="G2705" s="138"/>
      <c r="H2705" s="177"/>
    </row>
    <row r="2706" spans="1:8" s="139" customFormat="1" x14ac:dyDescent="0.35">
      <c r="A2706" s="206"/>
      <c r="B2706" s="207"/>
      <c r="C2706" s="208"/>
      <c r="D2706" s="208"/>
      <c r="E2706" s="210">
        <f>+E2689</f>
        <v>3035.45</v>
      </c>
      <c r="F2706" s="210">
        <f>+F2705/E2706</f>
        <v>49.531700406858945</v>
      </c>
      <c r="G2706" s="138"/>
      <c r="H2706" s="177"/>
    </row>
    <row r="2707" spans="1:8" s="139" customFormat="1" x14ac:dyDescent="0.35">
      <c r="A2707" s="105"/>
      <c r="B2707" s="106"/>
      <c r="C2707" s="101"/>
      <c r="D2707" s="101"/>
      <c r="E2707" s="161"/>
      <c r="F2707" s="161"/>
      <c r="G2707" s="138"/>
      <c r="H2707" s="177"/>
    </row>
    <row r="2708" spans="1:8" ht="12.5" x14ac:dyDescent="0.35">
      <c r="A2708" s="178"/>
      <c r="B2708" s="104"/>
      <c r="C2708" s="104"/>
      <c r="D2708" s="104"/>
      <c r="E2708" s="104"/>
      <c r="F2708" s="104"/>
    </row>
    <row r="2709" spans="1:8" x14ac:dyDescent="0.3">
      <c r="A2709" s="257" t="s">
        <v>227</v>
      </c>
      <c r="B2709" s="258" t="s">
        <v>228</v>
      </c>
      <c r="C2709" s="200" t="s">
        <v>2</v>
      </c>
      <c r="D2709" s="202" t="s">
        <v>765</v>
      </c>
      <c r="E2709" s="203" t="s">
        <v>766</v>
      </c>
      <c r="F2709" s="203" t="s">
        <v>767</v>
      </c>
    </row>
    <row r="2710" spans="1:8" x14ac:dyDescent="0.3">
      <c r="A2710" s="237" t="s">
        <v>229</v>
      </c>
      <c r="B2710" s="266" t="s">
        <v>230</v>
      </c>
      <c r="C2710" s="256"/>
      <c r="D2710" s="141"/>
      <c r="E2710" s="110"/>
      <c r="F2710" s="110"/>
    </row>
    <row r="2711" spans="1:8" x14ac:dyDescent="0.3">
      <c r="A2711" s="239" t="s">
        <v>231</v>
      </c>
      <c r="B2711" s="254" t="s">
        <v>1280</v>
      </c>
      <c r="C2711" s="256" t="s">
        <v>59</v>
      </c>
      <c r="D2711" s="141"/>
      <c r="E2711" s="110"/>
      <c r="F2711" s="110"/>
    </row>
    <row r="2712" spans="1:8" x14ac:dyDescent="0.35">
      <c r="A2712" s="111"/>
      <c r="B2712" s="112" t="s">
        <v>802</v>
      </c>
      <c r="C2712" s="118"/>
      <c r="D2712" s="118"/>
      <c r="E2712" s="119"/>
      <c r="F2712" s="119"/>
    </row>
    <row r="2713" spans="1:8" x14ac:dyDescent="0.35">
      <c r="A2713" s="111"/>
      <c r="B2713" s="120" t="s">
        <v>942</v>
      </c>
      <c r="C2713" s="118" t="s">
        <v>27</v>
      </c>
      <c r="D2713" s="118">
        <f>(2.4+1.7)*2</f>
        <v>8.1999999999999993</v>
      </c>
      <c r="E2713" s="119">
        <f>48000/6</f>
        <v>8000</v>
      </c>
      <c r="F2713" s="119">
        <f>+D2713*E2713</f>
        <v>65600</v>
      </c>
    </row>
    <row r="2714" spans="1:8" x14ac:dyDescent="0.35">
      <c r="A2714" s="111"/>
      <c r="B2714" s="120" t="s">
        <v>943</v>
      </c>
      <c r="C2714" s="118" t="s">
        <v>27</v>
      </c>
      <c r="D2714" s="118">
        <v>31</v>
      </c>
      <c r="E2714" s="119">
        <f>65000/12</f>
        <v>5416.666666666667</v>
      </c>
      <c r="F2714" s="119">
        <f t="shared" ref="F2714:F2720" si="19">+D2714*E2714</f>
        <v>167916.66666666669</v>
      </c>
    </row>
    <row r="2715" spans="1:8" x14ac:dyDescent="0.35">
      <c r="A2715" s="111"/>
      <c r="B2715" s="120" t="s">
        <v>944</v>
      </c>
      <c r="C2715" s="118" t="s">
        <v>35</v>
      </c>
      <c r="D2715" s="118">
        <f>2.29*1.65</f>
        <v>3.7784999999999997</v>
      </c>
      <c r="E2715" s="119">
        <f>120000/12</f>
        <v>10000</v>
      </c>
      <c r="F2715" s="119">
        <f t="shared" si="19"/>
        <v>37785</v>
      </c>
    </row>
    <row r="2716" spans="1:8" x14ac:dyDescent="0.35">
      <c r="A2716" s="111"/>
      <c r="B2716" s="120" t="s">
        <v>945</v>
      </c>
      <c r="C2716" s="118" t="s">
        <v>27</v>
      </c>
      <c r="D2716" s="118">
        <f>(2.4+1.7)*2+1.7</f>
        <v>9.8999999999999986</v>
      </c>
      <c r="E2716" s="119">
        <f>25000/6</f>
        <v>4166.666666666667</v>
      </c>
      <c r="F2716" s="119">
        <f t="shared" si="19"/>
        <v>41250</v>
      </c>
    </row>
    <row r="2717" spans="1:8" x14ac:dyDescent="0.35">
      <c r="A2717" s="111"/>
      <c r="B2717" s="120" t="s">
        <v>946</v>
      </c>
      <c r="C2717" s="118" t="s">
        <v>27</v>
      </c>
      <c r="D2717" s="118">
        <v>1.7</v>
      </c>
      <c r="E2717" s="119">
        <v>4666.666666666667</v>
      </c>
      <c r="F2717" s="119">
        <f t="shared" si="19"/>
        <v>7933.3333333333339</v>
      </c>
    </row>
    <row r="2718" spans="1:8" x14ac:dyDescent="0.35">
      <c r="A2718" s="111"/>
      <c r="B2718" s="120" t="s">
        <v>947</v>
      </c>
      <c r="C2718" s="118" t="s">
        <v>948</v>
      </c>
      <c r="D2718" s="118">
        <v>0.25</v>
      </c>
      <c r="E2718" s="119">
        <f>45000/4</f>
        <v>11250</v>
      </c>
      <c r="F2718" s="119">
        <f t="shared" si="19"/>
        <v>2812.5</v>
      </c>
    </row>
    <row r="2719" spans="1:8" x14ac:dyDescent="0.35">
      <c r="A2719" s="111"/>
      <c r="B2719" s="120" t="s">
        <v>949</v>
      </c>
      <c r="C2719" s="118" t="s">
        <v>948</v>
      </c>
      <c r="D2719" s="118">
        <v>0.25</v>
      </c>
      <c r="E2719" s="119">
        <f>45000/4</f>
        <v>11250</v>
      </c>
      <c r="F2719" s="119">
        <f t="shared" si="19"/>
        <v>2812.5</v>
      </c>
    </row>
    <row r="2720" spans="1:8" x14ac:dyDescent="0.35">
      <c r="A2720" s="111"/>
      <c r="B2720" s="120" t="s">
        <v>1163</v>
      </c>
      <c r="C2720" s="118" t="s">
        <v>950</v>
      </c>
      <c r="D2720" s="118">
        <v>1</v>
      </c>
      <c r="E2720" s="119">
        <v>40000</v>
      </c>
      <c r="F2720" s="119">
        <f t="shared" si="19"/>
        <v>40000</v>
      </c>
    </row>
    <row r="2721" spans="1:6" x14ac:dyDescent="0.35">
      <c r="A2721" s="111"/>
      <c r="B2721" s="120" t="s">
        <v>951</v>
      </c>
      <c r="C2721" s="118" t="s">
        <v>59</v>
      </c>
      <c r="D2721" s="118">
        <v>16</v>
      </c>
      <c r="E2721" s="119">
        <v>40000</v>
      </c>
      <c r="F2721" s="119">
        <f>+D2721*E2721</f>
        <v>640000</v>
      </c>
    </row>
    <row r="2722" spans="1:6" x14ac:dyDescent="0.35">
      <c r="A2722" s="111"/>
      <c r="B2722" s="120" t="s">
        <v>952</v>
      </c>
      <c r="C2722" s="118"/>
      <c r="D2722" s="118"/>
      <c r="E2722" s="119"/>
      <c r="F2722" s="119">
        <f>0.1*(F2721+F2720+F2719+F2718+F2717+F2716+F2715+F2714+F2713)</f>
        <v>100611</v>
      </c>
    </row>
    <row r="2723" spans="1:6" x14ac:dyDescent="0.35">
      <c r="A2723" s="107"/>
      <c r="B2723" s="108" t="s">
        <v>769</v>
      </c>
      <c r="C2723" s="109"/>
      <c r="D2723" s="124"/>
      <c r="E2723" s="117"/>
      <c r="F2723" s="110">
        <f>SUM(F2713:F2722)</f>
        <v>1106721</v>
      </c>
    </row>
    <row r="2724" spans="1:6" x14ac:dyDescent="0.3">
      <c r="A2724" s="111"/>
      <c r="B2724" s="136" t="s">
        <v>808</v>
      </c>
      <c r="C2724" s="115"/>
      <c r="D2724" s="124"/>
      <c r="E2724" s="117"/>
      <c r="F2724" s="110"/>
    </row>
    <row r="2725" spans="1:6" x14ac:dyDescent="0.25">
      <c r="A2725" s="111"/>
      <c r="B2725" s="134" t="s">
        <v>820</v>
      </c>
      <c r="C2725" s="115" t="s">
        <v>772</v>
      </c>
      <c r="D2725" s="124">
        <v>0.25</v>
      </c>
      <c r="E2725" s="117">
        <v>7500</v>
      </c>
      <c r="F2725" s="117">
        <f t="shared" ref="F2725:F2731" si="20">+D2725*E2725</f>
        <v>1875</v>
      </c>
    </row>
    <row r="2726" spans="1:6" x14ac:dyDescent="0.25">
      <c r="A2726" s="111"/>
      <c r="B2726" s="134" t="s">
        <v>821</v>
      </c>
      <c r="C2726" s="115" t="s">
        <v>772</v>
      </c>
      <c r="D2726" s="124">
        <v>0.25</v>
      </c>
      <c r="E2726" s="117">
        <v>7500</v>
      </c>
      <c r="F2726" s="117">
        <f t="shared" si="20"/>
        <v>1875</v>
      </c>
    </row>
    <row r="2727" spans="1:6" x14ac:dyDescent="0.25">
      <c r="A2727" s="111"/>
      <c r="B2727" s="134" t="s">
        <v>895</v>
      </c>
      <c r="C2727" s="115" t="s">
        <v>772</v>
      </c>
      <c r="D2727" s="124">
        <v>0.5</v>
      </c>
      <c r="E2727" s="117">
        <v>15000</v>
      </c>
      <c r="F2727" s="117">
        <f t="shared" si="20"/>
        <v>7500</v>
      </c>
    </row>
    <row r="2728" spans="1:6" x14ac:dyDescent="0.25">
      <c r="A2728" s="111"/>
      <c r="B2728" s="134" t="s">
        <v>896</v>
      </c>
      <c r="C2728" s="115" t="s">
        <v>772</v>
      </c>
      <c r="D2728" s="124">
        <v>0.5</v>
      </c>
      <c r="E2728" s="117">
        <v>15000</v>
      </c>
      <c r="F2728" s="117">
        <f t="shared" si="20"/>
        <v>7500</v>
      </c>
    </row>
    <row r="2729" spans="1:6" x14ac:dyDescent="0.25">
      <c r="A2729" s="111"/>
      <c r="B2729" s="134" t="s">
        <v>773</v>
      </c>
      <c r="C2729" s="115" t="s">
        <v>772</v>
      </c>
      <c r="D2729" s="124">
        <v>0.5</v>
      </c>
      <c r="E2729" s="117">
        <v>15000</v>
      </c>
      <c r="F2729" s="117">
        <f t="shared" si="20"/>
        <v>7500</v>
      </c>
    </row>
    <row r="2730" spans="1:6" x14ac:dyDescent="0.25">
      <c r="A2730" s="111"/>
      <c r="B2730" s="134" t="s">
        <v>851</v>
      </c>
      <c r="C2730" s="115" t="s">
        <v>772</v>
      </c>
      <c r="D2730" s="124">
        <v>0.5</v>
      </c>
      <c r="E2730" s="117">
        <v>15000</v>
      </c>
      <c r="F2730" s="117">
        <f t="shared" si="20"/>
        <v>7500</v>
      </c>
    </row>
    <row r="2731" spans="1:6" x14ac:dyDescent="0.25">
      <c r="A2731" s="111"/>
      <c r="B2731" s="134" t="s">
        <v>953</v>
      </c>
      <c r="C2731" s="115" t="s">
        <v>772</v>
      </c>
      <c r="D2731" s="124">
        <v>0.15</v>
      </c>
      <c r="E2731" s="117">
        <v>15000</v>
      </c>
      <c r="F2731" s="117">
        <f t="shared" si="20"/>
        <v>2250</v>
      </c>
    </row>
    <row r="2732" spans="1:6" x14ac:dyDescent="0.3">
      <c r="A2732" s="111"/>
      <c r="B2732" s="136" t="s">
        <v>774</v>
      </c>
      <c r="C2732" s="115"/>
      <c r="D2732" s="124"/>
      <c r="E2732" s="117"/>
      <c r="F2732" s="110">
        <f>SUM(F2725:F2731)</f>
        <v>36000</v>
      </c>
    </row>
    <row r="2733" spans="1:6" x14ac:dyDescent="0.3">
      <c r="A2733" s="111"/>
      <c r="B2733" s="136" t="s">
        <v>775</v>
      </c>
      <c r="C2733" s="115"/>
      <c r="D2733" s="109"/>
      <c r="E2733" s="110"/>
      <c r="F2733" s="110">
        <f>+F2732+F2723</f>
        <v>1142721</v>
      </c>
    </row>
    <row r="2734" spans="1:6" x14ac:dyDescent="0.25">
      <c r="A2734" s="111"/>
      <c r="B2734" s="134" t="s">
        <v>824</v>
      </c>
      <c r="C2734" s="115"/>
      <c r="D2734" s="124">
        <v>1.1000000000000001</v>
      </c>
      <c r="E2734" s="110"/>
      <c r="F2734" s="110">
        <f>+F2733*D2734</f>
        <v>1256993.1000000001</v>
      </c>
    </row>
    <row r="2735" spans="1:6" x14ac:dyDescent="0.25">
      <c r="A2735" s="111"/>
      <c r="B2735" s="134" t="s">
        <v>825</v>
      </c>
      <c r="C2735" s="115"/>
      <c r="D2735" s="124">
        <v>1.1000000000000001</v>
      </c>
      <c r="E2735" s="110"/>
      <c r="F2735" s="110"/>
    </row>
    <row r="2736" spans="1:6" x14ac:dyDescent="0.35">
      <c r="A2736" s="261" t="s">
        <v>231</v>
      </c>
      <c r="B2736" s="242" t="s">
        <v>785</v>
      </c>
      <c r="C2736" s="208" t="s">
        <v>59</v>
      </c>
      <c r="D2736" s="208"/>
      <c r="E2736" s="209"/>
      <c r="F2736" s="209">
        <f>+D2735*F2734</f>
        <v>1382692.4100000001</v>
      </c>
    </row>
    <row r="2737" spans="1:6" x14ac:dyDescent="0.35">
      <c r="A2737" s="206"/>
      <c r="B2737" s="207"/>
      <c r="C2737" s="208"/>
      <c r="D2737" s="208"/>
      <c r="E2737" s="210">
        <f>+E2706</f>
        <v>3035.45</v>
      </c>
      <c r="F2737" s="210">
        <f>+F2736/E2737</f>
        <v>455.51480340641427</v>
      </c>
    </row>
    <row r="2738" spans="1:6" x14ac:dyDescent="0.35">
      <c r="A2738" s="126"/>
      <c r="B2738" s="127"/>
      <c r="C2738" s="128"/>
      <c r="D2738" s="128"/>
      <c r="E2738" s="129"/>
      <c r="F2738" s="129"/>
    </row>
    <row r="2739" spans="1:6" x14ac:dyDescent="0.35">
      <c r="A2739" s="130"/>
      <c r="B2739" s="131"/>
      <c r="C2739" s="132"/>
      <c r="D2739" s="132"/>
      <c r="E2739" s="133"/>
      <c r="F2739" s="133"/>
    </row>
    <row r="2740" spans="1:6" x14ac:dyDescent="0.3">
      <c r="A2740" s="257" t="s">
        <v>227</v>
      </c>
      <c r="B2740" s="258" t="s">
        <v>228</v>
      </c>
      <c r="C2740" s="200" t="s">
        <v>2</v>
      </c>
      <c r="D2740" s="202" t="s">
        <v>765</v>
      </c>
      <c r="E2740" s="203" t="s">
        <v>766</v>
      </c>
      <c r="F2740" s="203" t="s">
        <v>767</v>
      </c>
    </row>
    <row r="2741" spans="1:6" x14ac:dyDescent="0.3">
      <c r="A2741" s="237" t="s">
        <v>229</v>
      </c>
      <c r="B2741" s="266" t="s">
        <v>230</v>
      </c>
      <c r="C2741" s="256"/>
      <c r="D2741" s="141"/>
      <c r="E2741" s="110"/>
      <c r="F2741" s="110"/>
    </row>
    <row r="2742" spans="1:6" x14ac:dyDescent="0.3">
      <c r="A2742" s="239" t="s">
        <v>232</v>
      </c>
      <c r="B2742" s="254" t="s">
        <v>1281</v>
      </c>
      <c r="C2742" s="256" t="s">
        <v>59</v>
      </c>
      <c r="D2742" s="141"/>
      <c r="E2742" s="110"/>
      <c r="F2742" s="110"/>
    </row>
    <row r="2743" spans="1:6" x14ac:dyDescent="0.35">
      <c r="A2743" s="111"/>
      <c r="B2743" s="112" t="s">
        <v>802</v>
      </c>
      <c r="C2743" s="118"/>
      <c r="D2743" s="118"/>
      <c r="E2743" s="119"/>
      <c r="F2743" s="119"/>
    </row>
    <row r="2744" spans="1:6" x14ac:dyDescent="0.35">
      <c r="A2744" s="111"/>
      <c r="B2744" s="120" t="s">
        <v>942</v>
      </c>
      <c r="C2744" s="118" t="s">
        <v>27</v>
      </c>
      <c r="D2744" s="118">
        <f>(1.6+1.7)*2</f>
        <v>6.6</v>
      </c>
      <c r="E2744" s="119">
        <f>48000/6</f>
        <v>8000</v>
      </c>
      <c r="F2744" s="119">
        <f t="shared" ref="F2744:F2752" si="21">+D2744*E2744</f>
        <v>52800</v>
      </c>
    </row>
    <row r="2745" spans="1:6" x14ac:dyDescent="0.35">
      <c r="A2745" s="111"/>
      <c r="B2745" s="120" t="s">
        <v>943</v>
      </c>
      <c r="C2745" s="118" t="s">
        <v>27</v>
      </c>
      <c r="D2745" s="118">
        <v>20.5</v>
      </c>
      <c r="E2745" s="119">
        <f>65000/12</f>
        <v>5416.666666666667</v>
      </c>
      <c r="F2745" s="119">
        <f t="shared" si="21"/>
        <v>111041.66666666667</v>
      </c>
    </row>
    <row r="2746" spans="1:6" x14ac:dyDescent="0.35">
      <c r="A2746" s="111"/>
      <c r="B2746" s="120" t="s">
        <v>944</v>
      </c>
      <c r="C2746" s="118" t="s">
        <v>35</v>
      </c>
      <c r="D2746" s="118">
        <f>1.78*0.77</f>
        <v>1.3706</v>
      </c>
      <c r="E2746" s="119">
        <f>120000/12</f>
        <v>10000</v>
      </c>
      <c r="F2746" s="119">
        <f t="shared" si="21"/>
        <v>13706</v>
      </c>
    </row>
    <row r="2747" spans="1:6" x14ac:dyDescent="0.35">
      <c r="A2747" s="111"/>
      <c r="B2747" s="120" t="s">
        <v>945</v>
      </c>
      <c r="C2747" s="118" t="s">
        <v>27</v>
      </c>
      <c r="D2747" s="118">
        <f>(1.6+1.7)*2+1.6</f>
        <v>8.1999999999999993</v>
      </c>
      <c r="E2747" s="119">
        <f>25000/6</f>
        <v>4166.666666666667</v>
      </c>
      <c r="F2747" s="119">
        <f t="shared" si="21"/>
        <v>34166.666666666664</v>
      </c>
    </row>
    <row r="2748" spans="1:6" x14ac:dyDescent="0.35">
      <c r="A2748" s="111"/>
      <c r="B2748" s="120" t="s">
        <v>946</v>
      </c>
      <c r="C2748" s="118" t="s">
        <v>27</v>
      </c>
      <c r="D2748" s="118">
        <v>1.6</v>
      </c>
      <c r="E2748" s="119">
        <v>4666.666666666667</v>
      </c>
      <c r="F2748" s="119">
        <f t="shared" si="21"/>
        <v>7466.6666666666679</v>
      </c>
    </row>
    <row r="2749" spans="1:6" x14ac:dyDescent="0.35">
      <c r="A2749" s="111"/>
      <c r="B2749" s="120" t="s">
        <v>947</v>
      </c>
      <c r="C2749" s="118" t="s">
        <v>948</v>
      </c>
      <c r="D2749" s="118">
        <v>0.25</v>
      </c>
      <c r="E2749" s="119">
        <f>45000/4</f>
        <v>11250</v>
      </c>
      <c r="F2749" s="119">
        <f t="shared" si="21"/>
        <v>2812.5</v>
      </c>
    </row>
    <row r="2750" spans="1:6" x14ac:dyDescent="0.35">
      <c r="A2750" s="111"/>
      <c r="B2750" s="120" t="s">
        <v>949</v>
      </c>
      <c r="C2750" s="118" t="s">
        <v>948</v>
      </c>
      <c r="D2750" s="118">
        <v>0.25</v>
      </c>
      <c r="E2750" s="119">
        <f>45000/4</f>
        <v>11250</v>
      </c>
      <c r="F2750" s="119">
        <f t="shared" si="21"/>
        <v>2812.5</v>
      </c>
    </row>
    <row r="2751" spans="1:6" x14ac:dyDescent="0.35">
      <c r="A2751" s="111"/>
      <c r="B2751" s="120" t="s">
        <v>1282</v>
      </c>
      <c r="C2751" s="118" t="s">
        <v>950</v>
      </c>
      <c r="D2751" s="118">
        <v>1</v>
      </c>
      <c r="E2751" s="119">
        <v>40000</v>
      </c>
      <c r="F2751" s="119">
        <f t="shared" si="21"/>
        <v>40000</v>
      </c>
    </row>
    <row r="2752" spans="1:6" x14ac:dyDescent="0.35">
      <c r="A2752" s="111"/>
      <c r="B2752" s="120" t="s">
        <v>951</v>
      </c>
      <c r="C2752" s="118" t="s">
        <v>59</v>
      </c>
      <c r="D2752" s="118">
        <v>8</v>
      </c>
      <c r="E2752" s="119">
        <v>40000</v>
      </c>
      <c r="F2752" s="119">
        <f t="shared" si="21"/>
        <v>320000</v>
      </c>
    </row>
    <row r="2753" spans="1:6" x14ac:dyDescent="0.35">
      <c r="A2753" s="111"/>
      <c r="B2753" s="120" t="s">
        <v>952</v>
      </c>
      <c r="C2753" s="118"/>
      <c r="D2753" s="118"/>
      <c r="E2753" s="119"/>
      <c r="F2753" s="119">
        <f>+(F2752+F2751+F2750+F2749+F2748+F2747+F2746+F2745+F2744)*0.1</f>
        <v>58480.600000000006</v>
      </c>
    </row>
    <row r="2754" spans="1:6" x14ac:dyDescent="0.35">
      <c r="A2754" s="107"/>
      <c r="B2754" s="108" t="s">
        <v>769</v>
      </c>
      <c r="C2754" s="109"/>
      <c r="D2754" s="124"/>
      <c r="E2754" s="117"/>
      <c r="F2754" s="110">
        <f>SUM(F2744:F2753)</f>
        <v>643286.6</v>
      </c>
    </row>
    <row r="2755" spans="1:6" x14ac:dyDescent="0.3">
      <c r="A2755" s="111"/>
      <c r="B2755" s="136" t="s">
        <v>808</v>
      </c>
      <c r="C2755" s="115"/>
      <c r="D2755" s="124"/>
      <c r="E2755" s="117"/>
      <c r="F2755" s="110"/>
    </row>
    <row r="2756" spans="1:6" x14ac:dyDescent="0.25">
      <c r="A2756" s="111"/>
      <c r="B2756" s="134" t="s">
        <v>820</v>
      </c>
      <c r="C2756" s="115" t="s">
        <v>772</v>
      </c>
      <c r="D2756" s="124">
        <v>0.25</v>
      </c>
      <c r="E2756" s="117">
        <v>7500</v>
      </c>
      <c r="F2756" s="117">
        <f t="shared" ref="F2756:F2762" si="22">+D2756*E2756</f>
        <v>1875</v>
      </c>
    </row>
    <row r="2757" spans="1:6" x14ac:dyDescent="0.25">
      <c r="A2757" s="111"/>
      <c r="B2757" s="134" t="s">
        <v>821</v>
      </c>
      <c r="C2757" s="115" t="s">
        <v>772</v>
      </c>
      <c r="D2757" s="124">
        <v>0.25</v>
      </c>
      <c r="E2757" s="117">
        <v>7500</v>
      </c>
      <c r="F2757" s="117">
        <f t="shared" si="22"/>
        <v>1875</v>
      </c>
    </row>
    <row r="2758" spans="1:6" x14ac:dyDescent="0.25">
      <c r="A2758" s="111"/>
      <c r="B2758" s="134" t="s">
        <v>895</v>
      </c>
      <c r="C2758" s="115" t="s">
        <v>772</v>
      </c>
      <c r="D2758" s="124">
        <v>0.5</v>
      </c>
      <c r="E2758" s="117">
        <v>15000</v>
      </c>
      <c r="F2758" s="117">
        <f t="shared" si="22"/>
        <v>7500</v>
      </c>
    </row>
    <row r="2759" spans="1:6" x14ac:dyDescent="0.25">
      <c r="A2759" s="111"/>
      <c r="B2759" s="134" t="s">
        <v>896</v>
      </c>
      <c r="C2759" s="115" t="s">
        <v>772</v>
      </c>
      <c r="D2759" s="124">
        <v>0.5</v>
      </c>
      <c r="E2759" s="117">
        <v>15000</v>
      </c>
      <c r="F2759" s="117">
        <f t="shared" si="22"/>
        <v>7500</v>
      </c>
    </row>
    <row r="2760" spans="1:6" x14ac:dyDescent="0.25">
      <c r="A2760" s="111"/>
      <c r="B2760" s="134" t="s">
        <v>773</v>
      </c>
      <c r="C2760" s="115" t="s">
        <v>772</v>
      </c>
      <c r="D2760" s="124">
        <v>0.5</v>
      </c>
      <c r="E2760" s="117">
        <v>15000</v>
      </c>
      <c r="F2760" s="117">
        <f t="shared" si="22"/>
        <v>7500</v>
      </c>
    </row>
    <row r="2761" spans="1:6" x14ac:dyDescent="0.25">
      <c r="A2761" s="111"/>
      <c r="B2761" s="134" t="s">
        <v>851</v>
      </c>
      <c r="C2761" s="115" t="s">
        <v>772</v>
      </c>
      <c r="D2761" s="124">
        <v>0.5</v>
      </c>
      <c r="E2761" s="117">
        <v>15000</v>
      </c>
      <c r="F2761" s="117">
        <f t="shared" si="22"/>
        <v>7500</v>
      </c>
    </row>
    <row r="2762" spans="1:6" x14ac:dyDescent="0.25">
      <c r="A2762" s="111"/>
      <c r="B2762" s="134" t="s">
        <v>953</v>
      </c>
      <c r="C2762" s="115" t="s">
        <v>772</v>
      </c>
      <c r="D2762" s="124">
        <v>0.15</v>
      </c>
      <c r="E2762" s="117">
        <v>15000</v>
      </c>
      <c r="F2762" s="117">
        <f t="shared" si="22"/>
        <v>2250</v>
      </c>
    </row>
    <row r="2763" spans="1:6" x14ac:dyDescent="0.3">
      <c r="A2763" s="111"/>
      <c r="B2763" s="136" t="s">
        <v>774</v>
      </c>
      <c r="C2763" s="115"/>
      <c r="D2763" s="124"/>
      <c r="E2763" s="117"/>
      <c r="F2763" s="110">
        <f>SUM(F2756:F2762)</f>
        <v>36000</v>
      </c>
    </row>
    <row r="2764" spans="1:6" x14ac:dyDescent="0.3">
      <c r="A2764" s="111"/>
      <c r="B2764" s="136" t="s">
        <v>775</v>
      </c>
      <c r="C2764" s="115"/>
      <c r="D2764" s="109"/>
      <c r="E2764" s="110"/>
      <c r="F2764" s="110">
        <f>+F2763+F2754</f>
        <v>679286.6</v>
      </c>
    </row>
    <row r="2765" spans="1:6" x14ac:dyDescent="0.25">
      <c r="A2765" s="111"/>
      <c r="B2765" s="134" t="s">
        <v>824</v>
      </c>
      <c r="C2765" s="115"/>
      <c r="D2765" s="124">
        <v>1.1000000000000001</v>
      </c>
      <c r="E2765" s="110"/>
      <c r="F2765" s="110">
        <f>+F2764*D2765</f>
        <v>747215.26</v>
      </c>
    </row>
    <row r="2766" spans="1:6" x14ac:dyDescent="0.25">
      <c r="A2766" s="111"/>
      <c r="B2766" s="134" t="s">
        <v>825</v>
      </c>
      <c r="C2766" s="115"/>
      <c r="D2766" s="124">
        <v>1.1000000000000001</v>
      </c>
      <c r="E2766" s="110"/>
      <c r="F2766" s="110"/>
    </row>
    <row r="2767" spans="1:6" x14ac:dyDescent="0.35">
      <c r="A2767" s="261" t="s">
        <v>232</v>
      </c>
      <c r="B2767" s="242" t="s">
        <v>785</v>
      </c>
      <c r="C2767" s="208" t="s">
        <v>59</v>
      </c>
      <c r="D2767" s="208"/>
      <c r="E2767" s="209"/>
      <c r="F2767" s="209">
        <f>+D2766*F2765</f>
        <v>821936.78600000008</v>
      </c>
    </row>
    <row r="2768" spans="1:6" x14ac:dyDescent="0.35">
      <c r="A2768" s="206"/>
      <c r="B2768" s="207"/>
      <c r="C2768" s="208"/>
      <c r="D2768" s="208"/>
      <c r="E2768" s="210">
        <f>+E2737</f>
        <v>3035.45</v>
      </c>
      <c r="F2768" s="210">
        <f>+F2767/E2768</f>
        <v>270.77922087334667</v>
      </c>
    </row>
    <row r="2769" spans="1:6" x14ac:dyDescent="0.35">
      <c r="A2769" s="126"/>
      <c r="B2769" s="127"/>
      <c r="C2769" s="128"/>
      <c r="D2769" s="128"/>
      <c r="E2769" s="129"/>
      <c r="F2769" s="129"/>
    </row>
    <row r="2770" spans="1:6" x14ac:dyDescent="0.35">
      <c r="A2770" s="130"/>
      <c r="B2770" s="131"/>
      <c r="C2770" s="132"/>
      <c r="D2770" s="132"/>
      <c r="E2770" s="133"/>
      <c r="F2770" s="133"/>
    </row>
    <row r="2771" spans="1:6" x14ac:dyDescent="0.3">
      <c r="A2771" s="257" t="s">
        <v>227</v>
      </c>
      <c r="B2771" s="258" t="s">
        <v>228</v>
      </c>
      <c r="C2771" s="200" t="s">
        <v>2</v>
      </c>
      <c r="D2771" s="202" t="s">
        <v>765</v>
      </c>
      <c r="E2771" s="203" t="s">
        <v>766</v>
      </c>
      <c r="F2771" s="203" t="s">
        <v>767</v>
      </c>
    </row>
    <row r="2772" spans="1:6" x14ac:dyDescent="0.3">
      <c r="A2772" s="237" t="s">
        <v>229</v>
      </c>
      <c r="B2772" s="266" t="s">
        <v>230</v>
      </c>
      <c r="C2772" s="256"/>
      <c r="D2772" s="141"/>
      <c r="E2772" s="110"/>
      <c r="F2772" s="110"/>
    </row>
    <row r="2773" spans="1:6" x14ac:dyDescent="0.3">
      <c r="A2773" s="239" t="s">
        <v>233</v>
      </c>
      <c r="B2773" s="254" t="s">
        <v>680</v>
      </c>
      <c r="C2773" s="256" t="s">
        <v>59</v>
      </c>
      <c r="D2773" s="141"/>
      <c r="E2773" s="110"/>
      <c r="F2773" s="110"/>
    </row>
    <row r="2774" spans="1:6" x14ac:dyDescent="0.35">
      <c r="A2774" s="111"/>
      <c r="B2774" s="112" t="s">
        <v>802</v>
      </c>
      <c r="C2774" s="118"/>
      <c r="D2774" s="118"/>
      <c r="E2774" s="119"/>
      <c r="F2774" s="119"/>
    </row>
    <row r="2775" spans="1:6" x14ac:dyDescent="0.35">
      <c r="A2775" s="111"/>
      <c r="B2775" s="120" t="s">
        <v>942</v>
      </c>
      <c r="C2775" s="118" t="s">
        <v>27</v>
      </c>
      <c r="D2775" s="118">
        <f>(2.4+0.8)*2</f>
        <v>6.4</v>
      </c>
      <c r="E2775" s="119">
        <f>48000/6</f>
        <v>8000</v>
      </c>
      <c r="F2775" s="119">
        <f t="shared" ref="F2775:F2783" si="23">+D2775*E2775</f>
        <v>51200</v>
      </c>
    </row>
    <row r="2776" spans="1:6" x14ac:dyDescent="0.35">
      <c r="A2776" s="111"/>
      <c r="B2776" s="120" t="s">
        <v>943</v>
      </c>
      <c r="C2776" s="118" t="s">
        <v>27</v>
      </c>
      <c r="D2776" s="118">
        <v>13.5</v>
      </c>
      <c r="E2776" s="119">
        <f>65000/12</f>
        <v>5416.666666666667</v>
      </c>
      <c r="F2776" s="119">
        <f t="shared" si="23"/>
        <v>73125</v>
      </c>
    </row>
    <row r="2777" spans="1:6" x14ac:dyDescent="0.35">
      <c r="A2777" s="111"/>
      <c r="B2777" s="120" t="s">
        <v>944</v>
      </c>
      <c r="C2777" s="118" t="s">
        <v>35</v>
      </c>
      <c r="D2777" s="118">
        <f>1.72*1.65</f>
        <v>2.8379999999999996</v>
      </c>
      <c r="E2777" s="119">
        <f>120000/12</f>
        <v>10000</v>
      </c>
      <c r="F2777" s="119">
        <f t="shared" si="23"/>
        <v>28379.999999999996</v>
      </c>
    </row>
    <row r="2778" spans="1:6" x14ac:dyDescent="0.35">
      <c r="A2778" s="111"/>
      <c r="B2778" s="120" t="s">
        <v>945</v>
      </c>
      <c r="C2778" s="118" t="s">
        <v>27</v>
      </c>
      <c r="D2778" s="118">
        <f>(2.4+0.8)*2+0.8</f>
        <v>7.2</v>
      </c>
      <c r="E2778" s="119">
        <f>25000/6</f>
        <v>4166.666666666667</v>
      </c>
      <c r="F2778" s="119">
        <f t="shared" si="23"/>
        <v>30000.000000000004</v>
      </c>
    </row>
    <row r="2779" spans="1:6" x14ac:dyDescent="0.35">
      <c r="A2779" s="111"/>
      <c r="B2779" s="120" t="s">
        <v>946</v>
      </c>
      <c r="C2779" s="118" t="s">
        <v>27</v>
      </c>
      <c r="D2779" s="118">
        <v>0.8</v>
      </c>
      <c r="E2779" s="119">
        <v>4666.666666666667</v>
      </c>
      <c r="F2779" s="119">
        <f t="shared" si="23"/>
        <v>3733.3333333333339</v>
      </c>
    </row>
    <row r="2780" spans="1:6" x14ac:dyDescent="0.35">
      <c r="A2780" s="111"/>
      <c r="B2780" s="120" t="s">
        <v>947</v>
      </c>
      <c r="C2780" s="118" t="s">
        <v>948</v>
      </c>
      <c r="D2780" s="118">
        <v>0.25</v>
      </c>
      <c r="E2780" s="119">
        <f>45000/4</f>
        <v>11250</v>
      </c>
      <c r="F2780" s="119">
        <f t="shared" si="23"/>
        <v>2812.5</v>
      </c>
    </row>
    <row r="2781" spans="1:6" x14ac:dyDescent="0.35">
      <c r="A2781" s="111"/>
      <c r="B2781" s="120" t="s">
        <v>949</v>
      </c>
      <c r="C2781" s="118" t="s">
        <v>948</v>
      </c>
      <c r="D2781" s="118">
        <v>0.25</v>
      </c>
      <c r="E2781" s="119">
        <f>45000/4</f>
        <v>11250</v>
      </c>
      <c r="F2781" s="119">
        <f t="shared" si="23"/>
        <v>2812.5</v>
      </c>
    </row>
    <row r="2782" spans="1:6" x14ac:dyDescent="0.35">
      <c r="A2782" s="111"/>
      <c r="B2782" s="120" t="s">
        <v>1163</v>
      </c>
      <c r="C2782" s="118" t="s">
        <v>950</v>
      </c>
      <c r="D2782" s="118">
        <v>1</v>
      </c>
      <c r="E2782" s="119">
        <v>40000</v>
      </c>
      <c r="F2782" s="119">
        <f t="shared" si="23"/>
        <v>40000</v>
      </c>
    </row>
    <row r="2783" spans="1:6" x14ac:dyDescent="0.35">
      <c r="A2783" s="111"/>
      <c r="B2783" s="120" t="s">
        <v>951</v>
      </c>
      <c r="C2783" s="118" t="s">
        <v>59</v>
      </c>
      <c r="D2783" s="118">
        <v>16</v>
      </c>
      <c r="E2783" s="119">
        <v>40000</v>
      </c>
      <c r="F2783" s="119">
        <f t="shared" si="23"/>
        <v>640000</v>
      </c>
    </row>
    <row r="2784" spans="1:6" x14ac:dyDescent="0.35">
      <c r="A2784" s="111"/>
      <c r="B2784" s="120" t="s">
        <v>952</v>
      </c>
      <c r="C2784" s="118"/>
      <c r="D2784" s="118"/>
      <c r="E2784" s="119"/>
      <c r="F2784" s="119">
        <f>+(F2783+F2782+F2781+F2780+F2779+F2778+F2777+F2776+F2775)*0.1</f>
        <v>87206.333333333343</v>
      </c>
    </row>
    <row r="2785" spans="1:6" x14ac:dyDescent="0.35">
      <c r="A2785" s="107"/>
      <c r="B2785" s="108" t="s">
        <v>769</v>
      </c>
      <c r="C2785" s="109"/>
      <c r="D2785" s="124"/>
      <c r="E2785" s="117"/>
      <c r="F2785" s="110">
        <f>SUM(F2775:F2784)</f>
        <v>959269.66666666674</v>
      </c>
    </row>
    <row r="2786" spans="1:6" x14ac:dyDescent="0.3">
      <c r="A2786" s="111"/>
      <c r="B2786" s="136" t="s">
        <v>808</v>
      </c>
      <c r="C2786" s="115"/>
      <c r="D2786" s="124"/>
      <c r="E2786" s="117"/>
      <c r="F2786" s="110"/>
    </row>
    <row r="2787" spans="1:6" x14ac:dyDescent="0.25">
      <c r="A2787" s="111"/>
      <c r="B2787" s="134" t="s">
        <v>820</v>
      </c>
      <c r="C2787" s="115" t="s">
        <v>772</v>
      </c>
      <c r="D2787" s="124">
        <v>0.25</v>
      </c>
      <c r="E2787" s="117">
        <v>7500</v>
      </c>
      <c r="F2787" s="117">
        <f t="shared" ref="F2787:F2793" si="24">+D2787*E2787</f>
        <v>1875</v>
      </c>
    </row>
    <row r="2788" spans="1:6" x14ac:dyDescent="0.25">
      <c r="A2788" s="111"/>
      <c r="B2788" s="134" t="s">
        <v>821</v>
      </c>
      <c r="C2788" s="115" t="s">
        <v>772</v>
      </c>
      <c r="D2788" s="124">
        <v>0.25</v>
      </c>
      <c r="E2788" s="117">
        <v>7500</v>
      </c>
      <c r="F2788" s="117">
        <f t="shared" si="24"/>
        <v>1875</v>
      </c>
    </row>
    <row r="2789" spans="1:6" x14ac:dyDescent="0.25">
      <c r="A2789" s="111"/>
      <c r="B2789" s="134" t="s">
        <v>895</v>
      </c>
      <c r="C2789" s="115" t="s">
        <v>772</v>
      </c>
      <c r="D2789" s="124">
        <v>0.5</v>
      </c>
      <c r="E2789" s="117">
        <v>15000</v>
      </c>
      <c r="F2789" s="117">
        <f t="shared" si="24"/>
        <v>7500</v>
      </c>
    </row>
    <row r="2790" spans="1:6" x14ac:dyDescent="0.25">
      <c r="A2790" s="111"/>
      <c r="B2790" s="134" t="s">
        <v>896</v>
      </c>
      <c r="C2790" s="115" t="s">
        <v>772</v>
      </c>
      <c r="D2790" s="124">
        <v>0.5</v>
      </c>
      <c r="E2790" s="117">
        <v>15000</v>
      </c>
      <c r="F2790" s="117">
        <f t="shared" si="24"/>
        <v>7500</v>
      </c>
    </row>
    <row r="2791" spans="1:6" x14ac:dyDescent="0.25">
      <c r="A2791" s="111"/>
      <c r="B2791" s="134" t="s">
        <v>773</v>
      </c>
      <c r="C2791" s="115" t="s">
        <v>772</v>
      </c>
      <c r="D2791" s="124">
        <v>0.5</v>
      </c>
      <c r="E2791" s="117">
        <v>15000</v>
      </c>
      <c r="F2791" s="117">
        <f t="shared" si="24"/>
        <v>7500</v>
      </c>
    </row>
    <row r="2792" spans="1:6" x14ac:dyDescent="0.25">
      <c r="A2792" s="111"/>
      <c r="B2792" s="134" t="s">
        <v>851</v>
      </c>
      <c r="C2792" s="115" t="s">
        <v>772</v>
      </c>
      <c r="D2792" s="124">
        <v>0.5</v>
      </c>
      <c r="E2792" s="117">
        <v>15000</v>
      </c>
      <c r="F2792" s="117">
        <f t="shared" si="24"/>
        <v>7500</v>
      </c>
    </row>
    <row r="2793" spans="1:6" x14ac:dyDescent="0.25">
      <c r="A2793" s="111"/>
      <c r="B2793" s="134" t="s">
        <v>953</v>
      </c>
      <c r="C2793" s="115" t="s">
        <v>772</v>
      </c>
      <c r="D2793" s="124">
        <v>0.15</v>
      </c>
      <c r="E2793" s="117">
        <v>15000</v>
      </c>
      <c r="F2793" s="117">
        <f t="shared" si="24"/>
        <v>2250</v>
      </c>
    </row>
    <row r="2794" spans="1:6" x14ac:dyDescent="0.3">
      <c r="A2794" s="111"/>
      <c r="B2794" s="136" t="s">
        <v>774</v>
      </c>
      <c r="C2794" s="115"/>
      <c r="D2794" s="124"/>
      <c r="E2794" s="117"/>
      <c r="F2794" s="110">
        <f>SUM(F2787:F2793)</f>
        <v>36000</v>
      </c>
    </row>
    <row r="2795" spans="1:6" x14ac:dyDescent="0.3">
      <c r="A2795" s="111"/>
      <c r="B2795" s="136" t="s">
        <v>775</v>
      </c>
      <c r="C2795" s="115"/>
      <c r="D2795" s="109"/>
      <c r="E2795" s="110"/>
      <c r="F2795" s="110">
        <f>+F2794+F2785</f>
        <v>995269.66666666674</v>
      </c>
    </row>
    <row r="2796" spans="1:6" x14ac:dyDescent="0.25">
      <c r="A2796" s="111"/>
      <c r="B2796" s="134" t="s">
        <v>824</v>
      </c>
      <c r="C2796" s="115"/>
      <c r="D2796" s="124">
        <v>1.1000000000000001</v>
      </c>
      <c r="E2796" s="110"/>
      <c r="F2796" s="110">
        <f>+F2795*D2796</f>
        <v>1094796.6333333335</v>
      </c>
    </row>
    <row r="2797" spans="1:6" x14ac:dyDescent="0.25">
      <c r="A2797" s="111"/>
      <c r="B2797" s="134" t="s">
        <v>825</v>
      </c>
      <c r="C2797" s="115"/>
      <c r="D2797" s="124">
        <v>1.1000000000000001</v>
      </c>
      <c r="E2797" s="110"/>
      <c r="F2797" s="110"/>
    </row>
    <row r="2798" spans="1:6" x14ac:dyDescent="0.35">
      <c r="A2798" s="261" t="s">
        <v>233</v>
      </c>
      <c r="B2798" s="242" t="s">
        <v>785</v>
      </c>
      <c r="C2798" s="208" t="s">
        <v>59</v>
      </c>
      <c r="D2798" s="208"/>
      <c r="E2798" s="209"/>
      <c r="F2798" s="209">
        <f>+D2797*F2796</f>
        <v>1204276.2966666671</v>
      </c>
    </row>
    <row r="2799" spans="1:6" x14ac:dyDescent="0.35">
      <c r="A2799" s="206"/>
      <c r="B2799" s="207"/>
      <c r="C2799" s="208"/>
      <c r="D2799" s="208"/>
      <c r="E2799" s="210">
        <f>+E2768</f>
        <v>3035.45</v>
      </c>
      <c r="F2799" s="210">
        <f>+F2798/E2799</f>
        <v>396.73731956272286</v>
      </c>
    </row>
    <row r="2800" spans="1:6" x14ac:dyDescent="0.35">
      <c r="A2800" s="126"/>
      <c r="B2800" s="127"/>
      <c r="C2800" s="128"/>
      <c r="D2800" s="128"/>
      <c r="E2800" s="129"/>
      <c r="F2800" s="129"/>
    </row>
    <row r="2801" spans="1:6" x14ac:dyDescent="0.35">
      <c r="A2801" s="130"/>
      <c r="B2801" s="131"/>
      <c r="C2801" s="132"/>
      <c r="D2801" s="132"/>
      <c r="E2801" s="133"/>
      <c r="F2801" s="133"/>
    </row>
    <row r="2802" spans="1:6" x14ac:dyDescent="0.3">
      <c r="A2802" s="257" t="s">
        <v>227</v>
      </c>
      <c r="B2802" s="258" t="s">
        <v>228</v>
      </c>
      <c r="C2802" s="200" t="s">
        <v>2</v>
      </c>
      <c r="D2802" s="202" t="s">
        <v>765</v>
      </c>
      <c r="E2802" s="203" t="s">
        <v>766</v>
      </c>
      <c r="F2802" s="203" t="s">
        <v>767</v>
      </c>
    </row>
    <row r="2803" spans="1:6" x14ac:dyDescent="0.3">
      <c r="A2803" s="237" t="s">
        <v>229</v>
      </c>
      <c r="B2803" s="266" t="s">
        <v>230</v>
      </c>
      <c r="C2803" s="256"/>
      <c r="D2803" s="141"/>
      <c r="E2803" s="110"/>
      <c r="F2803" s="110"/>
    </row>
    <row r="2804" spans="1:6" x14ac:dyDescent="0.35">
      <c r="A2804" s="239" t="s">
        <v>234</v>
      </c>
      <c r="B2804" s="240" t="s">
        <v>1159</v>
      </c>
      <c r="C2804" s="256" t="s">
        <v>59</v>
      </c>
      <c r="D2804" s="141"/>
      <c r="E2804" s="110"/>
      <c r="F2804" s="110"/>
    </row>
    <row r="2805" spans="1:6" x14ac:dyDescent="0.35">
      <c r="A2805" s="111"/>
      <c r="B2805" s="112" t="s">
        <v>802</v>
      </c>
      <c r="C2805" s="118"/>
      <c r="D2805" s="118"/>
      <c r="E2805" s="119"/>
      <c r="F2805" s="119"/>
    </row>
    <row r="2806" spans="1:6" x14ac:dyDescent="0.35">
      <c r="A2806" s="111"/>
      <c r="B2806" s="120" t="s">
        <v>942</v>
      </c>
      <c r="C2806" s="118" t="s">
        <v>27</v>
      </c>
      <c r="D2806" s="118">
        <f>(1.2+1.7)*2</f>
        <v>5.8</v>
      </c>
      <c r="E2806" s="119">
        <f>48000/6</f>
        <v>8000</v>
      </c>
      <c r="F2806" s="119">
        <f>+D2806*E2806</f>
        <v>46400</v>
      </c>
    </row>
    <row r="2807" spans="1:6" x14ac:dyDescent="0.35">
      <c r="A2807" s="111"/>
      <c r="B2807" s="120" t="s">
        <v>943</v>
      </c>
      <c r="C2807" s="118" t="s">
        <v>27</v>
      </c>
      <c r="D2807" s="118">
        <v>15.5</v>
      </c>
      <c r="E2807" s="119">
        <f>65000/12</f>
        <v>5416.666666666667</v>
      </c>
      <c r="F2807" s="119">
        <f t="shared" ref="F2807:F2814" si="25">+D2807*E2807</f>
        <v>83958.333333333343</v>
      </c>
    </row>
    <row r="2808" spans="1:6" x14ac:dyDescent="0.35">
      <c r="A2808" s="111"/>
      <c r="B2808" s="120" t="s">
        <v>944</v>
      </c>
      <c r="C2808" s="118" t="s">
        <v>35</v>
      </c>
      <c r="D2808" s="118">
        <f>1.15*1.65</f>
        <v>1.8974999999999997</v>
      </c>
      <c r="E2808" s="119">
        <f>120000/12</f>
        <v>10000</v>
      </c>
      <c r="F2808" s="119">
        <f t="shared" si="25"/>
        <v>18974.999999999996</v>
      </c>
    </row>
    <row r="2809" spans="1:6" x14ac:dyDescent="0.35">
      <c r="A2809" s="111"/>
      <c r="B2809" s="120" t="s">
        <v>945</v>
      </c>
      <c r="C2809" s="118" t="s">
        <v>27</v>
      </c>
      <c r="D2809" s="118">
        <f>(1.2+1.7)*2+1.2</f>
        <v>7</v>
      </c>
      <c r="E2809" s="119">
        <f>25000/6</f>
        <v>4166.666666666667</v>
      </c>
      <c r="F2809" s="119">
        <f t="shared" si="25"/>
        <v>29166.666666666668</v>
      </c>
    </row>
    <row r="2810" spans="1:6" x14ac:dyDescent="0.35">
      <c r="A2810" s="111"/>
      <c r="B2810" s="120" t="s">
        <v>946</v>
      </c>
      <c r="C2810" s="118" t="s">
        <v>27</v>
      </c>
      <c r="D2810" s="118">
        <v>1.2</v>
      </c>
      <c r="E2810" s="119">
        <v>4666.666666666667</v>
      </c>
      <c r="F2810" s="119">
        <f t="shared" si="25"/>
        <v>5600</v>
      </c>
    </row>
    <row r="2811" spans="1:6" x14ac:dyDescent="0.35">
      <c r="A2811" s="111"/>
      <c r="B2811" s="120" t="s">
        <v>947</v>
      </c>
      <c r="C2811" s="118" t="s">
        <v>948</v>
      </c>
      <c r="D2811" s="118">
        <f>(1.2+1.7)*2</f>
        <v>5.8</v>
      </c>
      <c r="E2811" s="119">
        <f>45000/4</f>
        <v>11250</v>
      </c>
      <c r="F2811" s="119">
        <f t="shared" si="25"/>
        <v>65250</v>
      </c>
    </row>
    <row r="2812" spans="1:6" x14ac:dyDescent="0.35">
      <c r="A2812" s="111"/>
      <c r="B2812" s="120" t="s">
        <v>949</v>
      </c>
      <c r="C2812" s="118" t="s">
        <v>948</v>
      </c>
      <c r="D2812" s="118">
        <v>0.25</v>
      </c>
      <c r="E2812" s="119">
        <f>45000/4</f>
        <v>11250</v>
      </c>
      <c r="F2812" s="119">
        <f t="shared" si="25"/>
        <v>2812.5</v>
      </c>
    </row>
    <row r="2813" spans="1:6" x14ac:dyDescent="0.35">
      <c r="A2813" s="111"/>
      <c r="B2813" s="120" t="s">
        <v>1283</v>
      </c>
      <c r="C2813" s="118" t="s">
        <v>950</v>
      </c>
      <c r="D2813" s="118">
        <v>1</v>
      </c>
      <c r="E2813" s="119">
        <v>40000</v>
      </c>
      <c r="F2813" s="119">
        <f t="shared" si="25"/>
        <v>40000</v>
      </c>
    </row>
    <row r="2814" spans="1:6" x14ac:dyDescent="0.35">
      <c r="A2814" s="111"/>
      <c r="B2814" s="120" t="s">
        <v>951</v>
      </c>
      <c r="C2814" s="118" t="s">
        <v>59</v>
      </c>
      <c r="D2814" s="118">
        <v>16</v>
      </c>
      <c r="E2814" s="119">
        <v>40000</v>
      </c>
      <c r="F2814" s="119">
        <f t="shared" si="25"/>
        <v>640000</v>
      </c>
    </row>
    <row r="2815" spans="1:6" x14ac:dyDescent="0.35">
      <c r="A2815" s="111"/>
      <c r="B2815" s="120" t="s">
        <v>952</v>
      </c>
      <c r="C2815" s="118"/>
      <c r="D2815" s="118"/>
      <c r="E2815" s="119"/>
      <c r="F2815" s="119">
        <f>+(F2814+F2813+F2812+F2811+F2810+F2809+F2808+F2807+F2806)*0.1</f>
        <v>93216.25</v>
      </c>
    </row>
    <row r="2816" spans="1:6" x14ac:dyDescent="0.35">
      <c r="A2816" s="107"/>
      <c r="B2816" s="108" t="s">
        <v>769</v>
      </c>
      <c r="C2816" s="109"/>
      <c r="D2816" s="124"/>
      <c r="E2816" s="117"/>
      <c r="F2816" s="110">
        <f>SUM(F2806:F2815)</f>
        <v>1025378.75</v>
      </c>
    </row>
    <row r="2817" spans="1:6" x14ac:dyDescent="0.3">
      <c r="A2817" s="111"/>
      <c r="B2817" s="136" t="s">
        <v>808</v>
      </c>
      <c r="C2817" s="115"/>
      <c r="D2817" s="124"/>
      <c r="E2817" s="117"/>
      <c r="F2817" s="110"/>
    </row>
    <row r="2818" spans="1:6" x14ac:dyDescent="0.25">
      <c r="A2818" s="111"/>
      <c r="B2818" s="134" t="s">
        <v>820</v>
      </c>
      <c r="C2818" s="115" t="s">
        <v>772</v>
      </c>
      <c r="D2818" s="124">
        <v>0.25</v>
      </c>
      <c r="E2818" s="117">
        <v>7500</v>
      </c>
      <c r="F2818" s="117">
        <f t="shared" ref="F2818:F2824" si="26">+D2818*E2818</f>
        <v>1875</v>
      </c>
    </row>
    <row r="2819" spans="1:6" x14ac:dyDescent="0.25">
      <c r="A2819" s="111"/>
      <c r="B2819" s="134" t="s">
        <v>821</v>
      </c>
      <c r="C2819" s="115" t="s">
        <v>772</v>
      </c>
      <c r="D2819" s="124">
        <v>0.25</v>
      </c>
      <c r="E2819" s="117">
        <v>7500</v>
      </c>
      <c r="F2819" s="117">
        <f t="shared" si="26"/>
        <v>1875</v>
      </c>
    </row>
    <row r="2820" spans="1:6" x14ac:dyDescent="0.25">
      <c r="A2820" s="111"/>
      <c r="B2820" s="134" t="s">
        <v>895</v>
      </c>
      <c r="C2820" s="115" t="s">
        <v>772</v>
      </c>
      <c r="D2820" s="124">
        <v>0.5</v>
      </c>
      <c r="E2820" s="117">
        <v>15000</v>
      </c>
      <c r="F2820" s="117">
        <f t="shared" si="26"/>
        <v>7500</v>
      </c>
    </row>
    <row r="2821" spans="1:6" x14ac:dyDescent="0.25">
      <c r="A2821" s="111"/>
      <c r="B2821" s="134" t="s">
        <v>896</v>
      </c>
      <c r="C2821" s="115" t="s">
        <v>772</v>
      </c>
      <c r="D2821" s="124">
        <v>0.5</v>
      </c>
      <c r="E2821" s="117">
        <v>15000</v>
      </c>
      <c r="F2821" s="117">
        <f t="shared" si="26"/>
        <v>7500</v>
      </c>
    </row>
    <row r="2822" spans="1:6" x14ac:dyDescent="0.25">
      <c r="A2822" s="111"/>
      <c r="B2822" s="134" t="s">
        <v>773</v>
      </c>
      <c r="C2822" s="115" t="s">
        <v>772</v>
      </c>
      <c r="D2822" s="124">
        <v>0.5</v>
      </c>
      <c r="E2822" s="117">
        <v>15000</v>
      </c>
      <c r="F2822" s="117">
        <f t="shared" si="26"/>
        <v>7500</v>
      </c>
    </row>
    <row r="2823" spans="1:6" x14ac:dyDescent="0.25">
      <c r="A2823" s="111"/>
      <c r="B2823" s="134" t="s">
        <v>851</v>
      </c>
      <c r="C2823" s="115" t="s">
        <v>772</v>
      </c>
      <c r="D2823" s="124">
        <v>0.5</v>
      </c>
      <c r="E2823" s="117">
        <v>15000</v>
      </c>
      <c r="F2823" s="117">
        <f t="shared" si="26"/>
        <v>7500</v>
      </c>
    </row>
    <row r="2824" spans="1:6" x14ac:dyDescent="0.25">
      <c r="A2824" s="111"/>
      <c r="B2824" s="134" t="s">
        <v>953</v>
      </c>
      <c r="C2824" s="115" t="s">
        <v>772</v>
      </c>
      <c r="D2824" s="124">
        <v>0.15</v>
      </c>
      <c r="E2824" s="117">
        <v>15000</v>
      </c>
      <c r="F2824" s="117">
        <f t="shared" si="26"/>
        <v>2250</v>
      </c>
    </row>
    <row r="2825" spans="1:6" x14ac:dyDescent="0.3">
      <c r="A2825" s="111"/>
      <c r="B2825" s="136" t="s">
        <v>774</v>
      </c>
      <c r="C2825" s="115"/>
      <c r="D2825" s="124"/>
      <c r="E2825" s="117"/>
      <c r="F2825" s="110">
        <f>SUM(F2818:F2824)</f>
        <v>36000</v>
      </c>
    </row>
    <row r="2826" spans="1:6" x14ac:dyDescent="0.3">
      <c r="A2826" s="111"/>
      <c r="B2826" s="136" t="s">
        <v>775</v>
      </c>
      <c r="C2826" s="115"/>
      <c r="D2826" s="109"/>
      <c r="E2826" s="110"/>
      <c r="F2826" s="110">
        <f>+F2825+F2816</f>
        <v>1061378.75</v>
      </c>
    </row>
    <row r="2827" spans="1:6" x14ac:dyDescent="0.25">
      <c r="A2827" s="111"/>
      <c r="B2827" s="134" t="s">
        <v>824</v>
      </c>
      <c r="C2827" s="115"/>
      <c r="D2827" s="124">
        <v>1.1000000000000001</v>
      </c>
      <c r="E2827" s="110"/>
      <c r="F2827" s="110">
        <f>+F2826*D2827</f>
        <v>1167516.625</v>
      </c>
    </row>
    <row r="2828" spans="1:6" x14ac:dyDescent="0.25">
      <c r="A2828" s="111"/>
      <c r="B2828" s="134" t="s">
        <v>825</v>
      </c>
      <c r="C2828" s="115"/>
      <c r="D2828" s="124">
        <v>1.1000000000000001</v>
      </c>
      <c r="E2828" s="110"/>
      <c r="F2828" s="110"/>
    </row>
    <row r="2829" spans="1:6" x14ac:dyDescent="0.35">
      <c r="A2829" s="261" t="s">
        <v>234</v>
      </c>
      <c r="B2829" s="242" t="s">
        <v>785</v>
      </c>
      <c r="C2829" s="208" t="s">
        <v>59</v>
      </c>
      <c r="D2829" s="208"/>
      <c r="E2829" s="209"/>
      <c r="F2829" s="209">
        <f>+D2828*F2827</f>
        <v>1284268.2875000001</v>
      </c>
    </row>
    <row r="2830" spans="1:6" x14ac:dyDescent="0.35">
      <c r="A2830" s="206"/>
      <c r="B2830" s="207"/>
      <c r="C2830" s="208"/>
      <c r="D2830" s="208"/>
      <c r="E2830" s="210">
        <f>E2799</f>
        <v>3035.45</v>
      </c>
      <c r="F2830" s="210">
        <f>+F2829/E2830</f>
        <v>423.08991665156736</v>
      </c>
    </row>
    <row r="2831" spans="1:6" x14ac:dyDescent="0.35">
      <c r="A2831" s="126"/>
      <c r="B2831" s="127"/>
      <c r="C2831" s="128"/>
      <c r="D2831" s="128"/>
      <c r="E2831" s="129"/>
      <c r="F2831" s="129"/>
    </row>
    <row r="2832" spans="1:6" x14ac:dyDescent="0.35">
      <c r="A2832" s="130"/>
      <c r="B2832" s="131"/>
      <c r="C2832" s="132"/>
      <c r="D2832" s="132"/>
      <c r="E2832" s="133"/>
      <c r="F2832" s="133"/>
    </row>
    <row r="2833" spans="1:6" x14ac:dyDescent="0.3">
      <c r="A2833" s="257" t="s">
        <v>227</v>
      </c>
      <c r="B2833" s="258" t="s">
        <v>228</v>
      </c>
      <c r="C2833" s="200" t="s">
        <v>2</v>
      </c>
      <c r="D2833" s="202" t="s">
        <v>765</v>
      </c>
      <c r="E2833" s="203" t="s">
        <v>766</v>
      </c>
      <c r="F2833" s="203" t="s">
        <v>767</v>
      </c>
    </row>
    <row r="2834" spans="1:6" x14ac:dyDescent="0.3">
      <c r="A2834" s="237" t="s">
        <v>229</v>
      </c>
      <c r="B2834" s="266" t="s">
        <v>230</v>
      </c>
      <c r="C2834" s="256"/>
      <c r="D2834" s="141"/>
      <c r="E2834" s="110"/>
      <c r="F2834" s="110"/>
    </row>
    <row r="2835" spans="1:6" x14ac:dyDescent="0.35">
      <c r="A2835" s="239" t="s">
        <v>235</v>
      </c>
      <c r="B2835" s="240" t="s">
        <v>1284</v>
      </c>
      <c r="C2835" s="256" t="s">
        <v>59</v>
      </c>
      <c r="D2835" s="141"/>
      <c r="E2835" s="110"/>
      <c r="F2835" s="110"/>
    </row>
    <row r="2836" spans="1:6" x14ac:dyDescent="0.35">
      <c r="A2836" s="111"/>
      <c r="B2836" s="112" t="s">
        <v>802</v>
      </c>
      <c r="C2836" s="118"/>
      <c r="D2836" s="118"/>
      <c r="E2836" s="119"/>
      <c r="F2836" s="119"/>
    </row>
    <row r="2837" spans="1:6" x14ac:dyDescent="0.35">
      <c r="A2837" s="111"/>
      <c r="B2837" s="120" t="s">
        <v>942</v>
      </c>
      <c r="C2837" s="118" t="s">
        <v>27</v>
      </c>
      <c r="D2837" s="118">
        <f>(2.4+1.4)*2</f>
        <v>7.6</v>
      </c>
      <c r="E2837" s="119">
        <f>48000/6</f>
        <v>8000</v>
      </c>
      <c r="F2837" s="119">
        <f>+D2837*E2837</f>
        <v>60800</v>
      </c>
    </row>
    <row r="2838" spans="1:6" x14ac:dyDescent="0.35">
      <c r="A2838" s="111"/>
      <c r="B2838" s="120" t="s">
        <v>943</v>
      </c>
      <c r="C2838" s="118" t="s">
        <v>27</v>
      </c>
      <c r="D2838" s="118">
        <v>25</v>
      </c>
      <c r="E2838" s="119">
        <f>65000/12</f>
        <v>5416.666666666667</v>
      </c>
      <c r="F2838" s="119">
        <f t="shared" ref="F2838:F2845" si="27">+D2838*E2838</f>
        <v>135416.66666666669</v>
      </c>
    </row>
    <row r="2839" spans="1:6" x14ac:dyDescent="0.35">
      <c r="A2839" s="111"/>
      <c r="B2839" s="120" t="s">
        <v>944</v>
      </c>
      <c r="C2839" s="118" t="s">
        <v>35</v>
      </c>
      <c r="D2839" s="118">
        <f>2.29*0.77</f>
        <v>1.7633000000000001</v>
      </c>
      <c r="E2839" s="119">
        <f>120000/12</f>
        <v>10000</v>
      </c>
      <c r="F2839" s="119">
        <f t="shared" si="27"/>
        <v>17633</v>
      </c>
    </row>
    <row r="2840" spans="1:6" x14ac:dyDescent="0.35">
      <c r="A2840" s="111"/>
      <c r="B2840" s="120" t="s">
        <v>945</v>
      </c>
      <c r="C2840" s="118" t="s">
        <v>27</v>
      </c>
      <c r="D2840" s="118">
        <f>(2.4+1.4)*2+1.4</f>
        <v>9</v>
      </c>
      <c r="E2840" s="119">
        <f>25000/6</f>
        <v>4166.666666666667</v>
      </c>
      <c r="F2840" s="119">
        <f t="shared" si="27"/>
        <v>37500</v>
      </c>
    </row>
    <row r="2841" spans="1:6" x14ac:dyDescent="0.35">
      <c r="A2841" s="111"/>
      <c r="B2841" s="120" t="s">
        <v>946</v>
      </c>
      <c r="C2841" s="118" t="s">
        <v>27</v>
      </c>
      <c r="D2841" s="118">
        <v>1.4</v>
      </c>
      <c r="E2841" s="119">
        <v>4666.666666666667</v>
      </c>
      <c r="F2841" s="119">
        <f t="shared" si="27"/>
        <v>6533.333333333333</v>
      </c>
    </row>
    <row r="2842" spans="1:6" x14ac:dyDescent="0.35">
      <c r="A2842" s="111"/>
      <c r="B2842" s="120" t="s">
        <v>947</v>
      </c>
      <c r="C2842" s="118" t="s">
        <v>948</v>
      </c>
      <c r="D2842" s="118">
        <v>0.25</v>
      </c>
      <c r="E2842" s="119">
        <f>45000/4</f>
        <v>11250</v>
      </c>
      <c r="F2842" s="119">
        <f t="shared" si="27"/>
        <v>2812.5</v>
      </c>
    </row>
    <row r="2843" spans="1:6" x14ac:dyDescent="0.35">
      <c r="A2843" s="111"/>
      <c r="B2843" s="120" t="s">
        <v>949</v>
      </c>
      <c r="C2843" s="118" t="s">
        <v>948</v>
      </c>
      <c r="D2843" s="118">
        <v>0.25</v>
      </c>
      <c r="E2843" s="119">
        <f>45000/4</f>
        <v>11250</v>
      </c>
      <c r="F2843" s="119">
        <f t="shared" si="27"/>
        <v>2812.5</v>
      </c>
    </row>
    <row r="2844" spans="1:6" x14ac:dyDescent="0.35">
      <c r="A2844" s="111"/>
      <c r="B2844" s="120" t="s">
        <v>1282</v>
      </c>
      <c r="C2844" s="118" t="s">
        <v>950</v>
      </c>
      <c r="D2844" s="118">
        <v>1</v>
      </c>
      <c r="E2844" s="119">
        <v>40000</v>
      </c>
      <c r="F2844" s="119">
        <f t="shared" si="27"/>
        <v>40000</v>
      </c>
    </row>
    <row r="2845" spans="1:6" x14ac:dyDescent="0.35">
      <c r="A2845" s="111"/>
      <c r="B2845" s="120" t="s">
        <v>951</v>
      </c>
      <c r="C2845" s="118" t="s">
        <v>59</v>
      </c>
      <c r="D2845" s="118">
        <v>8</v>
      </c>
      <c r="E2845" s="119">
        <v>40000</v>
      </c>
      <c r="F2845" s="119">
        <f t="shared" si="27"/>
        <v>320000</v>
      </c>
    </row>
    <row r="2846" spans="1:6" x14ac:dyDescent="0.35">
      <c r="A2846" s="111"/>
      <c r="B2846" s="120" t="s">
        <v>952</v>
      </c>
      <c r="C2846" s="118"/>
      <c r="D2846" s="118"/>
      <c r="E2846" s="119"/>
      <c r="F2846" s="119">
        <f>+(F2845+F2844+F2843+F2842+F2841+F2840+F2839+F2838+F2837)*0.1</f>
        <v>62350.8</v>
      </c>
    </row>
    <row r="2847" spans="1:6" x14ac:dyDescent="0.35">
      <c r="A2847" s="107"/>
      <c r="B2847" s="108" t="s">
        <v>769</v>
      </c>
      <c r="C2847" s="109"/>
      <c r="D2847" s="124"/>
      <c r="E2847" s="117"/>
      <c r="F2847" s="110">
        <f>SUM(F2837:F2846)</f>
        <v>685858.8</v>
      </c>
    </row>
    <row r="2848" spans="1:6" x14ac:dyDescent="0.3">
      <c r="A2848" s="111"/>
      <c r="B2848" s="136" t="s">
        <v>808</v>
      </c>
      <c r="C2848" s="115"/>
      <c r="D2848" s="124"/>
      <c r="E2848" s="117"/>
      <c r="F2848" s="110"/>
    </row>
    <row r="2849" spans="1:6" x14ac:dyDescent="0.25">
      <c r="A2849" s="111"/>
      <c r="B2849" s="134" t="s">
        <v>820</v>
      </c>
      <c r="C2849" s="115" t="s">
        <v>772</v>
      </c>
      <c r="D2849" s="124">
        <v>0.25</v>
      </c>
      <c r="E2849" s="117">
        <v>7500</v>
      </c>
      <c r="F2849" s="117">
        <f t="shared" ref="F2849:F2855" si="28">+D2849*E2849</f>
        <v>1875</v>
      </c>
    </row>
    <row r="2850" spans="1:6" x14ac:dyDescent="0.25">
      <c r="A2850" s="111"/>
      <c r="B2850" s="134" t="s">
        <v>821</v>
      </c>
      <c r="C2850" s="115" t="s">
        <v>772</v>
      </c>
      <c r="D2850" s="124">
        <v>0.25</v>
      </c>
      <c r="E2850" s="117">
        <v>7500</v>
      </c>
      <c r="F2850" s="117">
        <f t="shared" si="28"/>
        <v>1875</v>
      </c>
    </row>
    <row r="2851" spans="1:6" x14ac:dyDescent="0.25">
      <c r="A2851" s="111"/>
      <c r="B2851" s="134" t="s">
        <v>895</v>
      </c>
      <c r="C2851" s="115" t="s">
        <v>772</v>
      </c>
      <c r="D2851" s="124">
        <v>0.5</v>
      </c>
      <c r="E2851" s="117">
        <v>15000</v>
      </c>
      <c r="F2851" s="117">
        <f t="shared" si="28"/>
        <v>7500</v>
      </c>
    </row>
    <row r="2852" spans="1:6" x14ac:dyDescent="0.25">
      <c r="A2852" s="111"/>
      <c r="B2852" s="134" t="s">
        <v>896</v>
      </c>
      <c r="C2852" s="115" t="s">
        <v>772</v>
      </c>
      <c r="D2852" s="124">
        <v>0.5</v>
      </c>
      <c r="E2852" s="117">
        <v>15000</v>
      </c>
      <c r="F2852" s="117">
        <f t="shared" si="28"/>
        <v>7500</v>
      </c>
    </row>
    <row r="2853" spans="1:6" x14ac:dyDescent="0.25">
      <c r="A2853" s="111"/>
      <c r="B2853" s="134" t="s">
        <v>773</v>
      </c>
      <c r="C2853" s="115" t="s">
        <v>772</v>
      </c>
      <c r="D2853" s="124">
        <v>0.5</v>
      </c>
      <c r="E2853" s="117">
        <v>15000</v>
      </c>
      <c r="F2853" s="117">
        <f t="shared" si="28"/>
        <v>7500</v>
      </c>
    </row>
    <row r="2854" spans="1:6" x14ac:dyDescent="0.25">
      <c r="A2854" s="111"/>
      <c r="B2854" s="134" t="s">
        <v>851</v>
      </c>
      <c r="C2854" s="115" t="s">
        <v>772</v>
      </c>
      <c r="D2854" s="124">
        <v>0.5</v>
      </c>
      <c r="E2854" s="117">
        <v>15000</v>
      </c>
      <c r="F2854" s="117">
        <f t="shared" si="28"/>
        <v>7500</v>
      </c>
    </row>
    <row r="2855" spans="1:6" x14ac:dyDescent="0.25">
      <c r="A2855" s="111"/>
      <c r="B2855" s="134" t="s">
        <v>953</v>
      </c>
      <c r="C2855" s="115" t="s">
        <v>772</v>
      </c>
      <c r="D2855" s="124">
        <v>0.15</v>
      </c>
      <c r="E2855" s="117">
        <v>15000</v>
      </c>
      <c r="F2855" s="117">
        <f t="shared" si="28"/>
        <v>2250</v>
      </c>
    </row>
    <row r="2856" spans="1:6" x14ac:dyDescent="0.3">
      <c r="A2856" s="111"/>
      <c r="B2856" s="136" t="s">
        <v>774</v>
      </c>
      <c r="C2856" s="115"/>
      <c r="D2856" s="124"/>
      <c r="E2856" s="117"/>
      <c r="F2856" s="110">
        <f>SUM(F2849:F2855)</f>
        <v>36000</v>
      </c>
    </row>
    <row r="2857" spans="1:6" x14ac:dyDescent="0.3">
      <c r="A2857" s="111"/>
      <c r="B2857" s="136" t="s">
        <v>775</v>
      </c>
      <c r="C2857" s="115"/>
      <c r="D2857" s="109"/>
      <c r="E2857" s="110"/>
      <c r="F2857" s="110">
        <f>+F2856+F2847</f>
        <v>721858.8</v>
      </c>
    </row>
    <row r="2858" spans="1:6" x14ac:dyDescent="0.25">
      <c r="A2858" s="111"/>
      <c r="B2858" s="134" t="s">
        <v>824</v>
      </c>
      <c r="C2858" s="115"/>
      <c r="D2858" s="124">
        <v>1.1000000000000001</v>
      </c>
      <c r="E2858" s="110"/>
      <c r="F2858" s="110">
        <f>+F2857*D2858</f>
        <v>794044.68000000017</v>
      </c>
    </row>
    <row r="2859" spans="1:6" x14ac:dyDescent="0.25">
      <c r="A2859" s="111"/>
      <c r="B2859" s="134" t="s">
        <v>825</v>
      </c>
      <c r="C2859" s="115"/>
      <c r="D2859" s="124">
        <v>1.1000000000000001</v>
      </c>
      <c r="E2859" s="110"/>
      <c r="F2859" s="110"/>
    </row>
    <row r="2860" spans="1:6" x14ac:dyDescent="0.35">
      <c r="A2860" s="261" t="s">
        <v>235</v>
      </c>
      <c r="B2860" s="242" t="s">
        <v>785</v>
      </c>
      <c r="C2860" s="208" t="s">
        <v>59</v>
      </c>
      <c r="D2860" s="208"/>
      <c r="E2860" s="209"/>
      <c r="F2860" s="209">
        <f>+D2859*F2858</f>
        <v>873449.14800000028</v>
      </c>
    </row>
    <row r="2861" spans="1:6" x14ac:dyDescent="0.35">
      <c r="A2861" s="206"/>
      <c r="B2861" s="207"/>
      <c r="C2861" s="208"/>
      <c r="D2861" s="208"/>
      <c r="E2861" s="210">
        <f>+E2830</f>
        <v>3035.45</v>
      </c>
      <c r="F2861" s="210">
        <f>+F2860/E2861</f>
        <v>287.74947635441214</v>
      </c>
    </row>
    <row r="2862" spans="1:6" x14ac:dyDescent="0.35">
      <c r="A2862" s="126"/>
      <c r="B2862" s="127"/>
      <c r="C2862" s="128"/>
      <c r="D2862" s="128"/>
      <c r="E2862" s="176"/>
      <c r="F2862" s="176"/>
    </row>
    <row r="2863" spans="1:6" x14ac:dyDescent="0.35">
      <c r="A2863" s="130"/>
      <c r="B2863" s="131"/>
      <c r="C2863" s="132"/>
      <c r="D2863" s="132"/>
      <c r="E2863" s="179"/>
      <c r="F2863" s="179"/>
    </row>
    <row r="2864" spans="1:6" x14ac:dyDescent="0.3">
      <c r="A2864" s="257" t="s">
        <v>227</v>
      </c>
      <c r="B2864" s="258" t="s">
        <v>228</v>
      </c>
      <c r="C2864" s="200" t="s">
        <v>2</v>
      </c>
      <c r="D2864" s="202" t="s">
        <v>765</v>
      </c>
      <c r="E2864" s="203" t="s">
        <v>766</v>
      </c>
      <c r="F2864" s="203" t="s">
        <v>767</v>
      </c>
    </row>
    <row r="2865" spans="1:6" x14ac:dyDescent="0.3">
      <c r="A2865" s="237" t="s">
        <v>229</v>
      </c>
      <c r="B2865" s="266" t="s">
        <v>230</v>
      </c>
      <c r="C2865" s="256"/>
      <c r="D2865" s="141"/>
      <c r="E2865" s="110"/>
      <c r="F2865" s="110"/>
    </row>
    <row r="2866" spans="1:6" x14ac:dyDescent="0.35">
      <c r="A2866" s="239" t="s">
        <v>236</v>
      </c>
      <c r="B2866" s="240" t="s">
        <v>1285</v>
      </c>
      <c r="C2866" s="256" t="s">
        <v>59</v>
      </c>
      <c r="D2866" s="141"/>
      <c r="E2866" s="110"/>
      <c r="F2866" s="110"/>
    </row>
    <row r="2867" spans="1:6" x14ac:dyDescent="0.35">
      <c r="A2867" s="111"/>
      <c r="B2867" s="112" t="s">
        <v>802</v>
      </c>
      <c r="C2867" s="118"/>
      <c r="D2867" s="118"/>
      <c r="E2867" s="119"/>
      <c r="F2867" s="119"/>
    </row>
    <row r="2868" spans="1:6" x14ac:dyDescent="0.35">
      <c r="A2868" s="111"/>
      <c r="B2868" s="120" t="s">
        <v>942</v>
      </c>
      <c r="C2868" s="118" t="s">
        <v>27</v>
      </c>
      <c r="D2868" s="118">
        <f>(1.6+2)*2</f>
        <v>7.2</v>
      </c>
      <c r="E2868" s="119">
        <f>48000/6</f>
        <v>8000</v>
      </c>
      <c r="F2868" s="119">
        <f>+D2868*E2868</f>
        <v>57600</v>
      </c>
    </row>
    <row r="2869" spans="1:6" x14ac:dyDescent="0.35">
      <c r="A2869" s="111"/>
      <c r="B2869" s="120" t="s">
        <v>943</v>
      </c>
      <c r="C2869" s="118" t="s">
        <v>27</v>
      </c>
      <c r="D2869" s="118">
        <f>((0.6/0.12)-1)*1.95</f>
        <v>7.8</v>
      </c>
      <c r="E2869" s="119">
        <f>65000/12</f>
        <v>5416.666666666667</v>
      </c>
      <c r="F2869" s="119">
        <f t="shared" ref="F2869:F2876" si="29">+D2869*E2869</f>
        <v>42250</v>
      </c>
    </row>
    <row r="2870" spans="1:6" x14ac:dyDescent="0.35">
      <c r="A2870" s="111"/>
      <c r="B2870" s="120" t="s">
        <v>944</v>
      </c>
      <c r="C2870" s="118" t="s">
        <v>35</v>
      </c>
      <c r="D2870" s="118">
        <f>0.865*0.77</f>
        <v>0.66605000000000003</v>
      </c>
      <c r="E2870" s="119">
        <f>120000/12</f>
        <v>10000</v>
      </c>
      <c r="F2870" s="119">
        <f t="shared" si="29"/>
        <v>6660.5</v>
      </c>
    </row>
    <row r="2871" spans="1:6" x14ac:dyDescent="0.35">
      <c r="A2871" s="111"/>
      <c r="B2871" s="120" t="s">
        <v>945</v>
      </c>
      <c r="C2871" s="118" t="s">
        <v>27</v>
      </c>
      <c r="D2871" s="118">
        <f>(1.6+2)*2+0.6</f>
        <v>7.8</v>
      </c>
      <c r="E2871" s="119">
        <f>25000/6</f>
        <v>4166.666666666667</v>
      </c>
      <c r="F2871" s="119">
        <f t="shared" si="29"/>
        <v>32500</v>
      </c>
    </row>
    <row r="2872" spans="1:6" x14ac:dyDescent="0.35">
      <c r="A2872" s="111"/>
      <c r="B2872" s="120" t="s">
        <v>946</v>
      </c>
      <c r="C2872" s="118" t="s">
        <v>27</v>
      </c>
      <c r="D2872" s="118">
        <v>0.6</v>
      </c>
      <c r="E2872" s="119">
        <v>4666.666666666667</v>
      </c>
      <c r="F2872" s="119">
        <f t="shared" si="29"/>
        <v>2800</v>
      </c>
    </row>
    <row r="2873" spans="1:6" x14ac:dyDescent="0.35">
      <c r="A2873" s="111"/>
      <c r="B2873" s="120" t="s">
        <v>947</v>
      </c>
      <c r="C2873" s="118" t="s">
        <v>948</v>
      </c>
      <c r="D2873" s="118">
        <v>0.25</v>
      </c>
      <c r="E2873" s="119">
        <f>45000/4</f>
        <v>11250</v>
      </c>
      <c r="F2873" s="119">
        <f t="shared" si="29"/>
        <v>2812.5</v>
      </c>
    </row>
    <row r="2874" spans="1:6" x14ac:dyDescent="0.35">
      <c r="A2874" s="111"/>
      <c r="B2874" s="120" t="s">
        <v>949</v>
      </c>
      <c r="C2874" s="118" t="s">
        <v>948</v>
      </c>
      <c r="D2874" s="118">
        <v>0.25</v>
      </c>
      <c r="E2874" s="119">
        <f>45000/4</f>
        <v>11250</v>
      </c>
      <c r="F2874" s="119">
        <f t="shared" si="29"/>
        <v>2812.5</v>
      </c>
    </row>
    <row r="2875" spans="1:6" x14ac:dyDescent="0.35">
      <c r="A2875" s="111"/>
      <c r="B2875" s="120" t="s">
        <v>1282</v>
      </c>
      <c r="C2875" s="118" t="s">
        <v>950</v>
      </c>
      <c r="D2875" s="118">
        <v>1</v>
      </c>
      <c r="E2875" s="119">
        <v>40000</v>
      </c>
      <c r="F2875" s="119">
        <f t="shared" si="29"/>
        <v>40000</v>
      </c>
    </row>
    <row r="2876" spans="1:6" x14ac:dyDescent="0.35">
      <c r="A2876" s="111"/>
      <c r="B2876" s="120" t="s">
        <v>951</v>
      </c>
      <c r="C2876" s="118" t="s">
        <v>59</v>
      </c>
      <c r="D2876" s="118">
        <v>8</v>
      </c>
      <c r="E2876" s="119">
        <v>40000</v>
      </c>
      <c r="F2876" s="119">
        <f t="shared" si="29"/>
        <v>320000</v>
      </c>
    </row>
    <row r="2877" spans="1:6" x14ac:dyDescent="0.35">
      <c r="A2877" s="111"/>
      <c r="B2877" s="120" t="s">
        <v>952</v>
      </c>
      <c r="C2877" s="118"/>
      <c r="D2877" s="118"/>
      <c r="E2877" s="119"/>
      <c r="F2877" s="119">
        <f>+(F2876+F2875+F2874+F2873+F2872+F2871+F2870+F2869+F2868)*0.1</f>
        <v>50743.55</v>
      </c>
    </row>
    <row r="2878" spans="1:6" x14ac:dyDescent="0.35">
      <c r="A2878" s="107"/>
      <c r="B2878" s="108" t="s">
        <v>769</v>
      </c>
      <c r="C2878" s="109"/>
      <c r="D2878" s="124"/>
      <c r="E2878" s="117"/>
      <c r="F2878" s="110">
        <f>SUM(F2868:F2877)</f>
        <v>558179.05000000005</v>
      </c>
    </row>
    <row r="2879" spans="1:6" x14ac:dyDescent="0.3">
      <c r="A2879" s="111"/>
      <c r="B2879" s="136" t="s">
        <v>808</v>
      </c>
      <c r="C2879" s="115"/>
      <c r="D2879" s="124"/>
      <c r="E2879" s="117"/>
      <c r="F2879" s="110"/>
    </row>
    <row r="2880" spans="1:6" x14ac:dyDescent="0.25">
      <c r="A2880" s="111"/>
      <c r="B2880" s="134" t="s">
        <v>820</v>
      </c>
      <c r="C2880" s="115" t="s">
        <v>772</v>
      </c>
      <c r="D2880" s="124">
        <v>0.25</v>
      </c>
      <c r="E2880" s="117">
        <v>7500</v>
      </c>
      <c r="F2880" s="117">
        <f t="shared" ref="F2880:F2886" si="30">+D2880*E2880</f>
        <v>1875</v>
      </c>
    </row>
    <row r="2881" spans="1:6" x14ac:dyDescent="0.25">
      <c r="A2881" s="111"/>
      <c r="B2881" s="134" t="s">
        <v>821</v>
      </c>
      <c r="C2881" s="115" t="s">
        <v>772</v>
      </c>
      <c r="D2881" s="124">
        <v>0.25</v>
      </c>
      <c r="E2881" s="117">
        <v>7500</v>
      </c>
      <c r="F2881" s="117">
        <f t="shared" si="30"/>
        <v>1875</v>
      </c>
    </row>
    <row r="2882" spans="1:6" x14ac:dyDescent="0.25">
      <c r="A2882" s="111"/>
      <c r="B2882" s="134" t="s">
        <v>895</v>
      </c>
      <c r="C2882" s="115" t="s">
        <v>772</v>
      </c>
      <c r="D2882" s="124">
        <v>0.5</v>
      </c>
      <c r="E2882" s="117">
        <v>15000</v>
      </c>
      <c r="F2882" s="117">
        <f t="shared" si="30"/>
        <v>7500</v>
      </c>
    </row>
    <row r="2883" spans="1:6" x14ac:dyDescent="0.25">
      <c r="A2883" s="111"/>
      <c r="B2883" s="134" t="s">
        <v>896</v>
      </c>
      <c r="C2883" s="115" t="s">
        <v>772</v>
      </c>
      <c r="D2883" s="124">
        <v>0.5</v>
      </c>
      <c r="E2883" s="117">
        <v>15000</v>
      </c>
      <c r="F2883" s="117">
        <f t="shared" si="30"/>
        <v>7500</v>
      </c>
    </row>
    <row r="2884" spans="1:6" x14ac:dyDescent="0.25">
      <c r="A2884" s="111"/>
      <c r="B2884" s="134" t="s">
        <v>773</v>
      </c>
      <c r="C2884" s="115" t="s">
        <v>772</v>
      </c>
      <c r="D2884" s="124">
        <v>0.5</v>
      </c>
      <c r="E2884" s="117">
        <v>15000</v>
      </c>
      <c r="F2884" s="117">
        <f t="shared" si="30"/>
        <v>7500</v>
      </c>
    </row>
    <row r="2885" spans="1:6" x14ac:dyDescent="0.25">
      <c r="A2885" s="111"/>
      <c r="B2885" s="134" t="s">
        <v>851</v>
      </c>
      <c r="C2885" s="115" t="s">
        <v>772</v>
      </c>
      <c r="D2885" s="124">
        <v>0.5</v>
      </c>
      <c r="E2885" s="117">
        <v>15000</v>
      </c>
      <c r="F2885" s="117">
        <f t="shared" si="30"/>
        <v>7500</v>
      </c>
    </row>
    <row r="2886" spans="1:6" x14ac:dyDescent="0.25">
      <c r="A2886" s="111"/>
      <c r="B2886" s="134" t="s">
        <v>953</v>
      </c>
      <c r="C2886" s="115" t="s">
        <v>772</v>
      </c>
      <c r="D2886" s="124">
        <v>0.15</v>
      </c>
      <c r="E2886" s="117">
        <v>15000</v>
      </c>
      <c r="F2886" s="117">
        <f t="shared" si="30"/>
        <v>2250</v>
      </c>
    </row>
    <row r="2887" spans="1:6" x14ac:dyDescent="0.3">
      <c r="A2887" s="111"/>
      <c r="B2887" s="136" t="s">
        <v>774</v>
      </c>
      <c r="C2887" s="115"/>
      <c r="D2887" s="124"/>
      <c r="E2887" s="117"/>
      <c r="F2887" s="110">
        <f>SUM(F2880:F2886)</f>
        <v>36000</v>
      </c>
    </row>
    <row r="2888" spans="1:6" x14ac:dyDescent="0.3">
      <c r="A2888" s="111"/>
      <c r="B2888" s="136" t="s">
        <v>775</v>
      </c>
      <c r="C2888" s="115"/>
      <c r="D2888" s="109"/>
      <c r="E2888" s="110"/>
      <c r="F2888" s="110">
        <f>+F2887+F2878</f>
        <v>594179.05000000005</v>
      </c>
    </row>
    <row r="2889" spans="1:6" x14ac:dyDescent="0.25">
      <c r="A2889" s="111"/>
      <c r="B2889" s="134" t="s">
        <v>824</v>
      </c>
      <c r="C2889" s="115"/>
      <c r="D2889" s="124">
        <v>1.1000000000000001</v>
      </c>
      <c r="E2889" s="110"/>
      <c r="F2889" s="110">
        <f>+F2888*D2889</f>
        <v>653596.95500000007</v>
      </c>
    </row>
    <row r="2890" spans="1:6" x14ac:dyDescent="0.25">
      <c r="A2890" s="111"/>
      <c r="B2890" s="134" t="s">
        <v>825</v>
      </c>
      <c r="C2890" s="115"/>
      <c r="D2890" s="124">
        <v>1.1000000000000001</v>
      </c>
      <c r="E2890" s="110"/>
      <c r="F2890" s="110"/>
    </row>
    <row r="2891" spans="1:6" x14ac:dyDescent="0.35">
      <c r="A2891" s="261" t="s">
        <v>236</v>
      </c>
      <c r="B2891" s="242" t="s">
        <v>785</v>
      </c>
      <c r="C2891" s="208" t="s">
        <v>59</v>
      </c>
      <c r="D2891" s="208"/>
      <c r="E2891" s="209"/>
      <c r="F2891" s="209">
        <f>+D2890*F2889</f>
        <v>718956.65050000011</v>
      </c>
    </row>
    <row r="2892" spans="1:6" x14ac:dyDescent="0.35">
      <c r="A2892" s="206"/>
      <c r="B2892" s="207"/>
      <c r="C2892" s="208"/>
      <c r="D2892" s="208"/>
      <c r="E2892" s="210">
        <f>+E2861</f>
        <v>3035.45</v>
      </c>
      <c r="F2892" s="210">
        <f>+F2891/E2892</f>
        <v>236.85339916651571</v>
      </c>
    </row>
    <row r="2893" spans="1:6" x14ac:dyDescent="0.35">
      <c r="A2893" s="126"/>
      <c r="B2893" s="127"/>
      <c r="C2893" s="128"/>
      <c r="D2893" s="128"/>
      <c r="E2893" s="176"/>
      <c r="F2893" s="176"/>
    </row>
    <row r="2894" spans="1:6" x14ac:dyDescent="0.35">
      <c r="A2894" s="105"/>
      <c r="B2894" s="106"/>
      <c r="C2894" s="101"/>
      <c r="D2894" s="101"/>
      <c r="E2894" s="161"/>
      <c r="F2894" s="161"/>
    </row>
    <row r="2895" spans="1:6" x14ac:dyDescent="0.3">
      <c r="A2895" s="257" t="s">
        <v>227</v>
      </c>
      <c r="B2895" s="258" t="s">
        <v>228</v>
      </c>
      <c r="C2895" s="200" t="s">
        <v>2</v>
      </c>
      <c r="D2895" s="202" t="s">
        <v>765</v>
      </c>
      <c r="E2895" s="203" t="s">
        <v>766</v>
      </c>
      <c r="F2895" s="203" t="s">
        <v>767</v>
      </c>
    </row>
    <row r="2896" spans="1:6" x14ac:dyDescent="0.3">
      <c r="A2896" s="237" t="s">
        <v>229</v>
      </c>
      <c r="B2896" s="266" t="s">
        <v>230</v>
      </c>
      <c r="C2896" s="256"/>
      <c r="D2896" s="141"/>
      <c r="E2896" s="110"/>
      <c r="F2896" s="110"/>
    </row>
    <row r="2897" spans="1:6" x14ac:dyDescent="0.35">
      <c r="A2897" s="239" t="s">
        <v>236</v>
      </c>
      <c r="B2897" s="240" t="s">
        <v>1358</v>
      </c>
      <c r="C2897" s="256" t="s">
        <v>59</v>
      </c>
      <c r="D2897" s="141"/>
      <c r="E2897" s="110"/>
      <c r="F2897" s="110"/>
    </row>
    <row r="2898" spans="1:6" x14ac:dyDescent="0.35">
      <c r="A2898" s="239" t="s">
        <v>237</v>
      </c>
      <c r="B2898" s="240" t="s">
        <v>1363</v>
      </c>
      <c r="C2898" s="256" t="s">
        <v>59</v>
      </c>
      <c r="D2898" s="141"/>
      <c r="E2898" s="110"/>
      <c r="F2898" s="110"/>
    </row>
    <row r="2899" spans="1:6" x14ac:dyDescent="0.35">
      <c r="A2899" s="111"/>
      <c r="B2899" s="112" t="s">
        <v>802</v>
      </c>
      <c r="C2899" s="118"/>
      <c r="D2899" s="118"/>
      <c r="E2899" s="119"/>
      <c r="F2899" s="119"/>
    </row>
    <row r="2900" spans="1:6" x14ac:dyDescent="0.35">
      <c r="A2900" s="111"/>
      <c r="B2900" s="120" t="s">
        <v>942</v>
      </c>
      <c r="C2900" s="118" t="s">
        <v>27</v>
      </c>
      <c r="D2900" s="118">
        <f>(1+0.95)*2</f>
        <v>3.9</v>
      </c>
      <c r="E2900" s="119">
        <f>48000/6</f>
        <v>8000</v>
      </c>
      <c r="F2900" s="119">
        <f>+D2900*E2900</f>
        <v>31200</v>
      </c>
    </row>
    <row r="2901" spans="1:6" x14ac:dyDescent="0.35">
      <c r="A2901" s="111"/>
      <c r="B2901" s="120" t="s">
        <v>943</v>
      </c>
      <c r="C2901" s="118" t="s">
        <v>27</v>
      </c>
      <c r="D2901" s="184">
        <f>((1/0.12)-1)*0.95</f>
        <v>6.9666666666666668</v>
      </c>
      <c r="E2901" s="119">
        <f>65000/12</f>
        <v>5416.666666666667</v>
      </c>
      <c r="F2901" s="119">
        <f t="shared" ref="F2901:F2908" si="31">+D2901*E2901</f>
        <v>37736.111111111117</v>
      </c>
    </row>
    <row r="2902" spans="1:6" x14ac:dyDescent="0.35">
      <c r="A2902" s="111"/>
      <c r="B2902" s="120" t="s">
        <v>944</v>
      </c>
      <c r="C2902" s="118" t="s">
        <v>35</v>
      </c>
      <c r="D2902" s="118">
        <f>1*0.95</f>
        <v>0.95</v>
      </c>
      <c r="E2902" s="119">
        <f>120000/12</f>
        <v>10000</v>
      </c>
      <c r="F2902" s="119">
        <f t="shared" si="31"/>
        <v>9500</v>
      </c>
    </row>
    <row r="2903" spans="1:6" x14ac:dyDescent="0.35">
      <c r="A2903" s="111"/>
      <c r="B2903" s="120" t="s">
        <v>945</v>
      </c>
      <c r="C2903" s="118" t="s">
        <v>27</v>
      </c>
      <c r="D2903" s="118">
        <f>(1+0.95)*2+0.95</f>
        <v>4.8499999999999996</v>
      </c>
      <c r="E2903" s="119">
        <f>25000/6</f>
        <v>4166.666666666667</v>
      </c>
      <c r="F2903" s="119">
        <f t="shared" si="31"/>
        <v>20208.333333333332</v>
      </c>
    </row>
    <row r="2904" spans="1:6" x14ac:dyDescent="0.35">
      <c r="A2904" s="111"/>
      <c r="B2904" s="120" t="s">
        <v>946</v>
      </c>
      <c r="C2904" s="118" t="s">
        <v>27</v>
      </c>
      <c r="D2904" s="118">
        <v>0.95</v>
      </c>
      <c r="E2904" s="119">
        <v>4666.666666666667</v>
      </c>
      <c r="F2904" s="119">
        <f t="shared" si="31"/>
        <v>4433.333333333333</v>
      </c>
    </row>
    <row r="2905" spans="1:6" x14ac:dyDescent="0.35">
      <c r="A2905" s="111"/>
      <c r="B2905" s="120" t="s">
        <v>947</v>
      </c>
      <c r="C2905" s="118" t="s">
        <v>948</v>
      </c>
      <c r="D2905" s="118">
        <v>0.25</v>
      </c>
      <c r="E2905" s="119">
        <f>45000/4</f>
        <v>11250</v>
      </c>
      <c r="F2905" s="119">
        <f t="shared" si="31"/>
        <v>2812.5</v>
      </c>
    </row>
    <row r="2906" spans="1:6" x14ac:dyDescent="0.35">
      <c r="A2906" s="111"/>
      <c r="B2906" s="120" t="s">
        <v>949</v>
      </c>
      <c r="C2906" s="118" t="s">
        <v>948</v>
      </c>
      <c r="D2906" s="118">
        <v>0.25</v>
      </c>
      <c r="E2906" s="119">
        <f>45000/4</f>
        <v>11250</v>
      </c>
      <c r="F2906" s="119">
        <f t="shared" si="31"/>
        <v>2812.5</v>
      </c>
    </row>
    <row r="2907" spans="1:6" x14ac:dyDescent="0.35">
      <c r="A2907" s="111"/>
      <c r="B2907" s="120" t="s">
        <v>1282</v>
      </c>
      <c r="C2907" s="118" t="s">
        <v>950</v>
      </c>
      <c r="D2907" s="118">
        <v>1</v>
      </c>
      <c r="E2907" s="119">
        <v>40000</v>
      </c>
      <c r="F2907" s="119">
        <f t="shared" si="31"/>
        <v>40000</v>
      </c>
    </row>
    <row r="2908" spans="1:6" x14ac:dyDescent="0.35">
      <c r="A2908" s="111"/>
      <c r="B2908" s="120" t="s">
        <v>951</v>
      </c>
      <c r="C2908" s="118" t="s">
        <v>59</v>
      </c>
      <c r="D2908" s="118">
        <v>8</v>
      </c>
      <c r="E2908" s="119">
        <v>40000</v>
      </c>
      <c r="F2908" s="119">
        <f t="shared" si="31"/>
        <v>320000</v>
      </c>
    </row>
    <row r="2909" spans="1:6" x14ac:dyDescent="0.35">
      <c r="A2909" s="111"/>
      <c r="B2909" s="120" t="s">
        <v>952</v>
      </c>
      <c r="C2909" s="118"/>
      <c r="D2909" s="118"/>
      <c r="E2909" s="119"/>
      <c r="F2909" s="119">
        <f>+(F2908+F2907+F2906+F2905+F2904+F2903+F2902+F2901+F2900)*0.1</f>
        <v>46870.277777777781</v>
      </c>
    </row>
    <row r="2910" spans="1:6" x14ac:dyDescent="0.35">
      <c r="A2910" s="107"/>
      <c r="B2910" s="108" t="s">
        <v>769</v>
      </c>
      <c r="C2910" s="109"/>
      <c r="D2910" s="124"/>
      <c r="E2910" s="117"/>
      <c r="F2910" s="110">
        <f>SUM(F2900:F2909)</f>
        <v>515573.0555555555</v>
      </c>
    </row>
    <row r="2911" spans="1:6" x14ac:dyDescent="0.3">
      <c r="A2911" s="111"/>
      <c r="B2911" s="136" t="s">
        <v>808</v>
      </c>
      <c r="C2911" s="115"/>
      <c r="D2911" s="124"/>
      <c r="E2911" s="117"/>
      <c r="F2911" s="110"/>
    </row>
    <row r="2912" spans="1:6" x14ac:dyDescent="0.25">
      <c r="A2912" s="111"/>
      <c r="B2912" s="134" t="s">
        <v>820</v>
      </c>
      <c r="C2912" s="115" t="s">
        <v>772</v>
      </c>
      <c r="D2912" s="124">
        <v>0.25</v>
      </c>
      <c r="E2912" s="117">
        <v>7500</v>
      </c>
      <c r="F2912" s="117">
        <f t="shared" ref="F2912:F2918" si="32">+D2912*E2912</f>
        <v>1875</v>
      </c>
    </row>
    <row r="2913" spans="1:8" x14ac:dyDescent="0.25">
      <c r="A2913" s="111"/>
      <c r="B2913" s="134" t="s">
        <v>821</v>
      </c>
      <c r="C2913" s="115" t="s">
        <v>772</v>
      </c>
      <c r="D2913" s="124">
        <v>0.25</v>
      </c>
      <c r="E2913" s="117">
        <v>7500</v>
      </c>
      <c r="F2913" s="117">
        <f t="shared" si="32"/>
        <v>1875</v>
      </c>
    </row>
    <row r="2914" spans="1:8" x14ac:dyDescent="0.25">
      <c r="A2914" s="111"/>
      <c r="B2914" s="134" t="s">
        <v>895</v>
      </c>
      <c r="C2914" s="115" t="s">
        <v>772</v>
      </c>
      <c r="D2914" s="124">
        <v>0.5</v>
      </c>
      <c r="E2914" s="117">
        <v>15000</v>
      </c>
      <c r="F2914" s="117">
        <f t="shared" si="32"/>
        <v>7500</v>
      </c>
    </row>
    <row r="2915" spans="1:8" x14ac:dyDescent="0.25">
      <c r="A2915" s="111"/>
      <c r="B2915" s="134" t="s">
        <v>896</v>
      </c>
      <c r="C2915" s="115" t="s">
        <v>772</v>
      </c>
      <c r="D2915" s="124">
        <v>0.5</v>
      </c>
      <c r="E2915" s="117">
        <v>15000</v>
      </c>
      <c r="F2915" s="117">
        <f t="shared" si="32"/>
        <v>7500</v>
      </c>
    </row>
    <row r="2916" spans="1:8" x14ac:dyDescent="0.25">
      <c r="A2916" s="111"/>
      <c r="B2916" s="134" t="s">
        <v>773</v>
      </c>
      <c r="C2916" s="115" t="s">
        <v>772</v>
      </c>
      <c r="D2916" s="124">
        <v>0.5</v>
      </c>
      <c r="E2916" s="117">
        <v>15000</v>
      </c>
      <c r="F2916" s="117">
        <f t="shared" si="32"/>
        <v>7500</v>
      </c>
    </row>
    <row r="2917" spans="1:8" x14ac:dyDescent="0.25">
      <c r="A2917" s="111"/>
      <c r="B2917" s="134" t="s">
        <v>851</v>
      </c>
      <c r="C2917" s="115" t="s">
        <v>772</v>
      </c>
      <c r="D2917" s="124">
        <v>0.5</v>
      </c>
      <c r="E2917" s="117">
        <v>15000</v>
      </c>
      <c r="F2917" s="117">
        <f t="shared" si="32"/>
        <v>7500</v>
      </c>
    </row>
    <row r="2918" spans="1:8" x14ac:dyDescent="0.25">
      <c r="A2918" s="111"/>
      <c r="B2918" s="134" t="s">
        <v>953</v>
      </c>
      <c r="C2918" s="115" t="s">
        <v>772</v>
      </c>
      <c r="D2918" s="124">
        <v>0.15</v>
      </c>
      <c r="E2918" s="117">
        <v>15000</v>
      </c>
      <c r="F2918" s="117">
        <f t="shared" si="32"/>
        <v>2250</v>
      </c>
    </row>
    <row r="2919" spans="1:8" x14ac:dyDescent="0.3">
      <c r="A2919" s="111"/>
      <c r="B2919" s="136" t="s">
        <v>774</v>
      </c>
      <c r="C2919" s="115"/>
      <c r="D2919" s="124"/>
      <c r="E2919" s="117"/>
      <c r="F2919" s="110">
        <f>SUM(F2912:F2918)</f>
        <v>36000</v>
      </c>
    </row>
    <row r="2920" spans="1:8" x14ac:dyDescent="0.3">
      <c r="A2920" s="111"/>
      <c r="B2920" s="136" t="s">
        <v>775</v>
      </c>
      <c r="C2920" s="115"/>
      <c r="D2920" s="109"/>
      <c r="E2920" s="110"/>
      <c r="F2920" s="110">
        <f>+F2919+F2910</f>
        <v>551573.0555555555</v>
      </c>
    </row>
    <row r="2921" spans="1:8" x14ac:dyDescent="0.25">
      <c r="A2921" s="111"/>
      <c r="B2921" s="134" t="s">
        <v>824</v>
      </c>
      <c r="C2921" s="115"/>
      <c r="D2921" s="124">
        <v>1.1000000000000001</v>
      </c>
      <c r="E2921" s="110"/>
      <c r="F2921" s="110">
        <f>+F2920*D2921</f>
        <v>606730.36111111112</v>
      </c>
    </row>
    <row r="2922" spans="1:8" x14ac:dyDescent="0.25">
      <c r="A2922" s="111"/>
      <c r="B2922" s="134" t="s">
        <v>825</v>
      </c>
      <c r="C2922" s="115"/>
      <c r="D2922" s="124">
        <v>1.1000000000000001</v>
      </c>
      <c r="E2922" s="110"/>
      <c r="F2922" s="110"/>
    </row>
    <row r="2923" spans="1:8" x14ac:dyDescent="0.35">
      <c r="A2923" s="261" t="s">
        <v>236</v>
      </c>
      <c r="B2923" s="242" t="s">
        <v>785</v>
      </c>
      <c r="C2923" s="208" t="s">
        <v>59</v>
      </c>
      <c r="D2923" s="208"/>
      <c r="E2923" s="209"/>
      <c r="F2923" s="209">
        <f>+D2922*F2921</f>
        <v>667403.39722222229</v>
      </c>
    </row>
    <row r="2924" spans="1:8" x14ac:dyDescent="0.35">
      <c r="A2924" s="261" t="s">
        <v>237</v>
      </c>
      <c r="B2924" s="207"/>
      <c r="C2924" s="208"/>
      <c r="D2924" s="208"/>
      <c r="E2924" s="210">
        <f>+E2892</f>
        <v>3035.45</v>
      </c>
      <c r="F2924" s="210">
        <f>+F2923/E2924</f>
        <v>219.86967244468607</v>
      </c>
    </row>
    <row r="2925" spans="1:8" s="139" customFormat="1" x14ac:dyDescent="0.35">
      <c r="A2925" s="105"/>
      <c r="B2925" s="106"/>
      <c r="C2925" s="101"/>
      <c r="D2925" s="101"/>
      <c r="E2925" s="161"/>
      <c r="F2925" s="161"/>
      <c r="G2925" s="138"/>
      <c r="H2925" s="177"/>
    </row>
    <row r="2926" spans="1:8" s="139" customFormat="1" x14ac:dyDescent="0.35">
      <c r="A2926" s="105"/>
      <c r="B2926" s="106"/>
      <c r="C2926" s="101"/>
      <c r="D2926" s="101"/>
      <c r="E2926" s="161"/>
      <c r="F2926" s="161"/>
      <c r="G2926" s="138"/>
      <c r="H2926" s="177"/>
    </row>
    <row r="2927" spans="1:8" s="139" customFormat="1" x14ac:dyDescent="0.3">
      <c r="A2927" s="257" t="s">
        <v>227</v>
      </c>
      <c r="B2927" s="258" t="s">
        <v>228</v>
      </c>
      <c r="C2927" s="200" t="s">
        <v>2</v>
      </c>
      <c r="D2927" s="202" t="s">
        <v>765</v>
      </c>
      <c r="E2927" s="203" t="s">
        <v>766</v>
      </c>
      <c r="F2927" s="203" t="s">
        <v>767</v>
      </c>
      <c r="G2927" s="138"/>
      <c r="H2927" s="177"/>
    </row>
    <row r="2928" spans="1:8" s="139" customFormat="1" x14ac:dyDescent="0.3">
      <c r="A2928" s="237" t="s">
        <v>229</v>
      </c>
      <c r="B2928" s="266" t="s">
        <v>230</v>
      </c>
      <c r="C2928" s="256"/>
      <c r="D2928" s="141"/>
      <c r="E2928" s="110"/>
      <c r="F2928" s="110"/>
      <c r="G2928" s="138"/>
      <c r="H2928" s="177"/>
    </row>
    <row r="2929" spans="1:8" s="139" customFormat="1" x14ac:dyDescent="0.35">
      <c r="A2929" s="239" t="s">
        <v>236</v>
      </c>
      <c r="B2929" s="240" t="s">
        <v>1360</v>
      </c>
      <c r="C2929" s="256" t="s">
        <v>59</v>
      </c>
      <c r="D2929" s="141"/>
      <c r="E2929" s="110"/>
      <c r="F2929" s="110"/>
      <c r="G2929" s="138"/>
      <c r="H2929" s="177"/>
    </row>
    <row r="2930" spans="1:8" s="139" customFormat="1" x14ac:dyDescent="0.35">
      <c r="A2930" s="239" t="s">
        <v>237</v>
      </c>
      <c r="B2930" s="240"/>
      <c r="C2930" s="256"/>
      <c r="D2930" s="141"/>
      <c r="E2930" s="110"/>
      <c r="F2930" s="110"/>
      <c r="G2930" s="138"/>
      <c r="H2930" s="177"/>
    </row>
    <row r="2931" spans="1:8" s="139" customFormat="1" x14ac:dyDescent="0.35">
      <c r="A2931" s="111"/>
      <c r="B2931" s="112" t="s">
        <v>802</v>
      </c>
      <c r="C2931" s="118"/>
      <c r="D2931" s="118"/>
      <c r="E2931" s="119"/>
      <c r="F2931" s="119"/>
      <c r="G2931" s="138"/>
      <c r="H2931" s="177"/>
    </row>
    <row r="2932" spans="1:8" s="139" customFormat="1" x14ac:dyDescent="0.35">
      <c r="A2932" s="111"/>
      <c r="B2932" s="120" t="s">
        <v>942</v>
      </c>
      <c r="C2932" s="118" t="s">
        <v>27</v>
      </c>
      <c r="D2932" s="118">
        <f>(1+1.2)*2</f>
        <v>4.4000000000000004</v>
      </c>
      <c r="E2932" s="119">
        <f>48000/6</f>
        <v>8000</v>
      </c>
      <c r="F2932" s="119">
        <f>+D2932*E2932</f>
        <v>35200</v>
      </c>
      <c r="G2932" s="138"/>
      <c r="H2932" s="177"/>
    </row>
    <row r="2933" spans="1:8" s="139" customFormat="1" x14ac:dyDescent="0.35">
      <c r="A2933" s="111"/>
      <c r="B2933" s="120" t="s">
        <v>943</v>
      </c>
      <c r="C2933" s="118" t="s">
        <v>27</v>
      </c>
      <c r="D2933" s="184">
        <f>((1/0.12)-1)*1.2</f>
        <v>8.8000000000000007</v>
      </c>
      <c r="E2933" s="119">
        <f>65000/12</f>
        <v>5416.666666666667</v>
      </c>
      <c r="F2933" s="119">
        <f t="shared" ref="F2933:F2940" si="33">+D2933*E2933</f>
        <v>47666.666666666672</v>
      </c>
      <c r="G2933" s="138"/>
      <c r="H2933" s="177"/>
    </row>
    <row r="2934" spans="1:8" s="139" customFormat="1" x14ac:dyDescent="0.35">
      <c r="A2934" s="111"/>
      <c r="B2934" s="120" t="s">
        <v>944</v>
      </c>
      <c r="C2934" s="118" t="s">
        <v>35</v>
      </c>
      <c r="D2934" s="118">
        <f>1*1.2</f>
        <v>1.2</v>
      </c>
      <c r="E2934" s="119">
        <f>120000/12</f>
        <v>10000</v>
      </c>
      <c r="F2934" s="119">
        <f t="shared" si="33"/>
        <v>12000</v>
      </c>
      <c r="G2934" s="138"/>
      <c r="H2934" s="177"/>
    </row>
    <row r="2935" spans="1:8" s="139" customFormat="1" x14ac:dyDescent="0.35">
      <c r="A2935" s="111"/>
      <c r="B2935" s="120" t="s">
        <v>945</v>
      </c>
      <c r="C2935" s="118" t="s">
        <v>27</v>
      </c>
      <c r="D2935" s="118">
        <f>(1+1.2)*2+1</f>
        <v>5.4</v>
      </c>
      <c r="E2935" s="119">
        <f>25000/6</f>
        <v>4166.666666666667</v>
      </c>
      <c r="F2935" s="119">
        <f t="shared" si="33"/>
        <v>22500.000000000004</v>
      </c>
      <c r="G2935" s="138"/>
      <c r="H2935" s="177"/>
    </row>
    <row r="2936" spans="1:8" s="139" customFormat="1" x14ac:dyDescent="0.35">
      <c r="A2936" s="111"/>
      <c r="B2936" s="120" t="s">
        <v>946</v>
      </c>
      <c r="C2936" s="118" t="s">
        <v>27</v>
      </c>
      <c r="D2936" s="118">
        <v>1.2</v>
      </c>
      <c r="E2936" s="119">
        <v>4666.666666666667</v>
      </c>
      <c r="F2936" s="119">
        <f t="shared" si="33"/>
        <v>5600</v>
      </c>
      <c r="G2936" s="138"/>
      <c r="H2936" s="177"/>
    </row>
    <row r="2937" spans="1:8" s="139" customFormat="1" x14ac:dyDescent="0.35">
      <c r="A2937" s="111"/>
      <c r="B2937" s="120" t="s">
        <v>947</v>
      </c>
      <c r="C2937" s="118" t="s">
        <v>948</v>
      </c>
      <c r="D2937" s="118">
        <v>0.25</v>
      </c>
      <c r="E2937" s="119">
        <f>45000/4</f>
        <v>11250</v>
      </c>
      <c r="F2937" s="119">
        <f t="shared" si="33"/>
        <v>2812.5</v>
      </c>
      <c r="G2937" s="138"/>
      <c r="H2937" s="177"/>
    </row>
    <row r="2938" spans="1:8" s="139" customFormat="1" x14ac:dyDescent="0.35">
      <c r="A2938" s="111"/>
      <c r="B2938" s="120" t="s">
        <v>949</v>
      </c>
      <c r="C2938" s="118" t="s">
        <v>948</v>
      </c>
      <c r="D2938" s="118">
        <v>0.25</v>
      </c>
      <c r="E2938" s="119">
        <f>45000/4</f>
        <v>11250</v>
      </c>
      <c r="F2938" s="119">
        <f t="shared" si="33"/>
        <v>2812.5</v>
      </c>
      <c r="G2938" s="138"/>
      <c r="H2938" s="177"/>
    </row>
    <row r="2939" spans="1:8" s="139" customFormat="1" x14ac:dyDescent="0.35">
      <c r="A2939" s="111"/>
      <c r="B2939" s="120" t="s">
        <v>1282</v>
      </c>
      <c r="C2939" s="118" t="s">
        <v>950</v>
      </c>
      <c r="D2939" s="118">
        <v>1</v>
      </c>
      <c r="E2939" s="119">
        <v>40000</v>
      </c>
      <c r="F2939" s="119">
        <f t="shared" si="33"/>
        <v>40000</v>
      </c>
      <c r="G2939" s="138"/>
      <c r="H2939" s="177"/>
    </row>
    <row r="2940" spans="1:8" s="139" customFormat="1" x14ac:dyDescent="0.35">
      <c r="A2940" s="111"/>
      <c r="B2940" s="120" t="s">
        <v>951</v>
      </c>
      <c r="C2940" s="118" t="s">
        <v>59</v>
      </c>
      <c r="D2940" s="118">
        <v>8</v>
      </c>
      <c r="E2940" s="119">
        <v>40000</v>
      </c>
      <c r="F2940" s="119">
        <f t="shared" si="33"/>
        <v>320000</v>
      </c>
      <c r="G2940" s="138"/>
      <c r="H2940" s="177"/>
    </row>
    <row r="2941" spans="1:8" s="139" customFormat="1" x14ac:dyDescent="0.35">
      <c r="A2941" s="111"/>
      <c r="B2941" s="120" t="s">
        <v>952</v>
      </c>
      <c r="C2941" s="118"/>
      <c r="D2941" s="118"/>
      <c r="E2941" s="119"/>
      <c r="F2941" s="119">
        <f>+(F2940+F2939+F2938+F2937+F2936+F2935+F2934+F2933+F2932)*0.1</f>
        <v>48859.166666666672</v>
      </c>
      <c r="G2941" s="138"/>
      <c r="H2941" s="177"/>
    </row>
    <row r="2942" spans="1:8" s="139" customFormat="1" x14ac:dyDescent="0.35">
      <c r="A2942" s="107"/>
      <c r="B2942" s="108" t="s">
        <v>769</v>
      </c>
      <c r="C2942" s="109"/>
      <c r="D2942" s="124"/>
      <c r="E2942" s="117"/>
      <c r="F2942" s="110">
        <f>SUM(F2932:F2941)</f>
        <v>537450.83333333337</v>
      </c>
      <c r="G2942" s="138"/>
      <c r="H2942" s="177"/>
    </row>
    <row r="2943" spans="1:8" s="139" customFormat="1" x14ac:dyDescent="0.3">
      <c r="A2943" s="111"/>
      <c r="B2943" s="136" t="s">
        <v>808</v>
      </c>
      <c r="C2943" s="115"/>
      <c r="D2943" s="124"/>
      <c r="E2943" s="117"/>
      <c r="F2943" s="110"/>
      <c r="G2943" s="138"/>
      <c r="H2943" s="177"/>
    </row>
    <row r="2944" spans="1:8" s="139" customFormat="1" x14ac:dyDescent="0.25">
      <c r="A2944" s="111"/>
      <c r="B2944" s="134" t="s">
        <v>820</v>
      </c>
      <c r="C2944" s="115" t="s">
        <v>772</v>
      </c>
      <c r="D2944" s="124">
        <v>0.25</v>
      </c>
      <c r="E2944" s="117">
        <v>7500</v>
      </c>
      <c r="F2944" s="117">
        <f t="shared" ref="F2944:F2950" si="34">+D2944*E2944</f>
        <v>1875</v>
      </c>
      <c r="G2944" s="138"/>
      <c r="H2944" s="177"/>
    </row>
    <row r="2945" spans="1:8" s="139" customFormat="1" x14ac:dyDescent="0.25">
      <c r="A2945" s="111"/>
      <c r="B2945" s="134" t="s">
        <v>821</v>
      </c>
      <c r="C2945" s="115" t="s">
        <v>772</v>
      </c>
      <c r="D2945" s="124">
        <v>0.25</v>
      </c>
      <c r="E2945" s="117">
        <v>7500</v>
      </c>
      <c r="F2945" s="117">
        <f t="shared" si="34"/>
        <v>1875</v>
      </c>
      <c r="G2945" s="138"/>
      <c r="H2945" s="177"/>
    </row>
    <row r="2946" spans="1:8" s="139" customFormat="1" x14ac:dyDescent="0.25">
      <c r="A2946" s="111"/>
      <c r="B2946" s="134" t="s">
        <v>895</v>
      </c>
      <c r="C2946" s="115" t="s">
        <v>772</v>
      </c>
      <c r="D2946" s="124">
        <v>0.5</v>
      </c>
      <c r="E2946" s="117">
        <v>15000</v>
      </c>
      <c r="F2946" s="117">
        <f t="shared" si="34"/>
        <v>7500</v>
      </c>
      <c r="G2946" s="138"/>
      <c r="H2946" s="177"/>
    </row>
    <row r="2947" spans="1:8" s="139" customFormat="1" x14ac:dyDescent="0.25">
      <c r="A2947" s="111"/>
      <c r="B2947" s="134" t="s">
        <v>896</v>
      </c>
      <c r="C2947" s="115" t="s">
        <v>772</v>
      </c>
      <c r="D2947" s="124">
        <v>0.5</v>
      </c>
      <c r="E2947" s="117">
        <v>15000</v>
      </c>
      <c r="F2947" s="117">
        <f t="shared" si="34"/>
        <v>7500</v>
      </c>
      <c r="G2947" s="138"/>
      <c r="H2947" s="177"/>
    </row>
    <row r="2948" spans="1:8" s="139" customFormat="1" x14ac:dyDescent="0.25">
      <c r="A2948" s="111"/>
      <c r="B2948" s="134" t="s">
        <v>773</v>
      </c>
      <c r="C2948" s="115" t="s">
        <v>772</v>
      </c>
      <c r="D2948" s="124">
        <v>0.5</v>
      </c>
      <c r="E2948" s="117">
        <v>15000</v>
      </c>
      <c r="F2948" s="117">
        <f t="shared" si="34"/>
        <v>7500</v>
      </c>
      <c r="G2948" s="138"/>
      <c r="H2948" s="177"/>
    </row>
    <row r="2949" spans="1:8" s="139" customFormat="1" x14ac:dyDescent="0.25">
      <c r="A2949" s="111"/>
      <c r="B2949" s="134" t="s">
        <v>851</v>
      </c>
      <c r="C2949" s="115" t="s">
        <v>772</v>
      </c>
      <c r="D2949" s="124">
        <v>0.5</v>
      </c>
      <c r="E2949" s="117">
        <v>15000</v>
      </c>
      <c r="F2949" s="117">
        <f t="shared" si="34"/>
        <v>7500</v>
      </c>
      <c r="G2949" s="138"/>
      <c r="H2949" s="177"/>
    </row>
    <row r="2950" spans="1:8" s="139" customFormat="1" x14ac:dyDescent="0.25">
      <c r="A2950" s="111"/>
      <c r="B2950" s="134" t="s">
        <v>953</v>
      </c>
      <c r="C2950" s="115" t="s">
        <v>772</v>
      </c>
      <c r="D2950" s="124">
        <v>0.15</v>
      </c>
      <c r="E2950" s="117">
        <v>15000</v>
      </c>
      <c r="F2950" s="117">
        <f t="shared" si="34"/>
        <v>2250</v>
      </c>
      <c r="G2950" s="138"/>
      <c r="H2950" s="177"/>
    </row>
    <row r="2951" spans="1:8" s="139" customFormat="1" x14ac:dyDescent="0.3">
      <c r="A2951" s="111"/>
      <c r="B2951" s="136" t="s">
        <v>774</v>
      </c>
      <c r="C2951" s="115"/>
      <c r="D2951" s="124"/>
      <c r="E2951" s="117"/>
      <c r="F2951" s="110">
        <f>SUM(F2944:F2950)</f>
        <v>36000</v>
      </c>
      <c r="G2951" s="138"/>
      <c r="H2951" s="177"/>
    </row>
    <row r="2952" spans="1:8" s="139" customFormat="1" x14ac:dyDescent="0.3">
      <c r="A2952" s="111"/>
      <c r="B2952" s="136" t="s">
        <v>775</v>
      </c>
      <c r="C2952" s="115"/>
      <c r="D2952" s="109"/>
      <c r="E2952" s="110"/>
      <c r="F2952" s="110">
        <f>+F2951+F2942</f>
        <v>573450.83333333337</v>
      </c>
      <c r="G2952" s="138"/>
      <c r="H2952" s="177"/>
    </row>
    <row r="2953" spans="1:8" s="139" customFormat="1" x14ac:dyDescent="0.25">
      <c r="A2953" s="111"/>
      <c r="B2953" s="134" t="s">
        <v>824</v>
      </c>
      <c r="C2953" s="115"/>
      <c r="D2953" s="124">
        <v>1.1000000000000001</v>
      </c>
      <c r="E2953" s="110"/>
      <c r="F2953" s="110">
        <f>+F2952*D2953</f>
        <v>630795.91666666674</v>
      </c>
      <c r="G2953" s="138"/>
      <c r="H2953" s="177"/>
    </row>
    <row r="2954" spans="1:8" s="139" customFormat="1" x14ac:dyDescent="0.25">
      <c r="A2954" s="111"/>
      <c r="B2954" s="134" t="s">
        <v>825</v>
      </c>
      <c r="C2954" s="115"/>
      <c r="D2954" s="124">
        <v>1.1000000000000001</v>
      </c>
      <c r="E2954" s="110"/>
      <c r="F2954" s="110"/>
      <c r="G2954" s="138"/>
      <c r="H2954" s="177"/>
    </row>
    <row r="2955" spans="1:8" s="139" customFormat="1" x14ac:dyDescent="0.35">
      <c r="A2955" s="261" t="s">
        <v>236</v>
      </c>
      <c r="B2955" s="242" t="s">
        <v>785</v>
      </c>
      <c r="C2955" s="208" t="s">
        <v>59</v>
      </c>
      <c r="D2955" s="208"/>
      <c r="E2955" s="209"/>
      <c r="F2955" s="209">
        <f>+D2954*F2953</f>
        <v>693875.50833333342</v>
      </c>
      <c r="G2955" s="138"/>
      <c r="H2955" s="177"/>
    </row>
    <row r="2956" spans="1:8" s="139" customFormat="1" x14ac:dyDescent="0.35">
      <c r="A2956" s="261" t="s">
        <v>237</v>
      </c>
      <c r="B2956" s="207"/>
      <c r="C2956" s="208"/>
      <c r="D2956" s="208"/>
      <c r="E2956" s="210">
        <f>+E2924</f>
        <v>3035.45</v>
      </c>
      <c r="F2956" s="210">
        <f>+F2955/E2956</f>
        <v>228.59065651990099</v>
      </c>
      <c r="G2956" s="138"/>
      <c r="H2956" s="177"/>
    </row>
    <row r="2957" spans="1:8" s="139" customFormat="1" x14ac:dyDescent="0.35">
      <c r="A2957" s="105"/>
      <c r="B2957" s="106"/>
      <c r="C2957" s="101"/>
      <c r="D2957" s="101"/>
      <c r="E2957" s="161"/>
      <c r="F2957" s="161"/>
      <c r="G2957" s="138"/>
      <c r="H2957" s="177"/>
    </row>
    <row r="2958" spans="1:8" s="139" customFormat="1" x14ac:dyDescent="0.35">
      <c r="A2958" s="105"/>
      <c r="B2958" s="106"/>
      <c r="C2958" s="101"/>
      <c r="D2958" s="101"/>
      <c r="E2958" s="161"/>
      <c r="F2958" s="161"/>
      <c r="G2958" s="138"/>
      <c r="H2958" s="177"/>
    </row>
    <row r="2959" spans="1:8" x14ac:dyDescent="0.3">
      <c r="A2959" s="257" t="s">
        <v>227</v>
      </c>
      <c r="B2959" s="258" t="s">
        <v>228</v>
      </c>
      <c r="C2959" s="200" t="s">
        <v>2</v>
      </c>
      <c r="D2959" s="202" t="s">
        <v>765</v>
      </c>
      <c r="E2959" s="203" t="s">
        <v>766</v>
      </c>
      <c r="F2959" s="203" t="s">
        <v>767</v>
      </c>
    </row>
    <row r="2960" spans="1:8" x14ac:dyDescent="0.3">
      <c r="A2960" s="237" t="s">
        <v>229</v>
      </c>
      <c r="B2960" s="266" t="s">
        <v>230</v>
      </c>
      <c r="C2960" s="256"/>
      <c r="D2960" s="141"/>
      <c r="E2960" s="110"/>
      <c r="F2960" s="110"/>
    </row>
    <row r="2961" spans="1:6" x14ac:dyDescent="0.3">
      <c r="A2961" s="239" t="s">
        <v>237</v>
      </c>
      <c r="B2961" s="254" t="s">
        <v>1286</v>
      </c>
      <c r="C2961" s="256" t="s">
        <v>59</v>
      </c>
      <c r="D2961" s="141"/>
      <c r="E2961" s="110"/>
      <c r="F2961" s="110"/>
    </row>
    <row r="2962" spans="1:6" x14ac:dyDescent="0.35">
      <c r="A2962" s="111"/>
      <c r="B2962" s="112" t="s">
        <v>802</v>
      </c>
      <c r="C2962" s="118"/>
      <c r="D2962" s="118"/>
      <c r="E2962" s="119"/>
      <c r="F2962" s="119"/>
    </row>
    <row r="2963" spans="1:6" x14ac:dyDescent="0.35">
      <c r="A2963" s="111"/>
      <c r="B2963" s="120" t="s">
        <v>942</v>
      </c>
      <c r="C2963" s="118" t="s">
        <v>27</v>
      </c>
      <c r="D2963" s="118">
        <f>(1.2+1.4)*2</f>
        <v>5.1999999999999993</v>
      </c>
      <c r="E2963" s="119">
        <f>48000/6</f>
        <v>8000</v>
      </c>
      <c r="F2963" s="119">
        <f t="shared" ref="F2963:F2971" si="35">+D2963*E2963</f>
        <v>41599.999999999993</v>
      </c>
    </row>
    <row r="2964" spans="1:6" x14ac:dyDescent="0.35">
      <c r="A2964" s="111"/>
      <c r="B2964" s="120" t="s">
        <v>943</v>
      </c>
      <c r="C2964" s="118" t="s">
        <v>27</v>
      </c>
      <c r="D2964" s="118">
        <f>((1.2/0.12)-1)*1.35</f>
        <v>12.15</v>
      </c>
      <c r="E2964" s="119">
        <f>65000/12</f>
        <v>5416.666666666667</v>
      </c>
      <c r="F2964" s="119">
        <f t="shared" si="35"/>
        <v>65812.5</v>
      </c>
    </row>
    <row r="2965" spans="1:6" x14ac:dyDescent="0.35">
      <c r="A2965" s="111"/>
      <c r="B2965" s="120" t="s">
        <v>944</v>
      </c>
      <c r="C2965" s="118" t="s">
        <v>35</v>
      </c>
      <c r="D2965" s="118">
        <f>1.15*0.77</f>
        <v>0.88549999999999995</v>
      </c>
      <c r="E2965" s="119">
        <f>120000/12</f>
        <v>10000</v>
      </c>
      <c r="F2965" s="119">
        <f t="shared" si="35"/>
        <v>8855</v>
      </c>
    </row>
    <row r="2966" spans="1:6" x14ac:dyDescent="0.35">
      <c r="A2966" s="111"/>
      <c r="B2966" s="120" t="s">
        <v>945</v>
      </c>
      <c r="C2966" s="118" t="s">
        <v>27</v>
      </c>
      <c r="D2966" s="118">
        <f>(1.2+1.4)*2+1.2</f>
        <v>6.3999999999999995</v>
      </c>
      <c r="E2966" s="119">
        <f>25000/6</f>
        <v>4166.666666666667</v>
      </c>
      <c r="F2966" s="119">
        <f t="shared" si="35"/>
        <v>26666.666666666668</v>
      </c>
    </row>
    <row r="2967" spans="1:6" x14ac:dyDescent="0.35">
      <c r="A2967" s="111"/>
      <c r="B2967" s="120" t="s">
        <v>946</v>
      </c>
      <c r="C2967" s="118" t="s">
        <v>27</v>
      </c>
      <c r="D2967" s="118">
        <v>1.2</v>
      </c>
      <c r="E2967" s="119">
        <v>4666.666666666667</v>
      </c>
      <c r="F2967" s="119">
        <f t="shared" si="35"/>
        <v>5600</v>
      </c>
    </row>
    <row r="2968" spans="1:6" x14ac:dyDescent="0.35">
      <c r="A2968" s="111"/>
      <c r="B2968" s="120" t="s">
        <v>947</v>
      </c>
      <c r="C2968" s="118" t="s">
        <v>948</v>
      </c>
      <c r="D2968" s="118">
        <v>0.25</v>
      </c>
      <c r="E2968" s="119">
        <f>45000/4</f>
        <v>11250</v>
      </c>
      <c r="F2968" s="119">
        <f t="shared" si="35"/>
        <v>2812.5</v>
      </c>
    </row>
    <row r="2969" spans="1:6" x14ac:dyDescent="0.35">
      <c r="A2969" s="111"/>
      <c r="B2969" s="120" t="s">
        <v>949</v>
      </c>
      <c r="C2969" s="118" t="s">
        <v>948</v>
      </c>
      <c r="D2969" s="118">
        <v>0.25</v>
      </c>
      <c r="E2969" s="119">
        <f>45000/4</f>
        <v>11250</v>
      </c>
      <c r="F2969" s="119">
        <f t="shared" si="35"/>
        <v>2812.5</v>
      </c>
    </row>
    <row r="2970" spans="1:6" x14ac:dyDescent="0.35">
      <c r="A2970" s="111"/>
      <c r="B2970" s="120" t="s">
        <v>1282</v>
      </c>
      <c r="C2970" s="118" t="s">
        <v>950</v>
      </c>
      <c r="D2970" s="118">
        <v>1</v>
      </c>
      <c r="E2970" s="119">
        <v>40000</v>
      </c>
      <c r="F2970" s="119">
        <f t="shared" si="35"/>
        <v>40000</v>
      </c>
    </row>
    <row r="2971" spans="1:6" x14ac:dyDescent="0.35">
      <c r="A2971" s="111"/>
      <c r="B2971" s="120" t="s">
        <v>951</v>
      </c>
      <c r="C2971" s="118" t="s">
        <v>59</v>
      </c>
      <c r="D2971" s="118">
        <v>8</v>
      </c>
      <c r="E2971" s="119">
        <v>40000</v>
      </c>
      <c r="F2971" s="119">
        <f t="shared" si="35"/>
        <v>320000</v>
      </c>
    </row>
    <row r="2972" spans="1:6" x14ac:dyDescent="0.35">
      <c r="A2972" s="111"/>
      <c r="B2972" s="120" t="s">
        <v>952</v>
      </c>
      <c r="C2972" s="118"/>
      <c r="D2972" s="118"/>
      <c r="E2972" s="119"/>
      <c r="F2972" s="119">
        <f>+(F2963+F2964+F2965+F2966+F2967+F2968+F2969+F2970+F2971)*0.1</f>
        <v>51415.916666666664</v>
      </c>
    </row>
    <row r="2973" spans="1:6" x14ac:dyDescent="0.35">
      <c r="A2973" s="107"/>
      <c r="B2973" s="108" t="s">
        <v>769</v>
      </c>
      <c r="C2973" s="109"/>
      <c r="D2973" s="124"/>
      <c r="E2973" s="117"/>
      <c r="F2973" s="110">
        <f>SUM(F2963:F2972)</f>
        <v>565575.08333333326</v>
      </c>
    </row>
    <row r="2974" spans="1:6" x14ac:dyDescent="0.3">
      <c r="A2974" s="111"/>
      <c r="B2974" s="136" t="s">
        <v>808</v>
      </c>
      <c r="C2974" s="115"/>
      <c r="D2974" s="124"/>
      <c r="E2974" s="117"/>
      <c r="F2974" s="110"/>
    </row>
    <row r="2975" spans="1:6" x14ac:dyDescent="0.25">
      <c r="A2975" s="111"/>
      <c r="B2975" s="134" t="s">
        <v>820</v>
      </c>
      <c r="C2975" s="115" t="s">
        <v>772</v>
      </c>
      <c r="D2975" s="124">
        <v>0.25</v>
      </c>
      <c r="E2975" s="117">
        <v>7500</v>
      </c>
      <c r="F2975" s="117">
        <f t="shared" ref="F2975:F2981" si="36">+D2975*E2975</f>
        <v>1875</v>
      </c>
    </row>
    <row r="2976" spans="1:6" x14ac:dyDescent="0.25">
      <c r="A2976" s="111"/>
      <c r="B2976" s="134" t="s">
        <v>821</v>
      </c>
      <c r="C2976" s="115" t="s">
        <v>772</v>
      </c>
      <c r="D2976" s="124">
        <v>0.25</v>
      </c>
      <c r="E2976" s="117">
        <v>7500</v>
      </c>
      <c r="F2976" s="117">
        <f t="shared" si="36"/>
        <v>1875</v>
      </c>
    </row>
    <row r="2977" spans="1:6" x14ac:dyDescent="0.25">
      <c r="A2977" s="111"/>
      <c r="B2977" s="134" t="s">
        <v>895</v>
      </c>
      <c r="C2977" s="115" t="s">
        <v>772</v>
      </c>
      <c r="D2977" s="124">
        <v>0.5</v>
      </c>
      <c r="E2977" s="117">
        <v>15000</v>
      </c>
      <c r="F2977" s="117">
        <f t="shared" si="36"/>
        <v>7500</v>
      </c>
    </row>
    <row r="2978" spans="1:6" x14ac:dyDescent="0.25">
      <c r="A2978" s="111"/>
      <c r="B2978" s="134" t="s">
        <v>896</v>
      </c>
      <c r="C2978" s="115" t="s">
        <v>772</v>
      </c>
      <c r="D2978" s="124">
        <v>0.5</v>
      </c>
      <c r="E2978" s="117">
        <v>15000</v>
      </c>
      <c r="F2978" s="117">
        <f t="shared" si="36"/>
        <v>7500</v>
      </c>
    </row>
    <row r="2979" spans="1:6" x14ac:dyDescent="0.25">
      <c r="A2979" s="111"/>
      <c r="B2979" s="134" t="s">
        <v>773</v>
      </c>
      <c r="C2979" s="115" t="s">
        <v>772</v>
      </c>
      <c r="D2979" s="124">
        <v>0.5</v>
      </c>
      <c r="E2979" s="117">
        <v>15000</v>
      </c>
      <c r="F2979" s="117">
        <f t="shared" si="36"/>
        <v>7500</v>
      </c>
    </row>
    <row r="2980" spans="1:6" x14ac:dyDescent="0.25">
      <c r="A2980" s="111"/>
      <c r="B2980" s="134" t="s">
        <v>851</v>
      </c>
      <c r="C2980" s="115" t="s">
        <v>772</v>
      </c>
      <c r="D2980" s="124">
        <v>0.5</v>
      </c>
      <c r="E2980" s="117">
        <v>15000</v>
      </c>
      <c r="F2980" s="117">
        <f t="shared" si="36"/>
        <v>7500</v>
      </c>
    </row>
    <row r="2981" spans="1:6" x14ac:dyDescent="0.25">
      <c r="A2981" s="111"/>
      <c r="B2981" s="134" t="s">
        <v>953</v>
      </c>
      <c r="C2981" s="115" t="s">
        <v>772</v>
      </c>
      <c r="D2981" s="124">
        <v>0.15</v>
      </c>
      <c r="E2981" s="117">
        <v>15000</v>
      </c>
      <c r="F2981" s="117">
        <f t="shared" si="36"/>
        <v>2250</v>
      </c>
    </row>
    <row r="2982" spans="1:6" x14ac:dyDescent="0.3">
      <c r="A2982" s="111"/>
      <c r="B2982" s="136" t="s">
        <v>774</v>
      </c>
      <c r="C2982" s="115"/>
      <c r="D2982" s="124"/>
      <c r="E2982" s="117"/>
      <c r="F2982" s="110">
        <f>SUM(F2975:F2981)</f>
        <v>36000</v>
      </c>
    </row>
    <row r="2983" spans="1:6" x14ac:dyDescent="0.3">
      <c r="A2983" s="111"/>
      <c r="B2983" s="136" t="s">
        <v>775</v>
      </c>
      <c r="C2983" s="115"/>
      <c r="D2983" s="109"/>
      <c r="E2983" s="110"/>
      <c r="F2983" s="110">
        <f>+F2982+F2973</f>
        <v>601575.08333333326</v>
      </c>
    </row>
    <row r="2984" spans="1:6" x14ac:dyDescent="0.25">
      <c r="A2984" s="111"/>
      <c r="B2984" s="134" t="s">
        <v>824</v>
      </c>
      <c r="C2984" s="115"/>
      <c r="D2984" s="124">
        <v>1.1000000000000001</v>
      </c>
      <c r="E2984" s="110"/>
      <c r="F2984" s="110">
        <f>+F2983*D2984</f>
        <v>661732.59166666667</v>
      </c>
    </row>
    <row r="2985" spans="1:6" x14ac:dyDescent="0.25">
      <c r="A2985" s="111"/>
      <c r="B2985" s="134" t="s">
        <v>825</v>
      </c>
      <c r="C2985" s="115"/>
      <c r="D2985" s="124">
        <v>1.1000000000000001</v>
      </c>
      <c r="E2985" s="110"/>
      <c r="F2985" s="110"/>
    </row>
    <row r="2986" spans="1:6" x14ac:dyDescent="0.35">
      <c r="A2986" s="261" t="s">
        <v>237</v>
      </c>
      <c r="B2986" s="242" t="s">
        <v>785</v>
      </c>
      <c r="C2986" s="208" t="s">
        <v>59</v>
      </c>
      <c r="D2986" s="208"/>
      <c r="E2986" s="209"/>
      <c r="F2986" s="209">
        <f>+D2985*F2984</f>
        <v>727905.85083333345</v>
      </c>
    </row>
    <row r="2987" spans="1:6" x14ac:dyDescent="0.35">
      <c r="A2987" s="206"/>
      <c r="B2987" s="207"/>
      <c r="C2987" s="208"/>
      <c r="D2987" s="208"/>
      <c r="E2987" s="210">
        <f>+E2892</f>
        <v>3035.45</v>
      </c>
      <c r="F2987" s="210">
        <f>+F2986/E2987</f>
        <v>239.80162771033406</v>
      </c>
    </row>
    <row r="2988" spans="1:6" x14ac:dyDescent="0.35">
      <c r="A2988" s="126"/>
      <c r="B2988" s="127"/>
      <c r="C2988" s="128"/>
      <c r="D2988" s="128"/>
      <c r="E2988" s="176"/>
      <c r="F2988" s="176"/>
    </row>
    <row r="2989" spans="1:6" x14ac:dyDescent="0.35">
      <c r="A2989" s="130"/>
      <c r="B2989" s="131"/>
      <c r="C2989" s="132"/>
      <c r="D2989" s="132"/>
      <c r="E2989" s="179"/>
      <c r="F2989" s="179"/>
    </row>
    <row r="2990" spans="1:6" x14ac:dyDescent="0.3">
      <c r="A2990" s="257" t="s">
        <v>227</v>
      </c>
      <c r="B2990" s="258" t="s">
        <v>228</v>
      </c>
      <c r="C2990" s="200" t="s">
        <v>2</v>
      </c>
      <c r="D2990" s="202" t="s">
        <v>765</v>
      </c>
      <c r="E2990" s="203" t="s">
        <v>766</v>
      </c>
      <c r="F2990" s="203" t="s">
        <v>767</v>
      </c>
    </row>
    <row r="2991" spans="1:6" x14ac:dyDescent="0.3">
      <c r="A2991" s="237" t="s">
        <v>229</v>
      </c>
      <c r="B2991" s="266" t="s">
        <v>230</v>
      </c>
      <c r="C2991" s="256"/>
      <c r="D2991" s="141"/>
      <c r="E2991" s="110"/>
      <c r="F2991" s="110"/>
    </row>
    <row r="2992" spans="1:6" x14ac:dyDescent="0.35">
      <c r="A2992" s="239" t="s">
        <v>238</v>
      </c>
      <c r="B2992" s="240" t="s">
        <v>1287</v>
      </c>
      <c r="C2992" s="256" t="s">
        <v>59</v>
      </c>
      <c r="D2992" s="141"/>
      <c r="E2992" s="110"/>
      <c r="F2992" s="110"/>
    </row>
    <row r="2993" spans="1:6" x14ac:dyDescent="0.35">
      <c r="A2993" s="111"/>
      <c r="B2993" s="112" t="s">
        <v>802</v>
      </c>
      <c r="C2993" s="118"/>
      <c r="D2993" s="118"/>
      <c r="E2993" s="119"/>
      <c r="F2993" s="119"/>
    </row>
    <row r="2994" spans="1:6" x14ac:dyDescent="0.35">
      <c r="A2994" s="111"/>
      <c r="B2994" s="120" t="s">
        <v>942</v>
      </c>
      <c r="C2994" s="118" t="s">
        <v>27</v>
      </c>
      <c r="D2994" s="118">
        <f>(1.6+1.4)*2</f>
        <v>6</v>
      </c>
      <c r="E2994" s="119">
        <f>48000/6</f>
        <v>8000</v>
      </c>
      <c r="F2994" s="119">
        <f>+D2994*E2994</f>
        <v>48000</v>
      </c>
    </row>
    <row r="2995" spans="1:6" x14ac:dyDescent="0.35">
      <c r="A2995" s="111"/>
      <c r="B2995" s="120" t="s">
        <v>943</v>
      </c>
      <c r="C2995" s="118" t="s">
        <v>27</v>
      </c>
      <c r="D2995" s="118">
        <v>16.5</v>
      </c>
      <c r="E2995" s="119">
        <f>65000/12</f>
        <v>5416.666666666667</v>
      </c>
      <c r="F2995" s="119">
        <f t="shared" ref="F2995:F3002" si="37">+D2995*E2995</f>
        <v>89375</v>
      </c>
    </row>
    <row r="2996" spans="1:6" x14ac:dyDescent="0.35">
      <c r="A2996" s="111"/>
      <c r="B2996" s="120" t="s">
        <v>944</v>
      </c>
      <c r="C2996" s="118" t="s">
        <v>35</v>
      </c>
      <c r="D2996" s="118">
        <f>1.78*0.55</f>
        <v>0.97900000000000009</v>
      </c>
      <c r="E2996" s="119">
        <f>120000/12</f>
        <v>10000</v>
      </c>
      <c r="F2996" s="119">
        <f t="shared" si="37"/>
        <v>9790.0000000000018</v>
      </c>
    </row>
    <row r="2997" spans="1:6" x14ac:dyDescent="0.35">
      <c r="A2997" s="111"/>
      <c r="B2997" s="120" t="s">
        <v>945</v>
      </c>
      <c r="C2997" s="118" t="s">
        <v>27</v>
      </c>
      <c r="D2997" s="118">
        <f>(1.6+1.4)*2+1.4</f>
        <v>7.4</v>
      </c>
      <c r="E2997" s="119">
        <f>25000/6</f>
        <v>4166.666666666667</v>
      </c>
      <c r="F2997" s="119">
        <f t="shared" si="37"/>
        <v>30833.333333333336</v>
      </c>
    </row>
    <row r="2998" spans="1:6" x14ac:dyDescent="0.35">
      <c r="A2998" s="111"/>
      <c r="B2998" s="120" t="s">
        <v>946</v>
      </c>
      <c r="C2998" s="118" t="s">
        <v>27</v>
      </c>
      <c r="D2998" s="118">
        <v>1.4</v>
      </c>
      <c r="E2998" s="119">
        <v>4666.666666666667</v>
      </c>
      <c r="F2998" s="119">
        <f t="shared" si="37"/>
        <v>6533.333333333333</v>
      </c>
    </row>
    <row r="2999" spans="1:6" x14ac:dyDescent="0.35">
      <c r="A2999" s="111"/>
      <c r="B2999" s="120" t="s">
        <v>947</v>
      </c>
      <c r="C2999" s="118" t="s">
        <v>948</v>
      </c>
      <c r="D2999" s="118">
        <v>0.25</v>
      </c>
      <c r="E2999" s="119">
        <f>45000/4</f>
        <v>11250</v>
      </c>
      <c r="F2999" s="119">
        <f t="shared" si="37"/>
        <v>2812.5</v>
      </c>
    </row>
    <row r="3000" spans="1:6" x14ac:dyDescent="0.35">
      <c r="A3000" s="111"/>
      <c r="B3000" s="120" t="s">
        <v>949</v>
      </c>
      <c r="C3000" s="118" t="s">
        <v>948</v>
      </c>
      <c r="D3000" s="118">
        <v>0.25</v>
      </c>
      <c r="E3000" s="119">
        <f>45000/4</f>
        <v>11250</v>
      </c>
      <c r="F3000" s="119">
        <f t="shared" si="37"/>
        <v>2812.5</v>
      </c>
    </row>
    <row r="3001" spans="1:6" x14ac:dyDescent="0.35">
      <c r="A3001" s="111"/>
      <c r="B3001" s="120" t="s">
        <v>1288</v>
      </c>
      <c r="C3001" s="118" t="s">
        <v>950</v>
      </c>
      <c r="D3001" s="118">
        <v>1</v>
      </c>
      <c r="E3001" s="119">
        <v>40000</v>
      </c>
      <c r="F3001" s="119">
        <f t="shared" si="37"/>
        <v>40000</v>
      </c>
    </row>
    <row r="3002" spans="1:6" x14ac:dyDescent="0.35">
      <c r="A3002" s="111"/>
      <c r="B3002" s="120" t="s">
        <v>951</v>
      </c>
      <c r="C3002" s="118" t="s">
        <v>59</v>
      </c>
      <c r="D3002" s="118">
        <v>12</v>
      </c>
      <c r="E3002" s="119">
        <v>40000</v>
      </c>
      <c r="F3002" s="119">
        <f t="shared" si="37"/>
        <v>480000</v>
      </c>
    </row>
    <row r="3003" spans="1:6" x14ac:dyDescent="0.35">
      <c r="A3003" s="111"/>
      <c r="B3003" s="120" t="s">
        <v>952</v>
      </c>
      <c r="C3003" s="118"/>
      <c r="D3003" s="118"/>
      <c r="E3003" s="119"/>
      <c r="F3003" s="119">
        <f>+(F3002+F3001+F3000+F2999+F2998+F2997+F2996+F2995+F2994)*0.1</f>
        <v>71015.666666666672</v>
      </c>
    </row>
    <row r="3004" spans="1:6" x14ac:dyDescent="0.35">
      <c r="A3004" s="107"/>
      <c r="B3004" s="108" t="s">
        <v>769</v>
      </c>
      <c r="C3004" s="109"/>
      <c r="D3004" s="124"/>
      <c r="E3004" s="117"/>
      <c r="F3004" s="110">
        <f>SUM(F2994:F3003)</f>
        <v>781172.33333333337</v>
      </c>
    </row>
    <row r="3005" spans="1:6" x14ac:dyDescent="0.3">
      <c r="A3005" s="111"/>
      <c r="B3005" s="136" t="s">
        <v>808</v>
      </c>
      <c r="C3005" s="115"/>
      <c r="D3005" s="124"/>
      <c r="E3005" s="117"/>
      <c r="F3005" s="110"/>
    </row>
    <row r="3006" spans="1:6" x14ac:dyDescent="0.25">
      <c r="A3006" s="111"/>
      <c r="B3006" s="134" t="s">
        <v>820</v>
      </c>
      <c r="C3006" s="115" t="s">
        <v>772</v>
      </c>
      <c r="D3006" s="124">
        <v>0.25</v>
      </c>
      <c r="E3006" s="117">
        <v>7500</v>
      </c>
      <c r="F3006" s="117">
        <f t="shared" ref="F3006:F3012" si="38">+D3006*E3006</f>
        <v>1875</v>
      </c>
    </row>
    <row r="3007" spans="1:6" x14ac:dyDescent="0.25">
      <c r="A3007" s="111"/>
      <c r="B3007" s="134" t="s">
        <v>821</v>
      </c>
      <c r="C3007" s="115" t="s">
        <v>772</v>
      </c>
      <c r="D3007" s="124">
        <v>0.25</v>
      </c>
      <c r="E3007" s="117">
        <v>7500</v>
      </c>
      <c r="F3007" s="117">
        <f t="shared" si="38"/>
        <v>1875</v>
      </c>
    </row>
    <row r="3008" spans="1:6" x14ac:dyDescent="0.25">
      <c r="A3008" s="111"/>
      <c r="B3008" s="134" t="s">
        <v>895</v>
      </c>
      <c r="C3008" s="115" t="s">
        <v>772</v>
      </c>
      <c r="D3008" s="124">
        <v>0.5</v>
      </c>
      <c r="E3008" s="117">
        <v>15000</v>
      </c>
      <c r="F3008" s="117">
        <f t="shared" si="38"/>
        <v>7500</v>
      </c>
    </row>
    <row r="3009" spans="1:6" x14ac:dyDescent="0.25">
      <c r="A3009" s="111"/>
      <c r="B3009" s="134" t="s">
        <v>896</v>
      </c>
      <c r="C3009" s="115" t="s">
        <v>772</v>
      </c>
      <c r="D3009" s="124">
        <v>0.5</v>
      </c>
      <c r="E3009" s="117">
        <v>15000</v>
      </c>
      <c r="F3009" s="117">
        <f t="shared" si="38"/>
        <v>7500</v>
      </c>
    </row>
    <row r="3010" spans="1:6" x14ac:dyDescent="0.25">
      <c r="A3010" s="111"/>
      <c r="B3010" s="134" t="s">
        <v>773</v>
      </c>
      <c r="C3010" s="115" t="s">
        <v>772</v>
      </c>
      <c r="D3010" s="124">
        <v>0.5</v>
      </c>
      <c r="E3010" s="117">
        <v>15000</v>
      </c>
      <c r="F3010" s="117">
        <f t="shared" si="38"/>
        <v>7500</v>
      </c>
    </row>
    <row r="3011" spans="1:6" x14ac:dyDescent="0.25">
      <c r="A3011" s="111"/>
      <c r="B3011" s="134" t="s">
        <v>851</v>
      </c>
      <c r="C3011" s="115" t="s">
        <v>772</v>
      </c>
      <c r="D3011" s="124">
        <v>0.5</v>
      </c>
      <c r="E3011" s="117">
        <v>15000</v>
      </c>
      <c r="F3011" s="117">
        <f t="shared" si="38"/>
        <v>7500</v>
      </c>
    </row>
    <row r="3012" spans="1:6" x14ac:dyDescent="0.25">
      <c r="A3012" s="111"/>
      <c r="B3012" s="134" t="s">
        <v>953</v>
      </c>
      <c r="C3012" s="115" t="s">
        <v>772</v>
      </c>
      <c r="D3012" s="124">
        <v>0.15</v>
      </c>
      <c r="E3012" s="117">
        <v>15000</v>
      </c>
      <c r="F3012" s="117">
        <f t="shared" si="38"/>
        <v>2250</v>
      </c>
    </row>
    <row r="3013" spans="1:6" x14ac:dyDescent="0.3">
      <c r="A3013" s="111"/>
      <c r="B3013" s="136" t="s">
        <v>774</v>
      </c>
      <c r="C3013" s="115"/>
      <c r="D3013" s="124"/>
      <c r="E3013" s="117"/>
      <c r="F3013" s="110">
        <f>SUM(F3006:F3012)</f>
        <v>36000</v>
      </c>
    </row>
    <row r="3014" spans="1:6" x14ac:dyDescent="0.3">
      <c r="A3014" s="111"/>
      <c r="B3014" s="136" t="s">
        <v>775</v>
      </c>
      <c r="C3014" s="115"/>
      <c r="D3014" s="109"/>
      <c r="E3014" s="110"/>
      <c r="F3014" s="110">
        <f>+F3013+F3004</f>
        <v>817172.33333333337</v>
      </c>
    </row>
    <row r="3015" spans="1:6" x14ac:dyDescent="0.25">
      <c r="A3015" s="111"/>
      <c r="B3015" s="134" t="s">
        <v>824</v>
      </c>
      <c r="C3015" s="115"/>
      <c r="D3015" s="124">
        <v>1.1000000000000001</v>
      </c>
      <c r="E3015" s="110"/>
      <c r="F3015" s="110">
        <f>+F3014*D3015</f>
        <v>898889.56666666677</v>
      </c>
    </row>
    <row r="3016" spans="1:6" x14ac:dyDescent="0.25">
      <c r="A3016" s="111"/>
      <c r="B3016" s="134" t="s">
        <v>825</v>
      </c>
      <c r="C3016" s="115"/>
      <c r="D3016" s="124">
        <v>1.1000000000000001</v>
      </c>
      <c r="E3016" s="110"/>
      <c r="F3016" s="110"/>
    </row>
    <row r="3017" spans="1:6" x14ac:dyDescent="0.35">
      <c r="A3017" s="261" t="s">
        <v>238</v>
      </c>
      <c r="B3017" s="242" t="s">
        <v>785</v>
      </c>
      <c r="C3017" s="208" t="s">
        <v>59</v>
      </c>
      <c r="D3017" s="208"/>
      <c r="E3017" s="209"/>
      <c r="F3017" s="209">
        <f>+D3016*F3015</f>
        <v>988778.52333333355</v>
      </c>
    </row>
    <row r="3018" spans="1:6" x14ac:dyDescent="0.35">
      <c r="A3018" s="206"/>
      <c r="B3018" s="207"/>
      <c r="C3018" s="208"/>
      <c r="D3018" s="208"/>
      <c r="E3018" s="210">
        <f>+E2987</f>
        <v>3035.45</v>
      </c>
      <c r="F3018" s="210">
        <f>+F3017/E3018</f>
        <v>325.74363713233083</v>
      </c>
    </row>
    <row r="3019" spans="1:6" x14ac:dyDescent="0.35">
      <c r="A3019" s="126"/>
      <c r="B3019" s="127"/>
      <c r="C3019" s="128"/>
      <c r="D3019" s="128"/>
      <c r="E3019" s="176"/>
      <c r="F3019" s="176"/>
    </row>
    <row r="3020" spans="1:6" x14ac:dyDescent="0.35">
      <c r="A3020" s="130"/>
      <c r="B3020" s="131"/>
      <c r="C3020" s="132"/>
      <c r="D3020" s="132"/>
      <c r="E3020" s="179"/>
      <c r="F3020" s="179"/>
    </row>
    <row r="3021" spans="1:6" x14ac:dyDescent="0.3">
      <c r="A3021" s="257" t="s">
        <v>227</v>
      </c>
      <c r="B3021" s="258" t="s">
        <v>228</v>
      </c>
      <c r="C3021" s="200" t="s">
        <v>2</v>
      </c>
      <c r="D3021" s="202" t="s">
        <v>765</v>
      </c>
      <c r="E3021" s="203" t="s">
        <v>766</v>
      </c>
      <c r="F3021" s="203" t="s">
        <v>767</v>
      </c>
    </row>
    <row r="3022" spans="1:6" x14ac:dyDescent="0.3">
      <c r="A3022" s="237" t="s">
        <v>229</v>
      </c>
      <c r="B3022" s="266" t="s">
        <v>230</v>
      </c>
      <c r="C3022" s="256"/>
      <c r="D3022" s="141"/>
      <c r="E3022" s="110"/>
      <c r="F3022" s="110"/>
    </row>
    <row r="3023" spans="1:6" x14ac:dyDescent="0.35">
      <c r="A3023" s="239" t="s">
        <v>239</v>
      </c>
      <c r="B3023" s="240" t="s">
        <v>1162</v>
      </c>
      <c r="C3023" s="256" t="s">
        <v>59</v>
      </c>
      <c r="D3023" s="141"/>
      <c r="E3023" s="110"/>
      <c r="F3023" s="110"/>
    </row>
    <row r="3024" spans="1:6" x14ac:dyDescent="0.35">
      <c r="A3024" s="111"/>
      <c r="B3024" s="112" t="s">
        <v>802</v>
      </c>
      <c r="C3024" s="118"/>
      <c r="D3024" s="118"/>
      <c r="E3024" s="119"/>
      <c r="F3024" s="119"/>
    </row>
    <row r="3025" spans="1:6" x14ac:dyDescent="0.35">
      <c r="A3025" s="111"/>
      <c r="B3025" s="120" t="s">
        <v>942</v>
      </c>
      <c r="C3025" s="118" t="s">
        <v>27</v>
      </c>
      <c r="D3025" s="118">
        <f>(1.5+1.7)*2</f>
        <v>6.4</v>
      </c>
      <c r="E3025" s="119">
        <f>48000/6</f>
        <v>8000</v>
      </c>
      <c r="F3025" s="119">
        <f>+D3025*E3025</f>
        <v>51200</v>
      </c>
    </row>
    <row r="3026" spans="1:6" x14ac:dyDescent="0.35">
      <c r="A3026" s="111"/>
      <c r="B3026" s="120" t="s">
        <v>943</v>
      </c>
      <c r="C3026" s="118" t="s">
        <v>27</v>
      </c>
      <c r="D3026" s="118">
        <v>19.600000000000001</v>
      </c>
      <c r="E3026" s="119">
        <f>65000/12</f>
        <v>5416.666666666667</v>
      </c>
      <c r="F3026" s="119">
        <f t="shared" ref="F3026:F3033" si="39">+D3026*E3026</f>
        <v>106166.66666666669</v>
      </c>
    </row>
    <row r="3027" spans="1:6" x14ac:dyDescent="0.35">
      <c r="A3027" s="111"/>
      <c r="B3027" s="120" t="s">
        <v>944</v>
      </c>
      <c r="C3027" s="118" t="s">
        <v>35</v>
      </c>
      <c r="D3027" s="118">
        <f>1.5*1.65</f>
        <v>2.4749999999999996</v>
      </c>
      <c r="E3027" s="119">
        <f>120000/12</f>
        <v>10000</v>
      </c>
      <c r="F3027" s="119">
        <f t="shared" si="39"/>
        <v>24749.999999999996</v>
      </c>
    </row>
    <row r="3028" spans="1:6" x14ac:dyDescent="0.35">
      <c r="A3028" s="111"/>
      <c r="B3028" s="120" t="s">
        <v>945</v>
      </c>
      <c r="C3028" s="118" t="s">
        <v>27</v>
      </c>
      <c r="D3028" s="118">
        <f>(1.6+1.4)*2+150</f>
        <v>156</v>
      </c>
      <c r="E3028" s="119">
        <f>25000/6</f>
        <v>4166.666666666667</v>
      </c>
      <c r="F3028" s="119">
        <f t="shared" si="39"/>
        <v>650000</v>
      </c>
    </row>
    <row r="3029" spans="1:6" x14ac:dyDescent="0.35">
      <c r="A3029" s="111"/>
      <c r="B3029" s="120" t="s">
        <v>946</v>
      </c>
      <c r="C3029" s="118" t="s">
        <v>27</v>
      </c>
      <c r="D3029" s="118">
        <v>1.5</v>
      </c>
      <c r="E3029" s="119">
        <v>4666.666666666667</v>
      </c>
      <c r="F3029" s="119">
        <f t="shared" si="39"/>
        <v>7000</v>
      </c>
    </row>
    <row r="3030" spans="1:6" x14ac:dyDescent="0.35">
      <c r="A3030" s="111"/>
      <c r="B3030" s="120" t="s">
        <v>947</v>
      </c>
      <c r="C3030" s="118" t="s">
        <v>948</v>
      </c>
      <c r="D3030" s="118">
        <v>0.25</v>
      </c>
      <c r="E3030" s="119">
        <f>45000/4</f>
        <v>11250</v>
      </c>
      <c r="F3030" s="119">
        <f t="shared" si="39"/>
        <v>2812.5</v>
      </c>
    </row>
    <row r="3031" spans="1:6" x14ac:dyDescent="0.35">
      <c r="A3031" s="111"/>
      <c r="B3031" s="120" t="s">
        <v>949</v>
      </c>
      <c r="C3031" s="118" t="s">
        <v>948</v>
      </c>
      <c r="D3031" s="118">
        <v>0.25</v>
      </c>
      <c r="E3031" s="119">
        <f>45000/4</f>
        <v>11250</v>
      </c>
      <c r="F3031" s="119">
        <f t="shared" si="39"/>
        <v>2812.5</v>
      </c>
    </row>
    <row r="3032" spans="1:6" x14ac:dyDescent="0.35">
      <c r="A3032" s="111"/>
      <c r="B3032" s="120" t="s">
        <v>955</v>
      </c>
      <c r="C3032" s="118" t="s">
        <v>950</v>
      </c>
      <c r="D3032" s="118">
        <v>1</v>
      </c>
      <c r="E3032" s="119">
        <v>40000</v>
      </c>
      <c r="F3032" s="119">
        <f t="shared" si="39"/>
        <v>40000</v>
      </c>
    </row>
    <row r="3033" spans="1:6" x14ac:dyDescent="0.35">
      <c r="A3033" s="111"/>
      <c r="B3033" s="120" t="s">
        <v>951</v>
      </c>
      <c r="C3033" s="118" t="s">
        <v>59</v>
      </c>
      <c r="D3033" s="118">
        <v>16</v>
      </c>
      <c r="E3033" s="119">
        <v>40000</v>
      </c>
      <c r="F3033" s="119">
        <f t="shared" si="39"/>
        <v>640000</v>
      </c>
    </row>
    <row r="3034" spans="1:6" x14ac:dyDescent="0.35">
      <c r="A3034" s="111"/>
      <c r="B3034" s="120" t="s">
        <v>952</v>
      </c>
      <c r="C3034" s="118"/>
      <c r="D3034" s="118"/>
      <c r="E3034" s="119"/>
      <c r="F3034" s="119">
        <f>+(F3025+F3026+F3027+F3028+F3029+F3030+F3031+F3032+F3033)*0.1</f>
        <v>152474.16666666669</v>
      </c>
    </row>
    <row r="3035" spans="1:6" x14ac:dyDescent="0.35">
      <c r="A3035" s="107"/>
      <c r="B3035" s="108" t="s">
        <v>769</v>
      </c>
      <c r="C3035" s="109"/>
      <c r="D3035" s="124"/>
      <c r="E3035" s="117"/>
      <c r="F3035" s="110">
        <f>SUM(F3025:F3034)</f>
        <v>1677215.8333333335</v>
      </c>
    </row>
    <row r="3036" spans="1:6" x14ac:dyDescent="0.3">
      <c r="A3036" s="111"/>
      <c r="B3036" s="136" t="s">
        <v>808</v>
      </c>
      <c r="C3036" s="115"/>
      <c r="D3036" s="124"/>
      <c r="E3036" s="117"/>
      <c r="F3036" s="110"/>
    </row>
    <row r="3037" spans="1:6" x14ac:dyDescent="0.25">
      <c r="A3037" s="111"/>
      <c r="B3037" s="134" t="s">
        <v>820</v>
      </c>
      <c r="C3037" s="115" t="s">
        <v>772</v>
      </c>
      <c r="D3037" s="124">
        <v>0.25</v>
      </c>
      <c r="E3037" s="117">
        <v>7500</v>
      </c>
      <c r="F3037" s="117">
        <f t="shared" ref="F3037:F3043" si="40">+D3037*E3037</f>
        <v>1875</v>
      </c>
    </row>
    <row r="3038" spans="1:6" x14ac:dyDescent="0.25">
      <c r="A3038" s="111"/>
      <c r="B3038" s="134" t="s">
        <v>821</v>
      </c>
      <c r="C3038" s="115" t="s">
        <v>772</v>
      </c>
      <c r="D3038" s="124">
        <v>0.25</v>
      </c>
      <c r="E3038" s="117">
        <v>7500</v>
      </c>
      <c r="F3038" s="117">
        <f t="shared" si="40"/>
        <v>1875</v>
      </c>
    </row>
    <row r="3039" spans="1:6" x14ac:dyDescent="0.25">
      <c r="A3039" s="111"/>
      <c r="B3039" s="134" t="s">
        <v>895</v>
      </c>
      <c r="C3039" s="115" t="s">
        <v>772</v>
      </c>
      <c r="D3039" s="124">
        <v>0.5</v>
      </c>
      <c r="E3039" s="117">
        <v>15000</v>
      </c>
      <c r="F3039" s="117">
        <f t="shared" si="40"/>
        <v>7500</v>
      </c>
    </row>
    <row r="3040" spans="1:6" x14ac:dyDescent="0.25">
      <c r="A3040" s="111"/>
      <c r="B3040" s="134" t="s">
        <v>896</v>
      </c>
      <c r="C3040" s="115" t="s">
        <v>772</v>
      </c>
      <c r="D3040" s="124">
        <v>0.5</v>
      </c>
      <c r="E3040" s="117">
        <v>15000</v>
      </c>
      <c r="F3040" s="117">
        <f t="shared" si="40"/>
        <v>7500</v>
      </c>
    </row>
    <row r="3041" spans="1:6" x14ac:dyDescent="0.25">
      <c r="A3041" s="111"/>
      <c r="B3041" s="134" t="s">
        <v>773</v>
      </c>
      <c r="C3041" s="115" t="s">
        <v>772</v>
      </c>
      <c r="D3041" s="124">
        <v>0.5</v>
      </c>
      <c r="E3041" s="117">
        <v>15000</v>
      </c>
      <c r="F3041" s="117">
        <f t="shared" si="40"/>
        <v>7500</v>
      </c>
    </row>
    <row r="3042" spans="1:6" x14ac:dyDescent="0.25">
      <c r="A3042" s="111"/>
      <c r="B3042" s="134" t="s">
        <v>851</v>
      </c>
      <c r="C3042" s="115" t="s">
        <v>772</v>
      </c>
      <c r="D3042" s="124">
        <v>0.5</v>
      </c>
      <c r="E3042" s="117">
        <v>15000</v>
      </c>
      <c r="F3042" s="117">
        <f t="shared" si="40"/>
        <v>7500</v>
      </c>
    </row>
    <row r="3043" spans="1:6" x14ac:dyDescent="0.25">
      <c r="A3043" s="111"/>
      <c r="B3043" s="134" t="s">
        <v>953</v>
      </c>
      <c r="C3043" s="115" t="s">
        <v>772</v>
      </c>
      <c r="D3043" s="124">
        <v>0.15</v>
      </c>
      <c r="E3043" s="117">
        <v>15000</v>
      </c>
      <c r="F3043" s="117">
        <f t="shared" si="40"/>
        <v>2250</v>
      </c>
    </row>
    <row r="3044" spans="1:6" x14ac:dyDescent="0.3">
      <c r="A3044" s="111"/>
      <c r="B3044" s="136" t="s">
        <v>774</v>
      </c>
      <c r="C3044" s="115"/>
      <c r="D3044" s="124"/>
      <c r="E3044" s="117"/>
      <c r="F3044" s="110">
        <f>SUM(F3037:F3043)</f>
        <v>36000</v>
      </c>
    </row>
    <row r="3045" spans="1:6" x14ac:dyDescent="0.3">
      <c r="A3045" s="111"/>
      <c r="B3045" s="136" t="s">
        <v>775</v>
      </c>
      <c r="C3045" s="115"/>
      <c r="D3045" s="109"/>
      <c r="E3045" s="110"/>
      <c r="F3045" s="110">
        <f>+F3044+F3035</f>
        <v>1713215.8333333335</v>
      </c>
    </row>
    <row r="3046" spans="1:6" x14ac:dyDescent="0.25">
      <c r="A3046" s="111"/>
      <c r="B3046" s="134" t="s">
        <v>824</v>
      </c>
      <c r="C3046" s="115"/>
      <c r="D3046" s="124">
        <v>1.1000000000000001</v>
      </c>
      <c r="E3046" s="110"/>
      <c r="F3046" s="110">
        <f>+F3045*D3046</f>
        <v>1884537.416666667</v>
      </c>
    </row>
    <row r="3047" spans="1:6" x14ac:dyDescent="0.25">
      <c r="A3047" s="111"/>
      <c r="B3047" s="134" t="s">
        <v>825</v>
      </c>
      <c r="C3047" s="115"/>
      <c r="D3047" s="124">
        <v>1.1000000000000001</v>
      </c>
      <c r="E3047" s="110"/>
      <c r="F3047" s="110"/>
    </row>
    <row r="3048" spans="1:6" x14ac:dyDescent="0.35">
      <c r="A3048" s="261" t="s">
        <v>239</v>
      </c>
      <c r="B3048" s="242" t="s">
        <v>785</v>
      </c>
      <c r="C3048" s="208" t="s">
        <v>59</v>
      </c>
      <c r="D3048" s="208"/>
      <c r="E3048" s="209"/>
      <c r="F3048" s="209">
        <f>+D3047*F3046</f>
        <v>2072991.1583333339</v>
      </c>
    </row>
    <row r="3049" spans="1:6" x14ac:dyDescent="0.35">
      <c r="A3049" s="206"/>
      <c r="B3049" s="207"/>
      <c r="C3049" s="208"/>
      <c r="D3049" s="208"/>
      <c r="E3049" s="210">
        <f>+E3018</f>
        <v>3035.45</v>
      </c>
      <c r="F3049" s="210">
        <f>+F3048/E3049</f>
        <v>682.92713051881401</v>
      </c>
    </row>
    <row r="3050" spans="1:6" x14ac:dyDescent="0.35">
      <c r="A3050" s="126"/>
      <c r="B3050" s="127"/>
      <c r="C3050" s="128"/>
      <c r="D3050" s="128"/>
      <c r="E3050" s="176"/>
      <c r="F3050" s="176"/>
    </row>
    <row r="3051" spans="1:6" x14ac:dyDescent="0.35">
      <c r="A3051" s="130"/>
      <c r="B3051" s="131"/>
      <c r="C3051" s="132"/>
      <c r="D3051" s="132"/>
      <c r="E3051" s="179"/>
      <c r="F3051" s="179"/>
    </row>
    <row r="3052" spans="1:6" x14ac:dyDescent="0.3">
      <c r="A3052" s="257" t="s">
        <v>227</v>
      </c>
      <c r="B3052" s="258" t="s">
        <v>228</v>
      </c>
      <c r="C3052" s="200" t="s">
        <v>2</v>
      </c>
      <c r="D3052" s="202" t="s">
        <v>765</v>
      </c>
      <c r="E3052" s="203" t="s">
        <v>766</v>
      </c>
      <c r="F3052" s="203" t="s">
        <v>767</v>
      </c>
    </row>
    <row r="3053" spans="1:6" x14ac:dyDescent="0.3">
      <c r="A3053" s="237" t="s">
        <v>229</v>
      </c>
      <c r="B3053" s="266" t="s">
        <v>230</v>
      </c>
      <c r="C3053" s="256"/>
      <c r="D3053" s="141"/>
      <c r="E3053" s="110"/>
      <c r="F3053" s="110"/>
    </row>
    <row r="3054" spans="1:6" x14ac:dyDescent="0.3">
      <c r="A3054" s="239" t="s">
        <v>240</v>
      </c>
      <c r="B3054" s="254" t="s">
        <v>1289</v>
      </c>
      <c r="C3054" s="256" t="s">
        <v>59</v>
      </c>
      <c r="D3054" s="141"/>
      <c r="E3054" s="110"/>
      <c r="F3054" s="110"/>
    </row>
    <row r="3055" spans="1:6" x14ac:dyDescent="0.35">
      <c r="A3055" s="111"/>
      <c r="B3055" s="112" t="s">
        <v>802</v>
      </c>
      <c r="C3055" s="118"/>
      <c r="D3055" s="118"/>
      <c r="E3055" s="119"/>
      <c r="F3055" s="119"/>
    </row>
    <row r="3056" spans="1:6" x14ac:dyDescent="0.35">
      <c r="A3056" s="111"/>
      <c r="B3056" s="120" t="s">
        <v>942</v>
      </c>
      <c r="C3056" s="118" t="s">
        <v>27</v>
      </c>
      <c r="D3056" s="118">
        <f>(0.6+1.3)*2</f>
        <v>3.8</v>
      </c>
      <c r="E3056" s="119">
        <f>48000/6</f>
        <v>8000</v>
      </c>
      <c r="F3056" s="119">
        <f>+D3056*E3056</f>
        <v>30400</v>
      </c>
    </row>
    <row r="3057" spans="1:6" x14ac:dyDescent="0.35">
      <c r="A3057" s="111"/>
      <c r="B3057" s="120" t="s">
        <v>943</v>
      </c>
      <c r="C3057" s="118" t="s">
        <v>27</v>
      </c>
      <c r="D3057" s="118">
        <f>((0.6/0.12)-1)*1.25</f>
        <v>5</v>
      </c>
      <c r="E3057" s="119">
        <f>65000/12</f>
        <v>5416.666666666667</v>
      </c>
      <c r="F3057" s="119">
        <f t="shared" ref="F3057:F3064" si="41">+D3057*E3057</f>
        <v>27083.333333333336</v>
      </c>
    </row>
    <row r="3058" spans="1:6" x14ac:dyDescent="0.35">
      <c r="A3058" s="111"/>
      <c r="B3058" s="120" t="s">
        <v>944</v>
      </c>
      <c r="C3058" s="118" t="s">
        <v>35</v>
      </c>
      <c r="D3058" s="118">
        <f>0.58*1.32</f>
        <v>0.76559999999999995</v>
      </c>
      <c r="E3058" s="119">
        <f>120000/12</f>
        <v>10000</v>
      </c>
      <c r="F3058" s="119">
        <f t="shared" si="41"/>
        <v>7655.9999999999991</v>
      </c>
    </row>
    <row r="3059" spans="1:6" x14ac:dyDescent="0.35">
      <c r="A3059" s="111"/>
      <c r="B3059" s="120" t="s">
        <v>945</v>
      </c>
      <c r="C3059" s="118" t="s">
        <v>27</v>
      </c>
      <c r="D3059" s="118">
        <f>(0.6+1.3)*2+0.6</f>
        <v>4.3999999999999995</v>
      </c>
      <c r="E3059" s="119">
        <f>25000/6</f>
        <v>4166.666666666667</v>
      </c>
      <c r="F3059" s="119">
        <f t="shared" si="41"/>
        <v>18333.333333333332</v>
      </c>
    </row>
    <row r="3060" spans="1:6" x14ac:dyDescent="0.35">
      <c r="A3060" s="111"/>
      <c r="B3060" s="120" t="s">
        <v>946</v>
      </c>
      <c r="C3060" s="118" t="s">
        <v>27</v>
      </c>
      <c r="D3060" s="118">
        <v>0.6</v>
      </c>
      <c r="E3060" s="119">
        <v>4666.666666666667</v>
      </c>
      <c r="F3060" s="119">
        <f t="shared" si="41"/>
        <v>2800</v>
      </c>
    </row>
    <row r="3061" spans="1:6" x14ac:dyDescent="0.35">
      <c r="A3061" s="111"/>
      <c r="B3061" s="120" t="s">
        <v>947</v>
      </c>
      <c r="C3061" s="118" t="s">
        <v>948</v>
      </c>
      <c r="D3061" s="118">
        <v>0.25</v>
      </c>
      <c r="E3061" s="119">
        <f>45000/4</f>
        <v>11250</v>
      </c>
      <c r="F3061" s="119">
        <f t="shared" si="41"/>
        <v>2812.5</v>
      </c>
    </row>
    <row r="3062" spans="1:6" x14ac:dyDescent="0.35">
      <c r="A3062" s="111"/>
      <c r="B3062" s="120" t="s">
        <v>949</v>
      </c>
      <c r="C3062" s="118" t="s">
        <v>948</v>
      </c>
      <c r="D3062" s="118">
        <v>0.25</v>
      </c>
      <c r="E3062" s="119">
        <f>45000/4</f>
        <v>11250</v>
      </c>
      <c r="F3062" s="119">
        <f t="shared" si="41"/>
        <v>2812.5</v>
      </c>
    </row>
    <row r="3063" spans="1:6" x14ac:dyDescent="0.35">
      <c r="A3063" s="111"/>
      <c r="B3063" s="120" t="s">
        <v>1158</v>
      </c>
      <c r="C3063" s="118" t="s">
        <v>950</v>
      </c>
      <c r="D3063" s="118">
        <v>1</v>
      </c>
      <c r="E3063" s="119">
        <v>40000</v>
      </c>
      <c r="F3063" s="119">
        <f t="shared" si="41"/>
        <v>40000</v>
      </c>
    </row>
    <row r="3064" spans="1:6" x14ac:dyDescent="0.35">
      <c r="A3064" s="111"/>
      <c r="B3064" s="120" t="s">
        <v>951</v>
      </c>
      <c r="C3064" s="118" t="s">
        <v>59</v>
      </c>
      <c r="D3064" s="118">
        <v>12</v>
      </c>
      <c r="E3064" s="119">
        <v>40000</v>
      </c>
      <c r="F3064" s="119">
        <f t="shared" si="41"/>
        <v>480000</v>
      </c>
    </row>
    <row r="3065" spans="1:6" x14ac:dyDescent="0.35">
      <c r="A3065" s="111"/>
      <c r="B3065" s="120" t="s">
        <v>952</v>
      </c>
      <c r="C3065" s="118"/>
      <c r="D3065" s="118"/>
      <c r="E3065" s="119"/>
      <c r="F3065" s="119">
        <f>+(F3056+F3057+F3058+F3059+F3060+F3061+F3062+F3063+F3064)*0.1</f>
        <v>61189.766666666677</v>
      </c>
    </row>
    <row r="3066" spans="1:6" x14ac:dyDescent="0.35">
      <c r="A3066" s="107"/>
      <c r="B3066" s="108" t="s">
        <v>769</v>
      </c>
      <c r="C3066" s="109"/>
      <c r="D3066" s="124"/>
      <c r="E3066" s="117"/>
      <c r="F3066" s="110">
        <f>SUM(F3056:F3065)</f>
        <v>673087.43333333347</v>
      </c>
    </row>
    <row r="3067" spans="1:6" x14ac:dyDescent="0.3">
      <c r="A3067" s="111"/>
      <c r="B3067" s="136" t="s">
        <v>808</v>
      </c>
      <c r="C3067" s="115"/>
      <c r="D3067" s="124"/>
      <c r="E3067" s="117"/>
      <c r="F3067" s="110"/>
    </row>
    <row r="3068" spans="1:6" x14ac:dyDescent="0.25">
      <c r="A3068" s="111"/>
      <c r="B3068" s="134" t="s">
        <v>820</v>
      </c>
      <c r="C3068" s="115" t="s">
        <v>772</v>
      </c>
      <c r="D3068" s="124">
        <v>0.25</v>
      </c>
      <c r="E3068" s="117">
        <v>7500</v>
      </c>
      <c r="F3068" s="117">
        <f t="shared" ref="F3068:F3074" si="42">+D3068*E3068</f>
        <v>1875</v>
      </c>
    </row>
    <row r="3069" spans="1:6" x14ac:dyDescent="0.25">
      <c r="A3069" s="111"/>
      <c r="B3069" s="134" t="s">
        <v>821</v>
      </c>
      <c r="C3069" s="115" t="s">
        <v>772</v>
      </c>
      <c r="D3069" s="124">
        <v>0.25</v>
      </c>
      <c r="E3069" s="117">
        <v>7500</v>
      </c>
      <c r="F3069" s="117">
        <f t="shared" si="42"/>
        <v>1875</v>
      </c>
    </row>
    <row r="3070" spans="1:6" x14ac:dyDescent="0.25">
      <c r="A3070" s="111"/>
      <c r="B3070" s="134" t="s">
        <v>895</v>
      </c>
      <c r="C3070" s="115" t="s">
        <v>772</v>
      </c>
      <c r="D3070" s="124">
        <v>0.5</v>
      </c>
      <c r="E3070" s="117">
        <v>15000</v>
      </c>
      <c r="F3070" s="117">
        <f t="shared" si="42"/>
        <v>7500</v>
      </c>
    </row>
    <row r="3071" spans="1:6" x14ac:dyDescent="0.25">
      <c r="A3071" s="111"/>
      <c r="B3071" s="134" t="s">
        <v>896</v>
      </c>
      <c r="C3071" s="115" t="s">
        <v>772</v>
      </c>
      <c r="D3071" s="124">
        <v>0.5</v>
      </c>
      <c r="E3071" s="117">
        <v>15000</v>
      </c>
      <c r="F3071" s="117">
        <f t="shared" si="42"/>
        <v>7500</v>
      </c>
    </row>
    <row r="3072" spans="1:6" x14ac:dyDescent="0.25">
      <c r="A3072" s="111"/>
      <c r="B3072" s="134" t="s">
        <v>773</v>
      </c>
      <c r="C3072" s="115" t="s">
        <v>772</v>
      </c>
      <c r="D3072" s="124">
        <v>0.5</v>
      </c>
      <c r="E3072" s="117">
        <v>15000</v>
      </c>
      <c r="F3072" s="117">
        <f t="shared" si="42"/>
        <v>7500</v>
      </c>
    </row>
    <row r="3073" spans="1:6" x14ac:dyDescent="0.25">
      <c r="A3073" s="111"/>
      <c r="B3073" s="134" t="s">
        <v>851</v>
      </c>
      <c r="C3073" s="115" t="s">
        <v>772</v>
      </c>
      <c r="D3073" s="124">
        <v>0.5</v>
      </c>
      <c r="E3073" s="117">
        <v>15000</v>
      </c>
      <c r="F3073" s="117">
        <f t="shared" si="42"/>
        <v>7500</v>
      </c>
    </row>
    <row r="3074" spans="1:6" x14ac:dyDescent="0.25">
      <c r="A3074" s="111"/>
      <c r="B3074" s="134" t="s">
        <v>953</v>
      </c>
      <c r="C3074" s="115" t="s">
        <v>772</v>
      </c>
      <c r="D3074" s="124">
        <v>0.15</v>
      </c>
      <c r="E3074" s="117">
        <v>15000</v>
      </c>
      <c r="F3074" s="117">
        <f t="shared" si="42"/>
        <v>2250</v>
      </c>
    </row>
    <row r="3075" spans="1:6" x14ac:dyDescent="0.3">
      <c r="A3075" s="111"/>
      <c r="B3075" s="136" t="s">
        <v>774</v>
      </c>
      <c r="C3075" s="115"/>
      <c r="D3075" s="124"/>
      <c r="E3075" s="117"/>
      <c r="F3075" s="110">
        <f>SUM(F3068:F3074)</f>
        <v>36000</v>
      </c>
    </row>
    <row r="3076" spans="1:6" x14ac:dyDescent="0.3">
      <c r="A3076" s="111"/>
      <c r="B3076" s="136" t="s">
        <v>775</v>
      </c>
      <c r="C3076" s="115"/>
      <c r="D3076" s="109"/>
      <c r="E3076" s="110"/>
      <c r="F3076" s="110">
        <f>+F3075+F3066</f>
        <v>709087.43333333347</v>
      </c>
    </row>
    <row r="3077" spans="1:6" x14ac:dyDescent="0.25">
      <c r="A3077" s="111"/>
      <c r="B3077" s="134" t="s">
        <v>824</v>
      </c>
      <c r="C3077" s="115"/>
      <c r="D3077" s="124">
        <v>1.1000000000000001</v>
      </c>
      <c r="E3077" s="110"/>
      <c r="F3077" s="110">
        <f>+F3076*D3077</f>
        <v>779996.17666666687</v>
      </c>
    </row>
    <row r="3078" spans="1:6" x14ac:dyDescent="0.25">
      <c r="A3078" s="111"/>
      <c r="B3078" s="134" t="s">
        <v>825</v>
      </c>
      <c r="C3078" s="115"/>
      <c r="D3078" s="124">
        <v>1.1000000000000001</v>
      </c>
      <c r="E3078" s="110"/>
      <c r="F3078" s="110"/>
    </row>
    <row r="3079" spans="1:6" x14ac:dyDescent="0.35">
      <c r="A3079" s="261" t="s">
        <v>240</v>
      </c>
      <c r="B3079" s="242" t="s">
        <v>785</v>
      </c>
      <c r="C3079" s="208" t="s">
        <v>59</v>
      </c>
      <c r="D3079" s="208"/>
      <c r="E3079" s="209"/>
      <c r="F3079" s="209">
        <f>+D3078*F3077</f>
        <v>857995.79433333362</v>
      </c>
    </row>
    <row r="3080" spans="1:6" x14ac:dyDescent="0.35">
      <c r="A3080" s="206"/>
      <c r="B3080" s="207"/>
      <c r="C3080" s="208"/>
      <c r="D3080" s="208"/>
      <c r="E3080" s="210">
        <f>+E3049</f>
        <v>3035.45</v>
      </c>
      <c r="F3080" s="210">
        <f>+F3079/E3080</f>
        <v>282.65851663948791</v>
      </c>
    </row>
    <row r="3081" spans="1:6" x14ac:dyDescent="0.35">
      <c r="A3081" s="126"/>
      <c r="B3081" s="127"/>
      <c r="C3081" s="128"/>
      <c r="D3081" s="128"/>
      <c r="E3081" s="176"/>
      <c r="F3081" s="176"/>
    </row>
    <row r="3082" spans="1:6" x14ac:dyDescent="0.35">
      <c r="A3082" s="130"/>
      <c r="B3082" s="131"/>
      <c r="C3082" s="132"/>
      <c r="D3082" s="132"/>
      <c r="E3082" s="179"/>
      <c r="F3082" s="179"/>
    </row>
    <row r="3083" spans="1:6" x14ac:dyDescent="0.3">
      <c r="A3083" s="257" t="s">
        <v>227</v>
      </c>
      <c r="B3083" s="258" t="s">
        <v>228</v>
      </c>
      <c r="C3083" s="200" t="s">
        <v>2</v>
      </c>
      <c r="D3083" s="202" t="s">
        <v>765</v>
      </c>
      <c r="E3083" s="203" t="s">
        <v>766</v>
      </c>
      <c r="F3083" s="203" t="s">
        <v>767</v>
      </c>
    </row>
    <row r="3084" spans="1:6" x14ac:dyDescent="0.3">
      <c r="A3084" s="237" t="s">
        <v>229</v>
      </c>
      <c r="B3084" s="266" t="s">
        <v>230</v>
      </c>
      <c r="C3084" s="256"/>
      <c r="D3084" s="141"/>
      <c r="E3084" s="110"/>
      <c r="F3084" s="110"/>
    </row>
    <row r="3085" spans="1:6" x14ac:dyDescent="0.3">
      <c r="A3085" s="239" t="s">
        <v>241</v>
      </c>
      <c r="B3085" s="254" t="s">
        <v>683</v>
      </c>
      <c r="C3085" s="256" t="s">
        <v>59</v>
      </c>
      <c r="D3085" s="141"/>
      <c r="E3085" s="110"/>
      <c r="F3085" s="110"/>
    </row>
    <row r="3086" spans="1:6" x14ac:dyDescent="0.35">
      <c r="A3086" s="111"/>
      <c r="B3086" s="112" t="s">
        <v>802</v>
      </c>
      <c r="C3086" s="118"/>
      <c r="D3086" s="118"/>
      <c r="E3086" s="119"/>
      <c r="F3086" s="119"/>
    </row>
    <row r="3087" spans="1:6" x14ac:dyDescent="0.35">
      <c r="A3087" s="111"/>
      <c r="B3087" s="120" t="s">
        <v>942</v>
      </c>
      <c r="C3087" s="118" t="s">
        <v>27</v>
      </c>
      <c r="D3087" s="118">
        <f>(0.6+1)*2</f>
        <v>3.2</v>
      </c>
      <c r="E3087" s="119">
        <f>48000/6</f>
        <v>8000</v>
      </c>
      <c r="F3087" s="119">
        <f>+D3087*E3087</f>
        <v>25600</v>
      </c>
    </row>
    <row r="3088" spans="1:6" x14ac:dyDescent="0.35">
      <c r="A3088" s="111"/>
      <c r="B3088" s="120" t="s">
        <v>943</v>
      </c>
      <c r="C3088" s="118" t="s">
        <v>27</v>
      </c>
      <c r="D3088" s="118">
        <v>3</v>
      </c>
      <c r="E3088" s="119">
        <f>65000/12</f>
        <v>5416.666666666667</v>
      </c>
      <c r="F3088" s="119">
        <f t="shared" ref="F3088:F3095" si="43">+D3088*E3088</f>
        <v>16250</v>
      </c>
    </row>
    <row r="3089" spans="1:6" x14ac:dyDescent="0.35">
      <c r="A3089" s="111"/>
      <c r="B3089" s="120" t="s">
        <v>944</v>
      </c>
      <c r="C3089" s="118" t="s">
        <v>35</v>
      </c>
      <c r="D3089" s="118">
        <f>0.58*0.99</f>
        <v>0.57419999999999993</v>
      </c>
      <c r="E3089" s="119">
        <f>120000/12</f>
        <v>10000</v>
      </c>
      <c r="F3089" s="119">
        <f t="shared" si="43"/>
        <v>5741.9999999999991</v>
      </c>
    </row>
    <row r="3090" spans="1:6" x14ac:dyDescent="0.35">
      <c r="A3090" s="111"/>
      <c r="B3090" s="120" t="s">
        <v>945</v>
      </c>
      <c r="C3090" s="118" t="s">
        <v>27</v>
      </c>
      <c r="D3090" s="118">
        <f>(0.6+1)*2+0.6</f>
        <v>3.8000000000000003</v>
      </c>
      <c r="E3090" s="119">
        <f>25000/6</f>
        <v>4166.666666666667</v>
      </c>
      <c r="F3090" s="119">
        <f t="shared" si="43"/>
        <v>15833.333333333336</v>
      </c>
    </row>
    <row r="3091" spans="1:6" x14ac:dyDescent="0.35">
      <c r="A3091" s="111"/>
      <c r="B3091" s="120" t="s">
        <v>946</v>
      </c>
      <c r="C3091" s="118" t="s">
        <v>27</v>
      </c>
      <c r="D3091" s="118">
        <v>0.6</v>
      </c>
      <c r="E3091" s="119">
        <v>4666.666666666667</v>
      </c>
      <c r="F3091" s="119">
        <f t="shared" si="43"/>
        <v>2800</v>
      </c>
    </row>
    <row r="3092" spans="1:6" x14ac:dyDescent="0.35">
      <c r="A3092" s="111"/>
      <c r="B3092" s="120" t="s">
        <v>947</v>
      </c>
      <c r="C3092" s="118" t="s">
        <v>948</v>
      </c>
      <c r="D3092" s="118">
        <v>0.25</v>
      </c>
      <c r="E3092" s="119">
        <f>45000/4</f>
        <v>11250</v>
      </c>
      <c r="F3092" s="119">
        <f t="shared" si="43"/>
        <v>2812.5</v>
      </c>
    </row>
    <row r="3093" spans="1:6" x14ac:dyDescent="0.35">
      <c r="A3093" s="111"/>
      <c r="B3093" s="120" t="s">
        <v>949</v>
      </c>
      <c r="C3093" s="118" t="s">
        <v>948</v>
      </c>
      <c r="D3093" s="118">
        <v>0.25</v>
      </c>
      <c r="E3093" s="119">
        <f>45000/4</f>
        <v>11250</v>
      </c>
      <c r="F3093" s="119">
        <f t="shared" si="43"/>
        <v>2812.5</v>
      </c>
    </row>
    <row r="3094" spans="1:6" x14ac:dyDescent="0.35">
      <c r="A3094" s="111"/>
      <c r="B3094" s="120" t="s">
        <v>1158</v>
      </c>
      <c r="C3094" s="118" t="s">
        <v>950</v>
      </c>
      <c r="D3094" s="118">
        <v>1</v>
      </c>
      <c r="E3094" s="119">
        <v>40000</v>
      </c>
      <c r="F3094" s="119">
        <f t="shared" si="43"/>
        <v>40000</v>
      </c>
    </row>
    <row r="3095" spans="1:6" x14ac:dyDescent="0.35">
      <c r="A3095" s="111"/>
      <c r="B3095" s="120" t="s">
        <v>951</v>
      </c>
      <c r="C3095" s="118" t="s">
        <v>59</v>
      </c>
      <c r="D3095" s="118">
        <v>12</v>
      </c>
      <c r="E3095" s="119">
        <v>40000</v>
      </c>
      <c r="F3095" s="119">
        <f t="shared" si="43"/>
        <v>480000</v>
      </c>
    </row>
    <row r="3096" spans="1:6" x14ac:dyDescent="0.35">
      <c r="A3096" s="111"/>
      <c r="B3096" s="120" t="s">
        <v>952</v>
      </c>
      <c r="C3096" s="118"/>
      <c r="D3096" s="118"/>
      <c r="E3096" s="119"/>
      <c r="F3096" s="119">
        <f>+(F3087+F3088+F3089+F3090+F3091+F3092+F3093+F3094+F3095)*0.1</f>
        <v>59185.03333333334</v>
      </c>
    </row>
    <row r="3097" spans="1:6" x14ac:dyDescent="0.35">
      <c r="A3097" s="107"/>
      <c r="B3097" s="108" t="s">
        <v>769</v>
      </c>
      <c r="C3097" s="109"/>
      <c r="D3097" s="124"/>
      <c r="E3097" s="117"/>
      <c r="F3097" s="110">
        <f>SUM(F3087:F3096)</f>
        <v>651035.3666666667</v>
      </c>
    </row>
    <row r="3098" spans="1:6" x14ac:dyDescent="0.3">
      <c r="A3098" s="111"/>
      <c r="B3098" s="136" t="s">
        <v>808</v>
      </c>
      <c r="C3098" s="115"/>
      <c r="D3098" s="124"/>
      <c r="E3098" s="117"/>
      <c r="F3098" s="110"/>
    </row>
    <row r="3099" spans="1:6" x14ac:dyDescent="0.25">
      <c r="A3099" s="111"/>
      <c r="B3099" s="134" t="s">
        <v>820</v>
      </c>
      <c r="C3099" s="115" t="s">
        <v>772</v>
      </c>
      <c r="D3099" s="124">
        <v>0.25</v>
      </c>
      <c r="E3099" s="117">
        <v>7500</v>
      </c>
      <c r="F3099" s="117">
        <f t="shared" ref="F3099:F3105" si="44">+D3099*E3099</f>
        <v>1875</v>
      </c>
    </row>
    <row r="3100" spans="1:6" x14ac:dyDescent="0.25">
      <c r="A3100" s="111"/>
      <c r="B3100" s="134" t="s">
        <v>821</v>
      </c>
      <c r="C3100" s="115" t="s">
        <v>772</v>
      </c>
      <c r="D3100" s="124">
        <v>0.25</v>
      </c>
      <c r="E3100" s="117">
        <v>7500</v>
      </c>
      <c r="F3100" s="117">
        <f t="shared" si="44"/>
        <v>1875</v>
      </c>
    </row>
    <row r="3101" spans="1:6" x14ac:dyDescent="0.25">
      <c r="A3101" s="111"/>
      <c r="B3101" s="134" t="s">
        <v>895</v>
      </c>
      <c r="C3101" s="115" t="s">
        <v>772</v>
      </c>
      <c r="D3101" s="124">
        <v>0.5</v>
      </c>
      <c r="E3101" s="117">
        <v>15000</v>
      </c>
      <c r="F3101" s="117">
        <f t="shared" si="44"/>
        <v>7500</v>
      </c>
    </row>
    <row r="3102" spans="1:6" x14ac:dyDescent="0.25">
      <c r="A3102" s="111"/>
      <c r="B3102" s="134" t="s">
        <v>896</v>
      </c>
      <c r="C3102" s="115" t="s">
        <v>772</v>
      </c>
      <c r="D3102" s="124">
        <v>0.5</v>
      </c>
      <c r="E3102" s="117">
        <v>15000</v>
      </c>
      <c r="F3102" s="117">
        <f t="shared" si="44"/>
        <v>7500</v>
      </c>
    </row>
    <row r="3103" spans="1:6" x14ac:dyDescent="0.25">
      <c r="A3103" s="111"/>
      <c r="B3103" s="134" t="s">
        <v>773</v>
      </c>
      <c r="C3103" s="115" t="s">
        <v>772</v>
      </c>
      <c r="D3103" s="124">
        <v>0.5</v>
      </c>
      <c r="E3103" s="117">
        <v>15000</v>
      </c>
      <c r="F3103" s="117">
        <f t="shared" si="44"/>
        <v>7500</v>
      </c>
    </row>
    <row r="3104" spans="1:6" x14ac:dyDescent="0.25">
      <c r="A3104" s="111"/>
      <c r="B3104" s="134" t="s">
        <v>851</v>
      </c>
      <c r="C3104" s="115" t="s">
        <v>772</v>
      </c>
      <c r="D3104" s="124">
        <v>0.5</v>
      </c>
      <c r="E3104" s="117">
        <v>15000</v>
      </c>
      <c r="F3104" s="117">
        <f t="shared" si="44"/>
        <v>7500</v>
      </c>
    </row>
    <row r="3105" spans="1:6" x14ac:dyDescent="0.25">
      <c r="A3105" s="111"/>
      <c r="B3105" s="134" t="s">
        <v>953</v>
      </c>
      <c r="C3105" s="115" t="s">
        <v>772</v>
      </c>
      <c r="D3105" s="124">
        <v>0.15</v>
      </c>
      <c r="E3105" s="117">
        <v>15000</v>
      </c>
      <c r="F3105" s="117">
        <f t="shared" si="44"/>
        <v>2250</v>
      </c>
    </row>
    <row r="3106" spans="1:6" x14ac:dyDescent="0.3">
      <c r="A3106" s="111"/>
      <c r="B3106" s="136" t="s">
        <v>774</v>
      </c>
      <c r="C3106" s="115"/>
      <c r="D3106" s="124"/>
      <c r="E3106" s="117"/>
      <c r="F3106" s="110">
        <f>SUM(F3099:F3105)</f>
        <v>36000</v>
      </c>
    </row>
    <row r="3107" spans="1:6" x14ac:dyDescent="0.3">
      <c r="A3107" s="111"/>
      <c r="B3107" s="136" t="s">
        <v>775</v>
      </c>
      <c r="C3107" s="115"/>
      <c r="D3107" s="109"/>
      <c r="E3107" s="110"/>
      <c r="F3107" s="110">
        <f>+F3106+F3097</f>
        <v>687035.3666666667</v>
      </c>
    </row>
    <row r="3108" spans="1:6" x14ac:dyDescent="0.25">
      <c r="A3108" s="111"/>
      <c r="B3108" s="134" t="s">
        <v>824</v>
      </c>
      <c r="C3108" s="115"/>
      <c r="D3108" s="124">
        <v>1.1000000000000001</v>
      </c>
      <c r="E3108" s="110"/>
      <c r="F3108" s="110">
        <f>+F3107*D3108</f>
        <v>755738.90333333344</v>
      </c>
    </row>
    <row r="3109" spans="1:6" x14ac:dyDescent="0.25">
      <c r="A3109" s="111"/>
      <c r="B3109" s="134" t="s">
        <v>825</v>
      </c>
      <c r="C3109" s="115"/>
      <c r="D3109" s="124">
        <v>1.1000000000000001</v>
      </c>
      <c r="E3109" s="110"/>
      <c r="F3109" s="110"/>
    </row>
    <row r="3110" spans="1:6" x14ac:dyDescent="0.35">
      <c r="A3110" s="261" t="s">
        <v>241</v>
      </c>
      <c r="B3110" s="242" t="s">
        <v>785</v>
      </c>
      <c r="C3110" s="208" t="s">
        <v>59</v>
      </c>
      <c r="D3110" s="208"/>
      <c r="E3110" s="209"/>
      <c r="F3110" s="209">
        <f>+D3109*F3108</f>
        <v>831312.79366666684</v>
      </c>
    </row>
    <row r="3111" spans="1:6" x14ac:dyDescent="0.35">
      <c r="A3111" s="206"/>
      <c r="B3111" s="207"/>
      <c r="C3111" s="208"/>
      <c r="D3111" s="208"/>
      <c r="E3111" s="210">
        <f>+E3080</f>
        <v>3035.45</v>
      </c>
      <c r="F3111" s="210">
        <f>+F3110/E3111</f>
        <v>273.86805701515982</v>
      </c>
    </row>
    <row r="3112" spans="1:6" x14ac:dyDescent="0.35">
      <c r="A3112" s="126"/>
      <c r="B3112" s="127"/>
      <c r="C3112" s="128"/>
      <c r="D3112" s="128"/>
      <c r="E3112" s="176"/>
      <c r="F3112" s="176"/>
    </row>
    <row r="3113" spans="1:6" x14ac:dyDescent="0.35">
      <c r="A3113" s="130"/>
      <c r="B3113" s="131"/>
      <c r="C3113" s="132"/>
      <c r="D3113" s="132"/>
      <c r="E3113" s="179"/>
      <c r="F3113" s="179"/>
    </row>
    <row r="3114" spans="1:6" x14ac:dyDescent="0.3">
      <c r="A3114" s="257" t="s">
        <v>227</v>
      </c>
      <c r="B3114" s="258" t="s">
        <v>228</v>
      </c>
      <c r="C3114" s="200" t="s">
        <v>2</v>
      </c>
      <c r="D3114" s="202" t="s">
        <v>765</v>
      </c>
      <c r="E3114" s="203" t="s">
        <v>766</v>
      </c>
      <c r="F3114" s="203" t="s">
        <v>767</v>
      </c>
    </row>
    <row r="3115" spans="1:6" x14ac:dyDescent="0.3">
      <c r="A3115" s="237" t="s">
        <v>229</v>
      </c>
      <c r="B3115" s="266" t="s">
        <v>230</v>
      </c>
      <c r="C3115" s="256"/>
      <c r="D3115" s="141"/>
      <c r="E3115" s="110"/>
      <c r="F3115" s="110"/>
    </row>
    <row r="3116" spans="1:6" x14ac:dyDescent="0.3">
      <c r="A3116" s="239" t="s">
        <v>242</v>
      </c>
      <c r="B3116" s="254" t="s">
        <v>1164</v>
      </c>
      <c r="C3116" s="256" t="s">
        <v>59</v>
      </c>
      <c r="D3116" s="141"/>
      <c r="E3116" s="110"/>
      <c r="F3116" s="110"/>
    </row>
    <row r="3117" spans="1:6" x14ac:dyDescent="0.35">
      <c r="A3117" s="111"/>
      <c r="B3117" s="112" t="s">
        <v>802</v>
      </c>
      <c r="C3117" s="118"/>
      <c r="D3117" s="118"/>
      <c r="E3117" s="119"/>
      <c r="F3117" s="119"/>
    </row>
    <row r="3118" spans="1:6" x14ac:dyDescent="0.35">
      <c r="A3118" s="111"/>
      <c r="B3118" s="120" t="s">
        <v>942</v>
      </c>
      <c r="C3118" s="118" t="s">
        <v>27</v>
      </c>
      <c r="D3118" s="118">
        <f>(0.6+2)*2</f>
        <v>5.2</v>
      </c>
      <c r="E3118" s="119">
        <f>48000/6</f>
        <v>8000</v>
      </c>
      <c r="F3118" s="119">
        <f>+D3118*E3118</f>
        <v>41600</v>
      </c>
    </row>
    <row r="3119" spans="1:6" x14ac:dyDescent="0.35">
      <c r="A3119" s="111"/>
      <c r="B3119" s="120" t="s">
        <v>943</v>
      </c>
      <c r="C3119" s="118" t="s">
        <v>27</v>
      </c>
      <c r="D3119" s="118">
        <f>((0.6/0.12)-1)*1.95</f>
        <v>7.8</v>
      </c>
      <c r="E3119" s="119">
        <f>65000/12</f>
        <v>5416.666666666667</v>
      </c>
      <c r="F3119" s="119">
        <f t="shared" ref="F3119:F3126" si="45">+D3119*E3119</f>
        <v>42250</v>
      </c>
    </row>
    <row r="3120" spans="1:6" x14ac:dyDescent="0.35">
      <c r="A3120" s="111"/>
      <c r="B3120" s="120" t="s">
        <v>944</v>
      </c>
      <c r="C3120" s="118" t="s">
        <v>35</v>
      </c>
      <c r="D3120" s="118">
        <f>1.94*1.65</f>
        <v>3.2009999999999996</v>
      </c>
      <c r="E3120" s="119">
        <f>120000/12</f>
        <v>10000</v>
      </c>
      <c r="F3120" s="119">
        <f t="shared" si="45"/>
        <v>32009.999999999996</v>
      </c>
    </row>
    <row r="3121" spans="1:6" x14ac:dyDescent="0.35">
      <c r="A3121" s="111"/>
      <c r="B3121" s="120" t="s">
        <v>945</v>
      </c>
      <c r="C3121" s="118" t="s">
        <v>27</v>
      </c>
      <c r="D3121" s="118">
        <f>(0.6+2)*2+0.6</f>
        <v>5.8</v>
      </c>
      <c r="E3121" s="119">
        <f>25000/6</f>
        <v>4166.666666666667</v>
      </c>
      <c r="F3121" s="119">
        <f t="shared" si="45"/>
        <v>24166.666666666668</v>
      </c>
    </row>
    <row r="3122" spans="1:6" x14ac:dyDescent="0.35">
      <c r="A3122" s="111"/>
      <c r="B3122" s="120" t="s">
        <v>946</v>
      </c>
      <c r="C3122" s="118" t="s">
        <v>27</v>
      </c>
      <c r="D3122" s="118">
        <v>0.6</v>
      </c>
      <c r="E3122" s="119">
        <v>4666.666666666667</v>
      </c>
      <c r="F3122" s="119">
        <f t="shared" si="45"/>
        <v>2800</v>
      </c>
    </row>
    <row r="3123" spans="1:6" x14ac:dyDescent="0.35">
      <c r="A3123" s="111"/>
      <c r="B3123" s="120" t="s">
        <v>947</v>
      </c>
      <c r="C3123" s="118" t="s">
        <v>948</v>
      </c>
      <c r="D3123" s="118">
        <v>0.25</v>
      </c>
      <c r="E3123" s="119">
        <f>45000/4</f>
        <v>11250</v>
      </c>
      <c r="F3123" s="119">
        <f t="shared" si="45"/>
        <v>2812.5</v>
      </c>
    </row>
    <row r="3124" spans="1:6" x14ac:dyDescent="0.35">
      <c r="A3124" s="111"/>
      <c r="B3124" s="120" t="s">
        <v>949</v>
      </c>
      <c r="C3124" s="118" t="s">
        <v>948</v>
      </c>
      <c r="D3124" s="118">
        <v>0.25</v>
      </c>
      <c r="E3124" s="119">
        <f>45000/4</f>
        <v>11250</v>
      </c>
      <c r="F3124" s="119">
        <f t="shared" si="45"/>
        <v>2812.5</v>
      </c>
    </row>
    <row r="3125" spans="1:6" x14ac:dyDescent="0.35">
      <c r="A3125" s="111"/>
      <c r="B3125" s="120" t="s">
        <v>1163</v>
      </c>
      <c r="C3125" s="118" t="s">
        <v>950</v>
      </c>
      <c r="D3125" s="118">
        <v>1</v>
      </c>
      <c r="E3125" s="119">
        <v>40000</v>
      </c>
      <c r="F3125" s="119">
        <f t="shared" si="45"/>
        <v>40000</v>
      </c>
    </row>
    <row r="3126" spans="1:6" x14ac:dyDescent="0.35">
      <c r="A3126" s="111"/>
      <c r="B3126" s="120" t="s">
        <v>951</v>
      </c>
      <c r="C3126" s="118" t="s">
        <v>59</v>
      </c>
      <c r="D3126" s="118">
        <v>22</v>
      </c>
      <c r="E3126" s="119">
        <v>40000</v>
      </c>
      <c r="F3126" s="119">
        <f t="shared" si="45"/>
        <v>880000</v>
      </c>
    </row>
    <row r="3127" spans="1:6" x14ac:dyDescent="0.35">
      <c r="A3127" s="111"/>
      <c r="B3127" s="120" t="s">
        <v>952</v>
      </c>
      <c r="C3127" s="118"/>
      <c r="D3127" s="118"/>
      <c r="E3127" s="119"/>
      <c r="F3127" s="119">
        <f>+(F3118+F3119+F3120+F3121+F3122+F3123+F3124+F3125+F3126)*0.1</f>
        <v>106845.16666666669</v>
      </c>
    </row>
    <row r="3128" spans="1:6" x14ac:dyDescent="0.35">
      <c r="A3128" s="107"/>
      <c r="B3128" s="108" t="s">
        <v>769</v>
      </c>
      <c r="C3128" s="109"/>
      <c r="D3128" s="124"/>
      <c r="E3128" s="117"/>
      <c r="F3128" s="110">
        <f>SUM(F3118:F3127)</f>
        <v>1175296.8333333335</v>
      </c>
    </row>
    <row r="3129" spans="1:6" x14ac:dyDescent="0.3">
      <c r="A3129" s="111"/>
      <c r="B3129" s="136" t="s">
        <v>808</v>
      </c>
      <c r="C3129" s="115"/>
      <c r="D3129" s="124"/>
      <c r="E3129" s="117"/>
      <c r="F3129" s="110"/>
    </row>
    <row r="3130" spans="1:6" x14ac:dyDescent="0.25">
      <c r="A3130" s="111"/>
      <c r="B3130" s="134" t="s">
        <v>820</v>
      </c>
      <c r="C3130" s="115" t="s">
        <v>772</v>
      </c>
      <c r="D3130" s="124">
        <v>0.25</v>
      </c>
      <c r="E3130" s="117">
        <v>7500</v>
      </c>
      <c r="F3130" s="117">
        <f t="shared" ref="F3130:F3136" si="46">+D3130*E3130</f>
        <v>1875</v>
      </c>
    </row>
    <row r="3131" spans="1:6" x14ac:dyDescent="0.25">
      <c r="A3131" s="111"/>
      <c r="B3131" s="134" t="s">
        <v>821</v>
      </c>
      <c r="C3131" s="115" t="s">
        <v>772</v>
      </c>
      <c r="D3131" s="124">
        <v>0.25</v>
      </c>
      <c r="E3131" s="117">
        <v>7500</v>
      </c>
      <c r="F3131" s="117">
        <f t="shared" si="46"/>
        <v>1875</v>
      </c>
    </row>
    <row r="3132" spans="1:6" x14ac:dyDescent="0.25">
      <c r="A3132" s="111"/>
      <c r="B3132" s="134" t="s">
        <v>895</v>
      </c>
      <c r="C3132" s="115" t="s">
        <v>772</v>
      </c>
      <c r="D3132" s="124">
        <v>0.5</v>
      </c>
      <c r="E3132" s="117">
        <v>15000</v>
      </c>
      <c r="F3132" s="117">
        <f t="shared" si="46"/>
        <v>7500</v>
      </c>
    </row>
    <row r="3133" spans="1:6" x14ac:dyDescent="0.25">
      <c r="A3133" s="111"/>
      <c r="B3133" s="134" t="s">
        <v>896</v>
      </c>
      <c r="C3133" s="115" t="s">
        <v>772</v>
      </c>
      <c r="D3133" s="124">
        <v>0.5</v>
      </c>
      <c r="E3133" s="117">
        <v>15000</v>
      </c>
      <c r="F3133" s="117">
        <f t="shared" si="46"/>
        <v>7500</v>
      </c>
    </row>
    <row r="3134" spans="1:6" x14ac:dyDescent="0.25">
      <c r="A3134" s="111"/>
      <c r="B3134" s="134" t="s">
        <v>773</v>
      </c>
      <c r="C3134" s="115" t="s">
        <v>772</v>
      </c>
      <c r="D3134" s="124">
        <v>0.5</v>
      </c>
      <c r="E3134" s="117">
        <v>15000</v>
      </c>
      <c r="F3134" s="117">
        <f t="shared" si="46"/>
        <v>7500</v>
      </c>
    </row>
    <row r="3135" spans="1:6" x14ac:dyDescent="0.25">
      <c r="A3135" s="111"/>
      <c r="B3135" s="134" t="s">
        <v>851</v>
      </c>
      <c r="C3135" s="115" t="s">
        <v>772</v>
      </c>
      <c r="D3135" s="124">
        <v>0.5</v>
      </c>
      <c r="E3135" s="117">
        <v>15000</v>
      </c>
      <c r="F3135" s="117">
        <f t="shared" si="46"/>
        <v>7500</v>
      </c>
    </row>
    <row r="3136" spans="1:6" x14ac:dyDescent="0.25">
      <c r="A3136" s="111"/>
      <c r="B3136" s="134" t="s">
        <v>953</v>
      </c>
      <c r="C3136" s="115" t="s">
        <v>772</v>
      </c>
      <c r="D3136" s="124">
        <v>0.15</v>
      </c>
      <c r="E3136" s="117">
        <v>15000</v>
      </c>
      <c r="F3136" s="117">
        <f t="shared" si="46"/>
        <v>2250</v>
      </c>
    </row>
    <row r="3137" spans="1:6" x14ac:dyDescent="0.3">
      <c r="A3137" s="111"/>
      <c r="B3137" s="136" t="s">
        <v>774</v>
      </c>
      <c r="C3137" s="115"/>
      <c r="D3137" s="124"/>
      <c r="E3137" s="117"/>
      <c r="F3137" s="110">
        <f>SUM(F3130:F3136)</f>
        <v>36000</v>
      </c>
    </row>
    <row r="3138" spans="1:6" x14ac:dyDescent="0.3">
      <c r="A3138" s="111"/>
      <c r="B3138" s="136" t="s">
        <v>775</v>
      </c>
      <c r="C3138" s="115"/>
      <c r="D3138" s="109"/>
      <c r="E3138" s="110"/>
      <c r="F3138" s="110">
        <f>+F3137+F3128</f>
        <v>1211296.8333333335</v>
      </c>
    </row>
    <row r="3139" spans="1:6" x14ac:dyDescent="0.25">
      <c r="A3139" s="111"/>
      <c r="B3139" s="134" t="s">
        <v>824</v>
      </c>
      <c r="C3139" s="115"/>
      <c r="D3139" s="124">
        <v>1.1000000000000001</v>
      </c>
      <c r="E3139" s="110"/>
      <c r="F3139" s="110">
        <f>+F3138*D3139</f>
        <v>1332426.5166666668</v>
      </c>
    </row>
    <row r="3140" spans="1:6" x14ac:dyDescent="0.25">
      <c r="A3140" s="111"/>
      <c r="B3140" s="134" t="s">
        <v>825</v>
      </c>
      <c r="C3140" s="115"/>
      <c r="D3140" s="124">
        <v>1.1000000000000001</v>
      </c>
      <c r="E3140" s="110"/>
      <c r="F3140" s="110"/>
    </row>
    <row r="3141" spans="1:6" x14ac:dyDescent="0.35">
      <c r="A3141" s="261" t="s">
        <v>242</v>
      </c>
      <c r="B3141" s="242" t="s">
        <v>785</v>
      </c>
      <c r="C3141" s="208" t="s">
        <v>59</v>
      </c>
      <c r="D3141" s="208"/>
      <c r="E3141" s="209"/>
      <c r="F3141" s="209">
        <f>+D3140*F3139</f>
        <v>1465669.1683333337</v>
      </c>
    </row>
    <row r="3142" spans="1:6" x14ac:dyDescent="0.35">
      <c r="A3142" s="206"/>
      <c r="B3142" s="207"/>
      <c r="C3142" s="208"/>
      <c r="D3142" s="208"/>
      <c r="E3142" s="210">
        <f>+E3111</f>
        <v>3035.45</v>
      </c>
      <c r="F3142" s="210">
        <f>+F3141/E3142</f>
        <v>482.85070362988478</v>
      </c>
    </row>
    <row r="3143" spans="1:6" x14ac:dyDescent="0.35">
      <c r="A3143" s="126"/>
      <c r="B3143" s="127"/>
      <c r="C3143" s="128"/>
      <c r="D3143" s="128"/>
      <c r="E3143" s="176"/>
      <c r="F3143" s="176"/>
    </row>
    <row r="3144" spans="1:6" x14ac:dyDescent="0.35">
      <c r="A3144" s="130"/>
      <c r="B3144" s="131"/>
      <c r="C3144" s="132"/>
      <c r="D3144" s="132"/>
      <c r="E3144" s="179"/>
      <c r="F3144" s="179"/>
    </row>
    <row r="3145" spans="1:6" x14ac:dyDescent="0.3">
      <c r="A3145" s="257" t="s">
        <v>227</v>
      </c>
      <c r="B3145" s="258" t="s">
        <v>228</v>
      </c>
      <c r="C3145" s="200" t="s">
        <v>2</v>
      </c>
      <c r="D3145" s="202" t="s">
        <v>765</v>
      </c>
      <c r="E3145" s="203" t="s">
        <v>766</v>
      </c>
      <c r="F3145" s="203" t="s">
        <v>767</v>
      </c>
    </row>
    <row r="3146" spans="1:6" x14ac:dyDescent="0.3">
      <c r="A3146" s="237" t="s">
        <v>229</v>
      </c>
      <c r="B3146" s="266" t="s">
        <v>230</v>
      </c>
      <c r="C3146" s="256"/>
      <c r="D3146" s="141"/>
      <c r="E3146" s="110"/>
      <c r="F3146" s="110"/>
    </row>
    <row r="3147" spans="1:6" x14ac:dyDescent="0.3">
      <c r="A3147" s="239" t="s">
        <v>243</v>
      </c>
      <c r="B3147" s="254" t="s">
        <v>1290</v>
      </c>
      <c r="C3147" s="256" t="s">
        <v>59</v>
      </c>
      <c r="D3147" s="141"/>
      <c r="E3147" s="110"/>
      <c r="F3147" s="110"/>
    </row>
    <row r="3148" spans="1:6" x14ac:dyDescent="0.35">
      <c r="A3148" s="111"/>
      <c r="B3148" s="112" t="s">
        <v>802</v>
      </c>
      <c r="C3148" s="118"/>
      <c r="D3148" s="118"/>
      <c r="E3148" s="119"/>
      <c r="F3148" s="119"/>
    </row>
    <row r="3149" spans="1:6" x14ac:dyDescent="0.35">
      <c r="A3149" s="111"/>
      <c r="B3149" s="120" t="s">
        <v>942</v>
      </c>
      <c r="C3149" s="118" t="s">
        <v>27</v>
      </c>
      <c r="D3149" s="118">
        <f>(1.2+1.2)*2</f>
        <v>4.8</v>
      </c>
      <c r="E3149" s="119">
        <f>48000/6</f>
        <v>8000</v>
      </c>
      <c r="F3149" s="119">
        <f>+D3149*E3149</f>
        <v>38400</v>
      </c>
    </row>
    <row r="3150" spans="1:6" x14ac:dyDescent="0.35">
      <c r="A3150" s="111"/>
      <c r="B3150" s="120" t="s">
        <v>943</v>
      </c>
      <c r="C3150" s="118" t="s">
        <v>27</v>
      </c>
      <c r="D3150" s="118">
        <f>((1.2/0.12)-1)*1.15</f>
        <v>10.35</v>
      </c>
      <c r="E3150" s="119">
        <f>65000/12</f>
        <v>5416.666666666667</v>
      </c>
      <c r="F3150" s="119">
        <f t="shared" ref="F3150:F3157" si="47">+D3150*E3150</f>
        <v>56062.5</v>
      </c>
    </row>
    <row r="3151" spans="1:6" x14ac:dyDescent="0.35">
      <c r="A3151" s="111"/>
      <c r="B3151" s="120" t="s">
        <v>944</v>
      </c>
      <c r="C3151" s="118" t="s">
        <v>35</v>
      </c>
      <c r="D3151" s="118">
        <f>1.94*0.77</f>
        <v>1.4938</v>
      </c>
      <c r="E3151" s="119">
        <f>120000/12</f>
        <v>10000</v>
      </c>
      <c r="F3151" s="119">
        <f t="shared" si="47"/>
        <v>14938</v>
      </c>
    </row>
    <row r="3152" spans="1:6" x14ac:dyDescent="0.35">
      <c r="A3152" s="111"/>
      <c r="B3152" s="120" t="s">
        <v>945</v>
      </c>
      <c r="C3152" s="118" t="s">
        <v>27</v>
      </c>
      <c r="D3152" s="118">
        <f>(1.2+1.2)*2+1.2</f>
        <v>6</v>
      </c>
      <c r="E3152" s="119">
        <f>25000/6</f>
        <v>4166.666666666667</v>
      </c>
      <c r="F3152" s="119">
        <f t="shared" si="47"/>
        <v>25000</v>
      </c>
    </row>
    <row r="3153" spans="1:6" x14ac:dyDescent="0.35">
      <c r="A3153" s="111"/>
      <c r="B3153" s="120" t="s">
        <v>946</v>
      </c>
      <c r="C3153" s="118" t="s">
        <v>27</v>
      </c>
      <c r="D3153" s="118">
        <v>1.2</v>
      </c>
      <c r="E3153" s="119">
        <v>4666.666666666667</v>
      </c>
      <c r="F3153" s="119">
        <f t="shared" si="47"/>
        <v>5600</v>
      </c>
    </row>
    <row r="3154" spans="1:6" x14ac:dyDescent="0.35">
      <c r="A3154" s="111"/>
      <c r="B3154" s="120" t="s">
        <v>947</v>
      </c>
      <c r="C3154" s="118" t="s">
        <v>948</v>
      </c>
      <c r="D3154" s="118">
        <v>0.25</v>
      </c>
      <c r="E3154" s="119">
        <f>45000/4</f>
        <v>11250</v>
      </c>
      <c r="F3154" s="119">
        <f t="shared" si="47"/>
        <v>2812.5</v>
      </c>
    </row>
    <row r="3155" spans="1:6" x14ac:dyDescent="0.35">
      <c r="A3155" s="111"/>
      <c r="B3155" s="120" t="s">
        <v>949</v>
      </c>
      <c r="C3155" s="118" t="s">
        <v>948</v>
      </c>
      <c r="D3155" s="118">
        <v>0.25</v>
      </c>
      <c r="E3155" s="119">
        <f>45000/4</f>
        <v>11250</v>
      </c>
      <c r="F3155" s="119">
        <f t="shared" si="47"/>
        <v>2812.5</v>
      </c>
    </row>
    <row r="3156" spans="1:6" x14ac:dyDescent="0.35">
      <c r="A3156" s="111"/>
      <c r="B3156" s="120" t="s">
        <v>1282</v>
      </c>
      <c r="C3156" s="118" t="s">
        <v>950</v>
      </c>
      <c r="D3156" s="118">
        <v>1</v>
      </c>
      <c r="E3156" s="119">
        <v>40000</v>
      </c>
      <c r="F3156" s="119">
        <f t="shared" si="47"/>
        <v>40000</v>
      </c>
    </row>
    <row r="3157" spans="1:6" x14ac:dyDescent="0.35">
      <c r="A3157" s="111"/>
      <c r="B3157" s="120" t="s">
        <v>951</v>
      </c>
      <c r="C3157" s="118" t="s">
        <v>59</v>
      </c>
      <c r="D3157" s="118">
        <v>10</v>
      </c>
      <c r="E3157" s="119">
        <v>40000</v>
      </c>
      <c r="F3157" s="119">
        <f t="shared" si="47"/>
        <v>400000</v>
      </c>
    </row>
    <row r="3158" spans="1:6" x14ac:dyDescent="0.35">
      <c r="A3158" s="111"/>
      <c r="B3158" s="120" t="s">
        <v>952</v>
      </c>
      <c r="C3158" s="118"/>
      <c r="D3158" s="118"/>
      <c r="E3158" s="119"/>
      <c r="F3158" s="119">
        <f>+(F3149+F3150+F3151+F3152+F3153+F3154+F3155+F3156+F3157)*0.1</f>
        <v>58562.55</v>
      </c>
    </row>
    <row r="3159" spans="1:6" x14ac:dyDescent="0.35">
      <c r="A3159" s="107"/>
      <c r="B3159" s="108" t="s">
        <v>769</v>
      </c>
      <c r="C3159" s="109"/>
      <c r="D3159" s="124"/>
      <c r="E3159" s="117"/>
      <c r="F3159" s="110">
        <f>SUM(F3149:F3158)</f>
        <v>644188.05000000005</v>
      </c>
    </row>
    <row r="3160" spans="1:6" x14ac:dyDescent="0.3">
      <c r="A3160" s="111"/>
      <c r="B3160" s="136" t="s">
        <v>808</v>
      </c>
      <c r="C3160" s="115"/>
      <c r="D3160" s="124"/>
      <c r="E3160" s="117"/>
      <c r="F3160" s="110"/>
    </row>
    <row r="3161" spans="1:6" x14ac:dyDescent="0.25">
      <c r="A3161" s="111"/>
      <c r="B3161" s="134" t="s">
        <v>820</v>
      </c>
      <c r="C3161" s="115" t="s">
        <v>772</v>
      </c>
      <c r="D3161" s="124">
        <v>0.25</v>
      </c>
      <c r="E3161" s="117">
        <v>7500</v>
      </c>
      <c r="F3161" s="117">
        <f t="shared" ref="F3161:F3167" si="48">+D3161*E3161</f>
        <v>1875</v>
      </c>
    </row>
    <row r="3162" spans="1:6" x14ac:dyDescent="0.25">
      <c r="A3162" s="111"/>
      <c r="B3162" s="134" t="s">
        <v>821</v>
      </c>
      <c r="C3162" s="115" t="s">
        <v>772</v>
      </c>
      <c r="D3162" s="124">
        <v>0.25</v>
      </c>
      <c r="E3162" s="117">
        <v>7500</v>
      </c>
      <c r="F3162" s="117">
        <f t="shared" si="48"/>
        <v>1875</v>
      </c>
    </row>
    <row r="3163" spans="1:6" x14ac:dyDescent="0.25">
      <c r="A3163" s="111"/>
      <c r="B3163" s="134" t="s">
        <v>895</v>
      </c>
      <c r="C3163" s="115" t="s">
        <v>772</v>
      </c>
      <c r="D3163" s="124">
        <v>0.5</v>
      </c>
      <c r="E3163" s="117">
        <v>15000</v>
      </c>
      <c r="F3163" s="117">
        <f t="shared" si="48"/>
        <v>7500</v>
      </c>
    </row>
    <row r="3164" spans="1:6" x14ac:dyDescent="0.25">
      <c r="A3164" s="111"/>
      <c r="B3164" s="134" t="s">
        <v>896</v>
      </c>
      <c r="C3164" s="115" t="s">
        <v>772</v>
      </c>
      <c r="D3164" s="124">
        <v>0.5</v>
      </c>
      <c r="E3164" s="117">
        <v>15000</v>
      </c>
      <c r="F3164" s="117">
        <f t="shared" si="48"/>
        <v>7500</v>
      </c>
    </row>
    <row r="3165" spans="1:6" x14ac:dyDescent="0.25">
      <c r="A3165" s="111"/>
      <c r="B3165" s="134" t="s">
        <v>773</v>
      </c>
      <c r="C3165" s="115" t="s">
        <v>772</v>
      </c>
      <c r="D3165" s="124">
        <v>0.5</v>
      </c>
      <c r="E3165" s="117">
        <v>15000</v>
      </c>
      <c r="F3165" s="117">
        <f t="shared" si="48"/>
        <v>7500</v>
      </c>
    </row>
    <row r="3166" spans="1:6" x14ac:dyDescent="0.25">
      <c r="A3166" s="111"/>
      <c r="B3166" s="134" t="s">
        <v>851</v>
      </c>
      <c r="C3166" s="115" t="s">
        <v>772</v>
      </c>
      <c r="D3166" s="124">
        <v>0.5</v>
      </c>
      <c r="E3166" s="117">
        <v>15000</v>
      </c>
      <c r="F3166" s="117">
        <f t="shared" si="48"/>
        <v>7500</v>
      </c>
    </row>
    <row r="3167" spans="1:6" x14ac:dyDescent="0.25">
      <c r="A3167" s="111"/>
      <c r="B3167" s="134" t="s">
        <v>953</v>
      </c>
      <c r="C3167" s="115" t="s">
        <v>772</v>
      </c>
      <c r="D3167" s="124">
        <v>0.15</v>
      </c>
      <c r="E3167" s="117">
        <v>15000</v>
      </c>
      <c r="F3167" s="117">
        <f t="shared" si="48"/>
        <v>2250</v>
      </c>
    </row>
    <row r="3168" spans="1:6" x14ac:dyDescent="0.3">
      <c r="A3168" s="111"/>
      <c r="B3168" s="136" t="s">
        <v>774</v>
      </c>
      <c r="C3168" s="115"/>
      <c r="D3168" s="124"/>
      <c r="E3168" s="117"/>
      <c r="F3168" s="110">
        <f>SUM(F3161:F3167)</f>
        <v>36000</v>
      </c>
    </row>
    <row r="3169" spans="1:6" x14ac:dyDescent="0.3">
      <c r="A3169" s="111"/>
      <c r="B3169" s="136" t="s">
        <v>775</v>
      </c>
      <c r="C3169" s="115"/>
      <c r="D3169" s="109"/>
      <c r="E3169" s="110"/>
      <c r="F3169" s="110">
        <f>+F3168+F3159</f>
        <v>680188.05</v>
      </c>
    </row>
    <row r="3170" spans="1:6" x14ac:dyDescent="0.25">
      <c r="A3170" s="111"/>
      <c r="B3170" s="134" t="s">
        <v>824</v>
      </c>
      <c r="C3170" s="115"/>
      <c r="D3170" s="124">
        <v>1.1000000000000001</v>
      </c>
      <c r="E3170" s="110"/>
      <c r="F3170" s="110">
        <f>+F3169*D3170</f>
        <v>748206.8550000001</v>
      </c>
    </row>
    <row r="3171" spans="1:6" x14ac:dyDescent="0.25">
      <c r="A3171" s="111"/>
      <c r="B3171" s="134" t="s">
        <v>825</v>
      </c>
      <c r="C3171" s="115"/>
      <c r="D3171" s="124">
        <v>1.1000000000000001</v>
      </c>
      <c r="E3171" s="110"/>
      <c r="F3171" s="110"/>
    </row>
    <row r="3172" spans="1:6" x14ac:dyDescent="0.35">
      <c r="A3172" s="261" t="s">
        <v>243</v>
      </c>
      <c r="B3172" s="242" t="s">
        <v>785</v>
      </c>
      <c r="C3172" s="208" t="s">
        <v>59</v>
      </c>
      <c r="D3172" s="208"/>
      <c r="E3172" s="209"/>
      <c r="F3172" s="209">
        <f>+D3171*F3170</f>
        <v>823027.54050000012</v>
      </c>
    </row>
    <row r="3173" spans="1:6" x14ac:dyDescent="0.35">
      <c r="A3173" s="206"/>
      <c r="B3173" s="207"/>
      <c r="C3173" s="208"/>
      <c r="D3173" s="208"/>
      <c r="E3173" s="210">
        <f>+E3142</f>
        <v>3035.45</v>
      </c>
      <c r="F3173" s="210">
        <f>+F3172/E3173</f>
        <v>271.13855952165255</v>
      </c>
    </row>
    <row r="3174" spans="1:6" x14ac:dyDescent="0.35">
      <c r="A3174" s="126"/>
      <c r="B3174" s="127"/>
      <c r="C3174" s="128"/>
      <c r="D3174" s="128"/>
      <c r="E3174" s="176"/>
      <c r="F3174" s="176"/>
    </row>
    <row r="3175" spans="1:6" x14ac:dyDescent="0.35">
      <c r="A3175" s="130"/>
      <c r="B3175" s="131"/>
      <c r="C3175" s="132"/>
      <c r="D3175" s="132"/>
      <c r="E3175" s="179"/>
      <c r="F3175" s="179"/>
    </row>
    <row r="3176" spans="1:6" x14ac:dyDescent="0.3">
      <c r="A3176" s="257" t="s">
        <v>227</v>
      </c>
      <c r="B3176" s="258" t="s">
        <v>228</v>
      </c>
      <c r="C3176" s="200" t="s">
        <v>2</v>
      </c>
      <c r="D3176" s="202" t="s">
        <v>765</v>
      </c>
      <c r="E3176" s="203" t="s">
        <v>766</v>
      </c>
      <c r="F3176" s="203" t="s">
        <v>767</v>
      </c>
    </row>
    <row r="3177" spans="1:6" x14ac:dyDescent="0.3">
      <c r="A3177" s="237" t="s">
        <v>229</v>
      </c>
      <c r="B3177" s="266" t="s">
        <v>230</v>
      </c>
      <c r="C3177" s="256"/>
      <c r="D3177" s="141"/>
      <c r="E3177" s="110"/>
      <c r="F3177" s="110"/>
    </row>
    <row r="3178" spans="1:6" x14ac:dyDescent="0.3">
      <c r="A3178" s="239" t="s">
        <v>244</v>
      </c>
      <c r="B3178" s="254" t="s">
        <v>1291</v>
      </c>
      <c r="C3178" s="256" t="s">
        <v>59</v>
      </c>
      <c r="D3178" s="141"/>
      <c r="E3178" s="110"/>
      <c r="F3178" s="110"/>
    </row>
    <row r="3179" spans="1:6" x14ac:dyDescent="0.35">
      <c r="A3179" s="111"/>
      <c r="B3179" s="112" t="s">
        <v>802</v>
      </c>
      <c r="C3179" s="118"/>
      <c r="D3179" s="118"/>
      <c r="E3179" s="119"/>
      <c r="F3179" s="119"/>
    </row>
    <row r="3180" spans="1:6" x14ac:dyDescent="0.35">
      <c r="A3180" s="111"/>
      <c r="B3180" s="120" t="s">
        <v>942</v>
      </c>
      <c r="C3180" s="118" t="s">
        <v>27</v>
      </c>
      <c r="D3180" s="118">
        <f>1.5+0.77*2</f>
        <v>3.04</v>
      </c>
      <c r="E3180" s="119">
        <f>48000/6</f>
        <v>8000</v>
      </c>
      <c r="F3180" s="119">
        <f>+D3180*E3180</f>
        <v>24320</v>
      </c>
    </row>
    <row r="3181" spans="1:6" x14ac:dyDescent="0.35">
      <c r="A3181" s="111"/>
      <c r="B3181" s="120" t="s">
        <v>943</v>
      </c>
      <c r="C3181" s="118" t="s">
        <v>27</v>
      </c>
      <c r="D3181" s="118">
        <f>+(0.77/0.1)+1</f>
        <v>8.6999999999999993</v>
      </c>
      <c r="E3181" s="119">
        <f>65000/12</f>
        <v>5416.666666666667</v>
      </c>
      <c r="F3181" s="119">
        <f t="shared" ref="F3181:F3188" si="49">+D3181*E3181</f>
        <v>47125</v>
      </c>
    </row>
    <row r="3182" spans="1:6" x14ac:dyDescent="0.35">
      <c r="A3182" s="111"/>
      <c r="B3182" s="120" t="s">
        <v>944</v>
      </c>
      <c r="C3182" s="118" t="s">
        <v>35</v>
      </c>
      <c r="D3182" s="118">
        <f>1.5*0.77</f>
        <v>1.155</v>
      </c>
      <c r="E3182" s="119">
        <f>120000/12</f>
        <v>10000</v>
      </c>
      <c r="F3182" s="119">
        <f t="shared" si="49"/>
        <v>11550</v>
      </c>
    </row>
    <row r="3183" spans="1:6" x14ac:dyDescent="0.35">
      <c r="A3183" s="111"/>
      <c r="B3183" s="120" t="s">
        <v>945</v>
      </c>
      <c r="C3183" s="118" t="s">
        <v>27</v>
      </c>
      <c r="D3183" s="118">
        <f>(1.6+1.6)*2+1.6</f>
        <v>8</v>
      </c>
      <c r="E3183" s="119">
        <f>25000/6</f>
        <v>4166.666666666667</v>
      </c>
      <c r="F3183" s="119">
        <f t="shared" si="49"/>
        <v>33333.333333333336</v>
      </c>
    </row>
    <row r="3184" spans="1:6" x14ac:dyDescent="0.35">
      <c r="A3184" s="111"/>
      <c r="B3184" s="120" t="s">
        <v>946</v>
      </c>
      <c r="C3184" s="118" t="s">
        <v>27</v>
      </c>
      <c r="D3184" s="118">
        <v>1.6</v>
      </c>
      <c r="E3184" s="119">
        <v>4666.666666666667</v>
      </c>
      <c r="F3184" s="119">
        <f t="shared" si="49"/>
        <v>7466.6666666666679</v>
      </c>
    </row>
    <row r="3185" spans="1:6" x14ac:dyDescent="0.35">
      <c r="A3185" s="111"/>
      <c r="B3185" s="120" t="s">
        <v>947</v>
      </c>
      <c r="C3185" s="118" t="s">
        <v>948</v>
      </c>
      <c r="D3185" s="118">
        <v>0.25</v>
      </c>
      <c r="E3185" s="119">
        <f>45000/4</f>
        <v>11250</v>
      </c>
      <c r="F3185" s="119">
        <f t="shared" si="49"/>
        <v>2812.5</v>
      </c>
    </row>
    <row r="3186" spans="1:6" x14ac:dyDescent="0.35">
      <c r="A3186" s="111"/>
      <c r="B3186" s="120" t="s">
        <v>949</v>
      </c>
      <c r="C3186" s="118" t="s">
        <v>948</v>
      </c>
      <c r="D3186" s="118">
        <v>0.25</v>
      </c>
      <c r="E3186" s="119">
        <f>45000/4</f>
        <v>11250</v>
      </c>
      <c r="F3186" s="119">
        <f t="shared" si="49"/>
        <v>2812.5</v>
      </c>
    </row>
    <row r="3187" spans="1:6" x14ac:dyDescent="0.35">
      <c r="A3187" s="111"/>
      <c r="B3187" s="120" t="s">
        <v>1282</v>
      </c>
      <c r="C3187" s="118" t="s">
        <v>950</v>
      </c>
      <c r="D3187" s="118">
        <v>1</v>
      </c>
      <c r="E3187" s="119">
        <v>40000</v>
      </c>
      <c r="F3187" s="119">
        <f t="shared" si="49"/>
        <v>40000</v>
      </c>
    </row>
    <row r="3188" spans="1:6" x14ac:dyDescent="0.35">
      <c r="A3188" s="111"/>
      <c r="B3188" s="120" t="s">
        <v>951</v>
      </c>
      <c r="C3188" s="118" t="s">
        <v>59</v>
      </c>
      <c r="D3188" s="118">
        <v>10</v>
      </c>
      <c r="E3188" s="119">
        <v>40000</v>
      </c>
      <c r="F3188" s="119">
        <f t="shared" si="49"/>
        <v>400000</v>
      </c>
    </row>
    <row r="3189" spans="1:6" x14ac:dyDescent="0.35">
      <c r="A3189" s="111"/>
      <c r="B3189" s="120" t="s">
        <v>952</v>
      </c>
      <c r="C3189" s="118"/>
      <c r="D3189" s="118"/>
      <c r="E3189" s="119"/>
      <c r="F3189" s="119">
        <f>+(F3180+F3185+F3186+F3187+F3188+F3184+F3183+F3182+F3181)*0.1</f>
        <v>56942</v>
      </c>
    </row>
    <row r="3190" spans="1:6" x14ac:dyDescent="0.35">
      <c r="A3190" s="107"/>
      <c r="B3190" s="108" t="s">
        <v>769</v>
      </c>
      <c r="C3190" s="109"/>
      <c r="D3190" s="124"/>
      <c r="E3190" s="117"/>
      <c r="F3190" s="110">
        <f>SUM(F3180:F3189)</f>
        <v>626362</v>
      </c>
    </row>
    <row r="3191" spans="1:6" x14ac:dyDescent="0.3">
      <c r="A3191" s="111"/>
      <c r="B3191" s="136" t="s">
        <v>808</v>
      </c>
      <c r="C3191" s="115"/>
      <c r="D3191" s="124"/>
      <c r="E3191" s="117"/>
      <c r="F3191" s="110"/>
    </row>
    <row r="3192" spans="1:6" x14ac:dyDescent="0.25">
      <c r="A3192" s="111"/>
      <c r="B3192" s="134" t="s">
        <v>820</v>
      </c>
      <c r="C3192" s="115" t="s">
        <v>772</v>
      </c>
      <c r="D3192" s="124">
        <v>0.25</v>
      </c>
      <c r="E3192" s="117">
        <v>7500</v>
      </c>
      <c r="F3192" s="117">
        <f t="shared" ref="F3192:F3198" si="50">+D3192*E3192</f>
        <v>1875</v>
      </c>
    </row>
    <row r="3193" spans="1:6" x14ac:dyDescent="0.25">
      <c r="A3193" s="111"/>
      <c r="B3193" s="134" t="s">
        <v>821</v>
      </c>
      <c r="C3193" s="115" t="s">
        <v>772</v>
      </c>
      <c r="D3193" s="124">
        <v>0.25</v>
      </c>
      <c r="E3193" s="117">
        <v>7500</v>
      </c>
      <c r="F3193" s="117">
        <f t="shared" si="50"/>
        <v>1875</v>
      </c>
    </row>
    <row r="3194" spans="1:6" x14ac:dyDescent="0.25">
      <c r="A3194" s="111"/>
      <c r="B3194" s="134" t="s">
        <v>895</v>
      </c>
      <c r="C3194" s="115" t="s">
        <v>772</v>
      </c>
      <c r="D3194" s="124">
        <v>0.5</v>
      </c>
      <c r="E3194" s="117">
        <v>15000</v>
      </c>
      <c r="F3194" s="117">
        <f t="shared" si="50"/>
        <v>7500</v>
      </c>
    </row>
    <row r="3195" spans="1:6" x14ac:dyDescent="0.25">
      <c r="A3195" s="111"/>
      <c r="B3195" s="134" t="s">
        <v>896</v>
      </c>
      <c r="C3195" s="115" t="s">
        <v>772</v>
      </c>
      <c r="D3195" s="124">
        <v>0.5</v>
      </c>
      <c r="E3195" s="117">
        <v>15000</v>
      </c>
      <c r="F3195" s="117">
        <f t="shared" si="50"/>
        <v>7500</v>
      </c>
    </row>
    <row r="3196" spans="1:6" x14ac:dyDescent="0.25">
      <c r="A3196" s="111"/>
      <c r="B3196" s="134" t="s">
        <v>773</v>
      </c>
      <c r="C3196" s="115" t="s">
        <v>772</v>
      </c>
      <c r="D3196" s="124">
        <v>0.5</v>
      </c>
      <c r="E3196" s="117">
        <v>15000</v>
      </c>
      <c r="F3196" s="117">
        <f t="shared" si="50"/>
        <v>7500</v>
      </c>
    </row>
    <row r="3197" spans="1:6" x14ac:dyDescent="0.25">
      <c r="A3197" s="111"/>
      <c r="B3197" s="134" t="s">
        <v>851</v>
      </c>
      <c r="C3197" s="115" t="s">
        <v>772</v>
      </c>
      <c r="D3197" s="124">
        <v>0.5</v>
      </c>
      <c r="E3197" s="117">
        <v>15000</v>
      </c>
      <c r="F3197" s="117">
        <f t="shared" si="50"/>
        <v>7500</v>
      </c>
    </row>
    <row r="3198" spans="1:6" x14ac:dyDescent="0.25">
      <c r="A3198" s="111"/>
      <c r="B3198" s="134" t="s">
        <v>953</v>
      </c>
      <c r="C3198" s="115" t="s">
        <v>772</v>
      </c>
      <c r="D3198" s="124">
        <v>0.15</v>
      </c>
      <c r="E3198" s="117">
        <v>15000</v>
      </c>
      <c r="F3198" s="117">
        <f t="shared" si="50"/>
        <v>2250</v>
      </c>
    </row>
    <row r="3199" spans="1:6" x14ac:dyDescent="0.3">
      <c r="A3199" s="111"/>
      <c r="B3199" s="136" t="s">
        <v>774</v>
      </c>
      <c r="C3199" s="115"/>
      <c r="D3199" s="124"/>
      <c r="E3199" s="117"/>
      <c r="F3199" s="110">
        <f>SUM(F3192:F3198)</f>
        <v>36000</v>
      </c>
    </row>
    <row r="3200" spans="1:6" x14ac:dyDescent="0.3">
      <c r="A3200" s="111"/>
      <c r="B3200" s="136" t="s">
        <v>775</v>
      </c>
      <c r="C3200" s="115"/>
      <c r="D3200" s="109"/>
      <c r="E3200" s="110"/>
      <c r="F3200" s="110">
        <f>+F3199+F3190</f>
        <v>662362</v>
      </c>
    </row>
    <row r="3201" spans="1:6" x14ac:dyDescent="0.25">
      <c r="A3201" s="111"/>
      <c r="B3201" s="134" t="s">
        <v>824</v>
      </c>
      <c r="C3201" s="115"/>
      <c r="D3201" s="124">
        <v>1.1000000000000001</v>
      </c>
      <c r="E3201" s="110"/>
      <c r="F3201" s="110">
        <f>+F3200*D3201</f>
        <v>728598.20000000007</v>
      </c>
    </row>
    <row r="3202" spans="1:6" x14ac:dyDescent="0.25">
      <c r="A3202" s="111"/>
      <c r="B3202" s="134" t="s">
        <v>825</v>
      </c>
      <c r="C3202" s="115"/>
      <c r="D3202" s="124">
        <v>1.1000000000000001</v>
      </c>
      <c r="E3202" s="110"/>
      <c r="F3202" s="110"/>
    </row>
    <row r="3203" spans="1:6" x14ac:dyDescent="0.35">
      <c r="A3203" s="261" t="s">
        <v>244</v>
      </c>
      <c r="B3203" s="242" t="s">
        <v>785</v>
      </c>
      <c r="C3203" s="208" t="s">
        <v>59</v>
      </c>
      <c r="D3203" s="208"/>
      <c r="E3203" s="209"/>
      <c r="F3203" s="209">
        <f>+D3202*F3201</f>
        <v>801458.02000000014</v>
      </c>
    </row>
    <row r="3204" spans="1:6" x14ac:dyDescent="0.35">
      <c r="A3204" s="206"/>
      <c r="B3204" s="207"/>
      <c r="C3204" s="208"/>
      <c r="D3204" s="208"/>
      <c r="E3204" s="210">
        <f>+E3173</f>
        <v>3035.45</v>
      </c>
      <c r="F3204" s="210">
        <f>+F3203/E3204</f>
        <v>264.03268708099301</v>
      </c>
    </row>
    <row r="3205" spans="1:6" x14ac:dyDescent="0.35">
      <c r="A3205" s="126"/>
      <c r="B3205" s="127"/>
      <c r="C3205" s="128"/>
      <c r="D3205" s="128"/>
      <c r="E3205" s="176"/>
      <c r="F3205" s="176"/>
    </row>
    <row r="3206" spans="1:6" x14ac:dyDescent="0.35">
      <c r="A3206" s="130"/>
      <c r="B3206" s="131"/>
      <c r="C3206" s="132"/>
      <c r="D3206" s="132"/>
      <c r="E3206" s="179"/>
      <c r="F3206" s="179"/>
    </row>
    <row r="3207" spans="1:6" x14ac:dyDescent="0.3">
      <c r="A3207" s="257" t="s">
        <v>227</v>
      </c>
      <c r="B3207" s="258" t="s">
        <v>228</v>
      </c>
      <c r="C3207" s="200" t="s">
        <v>2</v>
      </c>
      <c r="D3207" s="202" t="s">
        <v>765</v>
      </c>
      <c r="E3207" s="203" t="s">
        <v>766</v>
      </c>
      <c r="F3207" s="203" t="s">
        <v>767</v>
      </c>
    </row>
    <row r="3208" spans="1:6" x14ac:dyDescent="0.3">
      <c r="A3208" s="237" t="s">
        <v>229</v>
      </c>
      <c r="B3208" s="266" t="s">
        <v>230</v>
      </c>
      <c r="C3208" s="256"/>
      <c r="D3208" s="141"/>
      <c r="E3208" s="110"/>
      <c r="F3208" s="110"/>
    </row>
    <row r="3209" spans="1:6" x14ac:dyDescent="0.3">
      <c r="A3209" s="239" t="s">
        <v>245</v>
      </c>
      <c r="B3209" s="254" t="s">
        <v>1292</v>
      </c>
      <c r="C3209" s="256" t="s">
        <v>59</v>
      </c>
      <c r="D3209" s="141"/>
      <c r="E3209" s="110"/>
      <c r="F3209" s="110"/>
    </row>
    <row r="3210" spans="1:6" x14ac:dyDescent="0.3">
      <c r="A3210" s="239" t="s">
        <v>246</v>
      </c>
      <c r="B3210" s="254" t="s">
        <v>1362</v>
      </c>
      <c r="C3210" s="256" t="s">
        <v>59</v>
      </c>
      <c r="D3210" s="141"/>
      <c r="E3210" s="110"/>
      <c r="F3210" s="110"/>
    </row>
    <row r="3211" spans="1:6" x14ac:dyDescent="0.35">
      <c r="A3211" s="111"/>
      <c r="B3211" s="112" t="s">
        <v>802</v>
      </c>
      <c r="C3211" s="118"/>
      <c r="D3211" s="118"/>
      <c r="E3211" s="119"/>
      <c r="F3211" s="119"/>
    </row>
    <row r="3212" spans="1:6" x14ac:dyDescent="0.35">
      <c r="A3212" s="111"/>
      <c r="B3212" s="120" t="s">
        <v>942</v>
      </c>
      <c r="C3212" s="118" t="s">
        <v>27</v>
      </c>
      <c r="D3212" s="118">
        <f>(0.58+0.77)*2</f>
        <v>2.7</v>
      </c>
      <c r="E3212" s="119">
        <f>48000/6</f>
        <v>8000</v>
      </c>
      <c r="F3212" s="119">
        <f>+D3212*E3212</f>
        <v>21600</v>
      </c>
    </row>
    <row r="3213" spans="1:6" x14ac:dyDescent="0.35">
      <c r="A3213" s="111"/>
      <c r="B3213" s="120" t="s">
        <v>943</v>
      </c>
      <c r="C3213" s="118" t="s">
        <v>27</v>
      </c>
      <c r="D3213" s="118">
        <v>4</v>
      </c>
      <c r="E3213" s="119">
        <f>65000/12</f>
        <v>5416.666666666667</v>
      </c>
      <c r="F3213" s="119">
        <f t="shared" ref="F3213:F3220" si="51">+D3213*E3213</f>
        <v>21666.666666666668</v>
      </c>
    </row>
    <row r="3214" spans="1:6" x14ac:dyDescent="0.35">
      <c r="A3214" s="111"/>
      <c r="B3214" s="120" t="s">
        <v>944</v>
      </c>
      <c r="C3214" s="118" t="s">
        <v>35</v>
      </c>
      <c r="D3214" s="118">
        <f>0.58*0.77</f>
        <v>0.4466</v>
      </c>
      <c r="E3214" s="119">
        <f>120000/12</f>
        <v>10000</v>
      </c>
      <c r="F3214" s="119">
        <f t="shared" si="51"/>
        <v>4466</v>
      </c>
    </row>
    <row r="3215" spans="1:6" x14ac:dyDescent="0.35">
      <c r="A3215" s="111"/>
      <c r="B3215" s="120" t="s">
        <v>945</v>
      </c>
      <c r="C3215" s="118" t="s">
        <v>27</v>
      </c>
      <c r="D3215" s="118">
        <f>(0.58+0.77)*2</f>
        <v>2.7</v>
      </c>
      <c r="E3215" s="119">
        <f>25000/6</f>
        <v>4166.666666666667</v>
      </c>
      <c r="F3215" s="119">
        <f t="shared" si="51"/>
        <v>11250.000000000002</v>
      </c>
    </row>
    <row r="3216" spans="1:6" x14ac:dyDescent="0.35">
      <c r="A3216" s="111"/>
      <c r="B3216" s="120" t="s">
        <v>946</v>
      </c>
      <c r="C3216" s="118" t="s">
        <v>27</v>
      </c>
      <c r="D3216" s="118">
        <v>0.77</v>
      </c>
      <c r="E3216" s="119">
        <v>4666.666666666667</v>
      </c>
      <c r="F3216" s="119">
        <f t="shared" si="51"/>
        <v>3593.3333333333335</v>
      </c>
    </row>
    <row r="3217" spans="1:6" x14ac:dyDescent="0.35">
      <c r="A3217" s="111"/>
      <c r="B3217" s="120" t="s">
        <v>947</v>
      </c>
      <c r="C3217" s="118" t="s">
        <v>948</v>
      </c>
      <c r="D3217" s="118">
        <v>0.25</v>
      </c>
      <c r="E3217" s="119">
        <f>45000/4</f>
        <v>11250</v>
      </c>
      <c r="F3217" s="119">
        <f t="shared" si="51"/>
        <v>2812.5</v>
      </c>
    </row>
    <row r="3218" spans="1:6" x14ac:dyDescent="0.35">
      <c r="A3218" s="111"/>
      <c r="B3218" s="120" t="s">
        <v>949</v>
      </c>
      <c r="C3218" s="118" t="s">
        <v>948</v>
      </c>
      <c r="D3218" s="118">
        <v>0.25</v>
      </c>
      <c r="E3218" s="119">
        <f>45000/4</f>
        <v>11250</v>
      </c>
      <c r="F3218" s="119">
        <f t="shared" si="51"/>
        <v>2812.5</v>
      </c>
    </row>
    <row r="3219" spans="1:6" x14ac:dyDescent="0.35">
      <c r="A3219" s="111"/>
      <c r="B3219" s="120" t="s">
        <v>1158</v>
      </c>
      <c r="C3219" s="118" t="s">
        <v>950</v>
      </c>
      <c r="D3219" s="118">
        <v>1</v>
      </c>
      <c r="E3219" s="119">
        <v>40000</v>
      </c>
      <c r="F3219" s="119">
        <f t="shared" si="51"/>
        <v>40000</v>
      </c>
    </row>
    <row r="3220" spans="1:6" x14ac:dyDescent="0.35">
      <c r="A3220" s="111"/>
      <c r="B3220" s="120" t="s">
        <v>951</v>
      </c>
      <c r="C3220" s="118" t="s">
        <v>59</v>
      </c>
      <c r="D3220" s="118">
        <v>6</v>
      </c>
      <c r="E3220" s="119">
        <v>40000</v>
      </c>
      <c r="F3220" s="119">
        <f t="shared" si="51"/>
        <v>240000</v>
      </c>
    </row>
    <row r="3221" spans="1:6" x14ac:dyDescent="0.35">
      <c r="A3221" s="111"/>
      <c r="B3221" s="120" t="s">
        <v>952</v>
      </c>
      <c r="C3221" s="118"/>
      <c r="D3221" s="118"/>
      <c r="E3221" s="119"/>
      <c r="F3221" s="119">
        <f>+(F3212+F3217+F3218+F3219+F3220+F3216+F3215+F3214+F3213)*0.1</f>
        <v>34820.1</v>
      </c>
    </row>
    <row r="3222" spans="1:6" x14ac:dyDescent="0.35">
      <c r="A3222" s="107"/>
      <c r="B3222" s="108" t="s">
        <v>769</v>
      </c>
      <c r="C3222" s="109"/>
      <c r="D3222" s="124"/>
      <c r="E3222" s="117"/>
      <c r="F3222" s="110">
        <f>SUM(F3212:F3221)</f>
        <v>383021.1</v>
      </c>
    </row>
    <row r="3223" spans="1:6" x14ac:dyDescent="0.3">
      <c r="A3223" s="111"/>
      <c r="B3223" s="136" t="s">
        <v>808</v>
      </c>
      <c r="C3223" s="115"/>
      <c r="D3223" s="124"/>
      <c r="E3223" s="117"/>
      <c r="F3223" s="110"/>
    </row>
    <row r="3224" spans="1:6" x14ac:dyDescent="0.25">
      <c r="A3224" s="111"/>
      <c r="B3224" s="134" t="s">
        <v>820</v>
      </c>
      <c r="C3224" s="115" t="s">
        <v>772</v>
      </c>
      <c r="D3224" s="124">
        <v>0.25</v>
      </c>
      <c r="E3224" s="117">
        <v>7500</v>
      </c>
      <c r="F3224" s="117">
        <f t="shared" ref="F3224:F3230" si="52">+D3224*E3224</f>
        <v>1875</v>
      </c>
    </row>
    <row r="3225" spans="1:6" x14ac:dyDescent="0.25">
      <c r="A3225" s="111"/>
      <c r="B3225" s="134" t="s">
        <v>821</v>
      </c>
      <c r="C3225" s="115" t="s">
        <v>772</v>
      </c>
      <c r="D3225" s="124">
        <v>0.25</v>
      </c>
      <c r="E3225" s="117">
        <v>7500</v>
      </c>
      <c r="F3225" s="117">
        <f t="shared" si="52"/>
        <v>1875</v>
      </c>
    </row>
    <row r="3226" spans="1:6" x14ac:dyDescent="0.25">
      <c r="A3226" s="111"/>
      <c r="B3226" s="134" t="s">
        <v>895</v>
      </c>
      <c r="C3226" s="115" t="s">
        <v>772</v>
      </c>
      <c r="D3226" s="124">
        <v>0.5</v>
      </c>
      <c r="E3226" s="117">
        <v>15000</v>
      </c>
      <c r="F3226" s="117">
        <f t="shared" si="52"/>
        <v>7500</v>
      </c>
    </row>
    <row r="3227" spans="1:6" x14ac:dyDescent="0.25">
      <c r="A3227" s="111"/>
      <c r="B3227" s="134" t="s">
        <v>896</v>
      </c>
      <c r="C3227" s="115" t="s">
        <v>772</v>
      </c>
      <c r="D3227" s="124">
        <v>0.5</v>
      </c>
      <c r="E3227" s="117">
        <v>15000</v>
      </c>
      <c r="F3227" s="117">
        <f t="shared" si="52"/>
        <v>7500</v>
      </c>
    </row>
    <row r="3228" spans="1:6" x14ac:dyDescent="0.25">
      <c r="A3228" s="111"/>
      <c r="B3228" s="134" t="s">
        <v>773</v>
      </c>
      <c r="C3228" s="115" t="s">
        <v>772</v>
      </c>
      <c r="D3228" s="124">
        <v>0.5</v>
      </c>
      <c r="E3228" s="117">
        <v>15000</v>
      </c>
      <c r="F3228" s="117">
        <f t="shared" si="52"/>
        <v>7500</v>
      </c>
    </row>
    <row r="3229" spans="1:6" x14ac:dyDescent="0.25">
      <c r="A3229" s="111"/>
      <c r="B3229" s="134" t="s">
        <v>851</v>
      </c>
      <c r="C3229" s="115" t="s">
        <v>772</v>
      </c>
      <c r="D3229" s="124">
        <v>0.5</v>
      </c>
      <c r="E3229" s="117">
        <v>15000</v>
      </c>
      <c r="F3229" s="117">
        <f t="shared" si="52"/>
        <v>7500</v>
      </c>
    </row>
    <row r="3230" spans="1:6" x14ac:dyDescent="0.25">
      <c r="A3230" s="111"/>
      <c r="B3230" s="134" t="s">
        <v>953</v>
      </c>
      <c r="C3230" s="115" t="s">
        <v>772</v>
      </c>
      <c r="D3230" s="124">
        <v>0.15</v>
      </c>
      <c r="E3230" s="117">
        <v>15000</v>
      </c>
      <c r="F3230" s="117">
        <f t="shared" si="52"/>
        <v>2250</v>
      </c>
    </row>
    <row r="3231" spans="1:6" x14ac:dyDescent="0.3">
      <c r="A3231" s="111"/>
      <c r="B3231" s="136" t="s">
        <v>774</v>
      </c>
      <c r="C3231" s="115"/>
      <c r="D3231" s="124"/>
      <c r="E3231" s="117"/>
      <c r="F3231" s="110">
        <f>SUM(F3224:F3230)</f>
        <v>36000</v>
      </c>
    </row>
    <row r="3232" spans="1:6" x14ac:dyDescent="0.3">
      <c r="A3232" s="111"/>
      <c r="B3232" s="136" t="s">
        <v>775</v>
      </c>
      <c r="C3232" s="115"/>
      <c r="D3232" s="109"/>
      <c r="E3232" s="110"/>
      <c r="F3232" s="110">
        <f>+F3231+F3222</f>
        <v>419021.1</v>
      </c>
    </row>
    <row r="3233" spans="1:6" x14ac:dyDescent="0.25">
      <c r="A3233" s="111"/>
      <c r="B3233" s="134" t="s">
        <v>824</v>
      </c>
      <c r="C3233" s="115"/>
      <c r="D3233" s="124">
        <v>1.1000000000000001</v>
      </c>
      <c r="E3233" s="110"/>
      <c r="F3233" s="110">
        <f>+F3232*D3233</f>
        <v>460923.21</v>
      </c>
    </row>
    <row r="3234" spans="1:6" x14ac:dyDescent="0.25">
      <c r="A3234" s="111"/>
      <c r="B3234" s="134" t="s">
        <v>825</v>
      </c>
      <c r="C3234" s="115"/>
      <c r="D3234" s="124">
        <v>1.1000000000000001</v>
      </c>
      <c r="E3234" s="110"/>
      <c r="F3234" s="110"/>
    </row>
    <row r="3235" spans="1:6" x14ac:dyDescent="0.35">
      <c r="A3235" s="261" t="s">
        <v>245</v>
      </c>
      <c r="B3235" s="242" t="s">
        <v>785</v>
      </c>
      <c r="C3235" s="208" t="s">
        <v>59</v>
      </c>
      <c r="D3235" s="208"/>
      <c r="E3235" s="209"/>
      <c r="F3235" s="209">
        <f>+D3234*F3233</f>
        <v>507015.53100000008</v>
      </c>
    </row>
    <row r="3236" spans="1:6" x14ac:dyDescent="0.35">
      <c r="A3236" s="261" t="s">
        <v>246</v>
      </c>
      <c r="B3236" s="207"/>
      <c r="C3236" s="208"/>
      <c r="D3236" s="208"/>
      <c r="E3236" s="210">
        <f>+E3204</f>
        <v>3035.45</v>
      </c>
      <c r="F3236" s="210">
        <f>+F3235/E3236</f>
        <v>167.03142235912307</v>
      </c>
    </row>
    <row r="3237" spans="1:6" x14ac:dyDescent="0.35">
      <c r="A3237" s="267"/>
      <c r="B3237" s="186"/>
      <c r="C3237" s="268"/>
      <c r="D3237" s="269"/>
      <c r="E3237" s="270"/>
      <c r="F3237" s="271"/>
    </row>
    <row r="3238" spans="1:6" x14ac:dyDescent="0.35">
      <c r="A3238" s="272"/>
      <c r="B3238" s="191"/>
      <c r="C3238" s="273"/>
      <c r="D3238" s="274"/>
      <c r="E3238" s="275"/>
      <c r="F3238" s="276"/>
    </row>
    <row r="3239" spans="1:6" x14ac:dyDescent="0.3">
      <c r="A3239" s="257" t="s">
        <v>227</v>
      </c>
      <c r="B3239" s="258" t="s">
        <v>228</v>
      </c>
      <c r="C3239" s="200" t="s">
        <v>2</v>
      </c>
      <c r="D3239" s="202" t="s">
        <v>765</v>
      </c>
      <c r="E3239" s="203" t="s">
        <v>766</v>
      </c>
      <c r="F3239" s="203" t="s">
        <v>767</v>
      </c>
    </row>
    <row r="3240" spans="1:6" x14ac:dyDescent="0.3">
      <c r="A3240" s="237" t="s">
        <v>229</v>
      </c>
      <c r="B3240" s="266" t="s">
        <v>230</v>
      </c>
      <c r="C3240" s="256"/>
      <c r="D3240" s="141"/>
      <c r="E3240" s="110"/>
      <c r="F3240" s="110"/>
    </row>
    <row r="3241" spans="1:6" x14ac:dyDescent="0.3">
      <c r="A3241" s="239" t="s">
        <v>246</v>
      </c>
      <c r="B3241" s="254" t="s">
        <v>1293</v>
      </c>
      <c r="C3241" s="256" t="s">
        <v>59</v>
      </c>
      <c r="D3241" s="141"/>
      <c r="E3241" s="110"/>
      <c r="F3241" s="110"/>
    </row>
    <row r="3242" spans="1:6" x14ac:dyDescent="0.35">
      <c r="A3242" s="111"/>
      <c r="B3242" s="112" t="s">
        <v>802</v>
      </c>
      <c r="C3242" s="118"/>
      <c r="D3242" s="118"/>
      <c r="E3242" s="119"/>
      <c r="F3242" s="119"/>
    </row>
    <row r="3243" spans="1:6" x14ac:dyDescent="0.35">
      <c r="A3243" s="111"/>
      <c r="B3243" s="120" t="s">
        <v>942</v>
      </c>
      <c r="C3243" s="118" t="s">
        <v>27</v>
      </c>
      <c r="D3243" s="118">
        <f>(1.655+1.65)*2</f>
        <v>6.6099999999999994</v>
      </c>
      <c r="E3243" s="119">
        <f>48000/6</f>
        <v>8000</v>
      </c>
      <c r="F3243" s="119">
        <f>+D3243*E3243</f>
        <v>52879.999999999993</v>
      </c>
    </row>
    <row r="3244" spans="1:6" x14ac:dyDescent="0.35">
      <c r="A3244" s="111"/>
      <c r="B3244" s="120" t="s">
        <v>943</v>
      </c>
      <c r="C3244" s="118" t="s">
        <v>27</v>
      </c>
      <c r="D3244" s="118">
        <f>((1.65/0.12)-1)*1.655</f>
        <v>21.10125</v>
      </c>
      <c r="E3244" s="119">
        <f>65000/12</f>
        <v>5416.666666666667</v>
      </c>
      <c r="F3244" s="119">
        <f t="shared" ref="F3244:F3251" si="53">+D3244*E3244</f>
        <v>114298.43750000001</v>
      </c>
    </row>
    <row r="3245" spans="1:6" x14ac:dyDescent="0.35">
      <c r="A3245" s="111"/>
      <c r="B3245" s="120" t="s">
        <v>944</v>
      </c>
      <c r="C3245" s="118" t="s">
        <v>35</v>
      </c>
      <c r="D3245" s="118">
        <f>1.655*1.65</f>
        <v>2.73075</v>
      </c>
      <c r="E3245" s="119">
        <f>120000/12</f>
        <v>10000</v>
      </c>
      <c r="F3245" s="119">
        <f t="shared" si="53"/>
        <v>27307.5</v>
      </c>
    </row>
    <row r="3246" spans="1:6" x14ac:dyDescent="0.35">
      <c r="A3246" s="111"/>
      <c r="B3246" s="120" t="s">
        <v>945</v>
      </c>
      <c r="C3246" s="118" t="s">
        <v>27</v>
      </c>
      <c r="D3246" s="118">
        <f>(2.4+0.5)*2+0.5</f>
        <v>6.3</v>
      </c>
      <c r="E3246" s="119">
        <f>25000/6</f>
        <v>4166.666666666667</v>
      </c>
      <c r="F3246" s="119">
        <f t="shared" si="53"/>
        <v>26250</v>
      </c>
    </row>
    <row r="3247" spans="1:6" x14ac:dyDescent="0.35">
      <c r="A3247" s="111"/>
      <c r="B3247" s="120" t="s">
        <v>946</v>
      </c>
      <c r="C3247" s="118" t="s">
        <v>27</v>
      </c>
      <c r="D3247" s="118">
        <v>1.655</v>
      </c>
      <c r="E3247" s="119">
        <v>4666.666666666667</v>
      </c>
      <c r="F3247" s="119">
        <f t="shared" si="53"/>
        <v>7723.3333333333339</v>
      </c>
    </row>
    <row r="3248" spans="1:6" x14ac:dyDescent="0.35">
      <c r="A3248" s="111"/>
      <c r="B3248" s="120" t="s">
        <v>947</v>
      </c>
      <c r="C3248" s="118" t="s">
        <v>948</v>
      </c>
      <c r="D3248" s="118">
        <v>0.25</v>
      </c>
      <c r="E3248" s="119">
        <f>45000/4</f>
        <v>11250</v>
      </c>
      <c r="F3248" s="119">
        <f t="shared" si="53"/>
        <v>2812.5</v>
      </c>
    </row>
    <row r="3249" spans="1:6" x14ac:dyDescent="0.35">
      <c r="A3249" s="111"/>
      <c r="B3249" s="120" t="s">
        <v>949</v>
      </c>
      <c r="C3249" s="118" t="s">
        <v>948</v>
      </c>
      <c r="D3249" s="118">
        <v>0.25</v>
      </c>
      <c r="E3249" s="119">
        <f>45000/4</f>
        <v>11250</v>
      </c>
      <c r="F3249" s="119">
        <f t="shared" si="53"/>
        <v>2812.5</v>
      </c>
    </row>
    <row r="3250" spans="1:6" x14ac:dyDescent="0.35">
      <c r="A3250" s="111"/>
      <c r="B3250" s="120" t="s">
        <v>1163</v>
      </c>
      <c r="C3250" s="118" t="s">
        <v>950</v>
      </c>
      <c r="D3250" s="118">
        <v>1</v>
      </c>
      <c r="E3250" s="119">
        <v>40000</v>
      </c>
      <c r="F3250" s="119">
        <f t="shared" si="53"/>
        <v>40000</v>
      </c>
    </row>
    <row r="3251" spans="1:6" x14ac:dyDescent="0.35">
      <c r="A3251" s="111"/>
      <c r="B3251" s="120" t="s">
        <v>951</v>
      </c>
      <c r="C3251" s="118" t="s">
        <v>59</v>
      </c>
      <c r="D3251" s="118">
        <v>16</v>
      </c>
      <c r="E3251" s="119">
        <v>40000</v>
      </c>
      <c r="F3251" s="119">
        <f t="shared" si="53"/>
        <v>640000</v>
      </c>
    </row>
    <row r="3252" spans="1:6" x14ac:dyDescent="0.35">
      <c r="A3252" s="111"/>
      <c r="B3252" s="120" t="s">
        <v>952</v>
      </c>
      <c r="C3252" s="118"/>
      <c r="D3252" s="118"/>
      <c r="E3252" s="119"/>
      <c r="F3252" s="119">
        <f>+(F3243+F3248+F3249+F3250+F3251+F3244+F3245+F3246+F3247)*0.1</f>
        <v>91408.427083333343</v>
      </c>
    </row>
    <row r="3253" spans="1:6" x14ac:dyDescent="0.35">
      <c r="A3253" s="107"/>
      <c r="B3253" s="108" t="s">
        <v>769</v>
      </c>
      <c r="C3253" s="109"/>
      <c r="D3253" s="124"/>
      <c r="E3253" s="117"/>
      <c r="F3253" s="110">
        <f>SUM(F3243:F3252)</f>
        <v>1005492.6979166667</v>
      </c>
    </row>
    <row r="3254" spans="1:6" x14ac:dyDescent="0.3">
      <c r="A3254" s="111"/>
      <c r="B3254" s="136" t="s">
        <v>808</v>
      </c>
      <c r="C3254" s="115"/>
      <c r="D3254" s="124"/>
      <c r="E3254" s="117"/>
      <c r="F3254" s="110"/>
    </row>
    <row r="3255" spans="1:6" x14ac:dyDescent="0.25">
      <c r="A3255" s="111"/>
      <c r="B3255" s="134" t="s">
        <v>820</v>
      </c>
      <c r="C3255" s="115" t="s">
        <v>772</v>
      </c>
      <c r="D3255" s="124">
        <v>0.25</v>
      </c>
      <c r="E3255" s="117">
        <v>7500</v>
      </c>
      <c r="F3255" s="117">
        <f t="shared" ref="F3255:F3261" si="54">+D3255*E3255</f>
        <v>1875</v>
      </c>
    </row>
    <row r="3256" spans="1:6" x14ac:dyDescent="0.25">
      <c r="A3256" s="111"/>
      <c r="B3256" s="134" t="s">
        <v>821</v>
      </c>
      <c r="C3256" s="115" t="s">
        <v>772</v>
      </c>
      <c r="D3256" s="124">
        <v>0.25</v>
      </c>
      <c r="E3256" s="117">
        <v>7500</v>
      </c>
      <c r="F3256" s="117">
        <f t="shared" si="54"/>
        <v>1875</v>
      </c>
    </row>
    <row r="3257" spans="1:6" x14ac:dyDescent="0.25">
      <c r="A3257" s="111"/>
      <c r="B3257" s="134" t="s">
        <v>895</v>
      </c>
      <c r="C3257" s="115" t="s">
        <v>772</v>
      </c>
      <c r="D3257" s="124">
        <v>0.5</v>
      </c>
      <c r="E3257" s="117">
        <v>15000</v>
      </c>
      <c r="F3257" s="117">
        <f t="shared" si="54"/>
        <v>7500</v>
      </c>
    </row>
    <row r="3258" spans="1:6" x14ac:dyDescent="0.25">
      <c r="A3258" s="111"/>
      <c r="B3258" s="134" t="s">
        <v>896</v>
      </c>
      <c r="C3258" s="115" t="s">
        <v>772</v>
      </c>
      <c r="D3258" s="124">
        <v>0.5</v>
      </c>
      <c r="E3258" s="117">
        <v>15000</v>
      </c>
      <c r="F3258" s="117">
        <f t="shared" si="54"/>
        <v>7500</v>
      </c>
    </row>
    <row r="3259" spans="1:6" x14ac:dyDescent="0.25">
      <c r="A3259" s="111"/>
      <c r="B3259" s="134" t="s">
        <v>773</v>
      </c>
      <c r="C3259" s="115" t="s">
        <v>772</v>
      </c>
      <c r="D3259" s="124">
        <v>0.5</v>
      </c>
      <c r="E3259" s="117">
        <v>15000</v>
      </c>
      <c r="F3259" s="117">
        <f t="shared" si="54"/>
        <v>7500</v>
      </c>
    </row>
    <row r="3260" spans="1:6" x14ac:dyDescent="0.25">
      <c r="A3260" s="111"/>
      <c r="B3260" s="134" t="s">
        <v>851</v>
      </c>
      <c r="C3260" s="115" t="s">
        <v>772</v>
      </c>
      <c r="D3260" s="124">
        <v>0.5</v>
      </c>
      <c r="E3260" s="117">
        <v>15000</v>
      </c>
      <c r="F3260" s="117">
        <f t="shared" si="54"/>
        <v>7500</v>
      </c>
    </row>
    <row r="3261" spans="1:6" x14ac:dyDescent="0.25">
      <c r="A3261" s="111"/>
      <c r="B3261" s="134" t="s">
        <v>953</v>
      </c>
      <c r="C3261" s="115" t="s">
        <v>772</v>
      </c>
      <c r="D3261" s="124">
        <v>0.15</v>
      </c>
      <c r="E3261" s="117">
        <v>15000</v>
      </c>
      <c r="F3261" s="117">
        <f t="shared" si="54"/>
        <v>2250</v>
      </c>
    </row>
    <row r="3262" spans="1:6" x14ac:dyDescent="0.3">
      <c r="A3262" s="111"/>
      <c r="B3262" s="136" t="s">
        <v>774</v>
      </c>
      <c r="C3262" s="115"/>
      <c r="D3262" s="124"/>
      <c r="E3262" s="117"/>
      <c r="F3262" s="110">
        <f>SUM(F3255:F3261)</f>
        <v>36000</v>
      </c>
    </row>
    <row r="3263" spans="1:6" x14ac:dyDescent="0.3">
      <c r="A3263" s="111"/>
      <c r="B3263" s="136" t="s">
        <v>775</v>
      </c>
      <c r="C3263" s="115"/>
      <c r="D3263" s="109"/>
      <c r="E3263" s="110"/>
      <c r="F3263" s="110">
        <f>+F3262+F3253</f>
        <v>1041492.6979166667</v>
      </c>
    </row>
    <row r="3264" spans="1:6" x14ac:dyDescent="0.25">
      <c r="A3264" s="111"/>
      <c r="B3264" s="134" t="s">
        <v>824</v>
      </c>
      <c r="C3264" s="115"/>
      <c r="D3264" s="124">
        <v>1.1000000000000001</v>
      </c>
      <c r="E3264" s="110"/>
      <c r="F3264" s="110">
        <f>+F3263*D3264</f>
        <v>1145641.9677083334</v>
      </c>
    </row>
    <row r="3265" spans="1:6" x14ac:dyDescent="0.25">
      <c r="A3265" s="111"/>
      <c r="B3265" s="134" t="s">
        <v>825</v>
      </c>
      <c r="C3265" s="115"/>
      <c r="D3265" s="124">
        <v>1.1000000000000001</v>
      </c>
      <c r="E3265" s="110"/>
      <c r="F3265" s="110"/>
    </row>
    <row r="3266" spans="1:6" x14ac:dyDescent="0.35">
      <c r="A3266" s="261" t="s">
        <v>246</v>
      </c>
      <c r="B3266" s="242" t="s">
        <v>785</v>
      </c>
      <c r="C3266" s="208" t="s">
        <v>59</v>
      </c>
      <c r="D3266" s="208"/>
      <c r="E3266" s="209"/>
      <c r="F3266" s="209">
        <f>+D3265*F3264</f>
        <v>1260206.1644791667</v>
      </c>
    </row>
    <row r="3267" spans="1:6" x14ac:dyDescent="0.35">
      <c r="A3267" s="206"/>
      <c r="B3267" s="207"/>
      <c r="C3267" s="208"/>
      <c r="D3267" s="208"/>
      <c r="E3267" s="210">
        <f>+E3236</f>
        <v>3035.45</v>
      </c>
      <c r="F3267" s="210">
        <f>+F3266/E3267</f>
        <v>415.16288012623062</v>
      </c>
    </row>
    <row r="3268" spans="1:6" x14ac:dyDescent="0.35">
      <c r="A3268" s="267"/>
      <c r="B3268" s="186"/>
      <c r="C3268" s="268"/>
      <c r="D3268" s="269"/>
      <c r="E3268" s="270"/>
      <c r="F3268" s="271"/>
    </row>
    <row r="3269" spans="1:6" x14ac:dyDescent="0.35">
      <c r="A3269" s="272"/>
      <c r="B3269" s="191"/>
      <c r="C3269" s="273"/>
      <c r="D3269" s="274"/>
      <c r="E3269" s="275"/>
      <c r="F3269" s="276"/>
    </row>
    <row r="3270" spans="1:6" x14ac:dyDescent="0.3">
      <c r="A3270" s="257" t="s">
        <v>227</v>
      </c>
      <c r="B3270" s="258" t="s">
        <v>228</v>
      </c>
      <c r="C3270" s="200" t="s">
        <v>2</v>
      </c>
      <c r="D3270" s="202" t="s">
        <v>765</v>
      </c>
      <c r="E3270" s="203" t="s">
        <v>766</v>
      </c>
      <c r="F3270" s="203" t="s">
        <v>767</v>
      </c>
    </row>
    <row r="3271" spans="1:6" x14ac:dyDescent="0.3">
      <c r="A3271" s="237" t="s">
        <v>229</v>
      </c>
      <c r="B3271" s="266" t="s">
        <v>230</v>
      </c>
      <c r="C3271" s="256"/>
      <c r="D3271" s="141"/>
      <c r="E3271" s="110"/>
      <c r="F3271" s="110"/>
    </row>
    <row r="3272" spans="1:6" x14ac:dyDescent="0.3">
      <c r="A3272" s="239" t="s">
        <v>247</v>
      </c>
      <c r="B3272" s="254" t="s">
        <v>681</v>
      </c>
      <c r="C3272" s="256" t="s">
        <v>59</v>
      </c>
      <c r="D3272" s="141"/>
      <c r="E3272" s="110"/>
      <c r="F3272" s="110"/>
    </row>
    <row r="3273" spans="1:6" x14ac:dyDescent="0.35">
      <c r="A3273" s="111"/>
      <c r="B3273" s="112" t="s">
        <v>802</v>
      </c>
      <c r="C3273" s="118"/>
      <c r="D3273" s="118"/>
      <c r="E3273" s="119"/>
      <c r="F3273" s="119"/>
    </row>
    <row r="3274" spans="1:6" x14ac:dyDescent="0.35">
      <c r="A3274" s="111"/>
      <c r="B3274" s="120" t="s">
        <v>942</v>
      </c>
      <c r="C3274" s="118" t="s">
        <v>27</v>
      </c>
      <c r="D3274" s="118">
        <f>(1.215+1.65)*2</f>
        <v>5.73</v>
      </c>
      <c r="E3274" s="119">
        <f>48000/6</f>
        <v>8000</v>
      </c>
      <c r="F3274" s="119">
        <f>+D3274*E3274</f>
        <v>45840</v>
      </c>
    </row>
    <row r="3275" spans="1:6" x14ac:dyDescent="0.35">
      <c r="A3275" s="111"/>
      <c r="B3275" s="120" t="s">
        <v>943</v>
      </c>
      <c r="C3275" s="118" t="s">
        <v>27</v>
      </c>
      <c r="D3275" s="118">
        <f>+((1.215/0.12)+1)*1.65</f>
        <v>18.356250000000003</v>
      </c>
      <c r="E3275" s="119">
        <f>65000/12</f>
        <v>5416.666666666667</v>
      </c>
      <c r="F3275" s="119">
        <f t="shared" ref="F3275:F3282" si="55">+D3275*E3275</f>
        <v>99429.687500000015</v>
      </c>
    </row>
    <row r="3276" spans="1:6" x14ac:dyDescent="0.35">
      <c r="A3276" s="111"/>
      <c r="B3276" s="120" t="s">
        <v>944</v>
      </c>
      <c r="C3276" s="118" t="s">
        <v>35</v>
      </c>
      <c r="D3276" s="118">
        <f>1.215*1.65</f>
        <v>2.00475</v>
      </c>
      <c r="E3276" s="119">
        <f>120000/12</f>
        <v>10000</v>
      </c>
      <c r="F3276" s="119">
        <f t="shared" si="55"/>
        <v>20047.5</v>
      </c>
    </row>
    <row r="3277" spans="1:6" x14ac:dyDescent="0.35">
      <c r="A3277" s="111"/>
      <c r="B3277" s="120" t="s">
        <v>945</v>
      </c>
      <c r="C3277" s="118" t="s">
        <v>27</v>
      </c>
      <c r="D3277" s="118">
        <f>(2+1.7)*2+1.7</f>
        <v>9.1</v>
      </c>
      <c r="E3277" s="119">
        <f>25000/6</f>
        <v>4166.666666666667</v>
      </c>
      <c r="F3277" s="119">
        <f t="shared" si="55"/>
        <v>37916.666666666672</v>
      </c>
    </row>
    <row r="3278" spans="1:6" x14ac:dyDescent="0.35">
      <c r="A3278" s="111"/>
      <c r="B3278" s="120" t="s">
        <v>946</v>
      </c>
      <c r="C3278" s="118" t="s">
        <v>27</v>
      </c>
      <c r="D3278" s="118">
        <v>1.7</v>
      </c>
      <c r="E3278" s="119">
        <v>4666.666666666667</v>
      </c>
      <c r="F3278" s="119">
        <f t="shared" si="55"/>
        <v>7933.3333333333339</v>
      </c>
    </row>
    <row r="3279" spans="1:6" x14ac:dyDescent="0.35">
      <c r="A3279" s="111"/>
      <c r="B3279" s="120" t="s">
        <v>947</v>
      </c>
      <c r="C3279" s="118" t="s">
        <v>948</v>
      </c>
      <c r="D3279" s="118">
        <v>0.25</v>
      </c>
      <c r="E3279" s="119">
        <f>45000/4</f>
        <v>11250</v>
      </c>
      <c r="F3279" s="119">
        <f t="shared" si="55"/>
        <v>2812.5</v>
      </c>
    </row>
    <row r="3280" spans="1:6" x14ac:dyDescent="0.35">
      <c r="A3280" s="111"/>
      <c r="B3280" s="120" t="s">
        <v>949</v>
      </c>
      <c r="C3280" s="118" t="s">
        <v>948</v>
      </c>
      <c r="D3280" s="118">
        <v>0.25</v>
      </c>
      <c r="E3280" s="119">
        <f>45000/4</f>
        <v>11250</v>
      </c>
      <c r="F3280" s="119">
        <f t="shared" si="55"/>
        <v>2812.5</v>
      </c>
    </row>
    <row r="3281" spans="1:6" x14ac:dyDescent="0.35">
      <c r="A3281" s="111"/>
      <c r="B3281" s="120" t="s">
        <v>1160</v>
      </c>
      <c r="C3281" s="118" t="s">
        <v>950</v>
      </c>
      <c r="D3281" s="118">
        <v>1</v>
      </c>
      <c r="E3281" s="119">
        <v>40000</v>
      </c>
      <c r="F3281" s="119">
        <f t="shared" si="55"/>
        <v>40000</v>
      </c>
    </row>
    <row r="3282" spans="1:6" x14ac:dyDescent="0.35">
      <c r="A3282" s="111"/>
      <c r="B3282" s="120" t="s">
        <v>951</v>
      </c>
      <c r="C3282" s="118" t="s">
        <v>59</v>
      </c>
      <c r="D3282" s="118">
        <v>16</v>
      </c>
      <c r="E3282" s="119">
        <v>40000</v>
      </c>
      <c r="F3282" s="119">
        <f t="shared" si="55"/>
        <v>640000</v>
      </c>
    </row>
    <row r="3283" spans="1:6" x14ac:dyDescent="0.35">
      <c r="A3283" s="111"/>
      <c r="B3283" s="120" t="s">
        <v>952</v>
      </c>
      <c r="C3283" s="118"/>
      <c r="D3283" s="118"/>
      <c r="E3283" s="119"/>
      <c r="F3283" s="119">
        <f>+(F3274+F3279+F3280+F3281+F3282+F3278+F3277+F3276+F3275)*0.1</f>
        <v>89679.21875</v>
      </c>
    </row>
    <row r="3284" spans="1:6" x14ac:dyDescent="0.35">
      <c r="A3284" s="107"/>
      <c r="B3284" s="108" t="s">
        <v>769</v>
      </c>
      <c r="C3284" s="109"/>
      <c r="D3284" s="124"/>
      <c r="E3284" s="117"/>
      <c r="F3284" s="110">
        <f>SUM(F3274:F3283)</f>
        <v>986471.40625</v>
      </c>
    </row>
    <row r="3285" spans="1:6" x14ac:dyDescent="0.3">
      <c r="A3285" s="111"/>
      <c r="B3285" s="136" t="s">
        <v>808</v>
      </c>
      <c r="C3285" s="115"/>
      <c r="D3285" s="124"/>
      <c r="E3285" s="117"/>
      <c r="F3285" s="110"/>
    </row>
    <row r="3286" spans="1:6" x14ac:dyDescent="0.25">
      <c r="A3286" s="111"/>
      <c r="B3286" s="134" t="s">
        <v>820</v>
      </c>
      <c r="C3286" s="115" t="s">
        <v>772</v>
      </c>
      <c r="D3286" s="124">
        <v>0.25</v>
      </c>
      <c r="E3286" s="117">
        <v>7500</v>
      </c>
      <c r="F3286" s="117">
        <f t="shared" ref="F3286:F3292" si="56">+D3286*E3286</f>
        <v>1875</v>
      </c>
    </row>
    <row r="3287" spans="1:6" x14ac:dyDescent="0.25">
      <c r="A3287" s="111"/>
      <c r="B3287" s="134" t="s">
        <v>821</v>
      </c>
      <c r="C3287" s="115" t="s">
        <v>772</v>
      </c>
      <c r="D3287" s="124">
        <v>0.25</v>
      </c>
      <c r="E3287" s="117">
        <v>7500</v>
      </c>
      <c r="F3287" s="117">
        <f t="shared" si="56"/>
        <v>1875</v>
      </c>
    </row>
    <row r="3288" spans="1:6" x14ac:dyDescent="0.25">
      <c r="A3288" s="111"/>
      <c r="B3288" s="134" t="s">
        <v>895</v>
      </c>
      <c r="C3288" s="115" t="s">
        <v>772</v>
      </c>
      <c r="D3288" s="124">
        <v>0.5</v>
      </c>
      <c r="E3288" s="117">
        <v>15000</v>
      </c>
      <c r="F3288" s="117">
        <f t="shared" si="56"/>
        <v>7500</v>
      </c>
    </row>
    <row r="3289" spans="1:6" x14ac:dyDescent="0.25">
      <c r="A3289" s="111"/>
      <c r="B3289" s="134" t="s">
        <v>896</v>
      </c>
      <c r="C3289" s="115" t="s">
        <v>772</v>
      </c>
      <c r="D3289" s="124">
        <v>0.5</v>
      </c>
      <c r="E3289" s="117">
        <v>15000</v>
      </c>
      <c r="F3289" s="117">
        <f t="shared" si="56"/>
        <v>7500</v>
      </c>
    </row>
    <row r="3290" spans="1:6" x14ac:dyDescent="0.25">
      <c r="A3290" s="111"/>
      <c r="B3290" s="134" t="s">
        <v>773</v>
      </c>
      <c r="C3290" s="115" t="s">
        <v>772</v>
      </c>
      <c r="D3290" s="124">
        <v>0.5</v>
      </c>
      <c r="E3290" s="117">
        <v>15000</v>
      </c>
      <c r="F3290" s="117">
        <f t="shared" si="56"/>
        <v>7500</v>
      </c>
    </row>
    <row r="3291" spans="1:6" x14ac:dyDescent="0.25">
      <c r="A3291" s="111"/>
      <c r="B3291" s="134" t="s">
        <v>851</v>
      </c>
      <c r="C3291" s="115" t="s">
        <v>772</v>
      </c>
      <c r="D3291" s="124">
        <v>0.5</v>
      </c>
      <c r="E3291" s="117">
        <v>15000</v>
      </c>
      <c r="F3291" s="117">
        <f t="shared" si="56"/>
        <v>7500</v>
      </c>
    </row>
    <row r="3292" spans="1:6" x14ac:dyDescent="0.25">
      <c r="A3292" s="111"/>
      <c r="B3292" s="134" t="s">
        <v>953</v>
      </c>
      <c r="C3292" s="115" t="s">
        <v>772</v>
      </c>
      <c r="D3292" s="124">
        <v>0.15</v>
      </c>
      <c r="E3292" s="117">
        <v>15000</v>
      </c>
      <c r="F3292" s="117">
        <f t="shared" si="56"/>
        <v>2250</v>
      </c>
    </row>
    <row r="3293" spans="1:6" x14ac:dyDescent="0.3">
      <c r="A3293" s="111"/>
      <c r="B3293" s="136" t="s">
        <v>774</v>
      </c>
      <c r="C3293" s="115"/>
      <c r="D3293" s="124"/>
      <c r="E3293" s="117"/>
      <c r="F3293" s="110">
        <f>SUM(F3286:F3292)</f>
        <v>36000</v>
      </c>
    </row>
    <row r="3294" spans="1:6" x14ac:dyDescent="0.3">
      <c r="A3294" s="111"/>
      <c r="B3294" s="136" t="s">
        <v>775</v>
      </c>
      <c r="C3294" s="115"/>
      <c r="D3294" s="109"/>
      <c r="E3294" s="110"/>
      <c r="F3294" s="110">
        <f>+F3293+F3284</f>
        <v>1022471.40625</v>
      </c>
    </row>
    <row r="3295" spans="1:6" x14ac:dyDescent="0.25">
      <c r="A3295" s="111"/>
      <c r="B3295" s="134" t="s">
        <v>824</v>
      </c>
      <c r="C3295" s="115"/>
      <c r="D3295" s="124">
        <v>1.1000000000000001</v>
      </c>
      <c r="E3295" s="110"/>
      <c r="F3295" s="110">
        <f>+F3294*D3295</f>
        <v>1124718.546875</v>
      </c>
    </row>
    <row r="3296" spans="1:6" x14ac:dyDescent="0.25">
      <c r="A3296" s="111"/>
      <c r="B3296" s="134" t="s">
        <v>825</v>
      </c>
      <c r="C3296" s="115"/>
      <c r="D3296" s="124">
        <v>1.1000000000000001</v>
      </c>
      <c r="E3296" s="110"/>
      <c r="F3296" s="110"/>
    </row>
    <row r="3297" spans="1:6" x14ac:dyDescent="0.35">
      <c r="A3297" s="261" t="s">
        <v>247</v>
      </c>
      <c r="B3297" s="242" t="s">
        <v>785</v>
      </c>
      <c r="C3297" s="208" t="s">
        <v>59</v>
      </c>
      <c r="D3297" s="208"/>
      <c r="E3297" s="209"/>
      <c r="F3297" s="209">
        <f>+D3296*F3295</f>
        <v>1237190.4015625</v>
      </c>
    </row>
    <row r="3298" spans="1:6" x14ac:dyDescent="0.35">
      <c r="A3298" s="206"/>
      <c r="B3298" s="207"/>
      <c r="C3298" s="208"/>
      <c r="D3298" s="208"/>
      <c r="E3298" s="210">
        <f>+E3267</f>
        <v>3035.45</v>
      </c>
      <c r="F3298" s="210">
        <f>+F3297/E3298</f>
        <v>407.58055693966304</v>
      </c>
    </row>
    <row r="3299" spans="1:6" x14ac:dyDescent="0.35">
      <c r="A3299" s="267"/>
      <c r="B3299" s="186"/>
      <c r="C3299" s="268"/>
      <c r="D3299" s="269"/>
      <c r="E3299" s="270"/>
      <c r="F3299" s="271"/>
    </row>
    <row r="3300" spans="1:6" x14ac:dyDescent="0.35">
      <c r="A3300" s="272"/>
      <c r="B3300" s="191"/>
      <c r="C3300" s="273"/>
      <c r="D3300" s="274"/>
      <c r="E3300" s="275"/>
      <c r="F3300" s="276"/>
    </row>
    <row r="3301" spans="1:6" x14ac:dyDescent="0.3">
      <c r="A3301" s="257" t="s">
        <v>227</v>
      </c>
      <c r="B3301" s="258" t="s">
        <v>228</v>
      </c>
      <c r="C3301" s="200" t="s">
        <v>2</v>
      </c>
      <c r="D3301" s="202" t="s">
        <v>765</v>
      </c>
      <c r="E3301" s="203" t="s">
        <v>766</v>
      </c>
      <c r="F3301" s="203" t="s">
        <v>767</v>
      </c>
    </row>
    <row r="3302" spans="1:6" x14ac:dyDescent="0.3">
      <c r="A3302" s="237" t="s">
        <v>229</v>
      </c>
      <c r="B3302" s="266" t="s">
        <v>230</v>
      </c>
      <c r="C3302" s="256"/>
      <c r="D3302" s="141"/>
      <c r="E3302" s="110"/>
      <c r="F3302" s="110"/>
    </row>
    <row r="3303" spans="1:6" x14ac:dyDescent="0.3">
      <c r="A3303" s="239" t="s">
        <v>248</v>
      </c>
      <c r="B3303" s="254" t="s">
        <v>729</v>
      </c>
      <c r="C3303" s="256" t="s">
        <v>59</v>
      </c>
      <c r="D3303" s="141"/>
      <c r="E3303" s="110"/>
      <c r="F3303" s="110"/>
    </row>
    <row r="3304" spans="1:6" x14ac:dyDescent="0.35">
      <c r="A3304" s="111"/>
      <c r="B3304" s="112" t="s">
        <v>802</v>
      </c>
      <c r="C3304" s="118"/>
      <c r="D3304" s="118"/>
      <c r="E3304" s="119"/>
      <c r="F3304" s="119"/>
    </row>
    <row r="3305" spans="1:6" x14ac:dyDescent="0.35">
      <c r="A3305" s="111"/>
      <c r="B3305" s="120" t="s">
        <v>942</v>
      </c>
      <c r="C3305" s="118" t="s">
        <v>27</v>
      </c>
      <c r="D3305" s="118">
        <f>(1.215+1.45)*2</f>
        <v>5.33</v>
      </c>
      <c r="E3305" s="119">
        <f>48000/6</f>
        <v>8000</v>
      </c>
      <c r="F3305" s="119">
        <f>+D3305*E3305</f>
        <v>42640</v>
      </c>
    </row>
    <row r="3306" spans="1:6" x14ac:dyDescent="0.35">
      <c r="A3306" s="111"/>
      <c r="B3306" s="120" t="s">
        <v>943</v>
      </c>
      <c r="C3306" s="118" t="s">
        <v>27</v>
      </c>
      <c r="D3306" s="118">
        <f>((1.215/0.12)-1)*1.43</f>
        <v>13.048750000000002</v>
      </c>
      <c r="E3306" s="119">
        <f>65000/12</f>
        <v>5416.666666666667</v>
      </c>
      <c r="F3306" s="119">
        <f t="shared" ref="F3306:F3313" si="57">+D3306*E3306</f>
        <v>70680.729166666686</v>
      </c>
    </row>
    <row r="3307" spans="1:6" x14ac:dyDescent="0.35">
      <c r="A3307" s="111"/>
      <c r="B3307" s="120" t="s">
        <v>944</v>
      </c>
      <c r="C3307" s="118" t="s">
        <v>35</v>
      </c>
      <c r="D3307" s="118">
        <f>1.215*1.43</f>
        <v>1.7374499999999999</v>
      </c>
      <c r="E3307" s="119">
        <f>120000/12</f>
        <v>10000</v>
      </c>
      <c r="F3307" s="119">
        <f t="shared" si="57"/>
        <v>17374.5</v>
      </c>
    </row>
    <row r="3308" spans="1:6" x14ac:dyDescent="0.35">
      <c r="A3308" s="111"/>
      <c r="B3308" s="120" t="s">
        <v>945</v>
      </c>
      <c r="C3308" s="118" t="s">
        <v>27</v>
      </c>
      <c r="D3308" s="118">
        <f>(1.215+1.43)*2+1.215</f>
        <v>6.5049999999999999</v>
      </c>
      <c r="E3308" s="119">
        <f>25000/6</f>
        <v>4166.666666666667</v>
      </c>
      <c r="F3308" s="119">
        <f t="shared" si="57"/>
        <v>27104.166666666668</v>
      </c>
    </row>
    <row r="3309" spans="1:6" x14ac:dyDescent="0.35">
      <c r="A3309" s="111"/>
      <c r="B3309" s="120" t="s">
        <v>946</v>
      </c>
      <c r="C3309" s="118" t="s">
        <v>27</v>
      </c>
      <c r="D3309" s="118">
        <v>1.43</v>
      </c>
      <c r="E3309" s="119">
        <v>4666.666666666667</v>
      </c>
      <c r="F3309" s="119">
        <f t="shared" si="57"/>
        <v>6673.333333333333</v>
      </c>
    </row>
    <row r="3310" spans="1:6" x14ac:dyDescent="0.35">
      <c r="A3310" s="111"/>
      <c r="B3310" s="120" t="s">
        <v>947</v>
      </c>
      <c r="C3310" s="118" t="s">
        <v>948</v>
      </c>
      <c r="D3310" s="118">
        <v>0.25</v>
      </c>
      <c r="E3310" s="119">
        <f>45000/4</f>
        <v>11250</v>
      </c>
      <c r="F3310" s="119">
        <f t="shared" si="57"/>
        <v>2812.5</v>
      </c>
    </row>
    <row r="3311" spans="1:6" x14ac:dyDescent="0.35">
      <c r="A3311" s="111"/>
      <c r="B3311" s="120" t="s">
        <v>949</v>
      </c>
      <c r="C3311" s="118" t="s">
        <v>948</v>
      </c>
      <c r="D3311" s="118">
        <v>0.25</v>
      </c>
      <c r="E3311" s="119">
        <f>45000/4</f>
        <v>11250</v>
      </c>
      <c r="F3311" s="119">
        <f t="shared" si="57"/>
        <v>2812.5</v>
      </c>
    </row>
    <row r="3312" spans="1:6" x14ac:dyDescent="0.35">
      <c r="A3312" s="111"/>
      <c r="B3312" s="120" t="s">
        <v>1160</v>
      </c>
      <c r="C3312" s="118" t="s">
        <v>950</v>
      </c>
      <c r="D3312" s="118">
        <v>1</v>
      </c>
      <c r="E3312" s="119">
        <v>40000</v>
      </c>
      <c r="F3312" s="119">
        <f t="shared" si="57"/>
        <v>40000</v>
      </c>
    </row>
    <row r="3313" spans="1:6" x14ac:dyDescent="0.35">
      <c r="A3313" s="111"/>
      <c r="B3313" s="120" t="s">
        <v>951</v>
      </c>
      <c r="C3313" s="118" t="s">
        <v>59</v>
      </c>
      <c r="D3313" s="118">
        <v>16</v>
      </c>
      <c r="E3313" s="119">
        <v>40000</v>
      </c>
      <c r="F3313" s="119">
        <f t="shared" si="57"/>
        <v>640000</v>
      </c>
    </row>
    <row r="3314" spans="1:6" x14ac:dyDescent="0.35">
      <c r="A3314" s="111"/>
      <c r="B3314" s="120" t="s">
        <v>952</v>
      </c>
      <c r="C3314" s="118"/>
      <c r="D3314" s="118"/>
      <c r="E3314" s="119"/>
      <c r="F3314" s="119">
        <f>+(F3305+F3310+F3311+F3312+F3313+F3309+F3308+F3307+F3306)*0.1</f>
        <v>85009.772916666683</v>
      </c>
    </row>
    <row r="3315" spans="1:6" x14ac:dyDescent="0.35">
      <c r="A3315" s="107"/>
      <c r="B3315" s="108" t="s">
        <v>769</v>
      </c>
      <c r="C3315" s="109"/>
      <c r="D3315" s="124"/>
      <c r="E3315" s="117"/>
      <c r="F3315" s="110">
        <f>SUM(F3305:F3314)</f>
        <v>935107.50208333344</v>
      </c>
    </row>
    <row r="3316" spans="1:6" x14ac:dyDescent="0.3">
      <c r="A3316" s="111"/>
      <c r="B3316" s="136" t="s">
        <v>808</v>
      </c>
      <c r="C3316" s="115"/>
      <c r="D3316" s="124"/>
      <c r="E3316" s="117"/>
      <c r="F3316" s="110"/>
    </row>
    <row r="3317" spans="1:6" x14ac:dyDescent="0.25">
      <c r="A3317" s="111"/>
      <c r="B3317" s="134" t="s">
        <v>820</v>
      </c>
      <c r="C3317" s="115" t="s">
        <v>772</v>
      </c>
      <c r="D3317" s="124">
        <v>0.25</v>
      </c>
      <c r="E3317" s="117">
        <v>7500</v>
      </c>
      <c r="F3317" s="117">
        <f t="shared" ref="F3317:F3323" si="58">+D3317*E3317</f>
        <v>1875</v>
      </c>
    </row>
    <row r="3318" spans="1:6" x14ac:dyDescent="0.25">
      <c r="A3318" s="111"/>
      <c r="B3318" s="134" t="s">
        <v>821</v>
      </c>
      <c r="C3318" s="115" t="s">
        <v>772</v>
      </c>
      <c r="D3318" s="124">
        <v>0.25</v>
      </c>
      <c r="E3318" s="117">
        <v>7500</v>
      </c>
      <c r="F3318" s="117">
        <f t="shared" si="58"/>
        <v>1875</v>
      </c>
    </row>
    <row r="3319" spans="1:6" x14ac:dyDescent="0.25">
      <c r="A3319" s="111"/>
      <c r="B3319" s="134" t="s">
        <v>895</v>
      </c>
      <c r="C3319" s="115" t="s">
        <v>772</v>
      </c>
      <c r="D3319" s="124">
        <v>0.5</v>
      </c>
      <c r="E3319" s="117">
        <v>15000</v>
      </c>
      <c r="F3319" s="117">
        <f t="shared" si="58"/>
        <v>7500</v>
      </c>
    </row>
    <row r="3320" spans="1:6" x14ac:dyDescent="0.25">
      <c r="A3320" s="111"/>
      <c r="B3320" s="134" t="s">
        <v>896</v>
      </c>
      <c r="C3320" s="115" t="s">
        <v>772</v>
      </c>
      <c r="D3320" s="124">
        <v>0.5</v>
      </c>
      <c r="E3320" s="117">
        <v>15000</v>
      </c>
      <c r="F3320" s="117">
        <f t="shared" si="58"/>
        <v>7500</v>
      </c>
    </row>
    <row r="3321" spans="1:6" x14ac:dyDescent="0.25">
      <c r="A3321" s="111"/>
      <c r="B3321" s="134" t="s">
        <v>773</v>
      </c>
      <c r="C3321" s="115" t="s">
        <v>772</v>
      </c>
      <c r="D3321" s="124">
        <v>0.5</v>
      </c>
      <c r="E3321" s="117">
        <v>15000</v>
      </c>
      <c r="F3321" s="117">
        <f t="shared" si="58"/>
        <v>7500</v>
      </c>
    </row>
    <row r="3322" spans="1:6" x14ac:dyDescent="0.25">
      <c r="A3322" s="111"/>
      <c r="B3322" s="134" t="s">
        <v>851</v>
      </c>
      <c r="C3322" s="115" t="s">
        <v>772</v>
      </c>
      <c r="D3322" s="124">
        <v>0.5</v>
      </c>
      <c r="E3322" s="117">
        <v>15000</v>
      </c>
      <c r="F3322" s="117">
        <f t="shared" si="58"/>
        <v>7500</v>
      </c>
    </row>
    <row r="3323" spans="1:6" x14ac:dyDescent="0.25">
      <c r="A3323" s="111"/>
      <c r="B3323" s="134" t="s">
        <v>953</v>
      </c>
      <c r="C3323" s="115" t="s">
        <v>772</v>
      </c>
      <c r="D3323" s="124">
        <v>0.15</v>
      </c>
      <c r="E3323" s="117">
        <v>15000</v>
      </c>
      <c r="F3323" s="117">
        <f t="shared" si="58"/>
        <v>2250</v>
      </c>
    </row>
    <row r="3324" spans="1:6" x14ac:dyDescent="0.3">
      <c r="A3324" s="111"/>
      <c r="B3324" s="136" t="s">
        <v>774</v>
      </c>
      <c r="C3324" s="115"/>
      <c r="D3324" s="124"/>
      <c r="E3324" s="117"/>
      <c r="F3324" s="110">
        <f>SUM(F3317:F3323)</f>
        <v>36000</v>
      </c>
    </row>
    <row r="3325" spans="1:6" x14ac:dyDescent="0.3">
      <c r="A3325" s="111"/>
      <c r="B3325" s="136" t="s">
        <v>775</v>
      </c>
      <c r="C3325" s="115"/>
      <c r="D3325" s="109"/>
      <c r="E3325" s="110"/>
      <c r="F3325" s="110">
        <f>+F3324+F3315</f>
        <v>971107.50208333344</v>
      </c>
    </row>
    <row r="3326" spans="1:6" x14ac:dyDescent="0.25">
      <c r="A3326" s="111"/>
      <c r="B3326" s="134" t="s">
        <v>824</v>
      </c>
      <c r="C3326" s="115"/>
      <c r="D3326" s="124">
        <v>1.1000000000000001</v>
      </c>
      <c r="E3326" s="110"/>
      <c r="F3326" s="110">
        <f>+F3325*D3326</f>
        <v>1068218.2522916668</v>
      </c>
    </row>
    <row r="3327" spans="1:6" x14ac:dyDescent="0.25">
      <c r="A3327" s="111"/>
      <c r="B3327" s="134" t="s">
        <v>825</v>
      </c>
      <c r="C3327" s="115"/>
      <c r="D3327" s="124">
        <v>1.1000000000000001</v>
      </c>
      <c r="E3327" s="110"/>
      <c r="F3327" s="110"/>
    </row>
    <row r="3328" spans="1:6" x14ac:dyDescent="0.35">
      <c r="A3328" s="261" t="s">
        <v>248</v>
      </c>
      <c r="B3328" s="242" t="s">
        <v>785</v>
      </c>
      <c r="C3328" s="208" t="s">
        <v>59</v>
      </c>
      <c r="D3328" s="208"/>
      <c r="E3328" s="209"/>
      <c r="F3328" s="209">
        <f>+D3327*F3326</f>
        <v>1175040.0775208336</v>
      </c>
    </row>
    <row r="3329" spans="1:6" x14ac:dyDescent="0.35">
      <c r="A3329" s="206"/>
      <c r="B3329" s="207"/>
      <c r="C3329" s="208"/>
      <c r="D3329" s="208"/>
      <c r="E3329" s="210">
        <f>+E3298</f>
        <v>3035.45</v>
      </c>
      <c r="F3329" s="210">
        <f>+F3328/E3329</f>
        <v>387.1057265054057</v>
      </c>
    </row>
    <row r="3330" spans="1:6" x14ac:dyDescent="0.35">
      <c r="A3330" s="267"/>
      <c r="B3330" s="186"/>
      <c r="C3330" s="268"/>
      <c r="D3330" s="269"/>
      <c r="E3330" s="270"/>
      <c r="F3330" s="271"/>
    </row>
    <row r="3331" spans="1:6" x14ac:dyDescent="0.35">
      <c r="A3331" s="272"/>
      <c r="B3331" s="191"/>
      <c r="C3331" s="273"/>
      <c r="D3331" s="274"/>
      <c r="E3331" s="275"/>
      <c r="F3331" s="276"/>
    </row>
    <row r="3332" spans="1:6" x14ac:dyDescent="0.3">
      <c r="A3332" s="257" t="s">
        <v>227</v>
      </c>
      <c r="B3332" s="258" t="s">
        <v>228</v>
      </c>
      <c r="C3332" s="200" t="s">
        <v>2</v>
      </c>
      <c r="D3332" s="202" t="s">
        <v>765</v>
      </c>
      <c r="E3332" s="203" t="s">
        <v>766</v>
      </c>
      <c r="F3332" s="203" t="s">
        <v>767</v>
      </c>
    </row>
    <row r="3333" spans="1:6" x14ac:dyDescent="0.3">
      <c r="A3333" s="237" t="s">
        <v>229</v>
      </c>
      <c r="B3333" s="266" t="s">
        <v>230</v>
      </c>
      <c r="C3333" s="256"/>
      <c r="D3333" s="141"/>
      <c r="E3333" s="110"/>
      <c r="F3333" s="110"/>
    </row>
    <row r="3334" spans="1:6" x14ac:dyDescent="0.3">
      <c r="A3334" s="239" t="s">
        <v>249</v>
      </c>
      <c r="B3334" s="254" t="s">
        <v>1294</v>
      </c>
      <c r="C3334" s="256" t="s">
        <v>59</v>
      </c>
      <c r="D3334" s="141"/>
      <c r="E3334" s="110"/>
      <c r="F3334" s="110"/>
    </row>
    <row r="3335" spans="1:6" x14ac:dyDescent="0.35">
      <c r="A3335" s="111"/>
      <c r="B3335" s="112" t="s">
        <v>802</v>
      </c>
      <c r="C3335" s="118"/>
      <c r="D3335" s="118"/>
      <c r="E3335" s="119"/>
      <c r="F3335" s="119"/>
    </row>
    <row r="3336" spans="1:6" x14ac:dyDescent="0.35">
      <c r="A3336" s="111"/>
      <c r="B3336" s="120" t="s">
        <v>942</v>
      </c>
      <c r="C3336" s="118" t="s">
        <v>27</v>
      </c>
      <c r="D3336" s="118">
        <f>(1.5+1.43)*2</f>
        <v>5.8599999999999994</v>
      </c>
      <c r="E3336" s="119">
        <f>48000/6</f>
        <v>8000</v>
      </c>
      <c r="F3336" s="119">
        <f>+D3336*E3336</f>
        <v>46879.999999999993</v>
      </c>
    </row>
    <row r="3337" spans="1:6" x14ac:dyDescent="0.35">
      <c r="A3337" s="111"/>
      <c r="B3337" s="120" t="s">
        <v>943</v>
      </c>
      <c r="C3337" s="118" t="s">
        <v>27</v>
      </c>
      <c r="D3337" s="118">
        <f>((1.43/0.12)-1)*1.5</f>
        <v>16.375</v>
      </c>
      <c r="E3337" s="119">
        <f>65000/12</f>
        <v>5416.666666666667</v>
      </c>
      <c r="F3337" s="119">
        <f t="shared" ref="F3337:F3344" si="59">+D3337*E3337</f>
        <v>88697.916666666672</v>
      </c>
    </row>
    <row r="3338" spans="1:6" x14ac:dyDescent="0.35">
      <c r="A3338" s="111"/>
      <c r="B3338" s="120" t="s">
        <v>944</v>
      </c>
      <c r="C3338" s="118" t="s">
        <v>35</v>
      </c>
      <c r="D3338" s="118">
        <f>1.5*1.43</f>
        <v>2.145</v>
      </c>
      <c r="E3338" s="119">
        <f>120000/12</f>
        <v>10000</v>
      </c>
      <c r="F3338" s="119">
        <f t="shared" si="59"/>
        <v>21450</v>
      </c>
    </row>
    <row r="3339" spans="1:6" x14ac:dyDescent="0.35">
      <c r="A3339" s="111"/>
      <c r="B3339" s="120" t="s">
        <v>945</v>
      </c>
      <c r="C3339" s="118" t="s">
        <v>27</v>
      </c>
      <c r="D3339" s="118">
        <f>(1.5+1.43)*2+1.5</f>
        <v>7.3599999999999994</v>
      </c>
      <c r="E3339" s="119">
        <f>25000/6</f>
        <v>4166.666666666667</v>
      </c>
      <c r="F3339" s="119">
        <f t="shared" si="59"/>
        <v>30666.666666666668</v>
      </c>
    </row>
    <row r="3340" spans="1:6" x14ac:dyDescent="0.35">
      <c r="A3340" s="111"/>
      <c r="B3340" s="120" t="s">
        <v>946</v>
      </c>
      <c r="C3340" s="118" t="s">
        <v>27</v>
      </c>
      <c r="D3340" s="118">
        <v>1.5</v>
      </c>
      <c r="E3340" s="119">
        <v>4666.666666666667</v>
      </c>
      <c r="F3340" s="119">
        <f t="shared" si="59"/>
        <v>7000</v>
      </c>
    </row>
    <row r="3341" spans="1:6" x14ac:dyDescent="0.35">
      <c r="A3341" s="111"/>
      <c r="B3341" s="120" t="s">
        <v>947</v>
      </c>
      <c r="C3341" s="118" t="s">
        <v>948</v>
      </c>
      <c r="D3341" s="118">
        <v>0.25</v>
      </c>
      <c r="E3341" s="119">
        <f>45000/4</f>
        <v>11250</v>
      </c>
      <c r="F3341" s="119">
        <f t="shared" si="59"/>
        <v>2812.5</v>
      </c>
    </row>
    <row r="3342" spans="1:6" x14ac:dyDescent="0.35">
      <c r="A3342" s="111"/>
      <c r="B3342" s="120" t="s">
        <v>949</v>
      </c>
      <c r="C3342" s="118" t="s">
        <v>948</v>
      </c>
      <c r="D3342" s="118">
        <v>0.25</v>
      </c>
      <c r="E3342" s="119">
        <f>45000/4</f>
        <v>11250</v>
      </c>
      <c r="F3342" s="119">
        <f t="shared" si="59"/>
        <v>2812.5</v>
      </c>
    </row>
    <row r="3343" spans="1:6" x14ac:dyDescent="0.35">
      <c r="A3343" s="111"/>
      <c r="B3343" s="120" t="s">
        <v>1161</v>
      </c>
      <c r="C3343" s="118" t="s">
        <v>950</v>
      </c>
      <c r="D3343" s="118">
        <v>1</v>
      </c>
      <c r="E3343" s="119">
        <v>40000</v>
      </c>
      <c r="F3343" s="119">
        <f t="shared" si="59"/>
        <v>40000</v>
      </c>
    </row>
    <row r="3344" spans="1:6" x14ac:dyDescent="0.35">
      <c r="A3344" s="111"/>
      <c r="B3344" s="120" t="s">
        <v>951</v>
      </c>
      <c r="C3344" s="118" t="s">
        <v>59</v>
      </c>
      <c r="D3344" s="118">
        <v>20</v>
      </c>
      <c r="E3344" s="119">
        <v>40000</v>
      </c>
      <c r="F3344" s="119">
        <f t="shared" si="59"/>
        <v>800000</v>
      </c>
    </row>
    <row r="3345" spans="1:6" x14ac:dyDescent="0.35">
      <c r="A3345" s="111"/>
      <c r="B3345" s="120" t="s">
        <v>952</v>
      </c>
      <c r="C3345" s="118"/>
      <c r="D3345" s="118"/>
      <c r="E3345" s="119"/>
      <c r="F3345" s="119">
        <f>+(F3336+F3341+F3342+F3343+F3344+F3340+F3339+F3338+F3337)*0.1</f>
        <v>104031.95833333333</v>
      </c>
    </row>
    <row r="3346" spans="1:6" x14ac:dyDescent="0.35">
      <c r="A3346" s="107"/>
      <c r="B3346" s="108" t="s">
        <v>769</v>
      </c>
      <c r="C3346" s="109"/>
      <c r="D3346" s="124"/>
      <c r="E3346" s="117"/>
      <c r="F3346" s="110">
        <f>SUM(F3336:F3345)</f>
        <v>1144351.5416666665</v>
      </c>
    </row>
    <row r="3347" spans="1:6" x14ac:dyDescent="0.3">
      <c r="A3347" s="111"/>
      <c r="B3347" s="136" t="s">
        <v>808</v>
      </c>
      <c r="C3347" s="115"/>
      <c r="D3347" s="124"/>
      <c r="E3347" s="117"/>
      <c r="F3347" s="110"/>
    </row>
    <row r="3348" spans="1:6" x14ac:dyDescent="0.25">
      <c r="A3348" s="111"/>
      <c r="B3348" s="134" t="s">
        <v>820</v>
      </c>
      <c r="C3348" s="115" t="s">
        <v>772</v>
      </c>
      <c r="D3348" s="124">
        <v>0.25</v>
      </c>
      <c r="E3348" s="117">
        <v>7500</v>
      </c>
      <c r="F3348" s="117">
        <f t="shared" ref="F3348:F3354" si="60">+D3348*E3348</f>
        <v>1875</v>
      </c>
    </row>
    <row r="3349" spans="1:6" x14ac:dyDescent="0.25">
      <c r="A3349" s="111"/>
      <c r="B3349" s="134" t="s">
        <v>821</v>
      </c>
      <c r="C3349" s="115" t="s">
        <v>772</v>
      </c>
      <c r="D3349" s="124">
        <v>0.25</v>
      </c>
      <c r="E3349" s="117">
        <v>7500</v>
      </c>
      <c r="F3349" s="117">
        <f t="shared" si="60"/>
        <v>1875</v>
      </c>
    </row>
    <row r="3350" spans="1:6" x14ac:dyDescent="0.25">
      <c r="A3350" s="111"/>
      <c r="B3350" s="134" t="s">
        <v>895</v>
      </c>
      <c r="C3350" s="115" t="s">
        <v>772</v>
      </c>
      <c r="D3350" s="124">
        <v>0.5</v>
      </c>
      <c r="E3350" s="117">
        <v>15000</v>
      </c>
      <c r="F3350" s="117">
        <f t="shared" si="60"/>
        <v>7500</v>
      </c>
    </row>
    <row r="3351" spans="1:6" x14ac:dyDescent="0.25">
      <c r="A3351" s="111"/>
      <c r="B3351" s="134" t="s">
        <v>896</v>
      </c>
      <c r="C3351" s="115" t="s">
        <v>772</v>
      </c>
      <c r="D3351" s="124">
        <v>0.5</v>
      </c>
      <c r="E3351" s="117">
        <v>15000</v>
      </c>
      <c r="F3351" s="117">
        <f t="shared" si="60"/>
        <v>7500</v>
      </c>
    </row>
    <row r="3352" spans="1:6" x14ac:dyDescent="0.25">
      <c r="A3352" s="111"/>
      <c r="B3352" s="134" t="s">
        <v>773</v>
      </c>
      <c r="C3352" s="115" t="s">
        <v>772</v>
      </c>
      <c r="D3352" s="124">
        <v>0.5</v>
      </c>
      <c r="E3352" s="117">
        <v>15000</v>
      </c>
      <c r="F3352" s="117">
        <f t="shared" si="60"/>
        <v>7500</v>
      </c>
    </row>
    <row r="3353" spans="1:6" x14ac:dyDescent="0.25">
      <c r="A3353" s="111"/>
      <c r="B3353" s="134" t="s">
        <v>851</v>
      </c>
      <c r="C3353" s="115" t="s">
        <v>772</v>
      </c>
      <c r="D3353" s="124">
        <v>0.5</v>
      </c>
      <c r="E3353" s="117">
        <v>15000</v>
      </c>
      <c r="F3353" s="117">
        <f t="shared" si="60"/>
        <v>7500</v>
      </c>
    </row>
    <row r="3354" spans="1:6" x14ac:dyDescent="0.25">
      <c r="A3354" s="111"/>
      <c r="B3354" s="134" t="s">
        <v>953</v>
      </c>
      <c r="C3354" s="115" t="s">
        <v>772</v>
      </c>
      <c r="D3354" s="124">
        <v>0.15</v>
      </c>
      <c r="E3354" s="117">
        <v>15000</v>
      </c>
      <c r="F3354" s="117">
        <f t="shared" si="60"/>
        <v>2250</v>
      </c>
    </row>
    <row r="3355" spans="1:6" x14ac:dyDescent="0.3">
      <c r="A3355" s="111"/>
      <c r="B3355" s="136" t="s">
        <v>774</v>
      </c>
      <c r="C3355" s="115"/>
      <c r="D3355" s="124"/>
      <c r="E3355" s="117"/>
      <c r="F3355" s="110">
        <f>SUM(F3348:F3354)</f>
        <v>36000</v>
      </c>
    </row>
    <row r="3356" spans="1:6" x14ac:dyDescent="0.3">
      <c r="A3356" s="111"/>
      <c r="B3356" s="136" t="s">
        <v>775</v>
      </c>
      <c r="C3356" s="115"/>
      <c r="D3356" s="109"/>
      <c r="E3356" s="110"/>
      <c r="F3356" s="110">
        <f>+F3355+F3346</f>
        <v>1180351.5416666665</v>
      </c>
    </row>
    <row r="3357" spans="1:6" x14ac:dyDescent="0.25">
      <c r="A3357" s="111"/>
      <c r="B3357" s="134" t="s">
        <v>824</v>
      </c>
      <c r="C3357" s="115"/>
      <c r="D3357" s="124">
        <v>1.1000000000000001</v>
      </c>
      <c r="E3357" s="110"/>
      <c r="F3357" s="110">
        <f>+F3356*D3357</f>
        <v>1298386.6958333333</v>
      </c>
    </row>
    <row r="3358" spans="1:6" x14ac:dyDescent="0.25">
      <c r="A3358" s="111"/>
      <c r="B3358" s="134" t="s">
        <v>825</v>
      </c>
      <c r="C3358" s="115"/>
      <c r="D3358" s="124">
        <v>1.1000000000000001</v>
      </c>
      <c r="E3358" s="110"/>
      <c r="F3358" s="110"/>
    </row>
    <row r="3359" spans="1:6" x14ac:dyDescent="0.35">
      <c r="A3359" s="261" t="s">
        <v>249</v>
      </c>
      <c r="B3359" s="242" t="s">
        <v>785</v>
      </c>
      <c r="C3359" s="208" t="s">
        <v>59</v>
      </c>
      <c r="D3359" s="208"/>
      <c r="E3359" s="209"/>
      <c r="F3359" s="209">
        <f>+D3358*F3357</f>
        <v>1428225.3654166667</v>
      </c>
    </row>
    <row r="3360" spans="1:6" x14ac:dyDescent="0.35">
      <c r="A3360" s="206"/>
      <c r="B3360" s="207"/>
      <c r="C3360" s="208"/>
      <c r="D3360" s="208"/>
      <c r="E3360" s="210">
        <f>+E3329</f>
        <v>3035.45</v>
      </c>
      <c r="F3360" s="210">
        <f>+F3359/E3360</f>
        <v>470.51520051941782</v>
      </c>
    </row>
    <row r="3361" spans="1:6" x14ac:dyDescent="0.35">
      <c r="A3361" s="267"/>
      <c r="B3361" s="186"/>
      <c r="C3361" s="268"/>
      <c r="D3361" s="269"/>
      <c r="E3361" s="270"/>
      <c r="F3361" s="271"/>
    </row>
    <row r="3362" spans="1:6" x14ac:dyDescent="0.35">
      <c r="A3362" s="272"/>
      <c r="B3362" s="191"/>
      <c r="C3362" s="273"/>
      <c r="D3362" s="274"/>
      <c r="E3362" s="275"/>
      <c r="F3362" s="276"/>
    </row>
    <row r="3363" spans="1:6" x14ac:dyDescent="0.3">
      <c r="A3363" s="257" t="s">
        <v>227</v>
      </c>
      <c r="B3363" s="258" t="s">
        <v>228</v>
      </c>
      <c r="C3363" s="200" t="s">
        <v>2</v>
      </c>
      <c r="D3363" s="202" t="s">
        <v>765</v>
      </c>
      <c r="E3363" s="203" t="s">
        <v>766</v>
      </c>
      <c r="F3363" s="203" t="s">
        <v>767</v>
      </c>
    </row>
    <row r="3364" spans="1:6" x14ac:dyDescent="0.3">
      <c r="A3364" s="237" t="s">
        <v>229</v>
      </c>
      <c r="B3364" s="266" t="s">
        <v>230</v>
      </c>
      <c r="C3364" s="256"/>
      <c r="D3364" s="141"/>
      <c r="E3364" s="110"/>
      <c r="F3364" s="110"/>
    </row>
    <row r="3365" spans="1:6" x14ac:dyDescent="0.3">
      <c r="A3365" s="239" t="s">
        <v>250</v>
      </c>
      <c r="B3365" s="254" t="s">
        <v>1295</v>
      </c>
      <c r="C3365" s="256" t="s">
        <v>59</v>
      </c>
      <c r="D3365" s="141"/>
      <c r="E3365" s="110"/>
      <c r="F3365" s="110"/>
    </row>
    <row r="3366" spans="1:6" x14ac:dyDescent="0.3">
      <c r="A3366" s="239" t="s">
        <v>251</v>
      </c>
      <c r="B3366" s="254" t="s">
        <v>1361</v>
      </c>
      <c r="C3366" s="256" t="s">
        <v>59</v>
      </c>
      <c r="D3366" s="141"/>
      <c r="E3366" s="110"/>
      <c r="F3366" s="110"/>
    </row>
    <row r="3367" spans="1:6" x14ac:dyDescent="0.35">
      <c r="A3367" s="111"/>
      <c r="B3367" s="112" t="s">
        <v>802</v>
      </c>
      <c r="C3367" s="118"/>
      <c r="D3367" s="118"/>
      <c r="E3367" s="119"/>
      <c r="F3367" s="119"/>
    </row>
    <row r="3368" spans="1:6" x14ac:dyDescent="0.35">
      <c r="A3368" s="111"/>
      <c r="B3368" s="120" t="s">
        <v>942</v>
      </c>
      <c r="C3368" s="118" t="s">
        <v>27</v>
      </c>
      <c r="D3368" s="118">
        <f>(2.225+1.65)*2</f>
        <v>7.75</v>
      </c>
      <c r="E3368" s="119">
        <f>48000/6</f>
        <v>8000</v>
      </c>
      <c r="F3368" s="119">
        <f>+D3368*E3368</f>
        <v>62000</v>
      </c>
    </row>
    <row r="3369" spans="1:6" x14ac:dyDescent="0.35">
      <c r="A3369" s="111"/>
      <c r="B3369" s="120" t="s">
        <v>943</v>
      </c>
      <c r="C3369" s="118" t="s">
        <v>27</v>
      </c>
      <c r="D3369" s="118">
        <f>((1.65/0.12)-1)*2.225</f>
        <v>28.368750000000002</v>
      </c>
      <c r="E3369" s="119">
        <f>65000/12</f>
        <v>5416.666666666667</v>
      </c>
      <c r="F3369" s="119">
        <f t="shared" ref="F3369:F3376" si="61">+D3369*E3369</f>
        <v>153664.06250000003</v>
      </c>
    </row>
    <row r="3370" spans="1:6" x14ac:dyDescent="0.35">
      <c r="A3370" s="111"/>
      <c r="B3370" s="120" t="s">
        <v>944</v>
      </c>
      <c r="C3370" s="118" t="s">
        <v>35</v>
      </c>
      <c r="D3370" s="118">
        <f>2.225*1.65</f>
        <v>3.6712500000000001</v>
      </c>
      <c r="E3370" s="119">
        <f>120000/12</f>
        <v>10000</v>
      </c>
      <c r="F3370" s="119">
        <f t="shared" si="61"/>
        <v>36712.5</v>
      </c>
    </row>
    <row r="3371" spans="1:6" x14ac:dyDescent="0.35">
      <c r="A3371" s="111"/>
      <c r="B3371" s="120" t="s">
        <v>945</v>
      </c>
      <c r="C3371" s="118" t="s">
        <v>27</v>
      </c>
      <c r="D3371" s="118">
        <f>(2.225+1.65)*2+1.65</f>
        <v>9.4</v>
      </c>
      <c r="E3371" s="119">
        <f>25000/6</f>
        <v>4166.666666666667</v>
      </c>
      <c r="F3371" s="119">
        <f t="shared" si="61"/>
        <v>39166.666666666672</v>
      </c>
    </row>
    <row r="3372" spans="1:6" x14ac:dyDescent="0.35">
      <c r="A3372" s="111"/>
      <c r="B3372" s="120" t="s">
        <v>946</v>
      </c>
      <c r="C3372" s="118" t="s">
        <v>27</v>
      </c>
      <c r="D3372" s="118">
        <v>2.2250000000000001</v>
      </c>
      <c r="E3372" s="119">
        <v>4666.666666666667</v>
      </c>
      <c r="F3372" s="119">
        <f t="shared" si="61"/>
        <v>10383.333333333334</v>
      </c>
    </row>
    <row r="3373" spans="1:6" x14ac:dyDescent="0.35">
      <c r="A3373" s="111"/>
      <c r="B3373" s="120" t="s">
        <v>947</v>
      </c>
      <c r="C3373" s="118" t="s">
        <v>948</v>
      </c>
      <c r="D3373" s="118">
        <v>0.25</v>
      </c>
      <c r="E3373" s="119">
        <f>45000/4</f>
        <v>11250</v>
      </c>
      <c r="F3373" s="119">
        <f t="shared" si="61"/>
        <v>2812.5</v>
      </c>
    </row>
    <row r="3374" spans="1:6" x14ac:dyDescent="0.35">
      <c r="A3374" s="111"/>
      <c r="B3374" s="120" t="s">
        <v>949</v>
      </c>
      <c r="C3374" s="118" t="s">
        <v>948</v>
      </c>
      <c r="D3374" s="118">
        <v>0.25</v>
      </c>
      <c r="E3374" s="119">
        <f>45000/4</f>
        <v>11250</v>
      </c>
      <c r="F3374" s="119">
        <f t="shared" si="61"/>
        <v>2812.5</v>
      </c>
    </row>
    <row r="3375" spans="1:6" x14ac:dyDescent="0.35">
      <c r="A3375" s="111"/>
      <c r="B3375" s="120" t="s">
        <v>1163</v>
      </c>
      <c r="C3375" s="118" t="s">
        <v>950</v>
      </c>
      <c r="D3375" s="118">
        <v>1</v>
      </c>
      <c r="E3375" s="119">
        <v>40000</v>
      </c>
      <c r="F3375" s="119">
        <f t="shared" si="61"/>
        <v>40000</v>
      </c>
    </row>
    <row r="3376" spans="1:6" x14ac:dyDescent="0.35">
      <c r="A3376" s="111"/>
      <c r="B3376" s="120" t="s">
        <v>951</v>
      </c>
      <c r="C3376" s="118" t="s">
        <v>59</v>
      </c>
      <c r="D3376" s="118">
        <v>20</v>
      </c>
      <c r="E3376" s="119">
        <v>40000</v>
      </c>
      <c r="F3376" s="119">
        <f t="shared" si="61"/>
        <v>800000</v>
      </c>
    </row>
    <row r="3377" spans="1:6" x14ac:dyDescent="0.35">
      <c r="A3377" s="111"/>
      <c r="B3377" s="120" t="s">
        <v>952</v>
      </c>
      <c r="C3377" s="118"/>
      <c r="D3377" s="118"/>
      <c r="E3377" s="119"/>
      <c r="F3377" s="119">
        <f>+(F3368+F3373+F3374+F3375+F3376+F3372+F3371+F3370+F3369)*0.1</f>
        <v>114755.15625</v>
      </c>
    </row>
    <row r="3378" spans="1:6" x14ac:dyDescent="0.35">
      <c r="A3378" s="107"/>
      <c r="B3378" s="108" t="s">
        <v>769</v>
      </c>
      <c r="C3378" s="109"/>
      <c r="D3378" s="124"/>
      <c r="E3378" s="117"/>
      <c r="F3378" s="110">
        <f>SUM(F3368:F3377)</f>
        <v>1262306.71875</v>
      </c>
    </row>
    <row r="3379" spans="1:6" x14ac:dyDescent="0.3">
      <c r="A3379" s="111"/>
      <c r="B3379" s="136" t="s">
        <v>808</v>
      </c>
      <c r="C3379" s="115"/>
      <c r="D3379" s="124"/>
      <c r="E3379" s="117"/>
      <c r="F3379" s="110"/>
    </row>
    <row r="3380" spans="1:6" x14ac:dyDescent="0.25">
      <c r="A3380" s="111"/>
      <c r="B3380" s="134" t="s">
        <v>820</v>
      </c>
      <c r="C3380" s="115" t="s">
        <v>772</v>
      </c>
      <c r="D3380" s="124">
        <v>0.25</v>
      </c>
      <c r="E3380" s="117">
        <v>7500</v>
      </c>
      <c r="F3380" s="117">
        <f t="shared" ref="F3380:F3386" si="62">+D3380*E3380</f>
        <v>1875</v>
      </c>
    </row>
    <row r="3381" spans="1:6" x14ac:dyDescent="0.25">
      <c r="A3381" s="111"/>
      <c r="B3381" s="134" t="s">
        <v>821</v>
      </c>
      <c r="C3381" s="115" t="s">
        <v>772</v>
      </c>
      <c r="D3381" s="124">
        <v>0.25</v>
      </c>
      <c r="E3381" s="117">
        <v>7500</v>
      </c>
      <c r="F3381" s="117">
        <f t="shared" si="62"/>
        <v>1875</v>
      </c>
    </row>
    <row r="3382" spans="1:6" x14ac:dyDescent="0.25">
      <c r="A3382" s="111"/>
      <c r="B3382" s="134" t="s">
        <v>895</v>
      </c>
      <c r="C3382" s="115" t="s">
        <v>772</v>
      </c>
      <c r="D3382" s="124">
        <v>0.5</v>
      </c>
      <c r="E3382" s="117">
        <v>15000</v>
      </c>
      <c r="F3382" s="117">
        <f t="shared" si="62"/>
        <v>7500</v>
      </c>
    </row>
    <row r="3383" spans="1:6" x14ac:dyDescent="0.25">
      <c r="A3383" s="111"/>
      <c r="B3383" s="134" t="s">
        <v>896</v>
      </c>
      <c r="C3383" s="115" t="s">
        <v>772</v>
      </c>
      <c r="D3383" s="124">
        <v>0.5</v>
      </c>
      <c r="E3383" s="117">
        <v>15000</v>
      </c>
      <c r="F3383" s="117">
        <f t="shared" si="62"/>
        <v>7500</v>
      </c>
    </row>
    <row r="3384" spans="1:6" x14ac:dyDescent="0.25">
      <c r="A3384" s="111"/>
      <c r="B3384" s="134" t="s">
        <v>773</v>
      </c>
      <c r="C3384" s="115" t="s">
        <v>772</v>
      </c>
      <c r="D3384" s="124">
        <v>0.5</v>
      </c>
      <c r="E3384" s="117">
        <v>15000</v>
      </c>
      <c r="F3384" s="117">
        <f t="shared" si="62"/>
        <v>7500</v>
      </c>
    </row>
    <row r="3385" spans="1:6" x14ac:dyDescent="0.25">
      <c r="A3385" s="111"/>
      <c r="B3385" s="134" t="s">
        <v>851</v>
      </c>
      <c r="C3385" s="115" t="s">
        <v>772</v>
      </c>
      <c r="D3385" s="124">
        <v>0.5</v>
      </c>
      <c r="E3385" s="117">
        <v>15000</v>
      </c>
      <c r="F3385" s="117">
        <f t="shared" si="62"/>
        <v>7500</v>
      </c>
    </row>
    <row r="3386" spans="1:6" x14ac:dyDescent="0.25">
      <c r="A3386" s="111"/>
      <c r="B3386" s="134" t="s">
        <v>953</v>
      </c>
      <c r="C3386" s="115" t="s">
        <v>772</v>
      </c>
      <c r="D3386" s="124">
        <v>0.15</v>
      </c>
      <c r="E3386" s="117">
        <v>15000</v>
      </c>
      <c r="F3386" s="117">
        <f t="shared" si="62"/>
        <v>2250</v>
      </c>
    </row>
    <row r="3387" spans="1:6" x14ac:dyDescent="0.3">
      <c r="A3387" s="111"/>
      <c r="B3387" s="136" t="s">
        <v>774</v>
      </c>
      <c r="C3387" s="115"/>
      <c r="D3387" s="124"/>
      <c r="E3387" s="117"/>
      <c r="F3387" s="110">
        <f>SUM(F3380:F3386)</f>
        <v>36000</v>
      </c>
    </row>
    <row r="3388" spans="1:6" x14ac:dyDescent="0.3">
      <c r="A3388" s="111"/>
      <c r="B3388" s="136" t="s">
        <v>775</v>
      </c>
      <c r="C3388" s="115"/>
      <c r="D3388" s="109"/>
      <c r="E3388" s="110"/>
      <c r="F3388" s="110">
        <f>+F3387+F3378</f>
        <v>1298306.71875</v>
      </c>
    </row>
    <row r="3389" spans="1:6" x14ac:dyDescent="0.25">
      <c r="A3389" s="111"/>
      <c r="B3389" s="134" t="s">
        <v>824</v>
      </c>
      <c r="C3389" s="115"/>
      <c r="D3389" s="124">
        <v>1.1000000000000001</v>
      </c>
      <c r="E3389" s="110"/>
      <c r="F3389" s="110">
        <f>+F3388*D3389</f>
        <v>1428137.390625</v>
      </c>
    </row>
    <row r="3390" spans="1:6" x14ac:dyDescent="0.25">
      <c r="A3390" s="111"/>
      <c r="B3390" s="134" t="s">
        <v>825</v>
      </c>
      <c r="C3390" s="115"/>
      <c r="D3390" s="124">
        <v>1.1000000000000001</v>
      </c>
      <c r="E3390" s="110"/>
      <c r="F3390" s="110"/>
    </row>
    <row r="3391" spans="1:6" x14ac:dyDescent="0.35">
      <c r="A3391" s="261" t="s">
        <v>250</v>
      </c>
      <c r="B3391" s="242" t="s">
        <v>785</v>
      </c>
      <c r="C3391" s="208" t="s">
        <v>59</v>
      </c>
      <c r="D3391" s="208"/>
      <c r="E3391" s="209"/>
      <c r="F3391" s="209">
        <f>+D3390*F3389</f>
        <v>1570951.1296875002</v>
      </c>
    </row>
    <row r="3392" spans="1:6" x14ac:dyDescent="0.35">
      <c r="A3392" s="261" t="s">
        <v>251</v>
      </c>
      <c r="B3392" s="207"/>
      <c r="C3392" s="208"/>
      <c r="D3392" s="208"/>
      <c r="E3392" s="210">
        <f>+E3360</f>
        <v>3035.45</v>
      </c>
      <c r="F3392" s="210">
        <f>+F3391/E3392</f>
        <v>517.5348398713536</v>
      </c>
    </row>
    <row r="3393" spans="1:6" x14ac:dyDescent="0.35">
      <c r="A3393" s="267"/>
      <c r="B3393" s="186"/>
      <c r="C3393" s="268"/>
      <c r="D3393" s="269"/>
      <c r="E3393" s="270"/>
      <c r="F3393" s="271"/>
    </row>
    <row r="3394" spans="1:6" x14ac:dyDescent="0.35">
      <c r="A3394" s="272"/>
      <c r="B3394" s="191"/>
      <c r="C3394" s="273"/>
      <c r="D3394" s="274"/>
      <c r="E3394" s="275"/>
      <c r="F3394" s="276"/>
    </row>
    <row r="3395" spans="1:6" x14ac:dyDescent="0.3">
      <c r="A3395" s="257" t="s">
        <v>227</v>
      </c>
      <c r="B3395" s="258" t="s">
        <v>228</v>
      </c>
      <c r="C3395" s="200" t="s">
        <v>2</v>
      </c>
      <c r="D3395" s="202" t="s">
        <v>765</v>
      </c>
      <c r="E3395" s="203" t="s">
        <v>766</v>
      </c>
      <c r="F3395" s="203" t="s">
        <v>767</v>
      </c>
    </row>
    <row r="3396" spans="1:6" x14ac:dyDescent="0.3">
      <c r="A3396" s="237" t="s">
        <v>229</v>
      </c>
      <c r="B3396" s="266" t="s">
        <v>230</v>
      </c>
      <c r="C3396" s="256"/>
      <c r="D3396" s="141"/>
      <c r="E3396" s="110"/>
      <c r="F3396" s="110"/>
    </row>
    <row r="3397" spans="1:6" x14ac:dyDescent="0.3">
      <c r="A3397" s="239" t="s">
        <v>251</v>
      </c>
      <c r="B3397" s="254" t="s">
        <v>728</v>
      </c>
      <c r="C3397" s="256" t="s">
        <v>59</v>
      </c>
      <c r="D3397" s="141"/>
      <c r="E3397" s="110"/>
      <c r="F3397" s="110"/>
    </row>
    <row r="3398" spans="1:6" x14ac:dyDescent="0.35">
      <c r="A3398" s="111"/>
      <c r="B3398" s="112" t="s">
        <v>802</v>
      </c>
      <c r="C3398" s="118"/>
      <c r="D3398" s="118"/>
      <c r="E3398" s="119"/>
      <c r="F3398" s="119"/>
    </row>
    <row r="3399" spans="1:6" x14ac:dyDescent="0.35">
      <c r="A3399" s="111"/>
      <c r="B3399" s="120" t="s">
        <v>942</v>
      </c>
      <c r="C3399" s="118" t="s">
        <v>27</v>
      </c>
      <c r="D3399" s="118">
        <f>(1.54+1.5)*2</f>
        <v>6.08</v>
      </c>
      <c r="E3399" s="119">
        <f>48000/6</f>
        <v>8000</v>
      </c>
      <c r="F3399" s="119">
        <f>+D3399*E3399</f>
        <v>48640</v>
      </c>
    </row>
    <row r="3400" spans="1:6" x14ac:dyDescent="0.35">
      <c r="A3400" s="111"/>
      <c r="B3400" s="120" t="s">
        <v>943</v>
      </c>
      <c r="C3400" s="118" t="s">
        <v>27</v>
      </c>
      <c r="D3400" s="118">
        <f>((1.5/0.12)-1)*2</f>
        <v>23</v>
      </c>
      <c r="E3400" s="119">
        <f>65000/12</f>
        <v>5416.666666666667</v>
      </c>
      <c r="F3400" s="119">
        <f t="shared" ref="F3400:F3407" si="63">+D3400*E3400</f>
        <v>124583.33333333334</v>
      </c>
    </row>
    <row r="3401" spans="1:6" x14ac:dyDescent="0.35">
      <c r="A3401" s="111"/>
      <c r="B3401" s="120" t="s">
        <v>944</v>
      </c>
      <c r="C3401" s="118" t="s">
        <v>35</v>
      </c>
      <c r="D3401" s="118">
        <f>1.54*1.5</f>
        <v>2.31</v>
      </c>
      <c r="E3401" s="119">
        <f>120000/12</f>
        <v>10000</v>
      </c>
      <c r="F3401" s="119">
        <f t="shared" si="63"/>
        <v>23100</v>
      </c>
    </row>
    <row r="3402" spans="1:6" x14ac:dyDescent="0.35">
      <c r="A3402" s="111"/>
      <c r="B3402" s="120" t="s">
        <v>945</v>
      </c>
      <c r="C3402" s="118" t="s">
        <v>27</v>
      </c>
      <c r="D3402" s="118">
        <f>(1.54+1.5)*2</f>
        <v>6.08</v>
      </c>
      <c r="E3402" s="119">
        <f>25000/6</f>
        <v>4166.666666666667</v>
      </c>
      <c r="F3402" s="119">
        <f t="shared" si="63"/>
        <v>25333.333333333336</v>
      </c>
    </row>
    <row r="3403" spans="1:6" x14ac:dyDescent="0.35">
      <c r="A3403" s="111"/>
      <c r="B3403" s="120" t="s">
        <v>946</v>
      </c>
      <c r="C3403" s="118" t="s">
        <v>27</v>
      </c>
      <c r="D3403" s="118">
        <v>1.5</v>
      </c>
      <c r="E3403" s="119">
        <v>4666.666666666667</v>
      </c>
      <c r="F3403" s="119">
        <f t="shared" si="63"/>
        <v>7000</v>
      </c>
    </row>
    <row r="3404" spans="1:6" x14ac:dyDescent="0.35">
      <c r="A3404" s="111"/>
      <c r="B3404" s="120" t="s">
        <v>947</v>
      </c>
      <c r="C3404" s="118" t="s">
        <v>948</v>
      </c>
      <c r="D3404" s="118">
        <v>0.25</v>
      </c>
      <c r="E3404" s="119">
        <f>45000/4</f>
        <v>11250</v>
      </c>
      <c r="F3404" s="119">
        <f t="shared" si="63"/>
        <v>2812.5</v>
      </c>
    </row>
    <row r="3405" spans="1:6" x14ac:dyDescent="0.35">
      <c r="A3405" s="111"/>
      <c r="B3405" s="120" t="s">
        <v>949</v>
      </c>
      <c r="C3405" s="118" t="s">
        <v>948</v>
      </c>
      <c r="D3405" s="118">
        <v>0.25</v>
      </c>
      <c r="E3405" s="119">
        <f>45000/4</f>
        <v>11250</v>
      </c>
      <c r="F3405" s="119">
        <f t="shared" si="63"/>
        <v>2812.5</v>
      </c>
    </row>
    <row r="3406" spans="1:6" x14ac:dyDescent="0.35">
      <c r="A3406" s="111"/>
      <c r="B3406" s="120" t="s">
        <v>1296</v>
      </c>
      <c r="C3406" s="118" t="s">
        <v>950</v>
      </c>
      <c r="D3406" s="118">
        <v>1</v>
      </c>
      <c r="E3406" s="119">
        <v>40000</v>
      </c>
      <c r="F3406" s="119">
        <f t="shared" si="63"/>
        <v>40000</v>
      </c>
    </row>
    <row r="3407" spans="1:6" x14ac:dyDescent="0.35">
      <c r="A3407" s="111"/>
      <c r="B3407" s="120" t="s">
        <v>951</v>
      </c>
      <c r="C3407" s="118" t="s">
        <v>59</v>
      </c>
      <c r="D3407" s="118">
        <v>8</v>
      </c>
      <c r="E3407" s="119">
        <v>40000</v>
      </c>
      <c r="F3407" s="119">
        <f t="shared" si="63"/>
        <v>320000</v>
      </c>
    </row>
    <row r="3408" spans="1:6" x14ac:dyDescent="0.35">
      <c r="A3408" s="111"/>
      <c r="B3408" s="120" t="s">
        <v>952</v>
      </c>
      <c r="C3408" s="118"/>
      <c r="D3408" s="118"/>
      <c r="E3408" s="119"/>
      <c r="F3408" s="119">
        <f>+(F3399+F3404+F3405+F3406+F3407+F3403+F3402+F3401+F3400)*0.1</f>
        <v>59428.166666666664</v>
      </c>
    </row>
    <row r="3409" spans="1:6" x14ac:dyDescent="0.35">
      <c r="A3409" s="107"/>
      <c r="B3409" s="108" t="s">
        <v>769</v>
      </c>
      <c r="C3409" s="109"/>
      <c r="D3409" s="124"/>
      <c r="E3409" s="117"/>
      <c r="F3409" s="110">
        <f>SUM(F3399:F3408)</f>
        <v>653709.83333333337</v>
      </c>
    </row>
    <row r="3410" spans="1:6" x14ac:dyDescent="0.3">
      <c r="A3410" s="111"/>
      <c r="B3410" s="136" t="s">
        <v>808</v>
      </c>
      <c r="C3410" s="115"/>
      <c r="D3410" s="124"/>
      <c r="E3410" s="117"/>
      <c r="F3410" s="110"/>
    </row>
    <row r="3411" spans="1:6" x14ac:dyDescent="0.25">
      <c r="A3411" s="111"/>
      <c r="B3411" s="134" t="s">
        <v>820</v>
      </c>
      <c r="C3411" s="115" t="s">
        <v>772</v>
      </c>
      <c r="D3411" s="124">
        <v>0.25</v>
      </c>
      <c r="E3411" s="117">
        <v>7500</v>
      </c>
      <c r="F3411" s="117">
        <f t="shared" ref="F3411:F3417" si="64">+D3411*E3411</f>
        <v>1875</v>
      </c>
    </row>
    <row r="3412" spans="1:6" x14ac:dyDescent="0.25">
      <c r="A3412" s="111"/>
      <c r="B3412" s="134" t="s">
        <v>821</v>
      </c>
      <c r="C3412" s="115" t="s">
        <v>772</v>
      </c>
      <c r="D3412" s="124">
        <v>0.25</v>
      </c>
      <c r="E3412" s="117">
        <v>7500</v>
      </c>
      <c r="F3412" s="117">
        <f t="shared" si="64"/>
        <v>1875</v>
      </c>
    </row>
    <row r="3413" spans="1:6" x14ac:dyDescent="0.25">
      <c r="A3413" s="111"/>
      <c r="B3413" s="134" t="s">
        <v>895</v>
      </c>
      <c r="C3413" s="115" t="s">
        <v>772</v>
      </c>
      <c r="D3413" s="124">
        <v>0.5</v>
      </c>
      <c r="E3413" s="117">
        <v>15000</v>
      </c>
      <c r="F3413" s="117">
        <f t="shared" si="64"/>
        <v>7500</v>
      </c>
    </row>
    <row r="3414" spans="1:6" x14ac:dyDescent="0.25">
      <c r="A3414" s="111"/>
      <c r="B3414" s="134" t="s">
        <v>896</v>
      </c>
      <c r="C3414" s="115" t="s">
        <v>772</v>
      </c>
      <c r="D3414" s="124">
        <v>0.5</v>
      </c>
      <c r="E3414" s="117">
        <v>15000</v>
      </c>
      <c r="F3414" s="117">
        <f t="shared" si="64"/>
        <v>7500</v>
      </c>
    </row>
    <row r="3415" spans="1:6" x14ac:dyDescent="0.25">
      <c r="A3415" s="111"/>
      <c r="B3415" s="134" t="s">
        <v>773</v>
      </c>
      <c r="C3415" s="115" t="s">
        <v>772</v>
      </c>
      <c r="D3415" s="124">
        <v>0.5</v>
      </c>
      <c r="E3415" s="117">
        <v>15000</v>
      </c>
      <c r="F3415" s="117">
        <f t="shared" si="64"/>
        <v>7500</v>
      </c>
    </row>
    <row r="3416" spans="1:6" x14ac:dyDescent="0.25">
      <c r="A3416" s="111"/>
      <c r="B3416" s="134" t="s">
        <v>851</v>
      </c>
      <c r="C3416" s="115" t="s">
        <v>772</v>
      </c>
      <c r="D3416" s="124">
        <v>0.5</v>
      </c>
      <c r="E3416" s="117">
        <v>15000</v>
      </c>
      <c r="F3416" s="117">
        <f t="shared" si="64"/>
        <v>7500</v>
      </c>
    </row>
    <row r="3417" spans="1:6" x14ac:dyDescent="0.25">
      <c r="A3417" s="111"/>
      <c r="B3417" s="134" t="s">
        <v>953</v>
      </c>
      <c r="C3417" s="115" t="s">
        <v>772</v>
      </c>
      <c r="D3417" s="124">
        <v>0.15</v>
      </c>
      <c r="E3417" s="117">
        <v>15000</v>
      </c>
      <c r="F3417" s="117">
        <f t="shared" si="64"/>
        <v>2250</v>
      </c>
    </row>
    <row r="3418" spans="1:6" x14ac:dyDescent="0.3">
      <c r="A3418" s="111"/>
      <c r="B3418" s="136" t="s">
        <v>774</v>
      </c>
      <c r="C3418" s="115"/>
      <c r="D3418" s="124"/>
      <c r="E3418" s="117"/>
      <c r="F3418" s="110">
        <f>SUM(F3411:F3417)</f>
        <v>36000</v>
      </c>
    </row>
    <row r="3419" spans="1:6" x14ac:dyDescent="0.3">
      <c r="A3419" s="111"/>
      <c r="B3419" s="136" t="s">
        <v>775</v>
      </c>
      <c r="C3419" s="115"/>
      <c r="D3419" s="109"/>
      <c r="E3419" s="110"/>
      <c r="F3419" s="110">
        <f>+F3418+F3409</f>
        <v>689709.83333333337</v>
      </c>
    </row>
    <row r="3420" spans="1:6" x14ac:dyDescent="0.25">
      <c r="A3420" s="111"/>
      <c r="B3420" s="134" t="s">
        <v>824</v>
      </c>
      <c r="C3420" s="115"/>
      <c r="D3420" s="124">
        <v>1.1000000000000001</v>
      </c>
      <c r="E3420" s="110"/>
      <c r="F3420" s="110">
        <f>+F3419*D3420</f>
        <v>758680.81666666677</v>
      </c>
    </row>
    <row r="3421" spans="1:6" x14ac:dyDescent="0.25">
      <c r="A3421" s="111"/>
      <c r="B3421" s="134" t="s">
        <v>825</v>
      </c>
      <c r="C3421" s="115"/>
      <c r="D3421" s="124">
        <v>1.1000000000000001</v>
      </c>
      <c r="E3421" s="110"/>
      <c r="F3421" s="110"/>
    </row>
    <row r="3422" spans="1:6" x14ac:dyDescent="0.35">
      <c r="A3422" s="264" t="s">
        <v>1297</v>
      </c>
      <c r="B3422" s="242" t="s">
        <v>785</v>
      </c>
      <c r="C3422" s="208" t="s">
        <v>59</v>
      </c>
      <c r="D3422" s="208"/>
      <c r="E3422" s="209"/>
      <c r="F3422" s="209">
        <f>+D3421*F3420</f>
        <v>834548.89833333355</v>
      </c>
    </row>
    <row r="3423" spans="1:6" x14ac:dyDescent="0.35">
      <c r="A3423" s="206"/>
      <c r="B3423" s="207"/>
      <c r="C3423" s="208"/>
      <c r="D3423" s="208"/>
      <c r="E3423" s="210">
        <f>+E3392</f>
        <v>3035.45</v>
      </c>
      <c r="F3423" s="210">
        <f>+F3422/E3423</f>
        <v>274.93416077791881</v>
      </c>
    </row>
    <row r="3424" spans="1:6" x14ac:dyDescent="0.35">
      <c r="A3424" s="267"/>
      <c r="B3424" s="186"/>
      <c r="C3424" s="268"/>
      <c r="D3424" s="269"/>
      <c r="E3424" s="270"/>
      <c r="F3424" s="271"/>
    </row>
    <row r="3425" spans="1:6" x14ac:dyDescent="0.35">
      <c r="A3425" s="272"/>
      <c r="B3425" s="191"/>
      <c r="C3425" s="273"/>
      <c r="D3425" s="274"/>
      <c r="E3425" s="275"/>
      <c r="F3425" s="276"/>
    </row>
    <row r="3426" spans="1:6" x14ac:dyDescent="0.3">
      <c r="A3426" s="257" t="s">
        <v>227</v>
      </c>
      <c r="B3426" s="258" t="s">
        <v>228</v>
      </c>
      <c r="C3426" s="200" t="s">
        <v>2</v>
      </c>
      <c r="D3426" s="202" t="s">
        <v>765</v>
      </c>
      <c r="E3426" s="203" t="s">
        <v>766</v>
      </c>
      <c r="F3426" s="203" t="s">
        <v>767</v>
      </c>
    </row>
    <row r="3427" spans="1:6" x14ac:dyDescent="0.3">
      <c r="A3427" s="237" t="s">
        <v>229</v>
      </c>
      <c r="B3427" s="266" t="s">
        <v>230</v>
      </c>
      <c r="C3427" s="256"/>
      <c r="D3427" s="141"/>
      <c r="E3427" s="110"/>
      <c r="F3427" s="110"/>
    </row>
    <row r="3428" spans="1:6" x14ac:dyDescent="0.3">
      <c r="A3428" s="239" t="s">
        <v>252</v>
      </c>
      <c r="B3428" s="254" t="s">
        <v>1298</v>
      </c>
      <c r="C3428" s="256" t="s">
        <v>59</v>
      </c>
      <c r="D3428" s="141"/>
      <c r="E3428" s="110"/>
      <c r="F3428" s="110"/>
    </row>
    <row r="3429" spans="1:6" x14ac:dyDescent="0.35">
      <c r="A3429" s="111"/>
      <c r="B3429" s="112" t="s">
        <v>802</v>
      </c>
      <c r="C3429" s="118"/>
      <c r="D3429" s="118"/>
      <c r="E3429" s="119"/>
      <c r="F3429" s="119"/>
    </row>
    <row r="3430" spans="1:6" x14ac:dyDescent="0.35">
      <c r="A3430" s="111"/>
      <c r="B3430" s="120" t="s">
        <v>942</v>
      </c>
      <c r="C3430" s="118" t="s">
        <v>27</v>
      </c>
      <c r="D3430" s="118">
        <f>(2.29+1.09)*2</f>
        <v>6.76</v>
      </c>
      <c r="E3430" s="119">
        <f>48000/6</f>
        <v>8000</v>
      </c>
      <c r="F3430" s="119">
        <f>+D3430*E3430</f>
        <v>54080</v>
      </c>
    </row>
    <row r="3431" spans="1:6" x14ac:dyDescent="0.35">
      <c r="A3431" s="111"/>
      <c r="B3431" s="120" t="s">
        <v>943</v>
      </c>
      <c r="C3431" s="118" t="s">
        <v>27</v>
      </c>
      <c r="D3431" s="277">
        <f>((1.09/0.12)-1)*2.29</f>
        <v>18.510833333333334</v>
      </c>
      <c r="E3431" s="119">
        <f>65000/12</f>
        <v>5416.666666666667</v>
      </c>
      <c r="F3431" s="119">
        <f t="shared" ref="F3431:F3438" si="65">+D3431*E3431</f>
        <v>100267.01388888891</v>
      </c>
    </row>
    <row r="3432" spans="1:6" x14ac:dyDescent="0.35">
      <c r="A3432" s="111"/>
      <c r="B3432" s="120" t="s">
        <v>944</v>
      </c>
      <c r="C3432" s="118" t="s">
        <v>35</v>
      </c>
      <c r="D3432" s="119">
        <f>2.29*1.09</f>
        <v>2.4961000000000002</v>
      </c>
      <c r="E3432" s="119">
        <f>120000/12</f>
        <v>10000</v>
      </c>
      <c r="F3432" s="119">
        <f t="shared" si="65"/>
        <v>24961.000000000004</v>
      </c>
    </row>
    <row r="3433" spans="1:6" x14ac:dyDescent="0.35">
      <c r="A3433" s="111"/>
      <c r="B3433" s="120" t="s">
        <v>945</v>
      </c>
      <c r="C3433" s="118" t="s">
        <v>27</v>
      </c>
      <c r="D3433" s="118">
        <f>(2.29+1.09)*2+1.09</f>
        <v>7.85</v>
      </c>
      <c r="E3433" s="119">
        <f>25000/6</f>
        <v>4166.666666666667</v>
      </c>
      <c r="F3433" s="119">
        <f t="shared" si="65"/>
        <v>32708.333333333336</v>
      </c>
    </row>
    <row r="3434" spans="1:6" x14ac:dyDescent="0.35">
      <c r="A3434" s="111"/>
      <c r="B3434" s="120" t="s">
        <v>946</v>
      </c>
      <c r="C3434" s="118" t="s">
        <v>27</v>
      </c>
      <c r="D3434" s="118">
        <v>2.29</v>
      </c>
      <c r="E3434" s="119">
        <v>4666.666666666667</v>
      </c>
      <c r="F3434" s="119">
        <f t="shared" si="65"/>
        <v>10686.666666666668</v>
      </c>
    </row>
    <row r="3435" spans="1:6" x14ac:dyDescent="0.35">
      <c r="A3435" s="111"/>
      <c r="B3435" s="120" t="s">
        <v>947</v>
      </c>
      <c r="C3435" s="118" t="s">
        <v>948</v>
      </c>
      <c r="D3435" s="118">
        <v>0.25</v>
      </c>
      <c r="E3435" s="119">
        <f>45000/4</f>
        <v>11250</v>
      </c>
      <c r="F3435" s="119">
        <f t="shared" si="65"/>
        <v>2812.5</v>
      </c>
    </row>
    <row r="3436" spans="1:6" x14ac:dyDescent="0.35">
      <c r="A3436" s="111"/>
      <c r="B3436" s="120" t="s">
        <v>949</v>
      </c>
      <c r="C3436" s="118" t="s">
        <v>948</v>
      </c>
      <c r="D3436" s="118">
        <v>0.25</v>
      </c>
      <c r="E3436" s="119">
        <f>45000/4</f>
        <v>11250</v>
      </c>
      <c r="F3436" s="119">
        <f t="shared" si="65"/>
        <v>2812.5</v>
      </c>
    </row>
    <row r="3437" spans="1:6" x14ac:dyDescent="0.35">
      <c r="A3437" s="111"/>
      <c r="B3437" s="120" t="s">
        <v>1299</v>
      </c>
      <c r="C3437" s="118" t="s">
        <v>950</v>
      </c>
      <c r="D3437" s="118">
        <v>1</v>
      </c>
      <c r="E3437" s="119">
        <v>40000</v>
      </c>
      <c r="F3437" s="119">
        <f t="shared" si="65"/>
        <v>40000</v>
      </c>
    </row>
    <row r="3438" spans="1:6" x14ac:dyDescent="0.35">
      <c r="A3438" s="111"/>
      <c r="B3438" s="120" t="s">
        <v>951</v>
      </c>
      <c r="C3438" s="118" t="s">
        <v>59</v>
      </c>
      <c r="D3438" s="118">
        <v>14</v>
      </c>
      <c r="E3438" s="119">
        <v>40000</v>
      </c>
      <c r="F3438" s="119">
        <f t="shared" si="65"/>
        <v>560000</v>
      </c>
    </row>
    <row r="3439" spans="1:6" x14ac:dyDescent="0.35">
      <c r="A3439" s="111"/>
      <c r="B3439" s="120" t="s">
        <v>952</v>
      </c>
      <c r="C3439" s="118"/>
      <c r="D3439" s="118"/>
      <c r="E3439" s="119"/>
      <c r="F3439" s="119">
        <f>+(F3430+F3435+F3436+F3437+F3438+F3434+F3433+F3432+F3431)*0.1</f>
        <v>82832.801388888896</v>
      </c>
    </row>
    <row r="3440" spans="1:6" x14ac:dyDescent="0.35">
      <c r="A3440" s="107"/>
      <c r="B3440" s="108" t="s">
        <v>769</v>
      </c>
      <c r="C3440" s="109"/>
      <c r="D3440" s="124"/>
      <c r="E3440" s="117"/>
      <c r="F3440" s="110">
        <f>SUM(F3430:F3439)</f>
        <v>911160.81527777773</v>
      </c>
    </row>
    <row r="3441" spans="1:6" x14ac:dyDescent="0.3">
      <c r="A3441" s="111"/>
      <c r="B3441" s="136" t="s">
        <v>808</v>
      </c>
      <c r="C3441" s="115"/>
      <c r="D3441" s="124"/>
      <c r="E3441" s="117"/>
      <c r="F3441" s="110"/>
    </row>
    <row r="3442" spans="1:6" x14ac:dyDescent="0.25">
      <c r="A3442" s="111"/>
      <c r="B3442" s="134" t="s">
        <v>820</v>
      </c>
      <c r="C3442" s="115" t="s">
        <v>772</v>
      </c>
      <c r="D3442" s="124">
        <v>0.25</v>
      </c>
      <c r="E3442" s="117">
        <v>7500</v>
      </c>
      <c r="F3442" s="117">
        <f t="shared" ref="F3442:F3448" si="66">+D3442*E3442</f>
        <v>1875</v>
      </c>
    </row>
    <row r="3443" spans="1:6" x14ac:dyDescent="0.25">
      <c r="A3443" s="111"/>
      <c r="B3443" s="134" t="s">
        <v>821</v>
      </c>
      <c r="C3443" s="115" t="s">
        <v>772</v>
      </c>
      <c r="D3443" s="124">
        <v>0.25</v>
      </c>
      <c r="E3443" s="117">
        <v>7500</v>
      </c>
      <c r="F3443" s="117">
        <f t="shared" si="66"/>
        <v>1875</v>
      </c>
    </row>
    <row r="3444" spans="1:6" x14ac:dyDescent="0.25">
      <c r="A3444" s="111"/>
      <c r="B3444" s="134" t="s">
        <v>895</v>
      </c>
      <c r="C3444" s="115" t="s">
        <v>772</v>
      </c>
      <c r="D3444" s="124">
        <v>0.5</v>
      </c>
      <c r="E3444" s="117">
        <v>15000</v>
      </c>
      <c r="F3444" s="117">
        <f t="shared" si="66"/>
        <v>7500</v>
      </c>
    </row>
    <row r="3445" spans="1:6" x14ac:dyDescent="0.25">
      <c r="A3445" s="111"/>
      <c r="B3445" s="134" t="s">
        <v>896</v>
      </c>
      <c r="C3445" s="115" t="s">
        <v>772</v>
      </c>
      <c r="D3445" s="124">
        <v>0.5</v>
      </c>
      <c r="E3445" s="117">
        <v>15000</v>
      </c>
      <c r="F3445" s="117">
        <f t="shared" si="66"/>
        <v>7500</v>
      </c>
    </row>
    <row r="3446" spans="1:6" x14ac:dyDescent="0.25">
      <c r="A3446" s="111"/>
      <c r="B3446" s="134" t="s">
        <v>773</v>
      </c>
      <c r="C3446" s="115" t="s">
        <v>772</v>
      </c>
      <c r="D3446" s="124">
        <v>0.5</v>
      </c>
      <c r="E3446" s="117">
        <v>15000</v>
      </c>
      <c r="F3446" s="117">
        <f t="shared" si="66"/>
        <v>7500</v>
      </c>
    </row>
    <row r="3447" spans="1:6" x14ac:dyDescent="0.25">
      <c r="A3447" s="111"/>
      <c r="B3447" s="134" t="s">
        <v>851</v>
      </c>
      <c r="C3447" s="115" t="s">
        <v>772</v>
      </c>
      <c r="D3447" s="124">
        <v>0.5</v>
      </c>
      <c r="E3447" s="117">
        <v>15000</v>
      </c>
      <c r="F3447" s="117">
        <f t="shared" si="66"/>
        <v>7500</v>
      </c>
    </row>
    <row r="3448" spans="1:6" x14ac:dyDescent="0.25">
      <c r="A3448" s="111"/>
      <c r="B3448" s="134" t="s">
        <v>953</v>
      </c>
      <c r="C3448" s="115" t="s">
        <v>772</v>
      </c>
      <c r="D3448" s="124">
        <v>0.15</v>
      </c>
      <c r="E3448" s="117">
        <v>15000</v>
      </c>
      <c r="F3448" s="117">
        <f t="shared" si="66"/>
        <v>2250</v>
      </c>
    </row>
    <row r="3449" spans="1:6" x14ac:dyDescent="0.3">
      <c r="A3449" s="111"/>
      <c r="B3449" s="136" t="s">
        <v>774</v>
      </c>
      <c r="C3449" s="115"/>
      <c r="D3449" s="124"/>
      <c r="E3449" s="117"/>
      <c r="F3449" s="110">
        <f>SUM(F3442:F3448)</f>
        <v>36000</v>
      </c>
    </row>
    <row r="3450" spans="1:6" x14ac:dyDescent="0.3">
      <c r="A3450" s="111"/>
      <c r="B3450" s="136" t="s">
        <v>775</v>
      </c>
      <c r="C3450" s="115"/>
      <c r="D3450" s="109"/>
      <c r="E3450" s="110"/>
      <c r="F3450" s="110">
        <f>+F3449+F3440</f>
        <v>947160.81527777773</v>
      </c>
    </row>
    <row r="3451" spans="1:6" x14ac:dyDescent="0.25">
      <c r="A3451" s="111"/>
      <c r="B3451" s="134" t="s">
        <v>824</v>
      </c>
      <c r="C3451" s="115"/>
      <c r="D3451" s="124">
        <v>1.1000000000000001</v>
      </c>
      <c r="E3451" s="110"/>
      <c r="F3451" s="110">
        <f>+F3450*D3451</f>
        <v>1041876.8968055556</v>
      </c>
    </row>
    <row r="3452" spans="1:6" x14ac:dyDescent="0.25">
      <c r="A3452" s="111"/>
      <c r="B3452" s="134" t="s">
        <v>825</v>
      </c>
      <c r="C3452" s="115"/>
      <c r="D3452" s="124">
        <v>1.1000000000000001</v>
      </c>
      <c r="E3452" s="110"/>
      <c r="F3452" s="110"/>
    </row>
    <row r="3453" spans="1:6" x14ac:dyDescent="0.35">
      <c r="A3453" s="264" t="s">
        <v>1300</v>
      </c>
      <c r="B3453" s="242" t="s">
        <v>785</v>
      </c>
      <c r="C3453" s="208" t="s">
        <v>59</v>
      </c>
      <c r="D3453" s="208"/>
      <c r="E3453" s="209"/>
      <c r="F3453" s="209">
        <f>+D3452*F3451</f>
        <v>1146064.5864861112</v>
      </c>
    </row>
    <row r="3454" spans="1:6" x14ac:dyDescent="0.35">
      <c r="A3454" s="206"/>
      <c r="B3454" s="207"/>
      <c r="C3454" s="208"/>
      <c r="D3454" s="208"/>
      <c r="E3454" s="210">
        <f>+E3423</f>
        <v>3035.45</v>
      </c>
      <c r="F3454" s="210">
        <f>+F3453/E3454</f>
        <v>377.5600278331421</v>
      </c>
    </row>
    <row r="3455" spans="1:6" x14ac:dyDescent="0.35">
      <c r="A3455" s="267"/>
      <c r="B3455" s="186"/>
      <c r="C3455" s="268"/>
      <c r="D3455" s="269"/>
      <c r="E3455" s="270"/>
      <c r="F3455" s="271"/>
    </row>
    <row r="3456" spans="1:6" x14ac:dyDescent="0.35">
      <c r="A3456" s="272"/>
      <c r="B3456" s="191"/>
      <c r="C3456" s="273"/>
      <c r="D3456" s="274"/>
      <c r="E3456" s="275"/>
      <c r="F3456" s="276"/>
    </row>
    <row r="3457" spans="1:6" x14ac:dyDescent="0.3">
      <c r="A3457" s="257" t="s">
        <v>227</v>
      </c>
      <c r="B3457" s="258" t="s">
        <v>228</v>
      </c>
      <c r="C3457" s="200" t="s">
        <v>2</v>
      </c>
      <c r="D3457" s="202" t="s">
        <v>765</v>
      </c>
      <c r="E3457" s="203" t="s">
        <v>766</v>
      </c>
      <c r="F3457" s="203" t="s">
        <v>767</v>
      </c>
    </row>
    <row r="3458" spans="1:6" x14ac:dyDescent="0.3">
      <c r="A3458" s="237" t="s">
        <v>229</v>
      </c>
      <c r="B3458" s="266" t="s">
        <v>230</v>
      </c>
      <c r="C3458" s="256"/>
      <c r="D3458" s="141"/>
      <c r="E3458" s="110"/>
      <c r="F3458" s="110"/>
    </row>
    <row r="3459" spans="1:6" x14ac:dyDescent="0.3">
      <c r="A3459" s="239" t="s">
        <v>253</v>
      </c>
      <c r="B3459" s="254" t="s">
        <v>1301</v>
      </c>
      <c r="C3459" s="256" t="s">
        <v>59</v>
      </c>
      <c r="D3459" s="141"/>
      <c r="E3459" s="110"/>
      <c r="F3459" s="110"/>
    </row>
    <row r="3460" spans="1:6" x14ac:dyDescent="0.3">
      <c r="A3460" s="239" t="s">
        <v>254</v>
      </c>
      <c r="B3460" s="254" t="s">
        <v>1359</v>
      </c>
      <c r="C3460" s="256"/>
      <c r="D3460" s="141"/>
      <c r="E3460" s="110"/>
      <c r="F3460" s="110"/>
    </row>
    <row r="3461" spans="1:6" x14ac:dyDescent="0.35">
      <c r="A3461" s="111"/>
      <c r="B3461" s="112" t="s">
        <v>802</v>
      </c>
      <c r="C3461" s="118"/>
      <c r="D3461" s="118"/>
      <c r="E3461" s="119"/>
      <c r="F3461" s="119"/>
    </row>
    <row r="3462" spans="1:6" x14ac:dyDescent="0.35">
      <c r="A3462" s="111"/>
      <c r="B3462" s="120" t="s">
        <v>942</v>
      </c>
      <c r="C3462" s="118" t="s">
        <v>27</v>
      </c>
      <c r="D3462" s="118">
        <f>(1.785+1.09)*2</f>
        <v>5.75</v>
      </c>
      <c r="E3462" s="119">
        <f>48000/6</f>
        <v>8000</v>
      </c>
      <c r="F3462" s="119">
        <f>+D3462*E3462</f>
        <v>46000</v>
      </c>
    </row>
    <row r="3463" spans="1:6" x14ac:dyDescent="0.35">
      <c r="A3463" s="111"/>
      <c r="B3463" s="120" t="s">
        <v>943</v>
      </c>
      <c r="C3463" s="118" t="s">
        <v>27</v>
      </c>
      <c r="D3463" s="118">
        <f>(1.785+1.09)*2</f>
        <v>5.75</v>
      </c>
      <c r="E3463" s="119">
        <f>65000/12</f>
        <v>5416.666666666667</v>
      </c>
      <c r="F3463" s="119">
        <f t="shared" ref="F3463:F3470" si="67">+D3463*E3463</f>
        <v>31145.833333333336</v>
      </c>
    </row>
    <row r="3464" spans="1:6" x14ac:dyDescent="0.35">
      <c r="A3464" s="111"/>
      <c r="B3464" s="120" t="s">
        <v>944</v>
      </c>
      <c r="C3464" s="118" t="s">
        <v>35</v>
      </c>
      <c r="D3464" s="184">
        <f>1.785*1.09</f>
        <v>1.9456500000000001</v>
      </c>
      <c r="E3464" s="119">
        <f>120000/12</f>
        <v>10000</v>
      </c>
      <c r="F3464" s="119">
        <f t="shared" si="67"/>
        <v>19456.5</v>
      </c>
    </row>
    <row r="3465" spans="1:6" x14ac:dyDescent="0.35">
      <c r="A3465" s="111"/>
      <c r="B3465" s="120" t="s">
        <v>945</v>
      </c>
      <c r="C3465" s="118" t="s">
        <v>27</v>
      </c>
      <c r="D3465" s="118">
        <f>(1.785+1.09)*2+1</f>
        <v>6.75</v>
      </c>
      <c r="E3465" s="119">
        <f>25000/6</f>
        <v>4166.666666666667</v>
      </c>
      <c r="F3465" s="119">
        <f t="shared" si="67"/>
        <v>28125.000000000004</v>
      </c>
    </row>
    <row r="3466" spans="1:6" x14ac:dyDescent="0.35">
      <c r="A3466" s="111"/>
      <c r="B3466" s="120" t="s">
        <v>946</v>
      </c>
      <c r="C3466" s="118" t="s">
        <v>27</v>
      </c>
      <c r="D3466" s="118">
        <v>1.7849999999999999</v>
      </c>
      <c r="E3466" s="119">
        <v>4666.666666666667</v>
      </c>
      <c r="F3466" s="119">
        <f t="shared" si="67"/>
        <v>8330</v>
      </c>
    </row>
    <row r="3467" spans="1:6" x14ac:dyDescent="0.35">
      <c r="A3467" s="111"/>
      <c r="B3467" s="120" t="s">
        <v>947</v>
      </c>
      <c r="C3467" s="118" t="s">
        <v>948</v>
      </c>
      <c r="D3467" s="118">
        <v>0.25</v>
      </c>
      <c r="E3467" s="119">
        <f>45000/4</f>
        <v>11250</v>
      </c>
      <c r="F3467" s="119">
        <f t="shared" si="67"/>
        <v>2812.5</v>
      </c>
    </row>
    <row r="3468" spans="1:6" x14ac:dyDescent="0.35">
      <c r="A3468" s="111"/>
      <c r="B3468" s="120" t="s">
        <v>949</v>
      </c>
      <c r="C3468" s="118" t="s">
        <v>948</v>
      </c>
      <c r="D3468" s="118">
        <v>0.25</v>
      </c>
      <c r="E3468" s="119">
        <f>45000/4</f>
        <v>11250</v>
      </c>
      <c r="F3468" s="119">
        <f t="shared" si="67"/>
        <v>2812.5</v>
      </c>
    </row>
    <row r="3469" spans="1:6" x14ac:dyDescent="0.35">
      <c r="A3469" s="111"/>
      <c r="B3469" s="120" t="s">
        <v>1299</v>
      </c>
      <c r="C3469" s="118" t="s">
        <v>950</v>
      </c>
      <c r="D3469" s="118">
        <v>1</v>
      </c>
      <c r="E3469" s="119">
        <v>40000</v>
      </c>
      <c r="F3469" s="119">
        <f t="shared" si="67"/>
        <v>40000</v>
      </c>
    </row>
    <row r="3470" spans="1:6" x14ac:dyDescent="0.35">
      <c r="A3470" s="111"/>
      <c r="B3470" s="120" t="s">
        <v>951</v>
      </c>
      <c r="C3470" s="118" t="s">
        <v>59</v>
      </c>
      <c r="D3470" s="118">
        <v>6</v>
      </c>
      <c r="E3470" s="119">
        <v>40000</v>
      </c>
      <c r="F3470" s="119">
        <f t="shared" si="67"/>
        <v>240000</v>
      </c>
    </row>
    <row r="3471" spans="1:6" x14ac:dyDescent="0.35">
      <c r="A3471" s="111"/>
      <c r="B3471" s="120" t="s">
        <v>952</v>
      </c>
      <c r="C3471" s="118"/>
      <c r="D3471" s="118"/>
      <c r="E3471" s="119"/>
      <c r="F3471" s="119">
        <f>+(F3462+F3467+F3468+F3469+F3470+F3466+F3465+F3464+F3463)*0.1</f>
        <v>41868.233333333337</v>
      </c>
    </row>
    <row r="3472" spans="1:6" x14ac:dyDescent="0.35">
      <c r="A3472" s="107"/>
      <c r="B3472" s="108" t="s">
        <v>769</v>
      </c>
      <c r="C3472" s="109"/>
      <c r="D3472" s="124"/>
      <c r="E3472" s="117"/>
      <c r="F3472" s="110">
        <f>SUM(F3462:F3471)</f>
        <v>460550.56666666671</v>
      </c>
    </row>
    <row r="3473" spans="1:6" x14ac:dyDescent="0.3">
      <c r="A3473" s="111"/>
      <c r="B3473" s="136" t="s">
        <v>808</v>
      </c>
      <c r="C3473" s="115"/>
      <c r="D3473" s="124"/>
      <c r="E3473" s="117"/>
      <c r="F3473" s="110"/>
    </row>
    <row r="3474" spans="1:6" x14ac:dyDescent="0.25">
      <c r="A3474" s="111"/>
      <c r="B3474" s="134" t="s">
        <v>820</v>
      </c>
      <c r="C3474" s="115" t="s">
        <v>772</v>
      </c>
      <c r="D3474" s="124">
        <v>0.25</v>
      </c>
      <c r="E3474" s="117">
        <v>7500</v>
      </c>
      <c r="F3474" s="117">
        <f t="shared" ref="F3474:F3480" si="68">+D3474*E3474</f>
        <v>1875</v>
      </c>
    </row>
    <row r="3475" spans="1:6" x14ac:dyDescent="0.25">
      <c r="A3475" s="111"/>
      <c r="B3475" s="134" t="s">
        <v>821</v>
      </c>
      <c r="C3475" s="115" t="s">
        <v>772</v>
      </c>
      <c r="D3475" s="124">
        <v>0.25</v>
      </c>
      <c r="E3475" s="117">
        <v>7500</v>
      </c>
      <c r="F3475" s="117">
        <f t="shared" si="68"/>
        <v>1875</v>
      </c>
    </row>
    <row r="3476" spans="1:6" x14ac:dyDescent="0.25">
      <c r="A3476" s="111"/>
      <c r="B3476" s="134" t="s">
        <v>895</v>
      </c>
      <c r="C3476" s="115" t="s">
        <v>772</v>
      </c>
      <c r="D3476" s="124">
        <v>0.5</v>
      </c>
      <c r="E3476" s="117">
        <v>15000</v>
      </c>
      <c r="F3476" s="117">
        <f t="shared" si="68"/>
        <v>7500</v>
      </c>
    </row>
    <row r="3477" spans="1:6" x14ac:dyDescent="0.25">
      <c r="A3477" s="111"/>
      <c r="B3477" s="134" t="s">
        <v>896</v>
      </c>
      <c r="C3477" s="115" t="s">
        <v>772</v>
      </c>
      <c r="D3477" s="124">
        <v>0.5</v>
      </c>
      <c r="E3477" s="117">
        <v>15000</v>
      </c>
      <c r="F3477" s="117">
        <f t="shared" si="68"/>
        <v>7500</v>
      </c>
    </row>
    <row r="3478" spans="1:6" x14ac:dyDescent="0.25">
      <c r="A3478" s="111"/>
      <c r="B3478" s="134" t="s">
        <v>773</v>
      </c>
      <c r="C3478" s="115" t="s">
        <v>772</v>
      </c>
      <c r="D3478" s="124">
        <v>0.5</v>
      </c>
      <c r="E3478" s="117">
        <v>15000</v>
      </c>
      <c r="F3478" s="117">
        <f t="shared" si="68"/>
        <v>7500</v>
      </c>
    </row>
    <row r="3479" spans="1:6" x14ac:dyDescent="0.25">
      <c r="A3479" s="111"/>
      <c r="B3479" s="134" t="s">
        <v>851</v>
      </c>
      <c r="C3479" s="115" t="s">
        <v>772</v>
      </c>
      <c r="D3479" s="124">
        <v>0.5</v>
      </c>
      <c r="E3479" s="117">
        <v>15000</v>
      </c>
      <c r="F3479" s="117">
        <f t="shared" si="68"/>
        <v>7500</v>
      </c>
    </row>
    <row r="3480" spans="1:6" x14ac:dyDescent="0.25">
      <c r="A3480" s="111"/>
      <c r="B3480" s="134" t="s">
        <v>953</v>
      </c>
      <c r="C3480" s="115" t="s">
        <v>772</v>
      </c>
      <c r="D3480" s="124">
        <v>0.15</v>
      </c>
      <c r="E3480" s="117">
        <v>15000</v>
      </c>
      <c r="F3480" s="117">
        <f t="shared" si="68"/>
        <v>2250</v>
      </c>
    </row>
    <row r="3481" spans="1:6" x14ac:dyDescent="0.3">
      <c r="A3481" s="111"/>
      <c r="B3481" s="136" t="s">
        <v>774</v>
      </c>
      <c r="C3481" s="115"/>
      <c r="D3481" s="124"/>
      <c r="E3481" s="117"/>
      <c r="F3481" s="110">
        <f>SUM(F3474:F3480)</f>
        <v>36000</v>
      </c>
    </row>
    <row r="3482" spans="1:6" x14ac:dyDescent="0.3">
      <c r="A3482" s="111"/>
      <c r="B3482" s="136" t="s">
        <v>775</v>
      </c>
      <c r="C3482" s="115"/>
      <c r="D3482" s="109"/>
      <c r="E3482" s="110"/>
      <c r="F3482" s="110">
        <f>+F3481+F3472</f>
        <v>496550.56666666671</v>
      </c>
    </row>
    <row r="3483" spans="1:6" x14ac:dyDescent="0.25">
      <c r="A3483" s="111"/>
      <c r="B3483" s="134" t="s">
        <v>824</v>
      </c>
      <c r="C3483" s="115"/>
      <c r="D3483" s="124">
        <v>1.1000000000000001</v>
      </c>
      <c r="E3483" s="110"/>
      <c r="F3483" s="110">
        <f>+F3482*D3483</f>
        <v>546205.62333333341</v>
      </c>
    </row>
    <row r="3484" spans="1:6" x14ac:dyDescent="0.25">
      <c r="A3484" s="111"/>
      <c r="B3484" s="134" t="s">
        <v>825</v>
      </c>
      <c r="C3484" s="115"/>
      <c r="D3484" s="124">
        <v>1.1000000000000001</v>
      </c>
      <c r="E3484" s="110"/>
      <c r="F3484" s="110"/>
    </row>
    <row r="3485" spans="1:6" x14ac:dyDescent="0.35">
      <c r="A3485" s="264" t="s">
        <v>1302</v>
      </c>
      <c r="B3485" s="242" t="s">
        <v>785</v>
      </c>
      <c r="C3485" s="208" t="s">
        <v>59</v>
      </c>
      <c r="D3485" s="208"/>
      <c r="E3485" s="209"/>
      <c r="F3485" s="209">
        <f>+D3484*F3483</f>
        <v>600826.18566666683</v>
      </c>
    </row>
    <row r="3486" spans="1:6" x14ac:dyDescent="0.35">
      <c r="A3486" s="264" t="s">
        <v>254</v>
      </c>
      <c r="B3486" s="207"/>
      <c r="C3486" s="208"/>
      <c r="D3486" s="208"/>
      <c r="E3486" s="210">
        <f>+E3454</f>
        <v>3035.45</v>
      </c>
      <c r="F3486" s="210">
        <f>+F3485/E3486</f>
        <v>197.93644621610201</v>
      </c>
    </row>
    <row r="3487" spans="1:6" x14ac:dyDescent="0.35">
      <c r="A3487" s="267"/>
      <c r="B3487" s="186"/>
      <c r="C3487" s="268"/>
      <c r="D3487" s="269"/>
      <c r="E3487" s="270"/>
      <c r="F3487" s="271"/>
    </row>
    <row r="3488" spans="1:6" x14ac:dyDescent="0.35">
      <c r="A3488" s="272"/>
      <c r="B3488" s="191"/>
      <c r="C3488" s="273"/>
      <c r="D3488" s="274"/>
      <c r="E3488" s="275"/>
      <c r="F3488" s="276"/>
    </row>
    <row r="3489" spans="1:6" x14ac:dyDescent="0.3">
      <c r="A3489" s="257" t="s">
        <v>227</v>
      </c>
      <c r="B3489" s="258" t="s">
        <v>228</v>
      </c>
      <c r="C3489" s="200" t="s">
        <v>2</v>
      </c>
      <c r="D3489" s="202" t="s">
        <v>765</v>
      </c>
      <c r="E3489" s="203" t="s">
        <v>766</v>
      </c>
      <c r="F3489" s="203" t="s">
        <v>767</v>
      </c>
    </row>
    <row r="3490" spans="1:6" x14ac:dyDescent="0.3">
      <c r="A3490" s="237" t="s">
        <v>229</v>
      </c>
      <c r="B3490" s="266" t="s">
        <v>230</v>
      </c>
      <c r="C3490" s="256"/>
      <c r="D3490" s="141"/>
      <c r="E3490" s="110"/>
      <c r="F3490" s="110"/>
    </row>
    <row r="3491" spans="1:6" x14ac:dyDescent="0.3">
      <c r="A3491" s="239" t="s">
        <v>254</v>
      </c>
      <c r="B3491" s="254" t="s">
        <v>699</v>
      </c>
      <c r="C3491" s="256" t="s">
        <v>59</v>
      </c>
      <c r="D3491" s="141"/>
      <c r="E3491" s="110"/>
      <c r="F3491" s="110"/>
    </row>
    <row r="3492" spans="1:6" x14ac:dyDescent="0.35">
      <c r="A3492" s="111"/>
      <c r="B3492" s="112" t="s">
        <v>802</v>
      </c>
      <c r="C3492" s="118"/>
      <c r="D3492" s="118"/>
      <c r="E3492" s="119"/>
      <c r="F3492" s="119"/>
    </row>
    <row r="3493" spans="1:6" x14ac:dyDescent="0.35">
      <c r="A3493" s="111"/>
      <c r="B3493" s="120" t="s">
        <v>942</v>
      </c>
      <c r="C3493" s="118" t="s">
        <v>27</v>
      </c>
      <c r="D3493" s="118">
        <f>(1.1+0.58)*2</f>
        <v>3.3600000000000003</v>
      </c>
      <c r="E3493" s="119">
        <f>48000/6</f>
        <v>8000</v>
      </c>
      <c r="F3493" s="119">
        <f t="shared" ref="F3493:F3501" si="69">+D3493*E3493</f>
        <v>26880.000000000004</v>
      </c>
    </row>
    <row r="3494" spans="1:6" x14ac:dyDescent="0.35">
      <c r="A3494" s="111"/>
      <c r="B3494" s="120" t="s">
        <v>943</v>
      </c>
      <c r="C3494" s="118" t="s">
        <v>27</v>
      </c>
      <c r="D3494" s="184">
        <f>((0.58/0.12)-1)*1.1</f>
        <v>4.2166666666666668</v>
      </c>
      <c r="E3494" s="119">
        <f>65000/12</f>
        <v>5416.666666666667</v>
      </c>
      <c r="F3494" s="119">
        <f t="shared" si="69"/>
        <v>22840.277777777781</v>
      </c>
    </row>
    <row r="3495" spans="1:6" x14ac:dyDescent="0.35">
      <c r="A3495" s="111"/>
      <c r="B3495" s="120" t="s">
        <v>944</v>
      </c>
      <c r="C3495" s="118" t="s">
        <v>35</v>
      </c>
      <c r="D3495" s="118">
        <f>1.8*1.2</f>
        <v>2.16</v>
      </c>
      <c r="E3495" s="119">
        <f>120000/12</f>
        <v>10000</v>
      </c>
      <c r="F3495" s="119">
        <f t="shared" si="69"/>
        <v>21600</v>
      </c>
    </row>
    <row r="3496" spans="1:6" x14ac:dyDescent="0.35">
      <c r="A3496" s="111"/>
      <c r="B3496" s="120" t="s">
        <v>945</v>
      </c>
      <c r="C3496" s="118" t="s">
        <v>27</v>
      </c>
      <c r="D3496" s="118">
        <f>(1.8+1.2)*2+1.2</f>
        <v>7.2</v>
      </c>
      <c r="E3496" s="119">
        <f>25000/6</f>
        <v>4166.666666666667</v>
      </c>
      <c r="F3496" s="119">
        <f t="shared" si="69"/>
        <v>30000.000000000004</v>
      </c>
    </row>
    <row r="3497" spans="1:6" x14ac:dyDescent="0.35">
      <c r="A3497" s="111"/>
      <c r="B3497" s="120" t="s">
        <v>946</v>
      </c>
      <c r="C3497" s="118" t="s">
        <v>27</v>
      </c>
      <c r="D3497" s="118">
        <v>1.2</v>
      </c>
      <c r="E3497" s="119">
        <v>4666.666666666667</v>
      </c>
      <c r="F3497" s="119">
        <f t="shared" si="69"/>
        <v>5600</v>
      </c>
    </row>
    <row r="3498" spans="1:6" x14ac:dyDescent="0.35">
      <c r="A3498" s="111"/>
      <c r="B3498" s="120" t="s">
        <v>947</v>
      </c>
      <c r="C3498" s="118" t="s">
        <v>948</v>
      </c>
      <c r="D3498" s="118">
        <v>0.25</v>
      </c>
      <c r="E3498" s="119">
        <f>45000/4</f>
        <v>11250</v>
      </c>
      <c r="F3498" s="119">
        <f t="shared" si="69"/>
        <v>2812.5</v>
      </c>
    </row>
    <row r="3499" spans="1:6" x14ac:dyDescent="0.35">
      <c r="A3499" s="111"/>
      <c r="B3499" s="120" t="s">
        <v>949</v>
      </c>
      <c r="C3499" s="118" t="s">
        <v>948</v>
      </c>
      <c r="D3499" s="118">
        <v>0.25</v>
      </c>
      <c r="E3499" s="119">
        <f>45000/4</f>
        <v>11250</v>
      </c>
      <c r="F3499" s="119">
        <f t="shared" si="69"/>
        <v>2812.5</v>
      </c>
    </row>
    <row r="3500" spans="1:6" x14ac:dyDescent="0.35">
      <c r="A3500" s="111"/>
      <c r="B3500" s="120" t="s">
        <v>954</v>
      </c>
      <c r="C3500" s="118" t="s">
        <v>950</v>
      </c>
      <c r="D3500" s="118">
        <v>1</v>
      </c>
      <c r="E3500" s="119">
        <v>40000</v>
      </c>
      <c r="F3500" s="119">
        <f t="shared" si="69"/>
        <v>40000</v>
      </c>
    </row>
    <row r="3501" spans="1:6" x14ac:dyDescent="0.35">
      <c r="A3501" s="111"/>
      <c r="B3501" s="120" t="s">
        <v>951</v>
      </c>
      <c r="C3501" s="118" t="s">
        <v>59</v>
      </c>
      <c r="D3501" s="118">
        <v>8</v>
      </c>
      <c r="E3501" s="119">
        <v>40000</v>
      </c>
      <c r="F3501" s="119">
        <f t="shared" si="69"/>
        <v>320000</v>
      </c>
    </row>
    <row r="3502" spans="1:6" x14ac:dyDescent="0.35">
      <c r="A3502" s="111"/>
      <c r="B3502" s="120" t="s">
        <v>952</v>
      </c>
      <c r="C3502" s="118"/>
      <c r="D3502" s="118"/>
      <c r="E3502" s="119"/>
      <c r="F3502" s="119">
        <f>+(F3493+F3498+F3499+F3500+F3501+F3497+F3496+F3495+F3494)*0.1</f>
        <v>47254.527777777781</v>
      </c>
    </row>
    <row r="3503" spans="1:6" x14ac:dyDescent="0.35">
      <c r="A3503" s="107"/>
      <c r="B3503" s="108" t="s">
        <v>769</v>
      </c>
      <c r="C3503" s="109"/>
      <c r="D3503" s="124"/>
      <c r="E3503" s="117"/>
      <c r="F3503" s="110">
        <f>SUM(F3493:F3502)</f>
        <v>519799.8055555555</v>
      </c>
    </row>
    <row r="3504" spans="1:6" x14ac:dyDescent="0.3">
      <c r="A3504" s="111"/>
      <c r="B3504" s="136" t="s">
        <v>808</v>
      </c>
      <c r="C3504" s="115"/>
      <c r="D3504" s="124"/>
      <c r="E3504" s="117"/>
      <c r="F3504" s="110"/>
    </row>
    <row r="3505" spans="1:6" x14ac:dyDescent="0.25">
      <c r="A3505" s="111"/>
      <c r="B3505" s="134" t="s">
        <v>820</v>
      </c>
      <c r="C3505" s="115" t="s">
        <v>772</v>
      </c>
      <c r="D3505" s="124">
        <v>0.25</v>
      </c>
      <c r="E3505" s="117">
        <v>7500</v>
      </c>
      <c r="F3505" s="117">
        <f t="shared" ref="F3505:F3511" si="70">+D3505*E3505</f>
        <v>1875</v>
      </c>
    </row>
    <row r="3506" spans="1:6" x14ac:dyDescent="0.25">
      <c r="A3506" s="111"/>
      <c r="B3506" s="134" t="s">
        <v>821</v>
      </c>
      <c r="C3506" s="115" t="s">
        <v>772</v>
      </c>
      <c r="D3506" s="124">
        <v>0.25</v>
      </c>
      <c r="E3506" s="117">
        <v>7500</v>
      </c>
      <c r="F3506" s="117">
        <f t="shared" si="70"/>
        <v>1875</v>
      </c>
    </row>
    <row r="3507" spans="1:6" x14ac:dyDescent="0.25">
      <c r="A3507" s="111"/>
      <c r="B3507" s="134" t="s">
        <v>895</v>
      </c>
      <c r="C3507" s="115" t="s">
        <v>772</v>
      </c>
      <c r="D3507" s="124">
        <v>0.5</v>
      </c>
      <c r="E3507" s="117">
        <v>15000</v>
      </c>
      <c r="F3507" s="117">
        <f t="shared" si="70"/>
        <v>7500</v>
      </c>
    </row>
    <row r="3508" spans="1:6" x14ac:dyDescent="0.25">
      <c r="A3508" s="111"/>
      <c r="B3508" s="134" t="s">
        <v>896</v>
      </c>
      <c r="C3508" s="115" t="s">
        <v>772</v>
      </c>
      <c r="D3508" s="124">
        <v>0.5</v>
      </c>
      <c r="E3508" s="117">
        <v>15000</v>
      </c>
      <c r="F3508" s="117">
        <f t="shared" si="70"/>
        <v>7500</v>
      </c>
    </row>
    <row r="3509" spans="1:6" x14ac:dyDescent="0.25">
      <c r="A3509" s="111"/>
      <c r="B3509" s="134" t="s">
        <v>773</v>
      </c>
      <c r="C3509" s="115" t="s">
        <v>772</v>
      </c>
      <c r="D3509" s="124">
        <v>0.5</v>
      </c>
      <c r="E3509" s="117">
        <v>15000</v>
      </c>
      <c r="F3509" s="117">
        <f t="shared" si="70"/>
        <v>7500</v>
      </c>
    </row>
    <row r="3510" spans="1:6" x14ac:dyDescent="0.25">
      <c r="A3510" s="111"/>
      <c r="B3510" s="134" t="s">
        <v>851</v>
      </c>
      <c r="C3510" s="115" t="s">
        <v>772</v>
      </c>
      <c r="D3510" s="124">
        <v>0.5</v>
      </c>
      <c r="E3510" s="117">
        <v>15000</v>
      </c>
      <c r="F3510" s="117">
        <f t="shared" si="70"/>
        <v>7500</v>
      </c>
    </row>
    <row r="3511" spans="1:6" x14ac:dyDescent="0.25">
      <c r="A3511" s="111"/>
      <c r="B3511" s="134" t="s">
        <v>953</v>
      </c>
      <c r="C3511" s="115" t="s">
        <v>772</v>
      </c>
      <c r="D3511" s="124">
        <v>0.15</v>
      </c>
      <c r="E3511" s="117">
        <v>15000</v>
      </c>
      <c r="F3511" s="117">
        <f t="shared" si="70"/>
        <v>2250</v>
      </c>
    </row>
    <row r="3512" spans="1:6" x14ac:dyDescent="0.3">
      <c r="A3512" s="111"/>
      <c r="B3512" s="136" t="s">
        <v>774</v>
      </c>
      <c r="C3512" s="115"/>
      <c r="D3512" s="124"/>
      <c r="E3512" s="117"/>
      <c r="F3512" s="110">
        <f>SUM(F3505:F3511)</f>
        <v>36000</v>
      </c>
    </row>
    <row r="3513" spans="1:6" x14ac:dyDescent="0.3">
      <c r="A3513" s="111"/>
      <c r="B3513" s="136" t="s">
        <v>775</v>
      </c>
      <c r="C3513" s="115"/>
      <c r="D3513" s="109"/>
      <c r="E3513" s="110"/>
      <c r="F3513" s="110">
        <f>+F3512+F3503</f>
        <v>555799.8055555555</v>
      </c>
    </row>
    <row r="3514" spans="1:6" x14ac:dyDescent="0.25">
      <c r="A3514" s="111"/>
      <c r="B3514" s="134" t="s">
        <v>824</v>
      </c>
      <c r="C3514" s="115"/>
      <c r="D3514" s="124">
        <v>1.1000000000000001</v>
      </c>
      <c r="E3514" s="110"/>
      <c r="F3514" s="110">
        <f>+F3513*D3514</f>
        <v>611379.78611111105</v>
      </c>
    </row>
    <row r="3515" spans="1:6" x14ac:dyDescent="0.25">
      <c r="A3515" s="111"/>
      <c r="B3515" s="134" t="s">
        <v>825</v>
      </c>
      <c r="C3515" s="115"/>
      <c r="D3515" s="124">
        <v>1.1000000000000001</v>
      </c>
      <c r="E3515" s="110"/>
      <c r="F3515" s="110"/>
    </row>
    <row r="3516" spans="1:6" x14ac:dyDescent="0.35">
      <c r="A3516" s="264" t="s">
        <v>1303</v>
      </c>
      <c r="B3516" s="242" t="s">
        <v>785</v>
      </c>
      <c r="C3516" s="208" t="s">
        <v>59</v>
      </c>
      <c r="D3516" s="208"/>
      <c r="E3516" s="209"/>
      <c r="F3516" s="209">
        <f>+D3515*F3514</f>
        <v>672517.76472222223</v>
      </c>
    </row>
    <row r="3517" spans="1:6" x14ac:dyDescent="0.35">
      <c r="A3517" s="206"/>
      <c r="B3517" s="207"/>
      <c r="C3517" s="208"/>
      <c r="D3517" s="208"/>
      <c r="E3517" s="210">
        <f>+E3486</f>
        <v>3035.45</v>
      </c>
      <c r="F3517" s="210">
        <f>+F3516/E3517</f>
        <v>221.55455195184314</v>
      </c>
    </row>
    <row r="3518" spans="1:6" x14ac:dyDescent="0.35">
      <c r="A3518" s="267"/>
      <c r="B3518" s="186"/>
      <c r="C3518" s="268"/>
      <c r="D3518" s="269"/>
      <c r="E3518" s="270"/>
      <c r="F3518" s="271"/>
    </row>
    <row r="3519" spans="1:6" x14ac:dyDescent="0.35">
      <c r="A3519" s="272"/>
      <c r="B3519" s="191"/>
      <c r="C3519" s="273"/>
      <c r="D3519" s="274"/>
      <c r="E3519" s="275"/>
      <c r="F3519" s="276"/>
    </row>
    <row r="3520" spans="1:6" x14ac:dyDescent="0.3">
      <c r="A3520" s="257" t="s">
        <v>227</v>
      </c>
      <c r="B3520" s="258" t="s">
        <v>228</v>
      </c>
      <c r="C3520" s="200" t="s">
        <v>2</v>
      </c>
      <c r="D3520" s="202" t="s">
        <v>765</v>
      </c>
      <c r="E3520" s="203" t="s">
        <v>766</v>
      </c>
      <c r="F3520" s="203" t="s">
        <v>767</v>
      </c>
    </row>
    <row r="3521" spans="1:6" x14ac:dyDescent="0.3">
      <c r="A3521" s="237" t="s">
        <v>229</v>
      </c>
      <c r="B3521" s="266" t="s">
        <v>230</v>
      </c>
      <c r="C3521" s="256"/>
      <c r="D3521" s="141"/>
      <c r="E3521" s="110"/>
      <c r="F3521" s="110"/>
    </row>
    <row r="3522" spans="1:6" x14ac:dyDescent="0.3">
      <c r="A3522" s="239" t="s">
        <v>255</v>
      </c>
      <c r="B3522" s="254" t="s">
        <v>1304</v>
      </c>
      <c r="C3522" s="256" t="s">
        <v>59</v>
      </c>
      <c r="D3522" s="141"/>
      <c r="E3522" s="110"/>
      <c r="F3522" s="110"/>
    </row>
    <row r="3523" spans="1:6" x14ac:dyDescent="0.35">
      <c r="A3523" s="111"/>
      <c r="B3523" s="112" t="s">
        <v>802</v>
      </c>
      <c r="C3523" s="118"/>
      <c r="D3523" s="118"/>
      <c r="E3523" s="119"/>
      <c r="F3523" s="119"/>
    </row>
    <row r="3524" spans="1:6" x14ac:dyDescent="0.35">
      <c r="A3524" s="111"/>
      <c r="B3524" s="120" t="s">
        <v>942</v>
      </c>
      <c r="C3524" s="118" t="s">
        <v>27</v>
      </c>
      <c r="D3524" s="118">
        <f>(1.655+0.88)*2</f>
        <v>5.07</v>
      </c>
      <c r="E3524" s="119">
        <f>48000/6</f>
        <v>8000</v>
      </c>
      <c r="F3524" s="119">
        <f>+D3524*E3524</f>
        <v>40560</v>
      </c>
    </row>
    <row r="3525" spans="1:6" x14ac:dyDescent="0.35">
      <c r="A3525" s="111"/>
      <c r="B3525" s="120" t="s">
        <v>943</v>
      </c>
      <c r="C3525" s="118" t="s">
        <v>27</v>
      </c>
      <c r="D3525" s="184">
        <f>((0.88/0.12)-1)*1.655</f>
        <v>10.481666666666667</v>
      </c>
      <c r="E3525" s="119">
        <f>65000/12</f>
        <v>5416.666666666667</v>
      </c>
      <c r="F3525" s="119">
        <f t="shared" ref="F3525:F3532" si="71">+D3525*E3525</f>
        <v>56775.694444444453</v>
      </c>
    </row>
    <row r="3526" spans="1:6" x14ac:dyDescent="0.35">
      <c r="A3526" s="111"/>
      <c r="B3526" s="120" t="s">
        <v>944</v>
      </c>
      <c r="C3526" s="118" t="s">
        <v>35</v>
      </c>
      <c r="D3526" s="118">
        <f>0.88*1.655</f>
        <v>1.4564000000000001</v>
      </c>
      <c r="E3526" s="119">
        <f>120000/12</f>
        <v>10000</v>
      </c>
      <c r="F3526" s="119">
        <f t="shared" si="71"/>
        <v>14564.000000000002</v>
      </c>
    </row>
    <row r="3527" spans="1:6" x14ac:dyDescent="0.35">
      <c r="A3527" s="111"/>
      <c r="B3527" s="120" t="s">
        <v>945</v>
      </c>
      <c r="C3527" s="118" t="s">
        <v>27</v>
      </c>
      <c r="D3527" s="118">
        <f>(1.655+0.88)*2</f>
        <v>5.07</v>
      </c>
      <c r="E3527" s="119">
        <f>25000/6</f>
        <v>4166.666666666667</v>
      </c>
      <c r="F3527" s="119">
        <f t="shared" si="71"/>
        <v>21125.000000000004</v>
      </c>
    </row>
    <row r="3528" spans="1:6" x14ac:dyDescent="0.35">
      <c r="A3528" s="111"/>
      <c r="B3528" s="120" t="s">
        <v>946</v>
      </c>
      <c r="C3528" s="118" t="s">
        <v>27</v>
      </c>
      <c r="D3528" s="118">
        <v>1</v>
      </c>
      <c r="E3528" s="119">
        <v>4666.666666666667</v>
      </c>
      <c r="F3528" s="119">
        <f t="shared" si="71"/>
        <v>4666.666666666667</v>
      </c>
    </row>
    <row r="3529" spans="1:6" x14ac:dyDescent="0.35">
      <c r="A3529" s="111"/>
      <c r="B3529" s="120" t="s">
        <v>947</v>
      </c>
      <c r="C3529" s="118" t="s">
        <v>948</v>
      </c>
      <c r="D3529" s="118">
        <v>0.25</v>
      </c>
      <c r="E3529" s="119">
        <f>45000/4</f>
        <v>11250</v>
      </c>
      <c r="F3529" s="119">
        <f t="shared" si="71"/>
        <v>2812.5</v>
      </c>
    </row>
    <row r="3530" spans="1:6" x14ac:dyDescent="0.35">
      <c r="A3530" s="111"/>
      <c r="B3530" s="120" t="s">
        <v>949</v>
      </c>
      <c r="C3530" s="118" t="s">
        <v>948</v>
      </c>
      <c r="D3530" s="118">
        <v>0.25</v>
      </c>
      <c r="E3530" s="119">
        <f>45000/4</f>
        <v>11250</v>
      </c>
      <c r="F3530" s="119">
        <f t="shared" si="71"/>
        <v>2812.5</v>
      </c>
    </row>
    <row r="3531" spans="1:6" x14ac:dyDescent="0.35">
      <c r="A3531" s="111"/>
      <c r="B3531" s="120" t="s">
        <v>1305</v>
      </c>
      <c r="C3531" s="118" t="s">
        <v>950</v>
      </c>
      <c r="D3531" s="118">
        <v>1</v>
      </c>
      <c r="E3531" s="119">
        <v>40000</v>
      </c>
      <c r="F3531" s="119">
        <f t="shared" si="71"/>
        <v>40000</v>
      </c>
    </row>
    <row r="3532" spans="1:6" x14ac:dyDescent="0.35">
      <c r="A3532" s="111"/>
      <c r="B3532" s="120" t="s">
        <v>951</v>
      </c>
      <c r="C3532" s="118" t="s">
        <v>59</v>
      </c>
      <c r="D3532" s="118">
        <v>10</v>
      </c>
      <c r="E3532" s="119">
        <v>40000</v>
      </c>
      <c r="F3532" s="119">
        <f t="shared" si="71"/>
        <v>400000</v>
      </c>
    </row>
    <row r="3533" spans="1:6" x14ac:dyDescent="0.35">
      <c r="A3533" s="111"/>
      <c r="B3533" s="120" t="s">
        <v>952</v>
      </c>
      <c r="C3533" s="118"/>
      <c r="D3533" s="118"/>
      <c r="E3533" s="119"/>
      <c r="F3533" s="119">
        <f>+(F3524+F3529+F3530+F3531+F3532+F3528+F3527+F3526+F3525)*0.1</f>
        <v>58331.636111111126</v>
      </c>
    </row>
    <row r="3534" spans="1:6" x14ac:dyDescent="0.35">
      <c r="A3534" s="107"/>
      <c r="B3534" s="108" t="s">
        <v>769</v>
      </c>
      <c r="C3534" s="109"/>
      <c r="D3534" s="124"/>
      <c r="E3534" s="117"/>
      <c r="F3534" s="110">
        <f>SUM(F3524:F3533)</f>
        <v>641647.99722222227</v>
      </c>
    </row>
    <row r="3535" spans="1:6" x14ac:dyDescent="0.3">
      <c r="A3535" s="111"/>
      <c r="B3535" s="136" t="s">
        <v>808</v>
      </c>
      <c r="C3535" s="115"/>
      <c r="D3535" s="124"/>
      <c r="E3535" s="117"/>
      <c r="F3535" s="110"/>
    </row>
    <row r="3536" spans="1:6" x14ac:dyDescent="0.25">
      <c r="A3536" s="111"/>
      <c r="B3536" s="134" t="s">
        <v>820</v>
      </c>
      <c r="C3536" s="115" t="s">
        <v>772</v>
      </c>
      <c r="D3536" s="124">
        <v>0.25</v>
      </c>
      <c r="E3536" s="117">
        <v>7500</v>
      </c>
      <c r="F3536" s="117">
        <f t="shared" ref="F3536:F3542" si="72">+D3536*E3536</f>
        <v>1875</v>
      </c>
    </row>
    <row r="3537" spans="1:6" x14ac:dyDescent="0.25">
      <c r="A3537" s="111"/>
      <c r="B3537" s="134" t="s">
        <v>821</v>
      </c>
      <c r="C3537" s="115" t="s">
        <v>772</v>
      </c>
      <c r="D3537" s="124">
        <v>0.25</v>
      </c>
      <c r="E3537" s="117">
        <v>7500</v>
      </c>
      <c r="F3537" s="117">
        <f t="shared" si="72"/>
        <v>1875</v>
      </c>
    </row>
    <row r="3538" spans="1:6" x14ac:dyDescent="0.25">
      <c r="A3538" s="111"/>
      <c r="B3538" s="134" t="s">
        <v>895</v>
      </c>
      <c r="C3538" s="115" t="s">
        <v>772</v>
      </c>
      <c r="D3538" s="124">
        <v>0.5</v>
      </c>
      <c r="E3538" s="117">
        <v>15000</v>
      </c>
      <c r="F3538" s="117">
        <f t="shared" si="72"/>
        <v>7500</v>
      </c>
    </row>
    <row r="3539" spans="1:6" x14ac:dyDescent="0.25">
      <c r="A3539" s="111"/>
      <c r="B3539" s="134" t="s">
        <v>896</v>
      </c>
      <c r="C3539" s="115" t="s">
        <v>772</v>
      </c>
      <c r="D3539" s="124">
        <v>0.5</v>
      </c>
      <c r="E3539" s="117">
        <v>15000</v>
      </c>
      <c r="F3539" s="117">
        <f t="shared" si="72"/>
        <v>7500</v>
      </c>
    </row>
    <row r="3540" spans="1:6" x14ac:dyDescent="0.25">
      <c r="A3540" s="111"/>
      <c r="B3540" s="134" t="s">
        <v>773</v>
      </c>
      <c r="C3540" s="115" t="s">
        <v>772</v>
      </c>
      <c r="D3540" s="124">
        <v>0.5</v>
      </c>
      <c r="E3540" s="117">
        <v>15000</v>
      </c>
      <c r="F3540" s="117">
        <f t="shared" si="72"/>
        <v>7500</v>
      </c>
    </row>
    <row r="3541" spans="1:6" x14ac:dyDescent="0.25">
      <c r="A3541" s="111"/>
      <c r="B3541" s="134" t="s">
        <v>851</v>
      </c>
      <c r="C3541" s="115" t="s">
        <v>772</v>
      </c>
      <c r="D3541" s="124">
        <v>0.5</v>
      </c>
      <c r="E3541" s="117">
        <v>15000</v>
      </c>
      <c r="F3541" s="117">
        <f t="shared" si="72"/>
        <v>7500</v>
      </c>
    </row>
    <row r="3542" spans="1:6" x14ac:dyDescent="0.25">
      <c r="A3542" s="111"/>
      <c r="B3542" s="134" t="s">
        <v>953</v>
      </c>
      <c r="C3542" s="115" t="s">
        <v>772</v>
      </c>
      <c r="D3542" s="124">
        <v>0.15</v>
      </c>
      <c r="E3542" s="117">
        <v>15000</v>
      </c>
      <c r="F3542" s="117">
        <f t="shared" si="72"/>
        <v>2250</v>
      </c>
    </row>
    <row r="3543" spans="1:6" x14ac:dyDescent="0.3">
      <c r="A3543" s="111"/>
      <c r="B3543" s="136" t="s">
        <v>774</v>
      </c>
      <c r="C3543" s="115"/>
      <c r="D3543" s="124"/>
      <c r="E3543" s="117"/>
      <c r="F3543" s="110">
        <f>SUM(F3536:F3542)</f>
        <v>36000</v>
      </c>
    </row>
    <row r="3544" spans="1:6" x14ac:dyDescent="0.3">
      <c r="A3544" s="111"/>
      <c r="B3544" s="136" t="s">
        <v>775</v>
      </c>
      <c r="C3544" s="115"/>
      <c r="D3544" s="109"/>
      <c r="E3544" s="110"/>
      <c r="F3544" s="110">
        <f>+F3543+F3534</f>
        <v>677647.99722222227</v>
      </c>
    </row>
    <row r="3545" spans="1:6" x14ac:dyDescent="0.25">
      <c r="A3545" s="111"/>
      <c r="B3545" s="134" t="s">
        <v>824</v>
      </c>
      <c r="C3545" s="115"/>
      <c r="D3545" s="124">
        <v>1.1000000000000001</v>
      </c>
      <c r="E3545" s="110"/>
      <c r="F3545" s="110">
        <f>+F3544*D3545</f>
        <v>745412.79694444453</v>
      </c>
    </row>
    <row r="3546" spans="1:6" x14ac:dyDescent="0.25">
      <c r="A3546" s="111"/>
      <c r="B3546" s="134" t="s">
        <v>825</v>
      </c>
      <c r="C3546" s="115"/>
      <c r="D3546" s="124">
        <v>1.1000000000000001</v>
      </c>
      <c r="E3546" s="110"/>
      <c r="F3546" s="110"/>
    </row>
    <row r="3547" spans="1:6" x14ac:dyDescent="0.35">
      <c r="A3547" s="264" t="s">
        <v>1306</v>
      </c>
      <c r="B3547" s="242" t="s">
        <v>785</v>
      </c>
      <c r="C3547" s="208" t="s">
        <v>59</v>
      </c>
      <c r="D3547" s="208"/>
      <c r="E3547" s="209"/>
      <c r="F3547" s="209">
        <f>+D3546*F3545</f>
        <v>819954.07663888903</v>
      </c>
    </row>
    <row r="3548" spans="1:6" x14ac:dyDescent="0.35">
      <c r="A3548" s="206"/>
      <c r="B3548" s="207"/>
      <c r="C3548" s="208"/>
      <c r="D3548" s="208"/>
      <c r="E3548" s="210">
        <f>+E3517</f>
        <v>3035.45</v>
      </c>
      <c r="F3548" s="210">
        <f>+F3547/E3548</f>
        <v>270.12603621831659</v>
      </c>
    </row>
    <row r="3549" spans="1:6" x14ac:dyDescent="0.35">
      <c r="A3549" s="185"/>
      <c r="B3549" s="186"/>
      <c r="C3549" s="187"/>
      <c r="D3549" s="188"/>
      <c r="E3549" s="189"/>
      <c r="F3549" s="180"/>
    </row>
    <row r="3550" spans="1:6" x14ac:dyDescent="0.35">
      <c r="A3550" s="190"/>
      <c r="B3550" s="191"/>
      <c r="C3550" s="192"/>
      <c r="D3550" s="193"/>
      <c r="E3550" s="194"/>
      <c r="F3550" s="182"/>
    </row>
    <row r="3551" spans="1:6" x14ac:dyDescent="0.3">
      <c r="A3551" s="257" t="s">
        <v>227</v>
      </c>
      <c r="B3551" s="258" t="s">
        <v>228</v>
      </c>
      <c r="C3551" s="200" t="s">
        <v>2</v>
      </c>
      <c r="D3551" s="202" t="s">
        <v>765</v>
      </c>
      <c r="E3551" s="203" t="s">
        <v>766</v>
      </c>
      <c r="F3551" s="203" t="s">
        <v>767</v>
      </c>
    </row>
    <row r="3552" spans="1:6" x14ac:dyDescent="0.3">
      <c r="A3552" s="237" t="s">
        <v>229</v>
      </c>
      <c r="B3552" s="266" t="s">
        <v>230</v>
      </c>
      <c r="C3552" s="256"/>
      <c r="D3552" s="141"/>
      <c r="E3552" s="110"/>
      <c r="F3552" s="110"/>
    </row>
    <row r="3553" spans="1:6" x14ac:dyDescent="0.3">
      <c r="A3553" s="239" t="s">
        <v>256</v>
      </c>
      <c r="B3553" s="254" t="s">
        <v>1307</v>
      </c>
      <c r="C3553" s="256" t="s">
        <v>59</v>
      </c>
      <c r="D3553" s="141"/>
      <c r="E3553" s="110"/>
      <c r="F3553" s="110"/>
    </row>
    <row r="3554" spans="1:6" x14ac:dyDescent="0.35">
      <c r="A3554" s="111"/>
      <c r="B3554" s="112" t="s">
        <v>802</v>
      </c>
      <c r="C3554" s="118"/>
      <c r="D3554" s="118"/>
      <c r="E3554" s="119"/>
      <c r="F3554" s="119"/>
    </row>
    <row r="3555" spans="1:6" x14ac:dyDescent="0.35">
      <c r="A3555" s="111"/>
      <c r="B3555" s="120" t="s">
        <v>942</v>
      </c>
      <c r="C3555" s="118" t="s">
        <v>27</v>
      </c>
      <c r="D3555" s="118">
        <f>(2.29+1.54)*2</f>
        <v>7.66</v>
      </c>
      <c r="E3555" s="119">
        <f>48000/6</f>
        <v>8000</v>
      </c>
      <c r="F3555" s="119">
        <f>+D3555*E3555</f>
        <v>61280</v>
      </c>
    </row>
    <row r="3556" spans="1:6" x14ac:dyDescent="0.35">
      <c r="A3556" s="111"/>
      <c r="B3556" s="120" t="s">
        <v>943</v>
      </c>
      <c r="C3556" s="118" t="s">
        <v>27</v>
      </c>
      <c r="D3556" s="184">
        <f>((1.54/0.12)-1)*2.29</f>
        <v>27.098333333333336</v>
      </c>
      <c r="E3556" s="119">
        <f>65000/12</f>
        <v>5416.666666666667</v>
      </c>
      <c r="F3556" s="119">
        <f t="shared" ref="F3556:F3563" si="73">+D3556*E3556</f>
        <v>146782.63888888891</v>
      </c>
    </row>
    <row r="3557" spans="1:6" x14ac:dyDescent="0.35">
      <c r="A3557" s="111"/>
      <c r="B3557" s="120" t="s">
        <v>944</v>
      </c>
      <c r="C3557" s="118" t="s">
        <v>35</v>
      </c>
      <c r="D3557" s="184">
        <f>2.29*1.54</f>
        <v>3.5266000000000002</v>
      </c>
      <c r="E3557" s="119">
        <f>120000/12</f>
        <v>10000</v>
      </c>
      <c r="F3557" s="119">
        <f t="shared" si="73"/>
        <v>35266</v>
      </c>
    </row>
    <row r="3558" spans="1:6" x14ac:dyDescent="0.35">
      <c r="A3558" s="111"/>
      <c r="B3558" s="120" t="s">
        <v>945</v>
      </c>
      <c r="C3558" s="118" t="s">
        <v>27</v>
      </c>
      <c r="D3558" s="118">
        <f>(2.29+1.54)*2+1.54</f>
        <v>9.1999999999999993</v>
      </c>
      <c r="E3558" s="119">
        <f>25000/6</f>
        <v>4166.666666666667</v>
      </c>
      <c r="F3558" s="119">
        <f t="shared" si="73"/>
        <v>38333.333333333336</v>
      </c>
    </row>
    <row r="3559" spans="1:6" x14ac:dyDescent="0.35">
      <c r="A3559" s="111"/>
      <c r="B3559" s="120" t="s">
        <v>946</v>
      </c>
      <c r="C3559" s="118" t="s">
        <v>27</v>
      </c>
      <c r="D3559" s="118">
        <v>2.29</v>
      </c>
      <c r="E3559" s="119">
        <v>4666.666666666667</v>
      </c>
      <c r="F3559" s="119">
        <f t="shared" si="73"/>
        <v>10686.666666666668</v>
      </c>
    </row>
    <row r="3560" spans="1:6" x14ac:dyDescent="0.35">
      <c r="A3560" s="111"/>
      <c r="B3560" s="120" t="s">
        <v>947</v>
      </c>
      <c r="C3560" s="118" t="s">
        <v>948</v>
      </c>
      <c r="D3560" s="118">
        <v>0.25</v>
      </c>
      <c r="E3560" s="119">
        <f>45000/4</f>
        <v>11250</v>
      </c>
      <c r="F3560" s="119">
        <f t="shared" si="73"/>
        <v>2812.5</v>
      </c>
    </row>
    <row r="3561" spans="1:6" x14ac:dyDescent="0.35">
      <c r="A3561" s="111"/>
      <c r="B3561" s="120" t="s">
        <v>949</v>
      </c>
      <c r="C3561" s="118" t="s">
        <v>948</v>
      </c>
      <c r="D3561" s="118">
        <v>0.25</v>
      </c>
      <c r="E3561" s="119">
        <f>45000/4</f>
        <v>11250</v>
      </c>
      <c r="F3561" s="119">
        <f t="shared" si="73"/>
        <v>2812.5</v>
      </c>
    </row>
    <row r="3562" spans="1:6" x14ac:dyDescent="0.35">
      <c r="A3562" s="111"/>
      <c r="B3562" s="120" t="s">
        <v>1308</v>
      </c>
      <c r="C3562" s="118" t="s">
        <v>950</v>
      </c>
      <c r="D3562" s="118">
        <v>1</v>
      </c>
      <c r="E3562" s="119">
        <v>40000</v>
      </c>
      <c r="F3562" s="119">
        <f t="shared" si="73"/>
        <v>40000</v>
      </c>
    </row>
    <row r="3563" spans="1:6" x14ac:dyDescent="0.35">
      <c r="A3563" s="111"/>
      <c r="B3563" s="120" t="s">
        <v>951</v>
      </c>
      <c r="C3563" s="118" t="s">
        <v>59</v>
      </c>
      <c r="D3563" s="118">
        <v>12</v>
      </c>
      <c r="E3563" s="119">
        <v>40000</v>
      </c>
      <c r="F3563" s="119">
        <f t="shared" si="73"/>
        <v>480000</v>
      </c>
    </row>
    <row r="3564" spans="1:6" x14ac:dyDescent="0.35">
      <c r="A3564" s="111"/>
      <c r="B3564" s="120" t="s">
        <v>952</v>
      </c>
      <c r="C3564" s="118"/>
      <c r="D3564" s="118"/>
      <c r="E3564" s="119"/>
      <c r="F3564" s="119">
        <f>+(F3555+F3560+F3561+F3562+F3563+F3559+F3558+F3557+F3556)*0.1</f>
        <v>81797.363888888896</v>
      </c>
    </row>
    <row r="3565" spans="1:6" x14ac:dyDescent="0.35">
      <c r="A3565" s="107"/>
      <c r="B3565" s="108" t="s">
        <v>769</v>
      </c>
      <c r="C3565" s="109"/>
      <c r="D3565" s="124"/>
      <c r="E3565" s="117"/>
      <c r="F3565" s="110">
        <f>SUM(F3555:F3564)</f>
        <v>899771.00277777785</v>
      </c>
    </row>
    <row r="3566" spans="1:6" x14ac:dyDescent="0.3">
      <c r="A3566" s="111"/>
      <c r="B3566" s="136" t="s">
        <v>808</v>
      </c>
      <c r="C3566" s="115"/>
      <c r="D3566" s="124"/>
      <c r="E3566" s="117"/>
      <c r="F3566" s="110"/>
    </row>
    <row r="3567" spans="1:6" x14ac:dyDescent="0.25">
      <c r="A3567" s="111"/>
      <c r="B3567" s="134" t="s">
        <v>820</v>
      </c>
      <c r="C3567" s="115" t="s">
        <v>772</v>
      </c>
      <c r="D3567" s="124">
        <v>0.25</v>
      </c>
      <c r="E3567" s="117">
        <v>7500</v>
      </c>
      <c r="F3567" s="117">
        <f t="shared" ref="F3567:F3573" si="74">+D3567*E3567</f>
        <v>1875</v>
      </c>
    </row>
    <row r="3568" spans="1:6" x14ac:dyDescent="0.25">
      <c r="A3568" s="111"/>
      <c r="B3568" s="134" t="s">
        <v>821</v>
      </c>
      <c r="C3568" s="115" t="s">
        <v>772</v>
      </c>
      <c r="D3568" s="124">
        <v>0.25</v>
      </c>
      <c r="E3568" s="117">
        <v>7500</v>
      </c>
      <c r="F3568" s="117">
        <f t="shared" si="74"/>
        <v>1875</v>
      </c>
    </row>
    <row r="3569" spans="1:6" x14ac:dyDescent="0.25">
      <c r="A3569" s="111"/>
      <c r="B3569" s="134" t="s">
        <v>895</v>
      </c>
      <c r="C3569" s="115" t="s">
        <v>772</v>
      </c>
      <c r="D3569" s="124">
        <v>0.5</v>
      </c>
      <c r="E3569" s="117">
        <v>15000</v>
      </c>
      <c r="F3569" s="117">
        <f t="shared" si="74"/>
        <v>7500</v>
      </c>
    </row>
    <row r="3570" spans="1:6" x14ac:dyDescent="0.25">
      <c r="A3570" s="111"/>
      <c r="B3570" s="134" t="s">
        <v>896</v>
      </c>
      <c r="C3570" s="115" t="s">
        <v>772</v>
      </c>
      <c r="D3570" s="124">
        <v>0.5</v>
      </c>
      <c r="E3570" s="117">
        <v>15000</v>
      </c>
      <c r="F3570" s="117">
        <f t="shared" si="74"/>
        <v>7500</v>
      </c>
    </row>
    <row r="3571" spans="1:6" x14ac:dyDescent="0.25">
      <c r="A3571" s="111"/>
      <c r="B3571" s="134" t="s">
        <v>773</v>
      </c>
      <c r="C3571" s="115" t="s">
        <v>772</v>
      </c>
      <c r="D3571" s="124">
        <v>0.5</v>
      </c>
      <c r="E3571" s="117">
        <v>15000</v>
      </c>
      <c r="F3571" s="117">
        <f t="shared" si="74"/>
        <v>7500</v>
      </c>
    </row>
    <row r="3572" spans="1:6" x14ac:dyDescent="0.25">
      <c r="A3572" s="111"/>
      <c r="B3572" s="134" t="s">
        <v>851</v>
      </c>
      <c r="C3572" s="115" t="s">
        <v>772</v>
      </c>
      <c r="D3572" s="124">
        <v>0.5</v>
      </c>
      <c r="E3572" s="117">
        <v>15000</v>
      </c>
      <c r="F3572" s="117">
        <f t="shared" si="74"/>
        <v>7500</v>
      </c>
    </row>
    <row r="3573" spans="1:6" x14ac:dyDescent="0.25">
      <c r="A3573" s="111"/>
      <c r="B3573" s="134" t="s">
        <v>953</v>
      </c>
      <c r="C3573" s="115" t="s">
        <v>772</v>
      </c>
      <c r="D3573" s="124">
        <v>0.15</v>
      </c>
      <c r="E3573" s="117">
        <v>15000</v>
      </c>
      <c r="F3573" s="117">
        <f t="shared" si="74"/>
        <v>2250</v>
      </c>
    </row>
    <row r="3574" spans="1:6" x14ac:dyDescent="0.3">
      <c r="A3574" s="111"/>
      <c r="B3574" s="136" t="s">
        <v>774</v>
      </c>
      <c r="C3574" s="115"/>
      <c r="D3574" s="124"/>
      <c r="E3574" s="117"/>
      <c r="F3574" s="110">
        <f>SUM(F3567:F3573)</f>
        <v>36000</v>
      </c>
    </row>
    <row r="3575" spans="1:6" x14ac:dyDescent="0.3">
      <c r="A3575" s="111"/>
      <c r="B3575" s="136" t="s">
        <v>775</v>
      </c>
      <c r="C3575" s="115"/>
      <c r="D3575" s="109"/>
      <c r="E3575" s="110"/>
      <c r="F3575" s="110">
        <f>+F3574+F3565</f>
        <v>935771.00277777785</v>
      </c>
    </row>
    <row r="3576" spans="1:6" x14ac:dyDescent="0.25">
      <c r="A3576" s="111"/>
      <c r="B3576" s="134" t="s">
        <v>936</v>
      </c>
      <c r="C3576" s="115"/>
      <c r="D3576" s="124">
        <v>1.2</v>
      </c>
      <c r="E3576" s="110"/>
      <c r="F3576" s="110">
        <f>+F3575*D3576</f>
        <v>1122925.2033333334</v>
      </c>
    </row>
    <row r="3577" spans="1:6" x14ac:dyDescent="0.25">
      <c r="A3577" s="111"/>
      <c r="B3577" s="134" t="s">
        <v>826</v>
      </c>
      <c r="C3577" s="115"/>
      <c r="D3577" s="124">
        <v>1.2</v>
      </c>
      <c r="E3577" s="110"/>
      <c r="F3577" s="110"/>
    </row>
    <row r="3578" spans="1:6" x14ac:dyDescent="0.35">
      <c r="A3578" s="264" t="s">
        <v>1309</v>
      </c>
      <c r="B3578" s="242" t="s">
        <v>785</v>
      </c>
      <c r="C3578" s="208" t="s">
        <v>59</v>
      </c>
      <c r="D3578" s="208"/>
      <c r="E3578" s="209"/>
      <c r="F3578" s="209">
        <f>+D3577*F3576</f>
        <v>1347510.2439999999</v>
      </c>
    </row>
    <row r="3579" spans="1:6" x14ac:dyDescent="0.35">
      <c r="A3579" s="206"/>
      <c r="B3579" s="207"/>
      <c r="C3579" s="208"/>
      <c r="D3579" s="208"/>
      <c r="E3579" s="210">
        <f>+E3548</f>
        <v>3035.45</v>
      </c>
      <c r="F3579" s="210">
        <f>+F3578/E3579</f>
        <v>443.92437496911498</v>
      </c>
    </row>
    <row r="3580" spans="1:6" x14ac:dyDescent="0.35">
      <c r="A3580" s="185"/>
      <c r="B3580" s="186"/>
      <c r="C3580" s="187"/>
      <c r="D3580" s="188"/>
      <c r="E3580" s="189"/>
      <c r="F3580" s="180"/>
    </row>
    <row r="3581" spans="1:6" x14ac:dyDescent="0.35">
      <c r="A3581" s="190"/>
      <c r="B3581" s="191"/>
      <c r="C3581" s="192"/>
      <c r="D3581" s="193"/>
      <c r="E3581" s="194"/>
      <c r="F3581" s="182"/>
    </row>
    <row r="3582" spans="1:6" x14ac:dyDescent="0.3">
      <c r="A3582" s="257" t="s">
        <v>227</v>
      </c>
      <c r="B3582" s="258" t="s">
        <v>228</v>
      </c>
      <c r="C3582" s="200" t="s">
        <v>2</v>
      </c>
      <c r="D3582" s="202" t="s">
        <v>765</v>
      </c>
      <c r="E3582" s="203" t="s">
        <v>766</v>
      </c>
      <c r="F3582" s="203" t="s">
        <v>767</v>
      </c>
    </row>
    <row r="3583" spans="1:6" x14ac:dyDescent="0.3">
      <c r="A3583" s="237" t="s">
        <v>229</v>
      </c>
      <c r="B3583" s="266" t="s">
        <v>230</v>
      </c>
      <c r="C3583" s="256"/>
      <c r="D3583" s="141"/>
      <c r="E3583" s="110"/>
      <c r="F3583" s="110"/>
    </row>
    <row r="3584" spans="1:6" x14ac:dyDescent="0.3">
      <c r="A3584" s="239" t="s">
        <v>257</v>
      </c>
      <c r="B3584" s="254" t="s">
        <v>1310</v>
      </c>
      <c r="C3584" s="256" t="s">
        <v>59</v>
      </c>
      <c r="D3584" s="141"/>
      <c r="E3584" s="110"/>
      <c r="F3584" s="110"/>
    </row>
    <row r="3585" spans="1:6" x14ac:dyDescent="0.35">
      <c r="A3585" s="111"/>
      <c r="B3585" s="112" t="s">
        <v>802</v>
      </c>
      <c r="C3585" s="118"/>
      <c r="D3585" s="118"/>
      <c r="E3585" s="119"/>
      <c r="F3585" s="119"/>
    </row>
    <row r="3586" spans="1:6" x14ac:dyDescent="0.35">
      <c r="A3586" s="111"/>
      <c r="B3586" s="120" t="s">
        <v>942</v>
      </c>
      <c r="C3586" s="118" t="s">
        <v>27</v>
      </c>
      <c r="D3586" s="118">
        <f>(2.29+0.88)*2</f>
        <v>6.34</v>
      </c>
      <c r="E3586" s="119">
        <f>48000/6</f>
        <v>8000</v>
      </c>
      <c r="F3586" s="119">
        <f>+D3586*E3586</f>
        <v>50720</v>
      </c>
    </row>
    <row r="3587" spans="1:6" x14ac:dyDescent="0.35">
      <c r="A3587" s="111"/>
      <c r="B3587" s="120" t="s">
        <v>943</v>
      </c>
      <c r="C3587" s="118" t="s">
        <v>27</v>
      </c>
      <c r="D3587" s="184">
        <f>((0.88/0.12)-1)*2.29</f>
        <v>14.503333333333336</v>
      </c>
      <c r="E3587" s="119">
        <f>65000/12</f>
        <v>5416.666666666667</v>
      </c>
      <c r="F3587" s="119">
        <f t="shared" ref="F3587:F3594" si="75">+D3587*E3587</f>
        <v>78559.722222222234</v>
      </c>
    </row>
    <row r="3588" spans="1:6" x14ac:dyDescent="0.35">
      <c r="A3588" s="111"/>
      <c r="B3588" s="120" t="s">
        <v>944</v>
      </c>
      <c r="C3588" s="118" t="s">
        <v>35</v>
      </c>
      <c r="D3588" s="118">
        <f>0.88*2.29</f>
        <v>2.0152000000000001</v>
      </c>
      <c r="E3588" s="119">
        <f>120000/12</f>
        <v>10000</v>
      </c>
      <c r="F3588" s="119">
        <f t="shared" si="75"/>
        <v>20152</v>
      </c>
    </row>
    <row r="3589" spans="1:6" x14ac:dyDescent="0.35">
      <c r="A3589" s="111"/>
      <c r="B3589" s="120" t="s">
        <v>945</v>
      </c>
      <c r="C3589" s="118" t="s">
        <v>27</v>
      </c>
      <c r="D3589" s="118">
        <f>(0.88+2.29)*2+0.88</f>
        <v>7.22</v>
      </c>
      <c r="E3589" s="119">
        <f>25000/6</f>
        <v>4166.666666666667</v>
      </c>
      <c r="F3589" s="119">
        <f t="shared" si="75"/>
        <v>30083.333333333336</v>
      </c>
    </row>
    <row r="3590" spans="1:6" x14ac:dyDescent="0.35">
      <c r="A3590" s="111"/>
      <c r="B3590" s="120" t="s">
        <v>946</v>
      </c>
      <c r="C3590" s="118" t="s">
        <v>27</v>
      </c>
      <c r="D3590" s="118">
        <v>2.29</v>
      </c>
      <c r="E3590" s="119">
        <v>4666.666666666667</v>
      </c>
      <c r="F3590" s="119">
        <f t="shared" si="75"/>
        <v>10686.666666666668</v>
      </c>
    </row>
    <row r="3591" spans="1:6" x14ac:dyDescent="0.35">
      <c r="A3591" s="111"/>
      <c r="B3591" s="120" t="s">
        <v>947</v>
      </c>
      <c r="C3591" s="118" t="s">
        <v>948</v>
      </c>
      <c r="D3591" s="118">
        <v>0.25</v>
      </c>
      <c r="E3591" s="119">
        <f>45000/4</f>
        <v>11250</v>
      </c>
      <c r="F3591" s="119">
        <f t="shared" si="75"/>
        <v>2812.5</v>
      </c>
    </row>
    <row r="3592" spans="1:6" x14ac:dyDescent="0.35">
      <c r="A3592" s="111"/>
      <c r="B3592" s="120" t="s">
        <v>949</v>
      </c>
      <c r="C3592" s="118" t="s">
        <v>948</v>
      </c>
      <c r="D3592" s="118">
        <v>0.25</v>
      </c>
      <c r="E3592" s="119">
        <f>45000/4</f>
        <v>11250</v>
      </c>
      <c r="F3592" s="119">
        <f t="shared" si="75"/>
        <v>2812.5</v>
      </c>
    </row>
    <row r="3593" spans="1:6" x14ac:dyDescent="0.35">
      <c r="A3593" s="111"/>
      <c r="B3593" s="120" t="s">
        <v>954</v>
      </c>
      <c r="C3593" s="118" t="s">
        <v>950</v>
      </c>
      <c r="D3593" s="118">
        <v>1</v>
      </c>
      <c r="E3593" s="119">
        <v>40000</v>
      </c>
      <c r="F3593" s="119">
        <f t="shared" si="75"/>
        <v>40000</v>
      </c>
    </row>
    <row r="3594" spans="1:6" x14ac:dyDescent="0.35">
      <c r="A3594" s="111"/>
      <c r="B3594" s="120" t="s">
        <v>951</v>
      </c>
      <c r="C3594" s="118" t="s">
        <v>59</v>
      </c>
      <c r="D3594" s="118">
        <v>12</v>
      </c>
      <c r="E3594" s="119">
        <v>40000</v>
      </c>
      <c r="F3594" s="119">
        <f t="shared" si="75"/>
        <v>480000</v>
      </c>
    </row>
    <row r="3595" spans="1:6" x14ac:dyDescent="0.35">
      <c r="A3595" s="111"/>
      <c r="B3595" s="120" t="s">
        <v>952</v>
      </c>
      <c r="C3595" s="118"/>
      <c r="D3595" s="118"/>
      <c r="E3595" s="119"/>
      <c r="F3595" s="119">
        <f>+(F3586+F3591+F3592+F3593+F3594+F3590+F3589+F3588+F3587)*0.1</f>
        <v>71582.672222222231</v>
      </c>
    </row>
    <row r="3596" spans="1:6" x14ac:dyDescent="0.35">
      <c r="A3596" s="107"/>
      <c r="B3596" s="108" t="s">
        <v>769</v>
      </c>
      <c r="C3596" s="109"/>
      <c r="D3596" s="124"/>
      <c r="E3596" s="117"/>
      <c r="F3596" s="110">
        <f>SUM(F3586:F3595)</f>
        <v>787409.39444444445</v>
      </c>
    </row>
    <row r="3597" spans="1:6" x14ac:dyDescent="0.3">
      <c r="A3597" s="111"/>
      <c r="B3597" s="136" t="s">
        <v>808</v>
      </c>
      <c r="C3597" s="115"/>
      <c r="D3597" s="124"/>
      <c r="E3597" s="117"/>
      <c r="F3597" s="110"/>
    </row>
    <row r="3598" spans="1:6" x14ac:dyDescent="0.25">
      <c r="A3598" s="111"/>
      <c r="B3598" s="134" t="s">
        <v>820</v>
      </c>
      <c r="C3598" s="115" t="s">
        <v>772</v>
      </c>
      <c r="D3598" s="124">
        <v>0.25</v>
      </c>
      <c r="E3598" s="117">
        <v>7500</v>
      </c>
      <c r="F3598" s="117">
        <f t="shared" ref="F3598:F3604" si="76">+D3598*E3598</f>
        <v>1875</v>
      </c>
    </row>
    <row r="3599" spans="1:6" x14ac:dyDescent="0.25">
      <c r="A3599" s="111"/>
      <c r="B3599" s="134" t="s">
        <v>821</v>
      </c>
      <c r="C3599" s="115" t="s">
        <v>772</v>
      </c>
      <c r="D3599" s="124">
        <v>0.25</v>
      </c>
      <c r="E3599" s="117">
        <v>7500</v>
      </c>
      <c r="F3599" s="117">
        <f t="shared" si="76"/>
        <v>1875</v>
      </c>
    </row>
    <row r="3600" spans="1:6" x14ac:dyDescent="0.25">
      <c r="A3600" s="111"/>
      <c r="B3600" s="134" t="s">
        <v>895</v>
      </c>
      <c r="C3600" s="115" t="s">
        <v>772</v>
      </c>
      <c r="D3600" s="124">
        <v>0.5</v>
      </c>
      <c r="E3600" s="117">
        <v>15000</v>
      </c>
      <c r="F3600" s="117">
        <f t="shared" si="76"/>
        <v>7500</v>
      </c>
    </row>
    <row r="3601" spans="1:6" x14ac:dyDescent="0.25">
      <c r="A3601" s="111"/>
      <c r="B3601" s="134" t="s">
        <v>896</v>
      </c>
      <c r="C3601" s="115" t="s">
        <v>772</v>
      </c>
      <c r="D3601" s="124">
        <v>0.5</v>
      </c>
      <c r="E3601" s="117">
        <v>15000</v>
      </c>
      <c r="F3601" s="117">
        <f t="shared" si="76"/>
        <v>7500</v>
      </c>
    </row>
    <row r="3602" spans="1:6" x14ac:dyDescent="0.25">
      <c r="A3602" s="111"/>
      <c r="B3602" s="134" t="s">
        <v>773</v>
      </c>
      <c r="C3602" s="115" t="s">
        <v>772</v>
      </c>
      <c r="D3602" s="124">
        <v>0.5</v>
      </c>
      <c r="E3602" s="117">
        <v>15000</v>
      </c>
      <c r="F3602" s="117">
        <f t="shared" si="76"/>
        <v>7500</v>
      </c>
    </row>
    <row r="3603" spans="1:6" x14ac:dyDescent="0.25">
      <c r="A3603" s="111"/>
      <c r="B3603" s="134" t="s">
        <v>851</v>
      </c>
      <c r="C3603" s="115" t="s">
        <v>772</v>
      </c>
      <c r="D3603" s="124">
        <v>0.5</v>
      </c>
      <c r="E3603" s="117">
        <v>15000</v>
      </c>
      <c r="F3603" s="117">
        <f t="shared" si="76"/>
        <v>7500</v>
      </c>
    </row>
    <row r="3604" spans="1:6" x14ac:dyDescent="0.25">
      <c r="A3604" s="111"/>
      <c r="B3604" s="134" t="s">
        <v>953</v>
      </c>
      <c r="C3604" s="115" t="s">
        <v>772</v>
      </c>
      <c r="D3604" s="124">
        <v>0.15</v>
      </c>
      <c r="E3604" s="117">
        <v>15000</v>
      </c>
      <c r="F3604" s="117">
        <f t="shared" si="76"/>
        <v>2250</v>
      </c>
    </row>
    <row r="3605" spans="1:6" x14ac:dyDescent="0.3">
      <c r="A3605" s="111"/>
      <c r="B3605" s="136" t="s">
        <v>774</v>
      </c>
      <c r="C3605" s="115"/>
      <c r="D3605" s="124"/>
      <c r="E3605" s="117"/>
      <c r="F3605" s="110">
        <f>SUM(F3598:F3604)</f>
        <v>36000</v>
      </c>
    </row>
    <row r="3606" spans="1:6" x14ac:dyDescent="0.3">
      <c r="A3606" s="111"/>
      <c r="B3606" s="136" t="s">
        <v>775</v>
      </c>
      <c r="C3606" s="115"/>
      <c r="D3606" s="109"/>
      <c r="E3606" s="110"/>
      <c r="F3606" s="110">
        <f>+F3605+F3596</f>
        <v>823409.39444444445</v>
      </c>
    </row>
    <row r="3607" spans="1:6" x14ac:dyDescent="0.25">
      <c r="A3607" s="111"/>
      <c r="B3607" s="134" t="s">
        <v>824</v>
      </c>
      <c r="C3607" s="115"/>
      <c r="D3607" s="124">
        <v>1.1000000000000001</v>
      </c>
      <c r="E3607" s="110"/>
      <c r="F3607" s="110">
        <f>+F3606*D3607</f>
        <v>905750.33388888894</v>
      </c>
    </row>
    <row r="3608" spans="1:6" x14ac:dyDescent="0.25">
      <c r="A3608" s="111"/>
      <c r="B3608" s="134" t="s">
        <v>825</v>
      </c>
      <c r="C3608" s="115"/>
      <c r="D3608" s="124">
        <v>1.1000000000000001</v>
      </c>
      <c r="E3608" s="110"/>
      <c r="F3608" s="110"/>
    </row>
    <row r="3609" spans="1:6" x14ac:dyDescent="0.35">
      <c r="A3609" s="264" t="s">
        <v>1311</v>
      </c>
      <c r="B3609" s="242" t="s">
        <v>785</v>
      </c>
      <c r="C3609" s="208" t="s">
        <v>59</v>
      </c>
      <c r="D3609" s="208"/>
      <c r="E3609" s="209"/>
      <c r="F3609" s="209">
        <f>+D3608*F3607</f>
        <v>996325.36727777787</v>
      </c>
    </row>
    <row r="3610" spans="1:6" x14ac:dyDescent="0.35">
      <c r="A3610" s="206"/>
      <c r="B3610" s="207"/>
      <c r="C3610" s="208"/>
      <c r="D3610" s="208"/>
      <c r="E3610" s="210">
        <f>+E3579</f>
        <v>3035.45</v>
      </c>
      <c r="F3610" s="210">
        <f>+F3609/E3610</f>
        <v>328.22987276277911</v>
      </c>
    </row>
    <row r="3613" spans="1:6" x14ac:dyDescent="0.3">
      <c r="A3613" s="257" t="s">
        <v>227</v>
      </c>
      <c r="B3613" s="258" t="s">
        <v>228</v>
      </c>
      <c r="C3613" s="200" t="s">
        <v>2</v>
      </c>
      <c r="D3613" s="202" t="s">
        <v>765</v>
      </c>
      <c r="E3613" s="203" t="s">
        <v>766</v>
      </c>
      <c r="F3613" s="203" t="s">
        <v>767</v>
      </c>
    </row>
    <row r="3614" spans="1:6" x14ac:dyDescent="0.3">
      <c r="A3614" s="237" t="s">
        <v>229</v>
      </c>
      <c r="B3614" s="266" t="s">
        <v>230</v>
      </c>
      <c r="C3614" s="256"/>
      <c r="D3614" s="141"/>
      <c r="E3614" s="110"/>
      <c r="F3614" s="110"/>
    </row>
    <row r="3615" spans="1:6" x14ac:dyDescent="0.3">
      <c r="A3615" s="239" t="s">
        <v>258</v>
      </c>
      <c r="B3615" s="254" t="s">
        <v>1292</v>
      </c>
      <c r="C3615" s="256" t="s">
        <v>59</v>
      </c>
      <c r="D3615" s="141"/>
      <c r="E3615" s="110"/>
      <c r="F3615" s="110"/>
    </row>
    <row r="3616" spans="1:6" x14ac:dyDescent="0.35">
      <c r="A3616" s="111"/>
      <c r="B3616" s="112" t="s">
        <v>802</v>
      </c>
      <c r="C3616" s="118"/>
      <c r="D3616" s="118"/>
      <c r="E3616" s="119"/>
      <c r="F3616" s="119"/>
    </row>
    <row r="3617" spans="1:6" x14ac:dyDescent="0.35">
      <c r="A3617" s="111"/>
      <c r="B3617" s="120" t="s">
        <v>942</v>
      </c>
      <c r="C3617" s="118" t="s">
        <v>27</v>
      </c>
      <c r="D3617" s="118">
        <f>(0.58+0.77)*2</f>
        <v>2.7</v>
      </c>
      <c r="E3617" s="119">
        <f>48000/6</f>
        <v>8000</v>
      </c>
      <c r="F3617" s="119">
        <f>+D3617*E3617</f>
        <v>21600</v>
      </c>
    </row>
    <row r="3618" spans="1:6" x14ac:dyDescent="0.35">
      <c r="A3618" s="111"/>
      <c r="B3618" s="120" t="s">
        <v>943</v>
      </c>
      <c r="C3618" s="118" t="s">
        <v>27</v>
      </c>
      <c r="D3618" s="184">
        <f>((0.58/0.12)-1)*0.77</f>
        <v>2.9516666666666667</v>
      </c>
      <c r="E3618" s="119">
        <f>65000/12</f>
        <v>5416.666666666667</v>
      </c>
      <c r="F3618" s="119">
        <f t="shared" ref="F3618:F3625" si="77">+D3618*E3618</f>
        <v>15988.194444444445</v>
      </c>
    </row>
    <row r="3619" spans="1:6" x14ac:dyDescent="0.35">
      <c r="A3619" s="111"/>
      <c r="B3619" s="120" t="s">
        <v>944</v>
      </c>
      <c r="C3619" s="118" t="s">
        <v>35</v>
      </c>
      <c r="D3619" s="184">
        <f>0.58*0.77</f>
        <v>0.4466</v>
      </c>
      <c r="E3619" s="119">
        <f>120000/12</f>
        <v>10000</v>
      </c>
      <c r="F3619" s="119">
        <f t="shared" si="77"/>
        <v>4466</v>
      </c>
    </row>
    <row r="3620" spans="1:6" x14ac:dyDescent="0.35">
      <c r="A3620" s="111"/>
      <c r="B3620" s="120" t="s">
        <v>945</v>
      </c>
      <c r="C3620" s="118" t="s">
        <v>27</v>
      </c>
      <c r="D3620" s="118">
        <f>(0.58+0.77)*2</f>
        <v>2.7</v>
      </c>
      <c r="E3620" s="119">
        <f>25000/6</f>
        <v>4166.666666666667</v>
      </c>
      <c r="F3620" s="119">
        <f t="shared" si="77"/>
        <v>11250.000000000002</v>
      </c>
    </row>
    <row r="3621" spans="1:6" x14ac:dyDescent="0.35">
      <c r="A3621" s="111"/>
      <c r="B3621" s="120" t="s">
        <v>946</v>
      </c>
      <c r="C3621" s="118" t="s">
        <v>27</v>
      </c>
      <c r="D3621" s="118">
        <v>0.5</v>
      </c>
      <c r="E3621" s="119">
        <v>4666.666666666667</v>
      </c>
      <c r="F3621" s="119">
        <f t="shared" si="77"/>
        <v>2333.3333333333335</v>
      </c>
    </row>
    <row r="3622" spans="1:6" x14ac:dyDescent="0.35">
      <c r="A3622" s="111"/>
      <c r="B3622" s="120" t="s">
        <v>947</v>
      </c>
      <c r="C3622" s="118" t="s">
        <v>948</v>
      </c>
      <c r="D3622" s="118">
        <v>0.15</v>
      </c>
      <c r="E3622" s="119">
        <f>45000/4</f>
        <v>11250</v>
      </c>
      <c r="F3622" s="119">
        <f t="shared" si="77"/>
        <v>1687.5</v>
      </c>
    </row>
    <row r="3623" spans="1:6" x14ac:dyDescent="0.35">
      <c r="A3623" s="111"/>
      <c r="B3623" s="120" t="s">
        <v>949</v>
      </c>
      <c r="C3623" s="118" t="s">
        <v>948</v>
      </c>
      <c r="D3623" s="118">
        <v>0.15</v>
      </c>
      <c r="E3623" s="119">
        <f>45000/4</f>
        <v>11250</v>
      </c>
      <c r="F3623" s="119">
        <f t="shared" si="77"/>
        <v>1687.5</v>
      </c>
    </row>
    <row r="3624" spans="1:6" x14ac:dyDescent="0.35">
      <c r="A3624" s="111"/>
      <c r="B3624" s="120" t="s">
        <v>1158</v>
      </c>
      <c r="C3624" s="118" t="s">
        <v>950</v>
      </c>
      <c r="D3624" s="118">
        <v>1</v>
      </c>
      <c r="E3624" s="119">
        <v>40000</v>
      </c>
      <c r="F3624" s="119">
        <f t="shared" si="77"/>
        <v>40000</v>
      </c>
    </row>
    <row r="3625" spans="1:6" x14ac:dyDescent="0.35">
      <c r="A3625" s="111"/>
      <c r="B3625" s="120" t="s">
        <v>951</v>
      </c>
      <c r="C3625" s="118" t="s">
        <v>59</v>
      </c>
      <c r="D3625" s="118">
        <v>4</v>
      </c>
      <c r="E3625" s="119">
        <v>40000</v>
      </c>
      <c r="F3625" s="119">
        <f t="shared" si="77"/>
        <v>160000</v>
      </c>
    </row>
    <row r="3626" spans="1:6" x14ac:dyDescent="0.35">
      <c r="A3626" s="111"/>
      <c r="B3626" s="120" t="s">
        <v>952</v>
      </c>
      <c r="C3626" s="118"/>
      <c r="D3626" s="118"/>
      <c r="E3626" s="119"/>
      <c r="F3626" s="119">
        <f>+(F3617+F3622+F3623+F3624+F3625+F3621+F3620+F3619+F3618)*0.1</f>
        <v>25901.25277777778</v>
      </c>
    </row>
    <row r="3627" spans="1:6" x14ac:dyDescent="0.35">
      <c r="A3627" s="107"/>
      <c r="B3627" s="108" t="s">
        <v>769</v>
      </c>
      <c r="C3627" s="109"/>
      <c r="D3627" s="124"/>
      <c r="E3627" s="117"/>
      <c r="F3627" s="110">
        <f>SUM(F3617:F3626)</f>
        <v>284913.78055555554</v>
      </c>
    </row>
    <row r="3628" spans="1:6" x14ac:dyDescent="0.3">
      <c r="A3628" s="111"/>
      <c r="B3628" s="136" t="s">
        <v>808</v>
      </c>
      <c r="C3628" s="115"/>
      <c r="D3628" s="124"/>
      <c r="E3628" s="117"/>
      <c r="F3628" s="110"/>
    </row>
    <row r="3629" spans="1:6" x14ac:dyDescent="0.25">
      <c r="A3629" s="111"/>
      <c r="B3629" s="134" t="s">
        <v>820</v>
      </c>
      <c r="C3629" s="115" t="s">
        <v>772</v>
      </c>
      <c r="D3629" s="124">
        <v>0.12</v>
      </c>
      <c r="E3629" s="117">
        <v>7500</v>
      </c>
      <c r="F3629" s="117">
        <f t="shared" ref="F3629:F3635" si="78">+D3629*E3629</f>
        <v>900</v>
      </c>
    </row>
    <row r="3630" spans="1:6" x14ac:dyDescent="0.25">
      <c r="A3630" s="111"/>
      <c r="B3630" s="134" t="s">
        <v>821</v>
      </c>
      <c r="C3630" s="115" t="s">
        <v>772</v>
      </c>
      <c r="D3630" s="124">
        <v>0.12</v>
      </c>
      <c r="E3630" s="117">
        <v>7500</v>
      </c>
      <c r="F3630" s="117">
        <f t="shared" si="78"/>
        <v>900</v>
      </c>
    </row>
    <row r="3631" spans="1:6" x14ac:dyDescent="0.25">
      <c r="A3631" s="111"/>
      <c r="B3631" s="134" t="s">
        <v>895</v>
      </c>
      <c r="C3631" s="115" t="s">
        <v>772</v>
      </c>
      <c r="D3631" s="124">
        <v>0.12</v>
      </c>
      <c r="E3631" s="117">
        <v>15000</v>
      </c>
      <c r="F3631" s="117">
        <f t="shared" si="78"/>
        <v>1800</v>
      </c>
    </row>
    <row r="3632" spans="1:6" x14ac:dyDescent="0.25">
      <c r="A3632" s="111"/>
      <c r="B3632" s="134" t="s">
        <v>896</v>
      </c>
      <c r="C3632" s="115" t="s">
        <v>772</v>
      </c>
      <c r="D3632" s="124">
        <v>0.12</v>
      </c>
      <c r="E3632" s="117">
        <v>15000</v>
      </c>
      <c r="F3632" s="117">
        <f t="shared" si="78"/>
        <v>1800</v>
      </c>
    </row>
    <row r="3633" spans="1:6" x14ac:dyDescent="0.25">
      <c r="A3633" s="111"/>
      <c r="B3633" s="134" t="s">
        <v>773</v>
      </c>
      <c r="C3633" s="115" t="s">
        <v>772</v>
      </c>
      <c r="D3633" s="124">
        <v>0.12</v>
      </c>
      <c r="E3633" s="117">
        <v>15000</v>
      </c>
      <c r="F3633" s="117">
        <f t="shared" si="78"/>
        <v>1800</v>
      </c>
    </row>
    <row r="3634" spans="1:6" x14ac:dyDescent="0.25">
      <c r="A3634" s="111"/>
      <c r="B3634" s="134" t="s">
        <v>851</v>
      </c>
      <c r="C3634" s="115" t="s">
        <v>772</v>
      </c>
      <c r="D3634" s="124">
        <v>0.12</v>
      </c>
      <c r="E3634" s="117">
        <v>15000</v>
      </c>
      <c r="F3634" s="117">
        <f t="shared" si="78"/>
        <v>1800</v>
      </c>
    </row>
    <row r="3635" spans="1:6" x14ac:dyDescent="0.25">
      <c r="A3635" s="111"/>
      <c r="B3635" s="134" t="s">
        <v>953</v>
      </c>
      <c r="C3635" s="115" t="s">
        <v>772</v>
      </c>
      <c r="D3635" s="124">
        <v>0.12</v>
      </c>
      <c r="E3635" s="117">
        <v>15000</v>
      </c>
      <c r="F3635" s="117">
        <f t="shared" si="78"/>
        <v>1800</v>
      </c>
    </row>
    <row r="3636" spans="1:6" x14ac:dyDescent="0.3">
      <c r="A3636" s="111"/>
      <c r="B3636" s="136" t="s">
        <v>774</v>
      </c>
      <c r="C3636" s="115"/>
      <c r="D3636" s="124"/>
      <c r="E3636" s="117"/>
      <c r="F3636" s="110">
        <f>SUM(F3629:F3635)</f>
        <v>10800</v>
      </c>
    </row>
    <row r="3637" spans="1:6" x14ac:dyDescent="0.3">
      <c r="A3637" s="111"/>
      <c r="B3637" s="136" t="s">
        <v>775</v>
      </c>
      <c r="C3637" s="115"/>
      <c r="D3637" s="109"/>
      <c r="E3637" s="110"/>
      <c r="F3637" s="110">
        <f>+F3636+F3627</f>
        <v>295713.78055555554</v>
      </c>
    </row>
    <row r="3638" spans="1:6" x14ac:dyDescent="0.25">
      <c r="A3638" s="111"/>
      <c r="B3638" s="134" t="s">
        <v>956</v>
      </c>
      <c r="C3638" s="115"/>
      <c r="D3638" s="124">
        <v>1.02</v>
      </c>
      <c r="E3638" s="110"/>
      <c r="F3638" s="110">
        <f>+F3637*D3638</f>
        <v>301628.05616666668</v>
      </c>
    </row>
    <row r="3639" spans="1:6" x14ac:dyDescent="0.25">
      <c r="A3639" s="111"/>
      <c r="B3639" s="134" t="s">
        <v>848</v>
      </c>
      <c r="C3639" s="115"/>
      <c r="D3639" s="124">
        <v>1.05</v>
      </c>
      <c r="E3639" s="110"/>
      <c r="F3639" s="110"/>
    </row>
    <row r="3640" spans="1:6" x14ac:dyDescent="0.35">
      <c r="A3640" s="264" t="s">
        <v>1312</v>
      </c>
      <c r="B3640" s="242" t="s">
        <v>785</v>
      </c>
      <c r="C3640" s="208" t="s">
        <v>59</v>
      </c>
      <c r="D3640" s="208"/>
      <c r="E3640" s="209"/>
      <c r="F3640" s="209">
        <f>+D3639*F3638</f>
        <v>316709.45897500002</v>
      </c>
    </row>
    <row r="3641" spans="1:6" x14ac:dyDescent="0.35">
      <c r="A3641" s="206"/>
      <c r="B3641" s="207"/>
      <c r="C3641" s="208"/>
      <c r="D3641" s="208"/>
      <c r="E3641" s="210">
        <f>+E3610</f>
        <v>3035.45</v>
      </c>
      <c r="F3641" s="210">
        <f>+F3640/E3641</f>
        <v>104.33690522821988</v>
      </c>
    </row>
    <row r="3644" spans="1:6" x14ac:dyDescent="0.3">
      <c r="A3644" s="257" t="s">
        <v>227</v>
      </c>
      <c r="B3644" s="258" t="s">
        <v>228</v>
      </c>
      <c r="C3644" s="200" t="s">
        <v>2</v>
      </c>
      <c r="D3644" s="202" t="s">
        <v>765</v>
      </c>
      <c r="E3644" s="203" t="s">
        <v>766</v>
      </c>
      <c r="F3644" s="203" t="s">
        <v>767</v>
      </c>
    </row>
    <row r="3645" spans="1:6" x14ac:dyDescent="0.3">
      <c r="A3645" s="237" t="s">
        <v>229</v>
      </c>
      <c r="B3645" s="266" t="s">
        <v>230</v>
      </c>
      <c r="C3645" s="256"/>
      <c r="D3645" s="141"/>
      <c r="E3645" s="110"/>
      <c r="F3645" s="110"/>
    </row>
    <row r="3646" spans="1:6" x14ac:dyDescent="0.3">
      <c r="A3646" s="239" t="s">
        <v>259</v>
      </c>
      <c r="B3646" s="254" t="s">
        <v>1313</v>
      </c>
      <c r="C3646" s="256" t="s">
        <v>59</v>
      </c>
      <c r="D3646" s="141"/>
      <c r="E3646" s="110"/>
      <c r="F3646" s="110"/>
    </row>
    <row r="3647" spans="1:6" x14ac:dyDescent="0.35">
      <c r="A3647" s="111"/>
      <c r="B3647" s="112" t="s">
        <v>802</v>
      </c>
      <c r="C3647" s="118"/>
      <c r="D3647" s="118"/>
      <c r="E3647" s="119"/>
      <c r="F3647" s="119"/>
    </row>
    <row r="3648" spans="1:6" x14ac:dyDescent="0.35">
      <c r="A3648" s="111"/>
      <c r="B3648" s="120" t="s">
        <v>942</v>
      </c>
      <c r="C3648" s="118" t="s">
        <v>27</v>
      </c>
      <c r="D3648" s="118">
        <f>(1.15+1.54)*2</f>
        <v>5.38</v>
      </c>
      <c r="E3648" s="119">
        <f>48000/6</f>
        <v>8000</v>
      </c>
      <c r="F3648" s="119">
        <f>+D3648*E3648</f>
        <v>43040</v>
      </c>
    </row>
    <row r="3649" spans="1:6" x14ac:dyDescent="0.35">
      <c r="A3649" s="111"/>
      <c r="B3649" s="120" t="s">
        <v>943</v>
      </c>
      <c r="C3649" s="118" t="s">
        <v>27</v>
      </c>
      <c r="D3649" s="184">
        <f>((1.15/0.12)-1)*1.54</f>
        <v>13.218333333333332</v>
      </c>
      <c r="E3649" s="119">
        <f>65000/12</f>
        <v>5416.666666666667</v>
      </c>
      <c r="F3649" s="119">
        <f t="shared" ref="F3649:F3656" si="79">+D3649*E3649</f>
        <v>71599.305555555547</v>
      </c>
    </row>
    <row r="3650" spans="1:6" x14ac:dyDescent="0.35">
      <c r="A3650" s="111"/>
      <c r="B3650" s="120" t="s">
        <v>944</v>
      </c>
      <c r="C3650" s="118" t="s">
        <v>35</v>
      </c>
      <c r="D3650" s="118">
        <f>1.15*1.54</f>
        <v>1.7709999999999999</v>
      </c>
      <c r="E3650" s="119">
        <f>120000/12</f>
        <v>10000</v>
      </c>
      <c r="F3650" s="119">
        <f t="shared" si="79"/>
        <v>17710</v>
      </c>
    </row>
    <row r="3651" spans="1:6" x14ac:dyDescent="0.35">
      <c r="A3651" s="111"/>
      <c r="B3651" s="120" t="s">
        <v>945</v>
      </c>
      <c r="C3651" s="118" t="s">
        <v>27</v>
      </c>
      <c r="D3651" s="118">
        <f>(1.15+1.54)*2</f>
        <v>5.38</v>
      </c>
      <c r="E3651" s="119">
        <f>25000/6</f>
        <v>4166.666666666667</v>
      </c>
      <c r="F3651" s="119">
        <f t="shared" si="79"/>
        <v>22416.666666666668</v>
      </c>
    </row>
    <row r="3652" spans="1:6" x14ac:dyDescent="0.35">
      <c r="A3652" s="111"/>
      <c r="B3652" s="120" t="s">
        <v>946</v>
      </c>
      <c r="C3652" s="118" t="s">
        <v>27</v>
      </c>
      <c r="D3652" s="118">
        <v>1.54</v>
      </c>
      <c r="E3652" s="119">
        <v>4666.666666666667</v>
      </c>
      <c r="F3652" s="119">
        <f t="shared" si="79"/>
        <v>7186.666666666667</v>
      </c>
    </row>
    <row r="3653" spans="1:6" x14ac:dyDescent="0.35">
      <c r="A3653" s="111"/>
      <c r="B3653" s="120" t="s">
        <v>947</v>
      </c>
      <c r="C3653" s="118" t="s">
        <v>948</v>
      </c>
      <c r="D3653" s="118">
        <v>0.15</v>
      </c>
      <c r="E3653" s="119">
        <f>45000/4</f>
        <v>11250</v>
      </c>
      <c r="F3653" s="119">
        <f t="shared" si="79"/>
        <v>1687.5</v>
      </c>
    </row>
    <row r="3654" spans="1:6" x14ac:dyDescent="0.35">
      <c r="A3654" s="111"/>
      <c r="B3654" s="120" t="s">
        <v>949</v>
      </c>
      <c r="C3654" s="118" t="s">
        <v>948</v>
      </c>
      <c r="D3654" s="118">
        <v>0.15</v>
      </c>
      <c r="E3654" s="119">
        <f>45000/4</f>
        <v>11250</v>
      </c>
      <c r="F3654" s="119">
        <f t="shared" si="79"/>
        <v>1687.5</v>
      </c>
    </row>
    <row r="3655" spans="1:6" x14ac:dyDescent="0.35">
      <c r="A3655" s="111"/>
      <c r="B3655" s="120" t="s">
        <v>1283</v>
      </c>
      <c r="C3655" s="118" t="s">
        <v>950</v>
      </c>
      <c r="D3655" s="118">
        <v>1</v>
      </c>
      <c r="E3655" s="119">
        <v>40000</v>
      </c>
      <c r="F3655" s="119">
        <f t="shared" si="79"/>
        <v>40000</v>
      </c>
    </row>
    <row r="3656" spans="1:6" x14ac:dyDescent="0.35">
      <c r="A3656" s="111"/>
      <c r="B3656" s="120" t="s">
        <v>951</v>
      </c>
      <c r="C3656" s="118" t="s">
        <v>59</v>
      </c>
      <c r="D3656" s="118">
        <v>16</v>
      </c>
      <c r="E3656" s="119">
        <v>40000</v>
      </c>
      <c r="F3656" s="119">
        <f t="shared" si="79"/>
        <v>640000</v>
      </c>
    </row>
    <row r="3657" spans="1:6" x14ac:dyDescent="0.35">
      <c r="A3657" s="111"/>
      <c r="B3657" s="120" t="s">
        <v>952</v>
      </c>
      <c r="C3657" s="118"/>
      <c r="D3657" s="118"/>
      <c r="E3657" s="119"/>
      <c r="F3657" s="119">
        <f>+(F3648+F3653+F3654+F3655+F3656+F3652+F3651+F3650+F3649)*0.1</f>
        <v>84532.763888888876</v>
      </c>
    </row>
    <row r="3658" spans="1:6" x14ac:dyDescent="0.35">
      <c r="A3658" s="107"/>
      <c r="B3658" s="108" t="s">
        <v>769</v>
      </c>
      <c r="C3658" s="109"/>
      <c r="D3658" s="124"/>
      <c r="E3658" s="117"/>
      <c r="F3658" s="110">
        <f>SUM(F3648:F3657)</f>
        <v>929860.40277777775</v>
      </c>
    </row>
    <row r="3659" spans="1:6" x14ac:dyDescent="0.3">
      <c r="A3659" s="111"/>
      <c r="B3659" s="136" t="s">
        <v>808</v>
      </c>
      <c r="C3659" s="115"/>
      <c r="D3659" s="124"/>
      <c r="E3659" s="117"/>
      <c r="F3659" s="110"/>
    </row>
    <row r="3660" spans="1:6" x14ac:dyDescent="0.25">
      <c r="A3660" s="111"/>
      <c r="B3660" s="134" t="s">
        <v>820</v>
      </c>
      <c r="C3660" s="115" t="s">
        <v>772</v>
      </c>
      <c r="D3660" s="124">
        <v>0.12</v>
      </c>
      <c r="E3660" s="117">
        <v>7500</v>
      </c>
      <c r="F3660" s="117">
        <f t="shared" ref="F3660:F3666" si="80">+D3660*E3660</f>
        <v>900</v>
      </c>
    </row>
    <row r="3661" spans="1:6" x14ac:dyDescent="0.25">
      <c r="A3661" s="111"/>
      <c r="B3661" s="134" t="s">
        <v>821</v>
      </c>
      <c r="C3661" s="115" t="s">
        <v>772</v>
      </c>
      <c r="D3661" s="124">
        <v>0.12</v>
      </c>
      <c r="E3661" s="117">
        <v>7500</v>
      </c>
      <c r="F3661" s="117">
        <f t="shared" si="80"/>
        <v>900</v>
      </c>
    </row>
    <row r="3662" spans="1:6" x14ac:dyDescent="0.25">
      <c r="A3662" s="111"/>
      <c r="B3662" s="134" t="s">
        <v>895</v>
      </c>
      <c r="C3662" s="115" t="s">
        <v>772</v>
      </c>
      <c r="D3662" s="124">
        <v>0.12</v>
      </c>
      <c r="E3662" s="117">
        <v>15000</v>
      </c>
      <c r="F3662" s="117">
        <f t="shared" si="80"/>
        <v>1800</v>
      </c>
    </row>
    <row r="3663" spans="1:6" x14ac:dyDescent="0.25">
      <c r="A3663" s="111"/>
      <c r="B3663" s="134" t="s">
        <v>896</v>
      </c>
      <c r="C3663" s="115" t="s">
        <v>772</v>
      </c>
      <c r="D3663" s="124">
        <v>0.12</v>
      </c>
      <c r="E3663" s="117">
        <v>15000</v>
      </c>
      <c r="F3663" s="117">
        <f t="shared" si="80"/>
        <v>1800</v>
      </c>
    </row>
    <row r="3664" spans="1:6" x14ac:dyDescent="0.25">
      <c r="A3664" s="111"/>
      <c r="B3664" s="134" t="s">
        <v>773</v>
      </c>
      <c r="C3664" s="115" t="s">
        <v>772</v>
      </c>
      <c r="D3664" s="124">
        <v>0.12</v>
      </c>
      <c r="E3664" s="117">
        <v>15000</v>
      </c>
      <c r="F3664" s="117">
        <f t="shared" si="80"/>
        <v>1800</v>
      </c>
    </row>
    <row r="3665" spans="1:6" x14ac:dyDescent="0.25">
      <c r="A3665" s="111"/>
      <c r="B3665" s="134" t="s">
        <v>851</v>
      </c>
      <c r="C3665" s="115" t="s">
        <v>772</v>
      </c>
      <c r="D3665" s="124">
        <v>0.12</v>
      </c>
      <c r="E3665" s="117">
        <v>15000</v>
      </c>
      <c r="F3665" s="117">
        <f t="shared" si="80"/>
        <v>1800</v>
      </c>
    </row>
    <row r="3666" spans="1:6" x14ac:dyDescent="0.25">
      <c r="A3666" s="111"/>
      <c r="B3666" s="134" t="s">
        <v>953</v>
      </c>
      <c r="C3666" s="115" t="s">
        <v>772</v>
      </c>
      <c r="D3666" s="124">
        <v>0.12</v>
      </c>
      <c r="E3666" s="117">
        <v>15000</v>
      </c>
      <c r="F3666" s="117">
        <f t="shared" si="80"/>
        <v>1800</v>
      </c>
    </row>
    <row r="3667" spans="1:6" x14ac:dyDescent="0.3">
      <c r="A3667" s="111"/>
      <c r="B3667" s="136" t="s">
        <v>774</v>
      </c>
      <c r="C3667" s="115"/>
      <c r="D3667" s="124"/>
      <c r="E3667" s="117"/>
      <c r="F3667" s="110">
        <f>SUM(F3660:F3666)</f>
        <v>10800</v>
      </c>
    </row>
    <row r="3668" spans="1:6" x14ac:dyDescent="0.3">
      <c r="A3668" s="111"/>
      <c r="B3668" s="136" t="s">
        <v>775</v>
      </c>
      <c r="C3668" s="115"/>
      <c r="D3668" s="109"/>
      <c r="E3668" s="110"/>
      <c r="F3668" s="110">
        <f>+F3667+F3658</f>
        <v>940660.40277777775</v>
      </c>
    </row>
    <row r="3669" spans="1:6" x14ac:dyDescent="0.25">
      <c r="A3669" s="111"/>
      <c r="B3669" s="134" t="s">
        <v>956</v>
      </c>
      <c r="C3669" s="115"/>
      <c r="D3669" s="124">
        <v>1.02</v>
      </c>
      <c r="E3669" s="110"/>
      <c r="F3669" s="110">
        <f>+F3668*D3669</f>
        <v>959473.61083333334</v>
      </c>
    </row>
    <row r="3670" spans="1:6" x14ac:dyDescent="0.25">
      <c r="A3670" s="111"/>
      <c r="B3670" s="134" t="s">
        <v>848</v>
      </c>
      <c r="C3670" s="115"/>
      <c r="D3670" s="124">
        <v>1.05</v>
      </c>
      <c r="E3670" s="110"/>
      <c r="F3670" s="110"/>
    </row>
    <row r="3671" spans="1:6" x14ac:dyDescent="0.35">
      <c r="A3671" s="264" t="s">
        <v>1314</v>
      </c>
      <c r="B3671" s="242" t="s">
        <v>785</v>
      </c>
      <c r="C3671" s="208" t="s">
        <v>59</v>
      </c>
      <c r="D3671" s="208"/>
      <c r="E3671" s="209"/>
      <c r="F3671" s="209">
        <f>+D3670*F3669</f>
        <v>1007447.291375</v>
      </c>
    </row>
    <row r="3672" spans="1:6" x14ac:dyDescent="0.35">
      <c r="A3672" s="206"/>
      <c r="B3672" s="207"/>
      <c r="C3672" s="208"/>
      <c r="D3672" s="208"/>
      <c r="E3672" s="210">
        <f>+E3641</f>
        <v>3035.45</v>
      </c>
      <c r="F3672" s="210">
        <f>+F3671/E3672</f>
        <v>331.89388439111173</v>
      </c>
    </row>
    <row r="3675" spans="1:6" x14ac:dyDescent="0.3">
      <c r="A3675" s="257" t="s">
        <v>227</v>
      </c>
      <c r="B3675" s="258" t="s">
        <v>228</v>
      </c>
      <c r="C3675" s="200" t="s">
        <v>2</v>
      </c>
      <c r="D3675" s="202" t="s">
        <v>765</v>
      </c>
      <c r="E3675" s="203" t="s">
        <v>766</v>
      </c>
      <c r="F3675" s="203" t="s">
        <v>767</v>
      </c>
    </row>
    <row r="3676" spans="1:6" x14ac:dyDescent="0.3">
      <c r="A3676" s="237" t="s">
        <v>229</v>
      </c>
      <c r="B3676" s="266" t="s">
        <v>230</v>
      </c>
      <c r="C3676" s="256"/>
      <c r="D3676" s="141"/>
      <c r="E3676" s="110"/>
      <c r="F3676" s="110"/>
    </row>
    <row r="3677" spans="1:6" x14ac:dyDescent="0.3">
      <c r="A3677" s="239" t="s">
        <v>260</v>
      </c>
      <c r="B3677" s="254" t="s">
        <v>1315</v>
      </c>
      <c r="C3677" s="256" t="s">
        <v>59</v>
      </c>
      <c r="D3677" s="141"/>
      <c r="E3677" s="110"/>
      <c r="F3677" s="110"/>
    </row>
    <row r="3678" spans="1:6" x14ac:dyDescent="0.35">
      <c r="A3678" s="111"/>
      <c r="B3678" s="112" t="s">
        <v>802</v>
      </c>
      <c r="C3678" s="118"/>
      <c r="D3678" s="118"/>
      <c r="E3678" s="119"/>
      <c r="F3678" s="119"/>
    </row>
    <row r="3679" spans="1:6" x14ac:dyDescent="0.35">
      <c r="A3679" s="111"/>
      <c r="B3679" s="120" t="s">
        <v>942</v>
      </c>
      <c r="C3679" s="118" t="s">
        <v>27</v>
      </c>
      <c r="D3679" s="118">
        <f>(0.58+1.76)*2</f>
        <v>4.68</v>
      </c>
      <c r="E3679" s="119">
        <f>48000/6</f>
        <v>8000</v>
      </c>
      <c r="F3679" s="119">
        <f>+D3679*E3679</f>
        <v>37440</v>
      </c>
    </row>
    <row r="3680" spans="1:6" x14ac:dyDescent="0.35">
      <c r="A3680" s="111"/>
      <c r="B3680" s="120" t="s">
        <v>943</v>
      </c>
      <c r="C3680" s="118" t="s">
        <v>27</v>
      </c>
      <c r="D3680" s="184">
        <f>((0.58/0.12)-1)*1.76</f>
        <v>6.7466666666666661</v>
      </c>
      <c r="E3680" s="119">
        <f>65000/12</f>
        <v>5416.666666666667</v>
      </c>
      <c r="F3680" s="119">
        <f t="shared" ref="F3680:F3687" si="81">+D3680*E3680</f>
        <v>36544.444444444445</v>
      </c>
    </row>
    <row r="3681" spans="1:6" x14ac:dyDescent="0.35">
      <c r="A3681" s="111"/>
      <c r="B3681" s="120" t="s">
        <v>944</v>
      </c>
      <c r="C3681" s="118" t="s">
        <v>35</v>
      </c>
      <c r="D3681" s="118">
        <f>0.58*1.76</f>
        <v>1.0207999999999999</v>
      </c>
      <c r="E3681" s="119">
        <f>120000/12</f>
        <v>10000</v>
      </c>
      <c r="F3681" s="119">
        <f t="shared" si="81"/>
        <v>10208</v>
      </c>
    </row>
    <row r="3682" spans="1:6" x14ac:dyDescent="0.35">
      <c r="A3682" s="111"/>
      <c r="B3682" s="120" t="s">
        <v>945</v>
      </c>
      <c r="C3682" s="118" t="s">
        <v>27</v>
      </c>
      <c r="D3682" s="118">
        <f>(0.58+1.76)*2+0.58</f>
        <v>5.26</v>
      </c>
      <c r="E3682" s="119">
        <f>25000/6</f>
        <v>4166.666666666667</v>
      </c>
      <c r="F3682" s="119">
        <f t="shared" si="81"/>
        <v>21916.666666666668</v>
      </c>
    </row>
    <row r="3683" spans="1:6" x14ac:dyDescent="0.35">
      <c r="A3683" s="111"/>
      <c r="B3683" s="120" t="s">
        <v>946</v>
      </c>
      <c r="C3683" s="118" t="s">
        <v>27</v>
      </c>
      <c r="D3683" s="118">
        <v>1.76</v>
      </c>
      <c r="E3683" s="119">
        <v>4666.666666666667</v>
      </c>
      <c r="F3683" s="119">
        <f t="shared" si="81"/>
        <v>8213.3333333333339</v>
      </c>
    </row>
    <row r="3684" spans="1:6" x14ac:dyDescent="0.35">
      <c r="A3684" s="111"/>
      <c r="B3684" s="120" t="s">
        <v>947</v>
      </c>
      <c r="C3684" s="118" t="s">
        <v>948</v>
      </c>
      <c r="D3684" s="118">
        <v>0.15</v>
      </c>
      <c r="E3684" s="119">
        <f>45000/4</f>
        <v>11250</v>
      </c>
      <c r="F3684" s="119">
        <f t="shared" si="81"/>
        <v>1687.5</v>
      </c>
    </row>
    <row r="3685" spans="1:6" x14ac:dyDescent="0.35">
      <c r="A3685" s="111"/>
      <c r="B3685" s="120" t="s">
        <v>949</v>
      </c>
      <c r="C3685" s="118" t="s">
        <v>948</v>
      </c>
      <c r="D3685" s="118">
        <v>0.15</v>
      </c>
      <c r="E3685" s="119">
        <f>45000/4</f>
        <v>11250</v>
      </c>
      <c r="F3685" s="119">
        <f t="shared" si="81"/>
        <v>1687.5</v>
      </c>
    </row>
    <row r="3686" spans="1:6" x14ac:dyDescent="0.35">
      <c r="A3686" s="111"/>
      <c r="B3686" s="120" t="s">
        <v>1158</v>
      </c>
      <c r="C3686" s="118" t="s">
        <v>950</v>
      </c>
      <c r="D3686" s="118">
        <v>1</v>
      </c>
      <c r="E3686" s="119">
        <v>40000</v>
      </c>
      <c r="F3686" s="119">
        <f t="shared" si="81"/>
        <v>40000</v>
      </c>
    </row>
    <row r="3687" spans="1:6" x14ac:dyDescent="0.35">
      <c r="A3687" s="111"/>
      <c r="B3687" s="120" t="s">
        <v>951</v>
      </c>
      <c r="C3687" s="118" t="s">
        <v>59</v>
      </c>
      <c r="D3687" s="118">
        <v>6</v>
      </c>
      <c r="E3687" s="119">
        <v>40000</v>
      </c>
      <c r="F3687" s="119">
        <f t="shared" si="81"/>
        <v>240000</v>
      </c>
    </row>
    <row r="3688" spans="1:6" x14ac:dyDescent="0.35">
      <c r="A3688" s="111"/>
      <c r="B3688" s="120" t="s">
        <v>952</v>
      </c>
      <c r="C3688" s="118"/>
      <c r="D3688" s="118"/>
      <c r="E3688" s="119"/>
      <c r="F3688" s="119">
        <f>+(F3679+F3684+F3685+F3686+F3687+F3683+F3682+F3681+F3680)*0.1</f>
        <v>39769.744444444448</v>
      </c>
    </row>
    <row r="3689" spans="1:6" x14ac:dyDescent="0.35">
      <c r="A3689" s="107"/>
      <c r="B3689" s="108" t="s">
        <v>769</v>
      </c>
      <c r="C3689" s="109"/>
      <c r="D3689" s="124"/>
      <c r="E3689" s="117"/>
      <c r="F3689" s="110">
        <f>SUM(F3679:F3688)</f>
        <v>437467.18888888886</v>
      </c>
    </row>
    <row r="3690" spans="1:6" x14ac:dyDescent="0.3">
      <c r="A3690" s="111"/>
      <c r="B3690" s="136" t="s">
        <v>808</v>
      </c>
      <c r="C3690" s="115"/>
      <c r="D3690" s="124"/>
      <c r="E3690" s="117"/>
      <c r="F3690" s="110"/>
    </row>
    <row r="3691" spans="1:6" x14ac:dyDescent="0.25">
      <c r="A3691" s="111"/>
      <c r="B3691" s="134" t="s">
        <v>820</v>
      </c>
      <c r="C3691" s="115" t="s">
        <v>772</v>
      </c>
      <c r="D3691" s="124">
        <v>0.12</v>
      </c>
      <c r="E3691" s="117">
        <v>7500</v>
      </c>
      <c r="F3691" s="117">
        <f t="shared" ref="F3691:F3697" si="82">+D3691*E3691</f>
        <v>900</v>
      </c>
    </row>
    <row r="3692" spans="1:6" x14ac:dyDescent="0.25">
      <c r="A3692" s="111"/>
      <c r="B3692" s="134" t="s">
        <v>821</v>
      </c>
      <c r="C3692" s="115" t="s">
        <v>772</v>
      </c>
      <c r="D3692" s="124">
        <v>0.12</v>
      </c>
      <c r="E3692" s="117">
        <v>7500</v>
      </c>
      <c r="F3692" s="117">
        <f t="shared" si="82"/>
        <v>900</v>
      </c>
    </row>
    <row r="3693" spans="1:6" x14ac:dyDescent="0.25">
      <c r="A3693" s="111"/>
      <c r="B3693" s="134" t="s">
        <v>895</v>
      </c>
      <c r="C3693" s="115" t="s">
        <v>772</v>
      </c>
      <c r="D3693" s="124">
        <v>0.12</v>
      </c>
      <c r="E3693" s="117">
        <v>15000</v>
      </c>
      <c r="F3693" s="117">
        <f t="shared" si="82"/>
        <v>1800</v>
      </c>
    </row>
    <row r="3694" spans="1:6" x14ac:dyDescent="0.25">
      <c r="A3694" s="111"/>
      <c r="B3694" s="134" t="s">
        <v>896</v>
      </c>
      <c r="C3694" s="115" t="s">
        <v>772</v>
      </c>
      <c r="D3694" s="124">
        <v>0.12</v>
      </c>
      <c r="E3694" s="117">
        <v>15000</v>
      </c>
      <c r="F3694" s="117">
        <f t="shared" si="82"/>
        <v>1800</v>
      </c>
    </row>
    <row r="3695" spans="1:6" x14ac:dyDescent="0.25">
      <c r="A3695" s="111"/>
      <c r="B3695" s="134" t="s">
        <v>773</v>
      </c>
      <c r="C3695" s="115" t="s">
        <v>772</v>
      </c>
      <c r="D3695" s="124">
        <v>0.12</v>
      </c>
      <c r="E3695" s="117">
        <v>15000</v>
      </c>
      <c r="F3695" s="117">
        <f t="shared" si="82"/>
        <v>1800</v>
      </c>
    </row>
    <row r="3696" spans="1:6" x14ac:dyDescent="0.25">
      <c r="A3696" s="111"/>
      <c r="B3696" s="134" t="s">
        <v>851</v>
      </c>
      <c r="C3696" s="115" t="s">
        <v>772</v>
      </c>
      <c r="D3696" s="124">
        <v>0.12</v>
      </c>
      <c r="E3696" s="117">
        <v>15000</v>
      </c>
      <c r="F3696" s="117">
        <f t="shared" si="82"/>
        <v>1800</v>
      </c>
    </row>
    <row r="3697" spans="1:6" x14ac:dyDescent="0.25">
      <c r="A3697" s="111"/>
      <c r="B3697" s="134" t="s">
        <v>953</v>
      </c>
      <c r="C3697" s="115" t="s">
        <v>772</v>
      </c>
      <c r="D3697" s="124">
        <v>0.12</v>
      </c>
      <c r="E3697" s="117">
        <v>15000</v>
      </c>
      <c r="F3697" s="117">
        <f t="shared" si="82"/>
        <v>1800</v>
      </c>
    </row>
    <row r="3698" spans="1:6" x14ac:dyDescent="0.3">
      <c r="A3698" s="111"/>
      <c r="B3698" s="136" t="s">
        <v>774</v>
      </c>
      <c r="C3698" s="115"/>
      <c r="D3698" s="124"/>
      <c r="E3698" s="117"/>
      <c r="F3698" s="110">
        <f>SUM(F3691:F3697)</f>
        <v>10800</v>
      </c>
    </row>
    <row r="3699" spans="1:6" x14ac:dyDescent="0.3">
      <c r="A3699" s="111"/>
      <c r="B3699" s="136" t="s">
        <v>775</v>
      </c>
      <c r="C3699" s="115"/>
      <c r="D3699" s="109"/>
      <c r="E3699" s="110"/>
      <c r="F3699" s="110">
        <f>+F3698+F3689</f>
        <v>448267.18888888886</v>
      </c>
    </row>
    <row r="3700" spans="1:6" x14ac:dyDescent="0.25">
      <c r="A3700" s="111"/>
      <c r="B3700" s="134" t="s">
        <v>956</v>
      </c>
      <c r="C3700" s="115"/>
      <c r="D3700" s="124">
        <v>1.02</v>
      </c>
      <c r="E3700" s="110"/>
      <c r="F3700" s="110">
        <f>+F3699*D3700</f>
        <v>457232.53266666667</v>
      </c>
    </row>
    <row r="3701" spans="1:6" x14ac:dyDescent="0.25">
      <c r="A3701" s="111"/>
      <c r="B3701" s="134" t="s">
        <v>848</v>
      </c>
      <c r="C3701" s="115"/>
      <c r="D3701" s="124">
        <v>1.05</v>
      </c>
      <c r="E3701" s="110"/>
      <c r="F3701" s="110"/>
    </row>
    <row r="3702" spans="1:6" x14ac:dyDescent="0.35">
      <c r="A3702" s="264" t="s">
        <v>260</v>
      </c>
      <c r="B3702" s="242" t="s">
        <v>785</v>
      </c>
      <c r="C3702" s="208" t="s">
        <v>59</v>
      </c>
      <c r="D3702" s="208"/>
      <c r="E3702" s="209"/>
      <c r="F3702" s="209">
        <f>+D3701*F3700</f>
        <v>480094.1593</v>
      </c>
    </row>
    <row r="3703" spans="1:6" x14ac:dyDescent="0.35">
      <c r="A3703" s="206"/>
      <c r="B3703" s="207"/>
      <c r="C3703" s="208"/>
      <c r="D3703" s="208"/>
      <c r="E3703" s="210">
        <f>+E3672</f>
        <v>3035.45</v>
      </c>
      <c r="F3703" s="210">
        <f>+F3702/E3703</f>
        <v>158.16243367540233</v>
      </c>
    </row>
    <row r="3706" spans="1:6" x14ac:dyDescent="0.3">
      <c r="A3706" s="257" t="s">
        <v>227</v>
      </c>
      <c r="B3706" s="258" t="s">
        <v>228</v>
      </c>
      <c r="C3706" s="200" t="s">
        <v>2</v>
      </c>
      <c r="D3706" s="202" t="s">
        <v>765</v>
      </c>
      <c r="E3706" s="203" t="s">
        <v>766</v>
      </c>
      <c r="F3706" s="203" t="s">
        <v>767</v>
      </c>
    </row>
    <row r="3707" spans="1:6" x14ac:dyDescent="0.3">
      <c r="A3707" s="237" t="s">
        <v>229</v>
      </c>
      <c r="B3707" s="266" t="s">
        <v>230</v>
      </c>
      <c r="C3707" s="256"/>
      <c r="D3707" s="141"/>
      <c r="E3707" s="110"/>
      <c r="F3707" s="110"/>
    </row>
    <row r="3708" spans="1:6" x14ac:dyDescent="0.3">
      <c r="A3708" s="239" t="s">
        <v>261</v>
      </c>
      <c r="B3708" s="254" t="s">
        <v>1316</v>
      </c>
      <c r="C3708" s="256" t="s">
        <v>59</v>
      </c>
      <c r="D3708" s="141"/>
      <c r="E3708" s="110"/>
      <c r="F3708" s="110"/>
    </row>
    <row r="3709" spans="1:6" x14ac:dyDescent="0.35">
      <c r="A3709" s="111"/>
      <c r="B3709" s="112" t="s">
        <v>802</v>
      </c>
      <c r="C3709" s="118"/>
      <c r="D3709" s="118"/>
      <c r="E3709" s="119"/>
      <c r="F3709" s="119"/>
    </row>
    <row r="3710" spans="1:6" x14ac:dyDescent="0.35">
      <c r="A3710" s="111"/>
      <c r="B3710" s="120" t="s">
        <v>942</v>
      </c>
      <c r="C3710" s="118" t="s">
        <v>27</v>
      </c>
      <c r="D3710" s="118">
        <f>(2.64+1.65)*2</f>
        <v>8.58</v>
      </c>
      <c r="E3710" s="119">
        <f>48000/6</f>
        <v>8000</v>
      </c>
      <c r="F3710" s="119">
        <f>+D3710*E3710</f>
        <v>68640</v>
      </c>
    </row>
    <row r="3711" spans="1:6" x14ac:dyDescent="0.35">
      <c r="A3711" s="111"/>
      <c r="B3711" s="120" t="s">
        <v>943</v>
      </c>
      <c r="C3711" s="118" t="s">
        <v>27</v>
      </c>
      <c r="D3711" s="118">
        <f>((1.65/0.12)-1)*2.64</f>
        <v>33.660000000000004</v>
      </c>
      <c r="E3711" s="119">
        <f>65000/12</f>
        <v>5416.666666666667</v>
      </c>
      <c r="F3711" s="119">
        <f t="shared" ref="F3711:F3718" si="83">+D3711*E3711</f>
        <v>182325.00000000003</v>
      </c>
    </row>
    <row r="3712" spans="1:6" x14ac:dyDescent="0.35">
      <c r="A3712" s="111"/>
      <c r="B3712" s="120" t="s">
        <v>944</v>
      </c>
      <c r="C3712" s="118" t="s">
        <v>35</v>
      </c>
      <c r="D3712" s="118">
        <f>1.65*2.64</f>
        <v>4.3559999999999999</v>
      </c>
      <c r="E3712" s="119">
        <f>120000/12</f>
        <v>10000</v>
      </c>
      <c r="F3712" s="119">
        <f t="shared" si="83"/>
        <v>43560</v>
      </c>
    </row>
    <row r="3713" spans="1:6" x14ac:dyDescent="0.35">
      <c r="A3713" s="111"/>
      <c r="B3713" s="120" t="s">
        <v>945</v>
      </c>
      <c r="C3713" s="118" t="s">
        <v>27</v>
      </c>
      <c r="D3713" s="118">
        <f>(1.65+2.64)*2+1.65*2</f>
        <v>11.879999999999999</v>
      </c>
      <c r="E3713" s="119">
        <f>25000/6</f>
        <v>4166.666666666667</v>
      </c>
      <c r="F3713" s="119">
        <f t="shared" si="83"/>
        <v>49500</v>
      </c>
    </row>
    <row r="3714" spans="1:6" x14ac:dyDescent="0.35">
      <c r="A3714" s="111"/>
      <c r="B3714" s="120" t="s">
        <v>946</v>
      </c>
      <c r="C3714" s="118" t="s">
        <v>27</v>
      </c>
      <c r="D3714" s="118">
        <v>0.6</v>
      </c>
      <c r="E3714" s="119">
        <v>4666.666666666667</v>
      </c>
      <c r="F3714" s="119">
        <f t="shared" si="83"/>
        <v>2800</v>
      </c>
    </row>
    <row r="3715" spans="1:6" x14ac:dyDescent="0.35">
      <c r="A3715" s="111"/>
      <c r="B3715" s="120" t="s">
        <v>947</v>
      </c>
      <c r="C3715" s="118" t="s">
        <v>948</v>
      </c>
      <c r="D3715" s="118">
        <v>0.25</v>
      </c>
      <c r="E3715" s="119">
        <f>45000/4</f>
        <v>11250</v>
      </c>
      <c r="F3715" s="119">
        <f t="shared" si="83"/>
        <v>2812.5</v>
      </c>
    </row>
    <row r="3716" spans="1:6" x14ac:dyDescent="0.35">
      <c r="A3716" s="111"/>
      <c r="B3716" s="120" t="s">
        <v>949</v>
      </c>
      <c r="C3716" s="118" t="s">
        <v>948</v>
      </c>
      <c r="D3716" s="118">
        <v>0.25</v>
      </c>
      <c r="E3716" s="119">
        <f>45000/4</f>
        <v>11250</v>
      </c>
      <c r="F3716" s="119">
        <f t="shared" si="83"/>
        <v>2812.5</v>
      </c>
    </row>
    <row r="3717" spans="1:6" x14ac:dyDescent="0.35">
      <c r="A3717" s="111"/>
      <c r="B3717" s="120" t="s">
        <v>954</v>
      </c>
      <c r="C3717" s="118" t="s">
        <v>950</v>
      </c>
      <c r="D3717" s="118">
        <v>1</v>
      </c>
      <c r="E3717" s="119">
        <v>40000</v>
      </c>
      <c r="F3717" s="119">
        <f t="shared" si="83"/>
        <v>40000</v>
      </c>
    </row>
    <row r="3718" spans="1:6" x14ac:dyDescent="0.35">
      <c r="A3718" s="111"/>
      <c r="B3718" s="120" t="s">
        <v>951</v>
      </c>
      <c r="C3718" s="118" t="s">
        <v>59</v>
      </c>
      <c r="D3718" s="118">
        <v>12</v>
      </c>
      <c r="E3718" s="119">
        <v>40000</v>
      </c>
      <c r="F3718" s="119">
        <f t="shared" si="83"/>
        <v>480000</v>
      </c>
    </row>
    <row r="3719" spans="1:6" x14ac:dyDescent="0.35">
      <c r="A3719" s="111"/>
      <c r="B3719" s="120" t="s">
        <v>952</v>
      </c>
      <c r="C3719" s="118"/>
      <c r="D3719" s="118"/>
      <c r="E3719" s="119"/>
      <c r="F3719" s="119">
        <f>+(F3710+F3715+F3716+F3717+F3718+F3714+F3713+F3712+F3711)*0.1</f>
        <v>87245</v>
      </c>
    </row>
    <row r="3720" spans="1:6" x14ac:dyDescent="0.35">
      <c r="A3720" s="107"/>
      <c r="B3720" s="108" t="s">
        <v>769</v>
      </c>
      <c r="C3720" s="109"/>
      <c r="D3720" s="124"/>
      <c r="E3720" s="117"/>
      <c r="F3720" s="110">
        <f>SUM(F3710:F3719)</f>
        <v>959695</v>
      </c>
    </row>
    <row r="3721" spans="1:6" x14ac:dyDescent="0.3">
      <c r="A3721" s="111"/>
      <c r="B3721" s="136" t="s">
        <v>808</v>
      </c>
      <c r="C3721" s="115"/>
      <c r="D3721" s="124"/>
      <c r="E3721" s="117"/>
      <c r="F3721" s="110"/>
    </row>
    <row r="3722" spans="1:6" x14ac:dyDescent="0.25">
      <c r="A3722" s="111"/>
      <c r="B3722" s="134" t="s">
        <v>820</v>
      </c>
      <c r="C3722" s="115" t="s">
        <v>772</v>
      </c>
      <c r="D3722" s="124">
        <v>0.12</v>
      </c>
      <c r="E3722" s="117">
        <v>7500</v>
      </c>
      <c r="F3722" s="117">
        <f t="shared" ref="F3722:F3728" si="84">+D3722*E3722</f>
        <v>900</v>
      </c>
    </row>
    <row r="3723" spans="1:6" x14ac:dyDescent="0.25">
      <c r="A3723" s="111"/>
      <c r="B3723" s="134" t="s">
        <v>821</v>
      </c>
      <c r="C3723" s="115" t="s">
        <v>772</v>
      </c>
      <c r="D3723" s="124">
        <v>0.12</v>
      </c>
      <c r="E3723" s="117">
        <v>7500</v>
      </c>
      <c r="F3723" s="117">
        <f t="shared" si="84"/>
        <v>900</v>
      </c>
    </row>
    <row r="3724" spans="1:6" x14ac:dyDescent="0.25">
      <c r="A3724" s="111"/>
      <c r="B3724" s="134" t="s">
        <v>895</v>
      </c>
      <c r="C3724" s="115" t="s">
        <v>772</v>
      </c>
      <c r="D3724" s="124">
        <v>0.12</v>
      </c>
      <c r="E3724" s="117">
        <v>15000</v>
      </c>
      <c r="F3724" s="117">
        <f t="shared" si="84"/>
        <v>1800</v>
      </c>
    </row>
    <row r="3725" spans="1:6" x14ac:dyDescent="0.25">
      <c r="A3725" s="111"/>
      <c r="B3725" s="134" t="s">
        <v>896</v>
      </c>
      <c r="C3725" s="115" t="s">
        <v>772</v>
      </c>
      <c r="D3725" s="124">
        <v>0.12</v>
      </c>
      <c r="E3725" s="117">
        <v>15000</v>
      </c>
      <c r="F3725" s="117">
        <f t="shared" si="84"/>
        <v>1800</v>
      </c>
    </row>
    <row r="3726" spans="1:6" x14ac:dyDescent="0.25">
      <c r="A3726" s="111"/>
      <c r="B3726" s="134" t="s">
        <v>773</v>
      </c>
      <c r="C3726" s="115" t="s">
        <v>772</v>
      </c>
      <c r="D3726" s="124">
        <v>0.12</v>
      </c>
      <c r="E3726" s="117">
        <v>15000</v>
      </c>
      <c r="F3726" s="117">
        <f t="shared" si="84"/>
        <v>1800</v>
      </c>
    </row>
    <row r="3727" spans="1:6" x14ac:dyDescent="0.25">
      <c r="A3727" s="111"/>
      <c r="B3727" s="134" t="s">
        <v>851</v>
      </c>
      <c r="C3727" s="115" t="s">
        <v>772</v>
      </c>
      <c r="D3727" s="124">
        <v>0.12</v>
      </c>
      <c r="E3727" s="117">
        <v>15000</v>
      </c>
      <c r="F3727" s="117">
        <f t="shared" si="84"/>
        <v>1800</v>
      </c>
    </row>
    <row r="3728" spans="1:6" x14ac:dyDescent="0.25">
      <c r="A3728" s="111"/>
      <c r="B3728" s="134" t="s">
        <v>953</v>
      </c>
      <c r="C3728" s="115" t="s">
        <v>772</v>
      </c>
      <c r="D3728" s="124">
        <v>0.12</v>
      </c>
      <c r="E3728" s="117">
        <v>15000</v>
      </c>
      <c r="F3728" s="117">
        <f t="shared" si="84"/>
        <v>1800</v>
      </c>
    </row>
    <row r="3729" spans="1:256" x14ac:dyDescent="0.3">
      <c r="A3729" s="111"/>
      <c r="B3729" s="136" t="s">
        <v>774</v>
      </c>
      <c r="C3729" s="115"/>
      <c r="D3729" s="124"/>
      <c r="E3729" s="117"/>
      <c r="F3729" s="110">
        <f>SUM(F3722:F3728)</f>
        <v>10800</v>
      </c>
    </row>
    <row r="3730" spans="1:256" x14ac:dyDescent="0.3">
      <c r="A3730" s="111"/>
      <c r="B3730" s="136" t="s">
        <v>775</v>
      </c>
      <c r="C3730" s="115"/>
      <c r="D3730" s="109"/>
      <c r="E3730" s="110"/>
      <c r="F3730" s="110">
        <f>+F3729+F3720</f>
        <v>970495</v>
      </c>
    </row>
    <row r="3731" spans="1:256" x14ac:dyDescent="0.25">
      <c r="A3731" s="111"/>
      <c r="B3731" s="134" t="s">
        <v>824</v>
      </c>
      <c r="C3731" s="115"/>
      <c r="D3731" s="124">
        <v>1.1000000000000001</v>
      </c>
      <c r="E3731" s="110"/>
      <c r="F3731" s="110">
        <f>+F3730*D3731</f>
        <v>1067544.5</v>
      </c>
    </row>
    <row r="3732" spans="1:256" x14ac:dyDescent="0.25">
      <c r="A3732" s="111"/>
      <c r="B3732" s="134" t="s">
        <v>825</v>
      </c>
      <c r="C3732" s="115"/>
      <c r="D3732" s="124">
        <v>1.1000000000000001</v>
      </c>
      <c r="E3732" s="110"/>
      <c r="F3732" s="110"/>
    </row>
    <row r="3733" spans="1:256" x14ac:dyDescent="0.35">
      <c r="A3733" s="264" t="s">
        <v>1317</v>
      </c>
      <c r="B3733" s="242" t="s">
        <v>785</v>
      </c>
      <c r="C3733" s="208" t="s">
        <v>59</v>
      </c>
      <c r="D3733" s="208"/>
      <c r="E3733" s="209"/>
      <c r="F3733" s="209">
        <f>+D3732*F3731</f>
        <v>1174298.9500000002</v>
      </c>
    </row>
    <row r="3734" spans="1:256" x14ac:dyDescent="0.35">
      <c r="A3734" s="206"/>
      <c r="B3734" s="207"/>
      <c r="C3734" s="208"/>
      <c r="D3734" s="208"/>
      <c r="E3734" s="210">
        <f>+E3703</f>
        <v>3035.45</v>
      </c>
      <c r="F3734" s="210">
        <f>+F3733/E3734</f>
        <v>386.86156912484154</v>
      </c>
    </row>
    <row r="3735" spans="1:256" x14ac:dyDescent="0.35">
      <c r="A3735" s="105"/>
      <c r="B3735" s="106"/>
      <c r="C3735" s="101"/>
      <c r="D3735" s="101"/>
      <c r="E3735" s="161"/>
      <c r="F3735" s="161"/>
    </row>
    <row r="3736" spans="1:256" s="284" customFormat="1" x14ac:dyDescent="0.35">
      <c r="A3736" s="278"/>
      <c r="B3736" s="279"/>
      <c r="C3736" s="280"/>
      <c r="D3736" s="281"/>
      <c r="E3736" s="282"/>
      <c r="F3736" s="282"/>
      <c r="G3736" s="282"/>
      <c r="H3736" s="283"/>
    </row>
    <row r="3737" spans="1:256" x14ac:dyDescent="0.3">
      <c r="A3737" s="257" t="s">
        <v>227</v>
      </c>
      <c r="B3737" s="258" t="s">
        <v>228</v>
      </c>
      <c r="C3737" s="200" t="s">
        <v>2</v>
      </c>
      <c r="D3737" s="202" t="s">
        <v>765</v>
      </c>
      <c r="E3737" s="203" t="s">
        <v>766</v>
      </c>
      <c r="F3737" s="203" t="s">
        <v>767</v>
      </c>
    </row>
    <row r="3738" spans="1:256" x14ac:dyDescent="0.3">
      <c r="A3738" s="237" t="s">
        <v>229</v>
      </c>
      <c r="B3738" s="266" t="s">
        <v>230</v>
      </c>
      <c r="C3738" s="256"/>
      <c r="D3738" s="141"/>
      <c r="E3738" s="110"/>
      <c r="F3738" s="110"/>
    </row>
    <row r="3739" spans="1:256" x14ac:dyDescent="0.3">
      <c r="A3739" s="239" t="s">
        <v>262</v>
      </c>
      <c r="B3739" s="254" t="s">
        <v>1318</v>
      </c>
      <c r="C3739" s="256" t="s">
        <v>59</v>
      </c>
      <c r="D3739" s="141"/>
      <c r="E3739" s="110"/>
      <c r="F3739" s="110"/>
    </row>
    <row r="3740" spans="1:256" x14ac:dyDescent="0.35">
      <c r="A3740" s="111"/>
      <c r="B3740" s="112" t="s">
        <v>802</v>
      </c>
      <c r="C3740" s="118"/>
      <c r="D3740" s="118"/>
      <c r="E3740" s="119"/>
      <c r="F3740" s="119"/>
    </row>
    <row r="3741" spans="1:256" x14ac:dyDescent="0.35">
      <c r="A3741" s="111"/>
      <c r="B3741" s="120" t="s">
        <v>942</v>
      </c>
      <c r="C3741" s="118" t="s">
        <v>27</v>
      </c>
      <c r="D3741" s="118">
        <f>(0.5+0.5)*2</f>
        <v>2</v>
      </c>
      <c r="E3741" s="119">
        <f>48000/6</f>
        <v>8000</v>
      </c>
      <c r="F3741" s="119">
        <f>+D3741*E3741</f>
        <v>16000</v>
      </c>
      <c r="IV3741" s="104">
        <f t="shared" ref="IV3741:IV3751" si="85">SUM(D3741:IU3741)</f>
        <v>24002</v>
      </c>
    </row>
    <row r="3742" spans="1:256" x14ac:dyDescent="0.35">
      <c r="A3742" s="111"/>
      <c r="B3742" s="120" t="s">
        <v>943</v>
      </c>
      <c r="C3742" s="118" t="s">
        <v>27</v>
      </c>
      <c r="D3742" s="184">
        <f>((0.5/0.5)-1)*0.5</f>
        <v>0</v>
      </c>
      <c r="E3742" s="119">
        <f>65000/12</f>
        <v>5416.666666666667</v>
      </c>
      <c r="F3742" s="119">
        <f t="shared" ref="F3742:F3749" si="86">+D3742*E3742</f>
        <v>0</v>
      </c>
      <c r="IV3742" s="285">
        <f t="shared" si="85"/>
        <v>5416.666666666667</v>
      </c>
    </row>
    <row r="3743" spans="1:256" x14ac:dyDescent="0.35">
      <c r="A3743" s="111"/>
      <c r="B3743" s="120" t="s">
        <v>944</v>
      </c>
      <c r="C3743" s="118" t="s">
        <v>35</v>
      </c>
      <c r="D3743" s="184">
        <f>2.25*1.2</f>
        <v>2.6999999999999997</v>
      </c>
      <c r="E3743" s="119">
        <f>120000/12</f>
        <v>10000</v>
      </c>
      <c r="F3743" s="119">
        <f t="shared" si="86"/>
        <v>26999.999999999996</v>
      </c>
      <c r="IV3743" s="104">
        <f t="shared" si="85"/>
        <v>37002.699999999997</v>
      </c>
    </row>
    <row r="3744" spans="1:256" x14ac:dyDescent="0.35">
      <c r="A3744" s="111"/>
      <c r="B3744" s="120" t="s">
        <v>945</v>
      </c>
      <c r="C3744" s="118" t="s">
        <v>27</v>
      </c>
      <c r="D3744" s="118">
        <f>(0.5+0.5)*1+0.5</f>
        <v>1.5</v>
      </c>
      <c r="E3744" s="119">
        <f>25000/6</f>
        <v>4166.666666666667</v>
      </c>
      <c r="F3744" s="119">
        <f t="shared" si="86"/>
        <v>6250</v>
      </c>
      <c r="IV3744" s="104">
        <f t="shared" si="85"/>
        <v>10418.166666666668</v>
      </c>
    </row>
    <row r="3745" spans="1:256" x14ac:dyDescent="0.35">
      <c r="A3745" s="111"/>
      <c r="B3745" s="120" t="s">
        <v>946</v>
      </c>
      <c r="C3745" s="118" t="s">
        <v>27</v>
      </c>
      <c r="D3745" s="118">
        <v>2.09</v>
      </c>
      <c r="E3745" s="119">
        <v>4666.666666666667</v>
      </c>
      <c r="F3745" s="119">
        <f t="shared" si="86"/>
        <v>9753.3333333333339</v>
      </c>
      <c r="IV3745" s="104">
        <f t="shared" si="85"/>
        <v>14422.09</v>
      </c>
    </row>
    <row r="3746" spans="1:256" x14ac:dyDescent="0.35">
      <c r="A3746" s="111"/>
      <c r="B3746" s="120" t="s">
        <v>947</v>
      </c>
      <c r="C3746" s="118" t="s">
        <v>948</v>
      </c>
      <c r="D3746" s="118">
        <v>0.15</v>
      </c>
      <c r="E3746" s="119">
        <f>45000/4</f>
        <v>11250</v>
      </c>
      <c r="F3746" s="119">
        <f t="shared" si="86"/>
        <v>1687.5</v>
      </c>
      <c r="IV3746" s="104">
        <f t="shared" si="85"/>
        <v>12937.65</v>
      </c>
    </row>
    <row r="3747" spans="1:256" x14ac:dyDescent="0.35">
      <c r="A3747" s="111"/>
      <c r="B3747" s="120" t="s">
        <v>949</v>
      </c>
      <c r="C3747" s="118" t="s">
        <v>948</v>
      </c>
      <c r="D3747" s="118">
        <v>0.15</v>
      </c>
      <c r="E3747" s="119">
        <f>45000/4</f>
        <v>11250</v>
      </c>
      <c r="F3747" s="119">
        <f t="shared" si="86"/>
        <v>1687.5</v>
      </c>
      <c r="IV3747" s="104">
        <f t="shared" si="85"/>
        <v>12937.65</v>
      </c>
    </row>
    <row r="3748" spans="1:256" x14ac:dyDescent="0.35">
      <c r="A3748" s="111"/>
      <c r="B3748" s="120" t="s">
        <v>1283</v>
      </c>
      <c r="C3748" s="118" t="s">
        <v>950</v>
      </c>
      <c r="D3748" s="118">
        <v>1</v>
      </c>
      <c r="E3748" s="119">
        <v>40000</v>
      </c>
      <c r="F3748" s="119">
        <f t="shared" si="86"/>
        <v>40000</v>
      </c>
      <c r="IV3748" s="104">
        <f t="shared" si="85"/>
        <v>80001</v>
      </c>
    </row>
    <row r="3749" spans="1:256" x14ac:dyDescent="0.35">
      <c r="A3749" s="111"/>
      <c r="B3749" s="120" t="s">
        <v>951</v>
      </c>
      <c r="C3749" s="118" t="s">
        <v>59</v>
      </c>
      <c r="D3749" s="118">
        <v>10</v>
      </c>
      <c r="E3749" s="119">
        <v>40000</v>
      </c>
      <c r="F3749" s="119">
        <f t="shared" si="86"/>
        <v>400000</v>
      </c>
      <c r="IV3749" s="104">
        <f t="shared" si="85"/>
        <v>440010</v>
      </c>
    </row>
    <row r="3750" spans="1:256" x14ac:dyDescent="0.35">
      <c r="A3750" s="111"/>
      <c r="B3750" s="120" t="s">
        <v>952</v>
      </c>
      <c r="C3750" s="118"/>
      <c r="D3750" s="118"/>
      <c r="E3750" s="119"/>
      <c r="F3750" s="119">
        <f>+(F3741+F3746+F3747+F3748+F3749+F3745+F3744+F3743+F3742)*0.1</f>
        <v>50237.833333333336</v>
      </c>
      <c r="IV3750" s="104">
        <f t="shared" si="85"/>
        <v>50237.833333333336</v>
      </c>
    </row>
    <row r="3751" spans="1:256" x14ac:dyDescent="0.35">
      <c r="A3751" s="107"/>
      <c r="B3751" s="108" t="s">
        <v>769</v>
      </c>
      <c r="C3751" s="109"/>
      <c r="D3751" s="124"/>
      <c r="E3751" s="117"/>
      <c r="F3751" s="110">
        <f>SUM(F3741:F3750)</f>
        <v>552616.16666666674</v>
      </c>
      <c r="IV3751" s="104">
        <f t="shared" si="85"/>
        <v>552616.16666666674</v>
      </c>
    </row>
    <row r="3752" spans="1:256" x14ac:dyDescent="0.3">
      <c r="A3752" s="111"/>
      <c r="B3752" s="136" t="s">
        <v>808</v>
      </c>
      <c r="C3752" s="115"/>
      <c r="D3752" s="124"/>
      <c r="E3752" s="117"/>
      <c r="F3752" s="110"/>
    </row>
    <row r="3753" spans="1:256" x14ac:dyDescent="0.25">
      <c r="A3753" s="111"/>
      <c r="B3753" s="134" t="s">
        <v>820</v>
      </c>
      <c r="C3753" s="115" t="s">
        <v>772</v>
      </c>
      <c r="D3753" s="124">
        <v>0.12</v>
      </c>
      <c r="E3753" s="117">
        <v>7500</v>
      </c>
      <c r="F3753" s="117">
        <f t="shared" ref="F3753:F3759" si="87">+D3753*E3753</f>
        <v>900</v>
      </c>
      <c r="IV3753" s="104">
        <f t="shared" ref="IV3753:IV3765" si="88">SUM(D3753:IU3753)</f>
        <v>8400.119999999999</v>
      </c>
    </row>
    <row r="3754" spans="1:256" x14ac:dyDescent="0.25">
      <c r="A3754" s="111"/>
      <c r="B3754" s="134" t="s">
        <v>821</v>
      </c>
      <c r="C3754" s="115" t="s">
        <v>772</v>
      </c>
      <c r="D3754" s="124">
        <v>0.12</v>
      </c>
      <c r="E3754" s="117">
        <v>7500</v>
      </c>
      <c r="F3754" s="117">
        <f t="shared" si="87"/>
        <v>900</v>
      </c>
      <c r="IV3754" s="104">
        <f t="shared" si="88"/>
        <v>8400.119999999999</v>
      </c>
    </row>
    <row r="3755" spans="1:256" x14ac:dyDescent="0.25">
      <c r="A3755" s="111"/>
      <c r="B3755" s="134" t="s">
        <v>895</v>
      </c>
      <c r="C3755" s="115" t="s">
        <v>772</v>
      </c>
      <c r="D3755" s="124">
        <v>0.12</v>
      </c>
      <c r="E3755" s="117">
        <v>15000</v>
      </c>
      <c r="F3755" s="117">
        <f t="shared" si="87"/>
        <v>1800</v>
      </c>
      <c r="IV3755" s="104">
        <f t="shared" si="88"/>
        <v>16800.120000000003</v>
      </c>
    </row>
    <row r="3756" spans="1:256" x14ac:dyDescent="0.25">
      <c r="A3756" s="111"/>
      <c r="B3756" s="134" t="s">
        <v>896</v>
      </c>
      <c r="C3756" s="115" t="s">
        <v>772</v>
      </c>
      <c r="D3756" s="124">
        <v>0.12</v>
      </c>
      <c r="E3756" s="117">
        <v>15000</v>
      </c>
      <c r="F3756" s="117">
        <f t="shared" si="87"/>
        <v>1800</v>
      </c>
      <c r="IV3756" s="104">
        <f t="shared" si="88"/>
        <v>16800.120000000003</v>
      </c>
    </row>
    <row r="3757" spans="1:256" x14ac:dyDescent="0.25">
      <c r="A3757" s="111"/>
      <c r="B3757" s="134" t="s">
        <v>773</v>
      </c>
      <c r="C3757" s="115" t="s">
        <v>772</v>
      </c>
      <c r="D3757" s="124">
        <v>0.12</v>
      </c>
      <c r="E3757" s="117">
        <v>15000</v>
      </c>
      <c r="F3757" s="117">
        <f t="shared" si="87"/>
        <v>1800</v>
      </c>
      <c r="IV3757" s="104">
        <f t="shared" si="88"/>
        <v>16800.120000000003</v>
      </c>
    </row>
    <row r="3758" spans="1:256" x14ac:dyDescent="0.25">
      <c r="A3758" s="111"/>
      <c r="B3758" s="134" t="s">
        <v>851</v>
      </c>
      <c r="C3758" s="115" t="s">
        <v>772</v>
      </c>
      <c r="D3758" s="124">
        <v>0.12</v>
      </c>
      <c r="E3758" s="117">
        <v>15000</v>
      </c>
      <c r="F3758" s="117">
        <f t="shared" si="87"/>
        <v>1800</v>
      </c>
      <c r="IV3758" s="104">
        <f t="shared" si="88"/>
        <v>16800.120000000003</v>
      </c>
    </row>
    <row r="3759" spans="1:256" x14ac:dyDescent="0.25">
      <c r="A3759" s="111"/>
      <c r="B3759" s="134" t="s">
        <v>953</v>
      </c>
      <c r="C3759" s="115" t="s">
        <v>772</v>
      </c>
      <c r="D3759" s="124">
        <v>0.12</v>
      </c>
      <c r="E3759" s="117">
        <v>15000</v>
      </c>
      <c r="F3759" s="117">
        <f t="shared" si="87"/>
        <v>1800</v>
      </c>
      <c r="IV3759" s="104">
        <f t="shared" si="88"/>
        <v>16800.120000000003</v>
      </c>
    </row>
    <row r="3760" spans="1:256" x14ac:dyDescent="0.3">
      <c r="A3760" s="111"/>
      <c r="B3760" s="136" t="s">
        <v>774</v>
      </c>
      <c r="C3760" s="115"/>
      <c r="D3760" s="124"/>
      <c r="E3760" s="117"/>
      <c r="F3760" s="110">
        <f>SUM(F3753:F3759)</f>
        <v>10800</v>
      </c>
      <c r="IV3760" s="104">
        <f t="shared" si="88"/>
        <v>10800</v>
      </c>
    </row>
    <row r="3761" spans="1:256" x14ac:dyDescent="0.3">
      <c r="A3761" s="111"/>
      <c r="B3761" s="136" t="s">
        <v>775</v>
      </c>
      <c r="C3761" s="115"/>
      <c r="D3761" s="109"/>
      <c r="E3761" s="110"/>
      <c r="F3761" s="110">
        <f>+F3760+F3751</f>
        <v>563416.16666666674</v>
      </c>
      <c r="IV3761" s="104">
        <f t="shared" si="88"/>
        <v>563416.16666666674</v>
      </c>
    </row>
    <row r="3762" spans="1:256" x14ac:dyDescent="0.25">
      <c r="A3762" s="111"/>
      <c r="B3762" s="134" t="s">
        <v>956</v>
      </c>
      <c r="C3762" s="115"/>
      <c r="D3762" s="124">
        <v>1.02</v>
      </c>
      <c r="E3762" s="110"/>
      <c r="F3762" s="110">
        <f>+F3761*D3762</f>
        <v>574684.49000000011</v>
      </c>
      <c r="IV3762" s="104">
        <f t="shared" si="88"/>
        <v>574685.51000000013</v>
      </c>
    </row>
    <row r="3763" spans="1:256" x14ac:dyDescent="0.25">
      <c r="A3763" s="111"/>
      <c r="B3763" s="134" t="s">
        <v>848</v>
      </c>
      <c r="C3763" s="115"/>
      <c r="D3763" s="124">
        <v>1.05</v>
      </c>
      <c r="E3763" s="110"/>
      <c r="F3763" s="110"/>
      <c r="IV3763" s="104">
        <f t="shared" si="88"/>
        <v>1.05</v>
      </c>
    </row>
    <row r="3764" spans="1:256" x14ac:dyDescent="0.35">
      <c r="A3764" s="264" t="s">
        <v>262</v>
      </c>
      <c r="B3764" s="242" t="s">
        <v>785</v>
      </c>
      <c r="C3764" s="208" t="s">
        <v>59</v>
      </c>
      <c r="D3764" s="208"/>
      <c r="E3764" s="209"/>
      <c r="F3764" s="209">
        <f>+D3763*F3762</f>
        <v>603418.71450000012</v>
      </c>
      <c r="IV3764" s="104">
        <f t="shared" si="88"/>
        <v>603418.71450000012</v>
      </c>
    </row>
    <row r="3765" spans="1:256" x14ac:dyDescent="0.35">
      <c r="A3765" s="206"/>
      <c r="B3765" s="207"/>
      <c r="C3765" s="208"/>
      <c r="D3765" s="208"/>
      <c r="E3765" s="210">
        <f>+E3734</f>
        <v>3035.45</v>
      </c>
      <c r="F3765" s="210">
        <f>+F3764/E3765</f>
        <v>198.79053006967669</v>
      </c>
      <c r="IV3765" s="104">
        <f t="shared" si="88"/>
        <v>3234.2405300696764</v>
      </c>
    </row>
    <row r="3768" spans="1:256" x14ac:dyDescent="0.3">
      <c r="A3768" s="257" t="s">
        <v>227</v>
      </c>
      <c r="B3768" s="258" t="s">
        <v>228</v>
      </c>
      <c r="C3768" s="200" t="s">
        <v>2</v>
      </c>
      <c r="D3768" s="202" t="s">
        <v>765</v>
      </c>
      <c r="E3768" s="203" t="s">
        <v>766</v>
      </c>
      <c r="F3768" s="203" t="s">
        <v>767</v>
      </c>
    </row>
    <row r="3769" spans="1:256" x14ac:dyDescent="0.3">
      <c r="A3769" s="237" t="s">
        <v>229</v>
      </c>
      <c r="B3769" s="266" t="s">
        <v>230</v>
      </c>
      <c r="C3769" s="256"/>
      <c r="D3769" s="141"/>
      <c r="E3769" s="110"/>
      <c r="F3769" s="110"/>
    </row>
    <row r="3770" spans="1:256" x14ac:dyDescent="0.3">
      <c r="A3770" s="239" t="s">
        <v>263</v>
      </c>
      <c r="B3770" s="254" t="s">
        <v>1319</v>
      </c>
      <c r="C3770" s="256" t="s">
        <v>59</v>
      </c>
      <c r="D3770" s="141"/>
      <c r="E3770" s="110"/>
      <c r="F3770" s="110"/>
    </row>
    <row r="3771" spans="1:256" x14ac:dyDescent="0.35">
      <c r="A3771" s="111"/>
      <c r="B3771" s="112" t="s">
        <v>802</v>
      </c>
      <c r="C3771" s="118"/>
      <c r="D3771" s="118"/>
      <c r="E3771" s="119"/>
      <c r="F3771" s="119"/>
    </row>
    <row r="3772" spans="1:256" x14ac:dyDescent="0.35">
      <c r="A3772" s="111"/>
      <c r="B3772" s="120" t="s">
        <v>942</v>
      </c>
      <c r="C3772" s="118" t="s">
        <v>27</v>
      </c>
      <c r="D3772" s="118">
        <v>3.2</v>
      </c>
      <c r="E3772" s="119">
        <v>8000</v>
      </c>
      <c r="F3772" s="119">
        <v>25600</v>
      </c>
    </row>
    <row r="3773" spans="1:256" x14ac:dyDescent="0.35">
      <c r="A3773" s="111"/>
      <c r="B3773" s="120" t="s">
        <v>943</v>
      </c>
      <c r="C3773" s="118" t="s">
        <v>27</v>
      </c>
      <c r="D3773" s="184">
        <v>4.5333333333333297</v>
      </c>
      <c r="E3773" s="119">
        <v>5416.666666666667</v>
      </c>
      <c r="F3773" s="119">
        <v>24555.555555555562</v>
      </c>
    </row>
    <row r="3774" spans="1:256" x14ac:dyDescent="0.35">
      <c r="A3774" s="111"/>
      <c r="B3774" s="120" t="s">
        <v>944</v>
      </c>
      <c r="C3774" s="118" t="s">
        <v>35</v>
      </c>
      <c r="D3774" s="184">
        <v>0.64000000000000012</v>
      </c>
      <c r="E3774" s="119">
        <v>10000</v>
      </c>
      <c r="F3774" s="119">
        <v>6400.0000000000009</v>
      </c>
    </row>
    <row r="3775" spans="1:256" x14ac:dyDescent="0.35">
      <c r="A3775" s="111"/>
      <c r="B3775" s="120" t="s">
        <v>945</v>
      </c>
      <c r="C3775" s="118" t="s">
        <v>27</v>
      </c>
      <c r="D3775" s="118">
        <v>3.2</v>
      </c>
      <c r="E3775" s="119">
        <v>4166.666666666667</v>
      </c>
      <c r="F3775" s="119">
        <v>13333.333333333336</v>
      </c>
    </row>
    <row r="3776" spans="1:256" x14ac:dyDescent="0.35">
      <c r="A3776" s="111"/>
      <c r="B3776" s="120" t="s">
        <v>946</v>
      </c>
      <c r="C3776" s="118" t="s">
        <v>27</v>
      </c>
      <c r="D3776" s="118">
        <v>0.8</v>
      </c>
      <c r="E3776" s="119">
        <v>4666.666666666667</v>
      </c>
      <c r="F3776" s="119">
        <v>3733.3333333333339</v>
      </c>
    </row>
    <row r="3777" spans="1:6" x14ac:dyDescent="0.35">
      <c r="A3777" s="111"/>
      <c r="B3777" s="120" t="s">
        <v>947</v>
      </c>
      <c r="C3777" s="118" t="s">
        <v>948</v>
      </c>
      <c r="D3777" s="118">
        <v>0.15</v>
      </c>
      <c r="E3777" s="119">
        <v>11250</v>
      </c>
      <c r="F3777" s="119">
        <v>1687.5</v>
      </c>
    </row>
    <row r="3778" spans="1:6" x14ac:dyDescent="0.35">
      <c r="A3778" s="111"/>
      <c r="B3778" s="120" t="s">
        <v>949</v>
      </c>
      <c r="C3778" s="118" t="s">
        <v>948</v>
      </c>
      <c r="D3778" s="118">
        <v>0.15</v>
      </c>
      <c r="E3778" s="119">
        <v>11250</v>
      </c>
      <c r="F3778" s="119">
        <v>1687.5</v>
      </c>
    </row>
    <row r="3779" spans="1:6" x14ac:dyDescent="0.35">
      <c r="A3779" s="111"/>
      <c r="B3779" s="120" t="s">
        <v>1283</v>
      </c>
      <c r="C3779" s="118" t="s">
        <v>950</v>
      </c>
      <c r="D3779" s="118">
        <v>1</v>
      </c>
      <c r="E3779" s="119">
        <v>40000</v>
      </c>
      <c r="F3779" s="119">
        <v>40000</v>
      </c>
    </row>
    <row r="3780" spans="1:6" x14ac:dyDescent="0.35">
      <c r="A3780" s="111"/>
      <c r="B3780" s="120" t="s">
        <v>951</v>
      </c>
      <c r="C3780" s="118" t="s">
        <v>59</v>
      </c>
      <c r="D3780" s="118">
        <v>4</v>
      </c>
      <c r="E3780" s="119">
        <v>40000</v>
      </c>
      <c r="F3780" s="119">
        <v>160000</v>
      </c>
    </row>
    <row r="3781" spans="1:6" x14ac:dyDescent="0.35">
      <c r="A3781" s="111"/>
      <c r="B3781" s="120" t="s">
        <v>952</v>
      </c>
      <c r="C3781" s="118"/>
      <c r="D3781" s="118"/>
      <c r="E3781" s="119"/>
      <c r="F3781" s="119">
        <v>27699.722222222226</v>
      </c>
    </row>
    <row r="3782" spans="1:6" x14ac:dyDescent="0.35">
      <c r="A3782" s="107"/>
      <c r="B3782" s="108" t="s">
        <v>769</v>
      </c>
      <c r="C3782" s="109"/>
      <c r="D3782" s="124"/>
      <c r="E3782" s="117"/>
      <c r="F3782" s="110">
        <v>304696.9444444445</v>
      </c>
    </row>
    <row r="3783" spans="1:6" x14ac:dyDescent="0.3">
      <c r="A3783" s="111"/>
      <c r="B3783" s="136" t="s">
        <v>808</v>
      </c>
      <c r="C3783" s="115"/>
      <c r="D3783" s="124"/>
      <c r="E3783" s="117"/>
      <c r="F3783" s="110"/>
    </row>
    <row r="3784" spans="1:6" x14ac:dyDescent="0.25">
      <c r="A3784" s="111"/>
      <c r="B3784" s="134" t="s">
        <v>820</v>
      </c>
      <c r="C3784" s="115" t="s">
        <v>772</v>
      </c>
      <c r="D3784" s="124">
        <v>0.12</v>
      </c>
      <c r="E3784" s="117">
        <v>7500</v>
      </c>
      <c r="F3784" s="117">
        <v>900</v>
      </c>
    </row>
    <row r="3785" spans="1:6" x14ac:dyDescent="0.25">
      <c r="A3785" s="111"/>
      <c r="B3785" s="134" t="s">
        <v>821</v>
      </c>
      <c r="C3785" s="115" t="s">
        <v>772</v>
      </c>
      <c r="D3785" s="124">
        <v>0.12</v>
      </c>
      <c r="E3785" s="117">
        <v>7500</v>
      </c>
      <c r="F3785" s="117">
        <v>900</v>
      </c>
    </row>
    <row r="3786" spans="1:6" x14ac:dyDescent="0.25">
      <c r="A3786" s="111"/>
      <c r="B3786" s="134" t="s">
        <v>895</v>
      </c>
      <c r="C3786" s="115" t="s">
        <v>772</v>
      </c>
      <c r="D3786" s="124">
        <v>0.12</v>
      </c>
      <c r="E3786" s="117">
        <v>15000</v>
      </c>
      <c r="F3786" s="117">
        <v>1800</v>
      </c>
    </row>
    <row r="3787" spans="1:6" x14ac:dyDescent="0.25">
      <c r="A3787" s="111"/>
      <c r="B3787" s="134" t="s">
        <v>896</v>
      </c>
      <c r="C3787" s="115" t="s">
        <v>772</v>
      </c>
      <c r="D3787" s="124">
        <v>0.12</v>
      </c>
      <c r="E3787" s="117">
        <v>15000</v>
      </c>
      <c r="F3787" s="117">
        <v>1800</v>
      </c>
    </row>
    <row r="3788" spans="1:6" x14ac:dyDescent="0.25">
      <c r="A3788" s="111"/>
      <c r="B3788" s="134" t="s">
        <v>773</v>
      </c>
      <c r="C3788" s="115" t="s">
        <v>772</v>
      </c>
      <c r="D3788" s="124">
        <v>0.12</v>
      </c>
      <c r="E3788" s="117">
        <v>15000</v>
      </c>
      <c r="F3788" s="117">
        <v>1800</v>
      </c>
    </row>
    <row r="3789" spans="1:6" x14ac:dyDescent="0.25">
      <c r="A3789" s="111"/>
      <c r="B3789" s="134" t="s">
        <v>851</v>
      </c>
      <c r="C3789" s="115" t="s">
        <v>772</v>
      </c>
      <c r="D3789" s="124">
        <v>0.12</v>
      </c>
      <c r="E3789" s="117">
        <v>15000</v>
      </c>
      <c r="F3789" s="117">
        <v>1800</v>
      </c>
    </row>
    <row r="3790" spans="1:6" x14ac:dyDescent="0.25">
      <c r="A3790" s="111"/>
      <c r="B3790" s="134" t="s">
        <v>953</v>
      </c>
      <c r="C3790" s="115" t="s">
        <v>772</v>
      </c>
      <c r="D3790" s="124">
        <v>0.12</v>
      </c>
      <c r="E3790" s="117">
        <v>15000</v>
      </c>
      <c r="F3790" s="117">
        <v>1800</v>
      </c>
    </row>
    <row r="3791" spans="1:6" x14ac:dyDescent="0.3">
      <c r="A3791" s="111"/>
      <c r="B3791" s="136" t="s">
        <v>774</v>
      </c>
      <c r="C3791" s="115"/>
      <c r="D3791" s="124"/>
      <c r="E3791" s="117"/>
      <c r="F3791" s="110">
        <v>10800</v>
      </c>
    </row>
    <row r="3792" spans="1:6" x14ac:dyDescent="0.3">
      <c r="A3792" s="111"/>
      <c r="B3792" s="136" t="s">
        <v>775</v>
      </c>
      <c r="C3792" s="115"/>
      <c r="D3792" s="109"/>
      <c r="E3792" s="110"/>
      <c r="F3792" s="110">
        <v>315496.9444444445</v>
      </c>
    </row>
    <row r="3793" spans="1:8" x14ac:dyDescent="0.25">
      <c r="A3793" s="111"/>
      <c r="B3793" s="134" t="s">
        <v>956</v>
      </c>
      <c r="C3793" s="115"/>
      <c r="D3793" s="124">
        <v>1.02</v>
      </c>
      <c r="E3793" s="110"/>
      <c r="F3793" s="110">
        <v>321806.88333333342</v>
      </c>
    </row>
    <row r="3794" spans="1:8" x14ac:dyDescent="0.25">
      <c r="A3794" s="111"/>
      <c r="B3794" s="134" t="s">
        <v>848</v>
      </c>
      <c r="C3794" s="115"/>
      <c r="D3794" s="124">
        <v>1.05</v>
      </c>
      <c r="E3794" s="110"/>
      <c r="F3794" s="110"/>
    </row>
    <row r="3795" spans="1:8" x14ac:dyDescent="0.35">
      <c r="A3795" s="264" t="s">
        <v>263</v>
      </c>
      <c r="B3795" s="242" t="s">
        <v>785</v>
      </c>
      <c r="C3795" s="208" t="s">
        <v>59</v>
      </c>
      <c r="D3795" s="208"/>
      <c r="E3795" s="209"/>
      <c r="F3795" s="209">
        <v>337897.2275000001</v>
      </c>
    </row>
    <row r="3796" spans="1:8" x14ac:dyDescent="0.35">
      <c r="A3796" s="206"/>
      <c r="B3796" s="207"/>
      <c r="C3796" s="208"/>
      <c r="D3796" s="208"/>
      <c r="E3796" s="210">
        <f>+E3765</f>
        <v>3035.45</v>
      </c>
      <c r="F3796" s="210">
        <v>110.33414884620035</v>
      </c>
    </row>
    <row r="3797" spans="1:8" s="139" customFormat="1" x14ac:dyDescent="0.35">
      <c r="A3797" s="105"/>
      <c r="B3797" s="106"/>
      <c r="C3797" s="101"/>
      <c r="D3797" s="101"/>
      <c r="E3797" s="161"/>
      <c r="F3797" s="161"/>
      <c r="G3797" s="138"/>
      <c r="H3797" s="177"/>
    </row>
    <row r="3799" spans="1:8" x14ac:dyDescent="0.3">
      <c r="A3799" s="257" t="s">
        <v>227</v>
      </c>
      <c r="B3799" s="258" t="s">
        <v>228</v>
      </c>
      <c r="C3799" s="200" t="s">
        <v>2</v>
      </c>
      <c r="D3799" s="202" t="s">
        <v>765</v>
      </c>
      <c r="E3799" s="203" t="s">
        <v>766</v>
      </c>
      <c r="F3799" s="203" t="s">
        <v>767</v>
      </c>
    </row>
    <row r="3800" spans="1:8" x14ac:dyDescent="0.3">
      <c r="A3800" s="237" t="s">
        <v>229</v>
      </c>
      <c r="B3800" s="266" t="s">
        <v>230</v>
      </c>
      <c r="C3800" s="256"/>
      <c r="D3800" s="141"/>
      <c r="E3800" s="110"/>
      <c r="F3800" s="110"/>
    </row>
    <row r="3801" spans="1:8" x14ac:dyDescent="0.3">
      <c r="A3801" s="239" t="s">
        <v>264</v>
      </c>
      <c r="B3801" s="254" t="s">
        <v>682</v>
      </c>
      <c r="C3801" s="256" t="s">
        <v>59</v>
      </c>
      <c r="D3801" s="141"/>
      <c r="E3801" s="110"/>
      <c r="F3801" s="110"/>
    </row>
    <row r="3802" spans="1:8" x14ac:dyDescent="0.35">
      <c r="A3802" s="111"/>
      <c r="B3802" s="112" t="s">
        <v>802</v>
      </c>
      <c r="C3802" s="118"/>
      <c r="D3802" s="118"/>
      <c r="E3802" s="119"/>
      <c r="F3802" s="119"/>
    </row>
    <row r="3803" spans="1:8" x14ac:dyDescent="0.35">
      <c r="A3803" s="111"/>
      <c r="B3803" s="120" t="s">
        <v>942</v>
      </c>
      <c r="C3803" s="118" t="s">
        <v>27</v>
      </c>
      <c r="D3803" s="118">
        <v>3.5599999999999996</v>
      </c>
      <c r="E3803" s="119">
        <v>8000</v>
      </c>
      <c r="F3803" s="119">
        <v>28479.999999999996</v>
      </c>
    </row>
    <row r="3804" spans="1:8" x14ac:dyDescent="0.35">
      <c r="A3804" s="111"/>
      <c r="B3804" s="120" t="s">
        <v>943</v>
      </c>
      <c r="C3804" s="118" t="s">
        <v>27</v>
      </c>
      <c r="D3804" s="184">
        <v>4.5999999999999996</v>
      </c>
      <c r="E3804" s="119">
        <v>5416.666666666667</v>
      </c>
      <c r="F3804" s="119">
        <v>24916.666666666668</v>
      </c>
    </row>
    <row r="3805" spans="1:8" x14ac:dyDescent="0.35">
      <c r="A3805" s="111"/>
      <c r="B3805" s="120" t="s">
        <v>944</v>
      </c>
      <c r="C3805" s="118" t="s">
        <v>35</v>
      </c>
      <c r="D3805" s="184">
        <v>6.9599999999999995E-2</v>
      </c>
      <c r="E3805" s="119">
        <v>10000</v>
      </c>
      <c r="F3805" s="119">
        <v>696</v>
      </c>
    </row>
    <row r="3806" spans="1:8" x14ac:dyDescent="0.35">
      <c r="A3806" s="111"/>
      <c r="B3806" s="120" t="s">
        <v>945</v>
      </c>
      <c r="C3806" s="118" t="s">
        <v>27</v>
      </c>
      <c r="D3806" s="118">
        <v>4.1399999999999997</v>
      </c>
      <c r="E3806" s="119">
        <v>4166.666666666667</v>
      </c>
      <c r="F3806" s="119">
        <v>17250</v>
      </c>
    </row>
    <row r="3807" spans="1:8" x14ac:dyDescent="0.35">
      <c r="A3807" s="111"/>
      <c r="B3807" s="120" t="s">
        <v>946</v>
      </c>
      <c r="C3807" s="118" t="s">
        <v>27</v>
      </c>
      <c r="D3807" s="118">
        <v>1.2</v>
      </c>
      <c r="E3807" s="119">
        <v>4666.666666666667</v>
      </c>
      <c r="F3807" s="119">
        <v>5600</v>
      </c>
    </row>
    <row r="3808" spans="1:8" x14ac:dyDescent="0.35">
      <c r="A3808" s="111"/>
      <c r="B3808" s="120" t="s">
        <v>947</v>
      </c>
      <c r="C3808" s="118" t="s">
        <v>948</v>
      </c>
      <c r="D3808" s="118">
        <v>0.15</v>
      </c>
      <c r="E3808" s="119">
        <v>11250</v>
      </c>
      <c r="F3808" s="119">
        <v>1687.5</v>
      </c>
    </row>
    <row r="3809" spans="1:6" x14ac:dyDescent="0.35">
      <c r="A3809" s="111"/>
      <c r="B3809" s="120" t="s">
        <v>949</v>
      </c>
      <c r="C3809" s="118" t="s">
        <v>948</v>
      </c>
      <c r="D3809" s="118">
        <v>0.15</v>
      </c>
      <c r="E3809" s="119">
        <v>11250</v>
      </c>
      <c r="F3809" s="119">
        <v>1687.5</v>
      </c>
    </row>
    <row r="3810" spans="1:6" x14ac:dyDescent="0.35">
      <c r="A3810" s="111"/>
      <c r="B3810" s="120" t="s">
        <v>1283</v>
      </c>
      <c r="C3810" s="118" t="s">
        <v>950</v>
      </c>
      <c r="D3810" s="118">
        <v>1</v>
      </c>
      <c r="E3810" s="119">
        <v>40000</v>
      </c>
      <c r="F3810" s="119">
        <v>40000</v>
      </c>
    </row>
    <row r="3811" spans="1:6" x14ac:dyDescent="0.35">
      <c r="A3811" s="111"/>
      <c r="B3811" s="120" t="s">
        <v>951</v>
      </c>
      <c r="C3811" s="118" t="s">
        <v>59</v>
      </c>
      <c r="D3811" s="118">
        <v>8</v>
      </c>
      <c r="E3811" s="119">
        <v>40000</v>
      </c>
      <c r="F3811" s="119">
        <v>320000</v>
      </c>
    </row>
    <row r="3812" spans="1:6" x14ac:dyDescent="0.35">
      <c r="A3812" s="111"/>
      <c r="B3812" s="120" t="s">
        <v>952</v>
      </c>
      <c r="C3812" s="118"/>
      <c r="D3812" s="118"/>
      <c r="E3812" s="119"/>
      <c r="F3812" s="119">
        <v>44031.76666666667</v>
      </c>
    </row>
    <row r="3813" spans="1:6" x14ac:dyDescent="0.35">
      <c r="A3813" s="107"/>
      <c r="B3813" s="108" t="s">
        <v>769</v>
      </c>
      <c r="C3813" s="109"/>
      <c r="D3813" s="124"/>
      <c r="E3813" s="117"/>
      <c r="F3813" s="110">
        <v>484349.43333333329</v>
      </c>
    </row>
    <row r="3814" spans="1:6" x14ac:dyDescent="0.3">
      <c r="A3814" s="111"/>
      <c r="B3814" s="136" t="s">
        <v>808</v>
      </c>
      <c r="C3814" s="115"/>
      <c r="D3814" s="124"/>
      <c r="E3814" s="117"/>
      <c r="F3814" s="110"/>
    </row>
    <row r="3815" spans="1:6" x14ac:dyDescent="0.25">
      <c r="A3815" s="111"/>
      <c r="B3815" s="134" t="s">
        <v>820</v>
      </c>
      <c r="C3815" s="115" t="s">
        <v>772</v>
      </c>
      <c r="D3815" s="124">
        <v>0.12</v>
      </c>
      <c r="E3815" s="117">
        <v>7500</v>
      </c>
      <c r="F3815" s="117">
        <v>900</v>
      </c>
    </row>
    <row r="3816" spans="1:6" x14ac:dyDescent="0.25">
      <c r="A3816" s="111"/>
      <c r="B3816" s="134" t="s">
        <v>821</v>
      </c>
      <c r="C3816" s="115" t="s">
        <v>772</v>
      </c>
      <c r="D3816" s="124">
        <v>0.12</v>
      </c>
      <c r="E3816" s="117">
        <v>7500</v>
      </c>
      <c r="F3816" s="117">
        <v>900</v>
      </c>
    </row>
    <row r="3817" spans="1:6" x14ac:dyDescent="0.25">
      <c r="A3817" s="111"/>
      <c r="B3817" s="134" t="s">
        <v>895</v>
      </c>
      <c r="C3817" s="115" t="s">
        <v>772</v>
      </c>
      <c r="D3817" s="124">
        <v>0.12</v>
      </c>
      <c r="E3817" s="117">
        <v>15000</v>
      </c>
      <c r="F3817" s="117">
        <v>1800</v>
      </c>
    </row>
    <row r="3818" spans="1:6" x14ac:dyDescent="0.25">
      <c r="A3818" s="111"/>
      <c r="B3818" s="134" t="s">
        <v>896</v>
      </c>
      <c r="C3818" s="115" t="s">
        <v>772</v>
      </c>
      <c r="D3818" s="124">
        <v>0.12</v>
      </c>
      <c r="E3818" s="117">
        <v>15000</v>
      </c>
      <c r="F3818" s="117">
        <v>1800</v>
      </c>
    </row>
    <row r="3819" spans="1:6" x14ac:dyDescent="0.25">
      <c r="A3819" s="111"/>
      <c r="B3819" s="134" t="s">
        <v>773</v>
      </c>
      <c r="C3819" s="115" t="s">
        <v>772</v>
      </c>
      <c r="D3819" s="124">
        <v>0.12</v>
      </c>
      <c r="E3819" s="117">
        <v>15000</v>
      </c>
      <c r="F3819" s="117">
        <v>1800</v>
      </c>
    </row>
    <row r="3820" spans="1:6" x14ac:dyDescent="0.25">
      <c r="A3820" s="111"/>
      <c r="B3820" s="134" t="s">
        <v>851</v>
      </c>
      <c r="C3820" s="115" t="s">
        <v>772</v>
      </c>
      <c r="D3820" s="124">
        <v>0.12</v>
      </c>
      <c r="E3820" s="117">
        <v>15000</v>
      </c>
      <c r="F3820" s="117">
        <v>1800</v>
      </c>
    </row>
    <row r="3821" spans="1:6" x14ac:dyDescent="0.25">
      <c r="A3821" s="111"/>
      <c r="B3821" s="134" t="s">
        <v>953</v>
      </c>
      <c r="C3821" s="115" t="s">
        <v>772</v>
      </c>
      <c r="D3821" s="124">
        <v>0.12</v>
      </c>
      <c r="E3821" s="117">
        <v>15000</v>
      </c>
      <c r="F3821" s="117">
        <v>1800</v>
      </c>
    </row>
    <row r="3822" spans="1:6" x14ac:dyDescent="0.3">
      <c r="A3822" s="111"/>
      <c r="B3822" s="136" t="s">
        <v>774</v>
      </c>
      <c r="C3822" s="115"/>
      <c r="D3822" s="124"/>
      <c r="E3822" s="117"/>
      <c r="F3822" s="110">
        <v>10800</v>
      </c>
    </row>
    <row r="3823" spans="1:6" x14ac:dyDescent="0.3">
      <c r="A3823" s="111"/>
      <c r="B3823" s="136" t="s">
        <v>775</v>
      </c>
      <c r="C3823" s="115"/>
      <c r="D3823" s="109"/>
      <c r="E3823" s="110"/>
      <c r="F3823" s="110">
        <v>495149.43333333329</v>
      </c>
    </row>
    <row r="3824" spans="1:6" x14ac:dyDescent="0.25">
      <c r="A3824" s="111"/>
      <c r="B3824" s="134" t="s">
        <v>956</v>
      </c>
      <c r="C3824" s="115"/>
      <c r="D3824" s="124">
        <v>1.02</v>
      </c>
      <c r="E3824" s="110"/>
      <c r="F3824" s="110">
        <v>505052.42199999996</v>
      </c>
    </row>
    <row r="3825" spans="1:8" x14ac:dyDescent="0.25">
      <c r="A3825" s="111"/>
      <c r="B3825" s="134" t="s">
        <v>848</v>
      </c>
      <c r="C3825" s="115"/>
      <c r="D3825" s="124">
        <v>1.05</v>
      </c>
      <c r="E3825" s="110"/>
      <c r="F3825" s="110"/>
    </row>
    <row r="3826" spans="1:8" x14ac:dyDescent="0.35">
      <c r="A3826" s="264" t="s">
        <v>264</v>
      </c>
      <c r="B3826" s="242" t="s">
        <v>785</v>
      </c>
      <c r="C3826" s="208" t="s">
        <v>59</v>
      </c>
      <c r="D3826" s="208"/>
      <c r="E3826" s="209"/>
      <c r="F3826" s="209">
        <v>530305.04310000001</v>
      </c>
    </row>
    <row r="3827" spans="1:8" x14ac:dyDescent="0.35">
      <c r="A3827" s="206"/>
      <c r="B3827" s="207"/>
      <c r="C3827" s="208"/>
      <c r="D3827" s="208"/>
      <c r="E3827" s="210">
        <f>+E3796</f>
        <v>3035.45</v>
      </c>
      <c r="F3827" s="210">
        <v>173.16139582496598</v>
      </c>
    </row>
    <row r="3828" spans="1:8" s="139" customFormat="1" x14ac:dyDescent="0.35">
      <c r="A3828" s="286"/>
      <c r="B3828" s="287"/>
      <c r="C3828" s="288"/>
      <c r="D3828" s="289"/>
      <c r="E3828" s="138"/>
      <c r="F3828" s="138"/>
      <c r="G3828" s="138"/>
      <c r="H3828" s="177"/>
    </row>
    <row r="3829" spans="1:8" s="139" customFormat="1" x14ac:dyDescent="0.35">
      <c r="A3829" s="286"/>
      <c r="B3829" s="287"/>
      <c r="C3829" s="288"/>
      <c r="D3829" s="289"/>
      <c r="E3829" s="138"/>
      <c r="F3829" s="138"/>
      <c r="G3829" s="138"/>
      <c r="H3829" s="177"/>
    </row>
    <row r="3830" spans="1:8" s="139" customFormat="1" x14ac:dyDescent="0.3">
      <c r="A3830" s="257" t="s">
        <v>227</v>
      </c>
      <c r="B3830" s="290" t="s">
        <v>228</v>
      </c>
      <c r="C3830" s="291"/>
      <c r="D3830" s="202" t="s">
        <v>765</v>
      </c>
      <c r="E3830" s="203" t="s">
        <v>766</v>
      </c>
      <c r="F3830" s="203" t="s">
        <v>767</v>
      </c>
      <c r="G3830" s="138"/>
      <c r="H3830" s="177"/>
    </row>
    <row r="3831" spans="1:8" s="139" customFormat="1" x14ac:dyDescent="0.3">
      <c r="A3831" s="237" t="s">
        <v>265</v>
      </c>
      <c r="B3831" s="292" t="s">
        <v>639</v>
      </c>
      <c r="C3831" s="256"/>
      <c r="D3831" s="141"/>
      <c r="E3831" s="110"/>
      <c r="F3831" s="110"/>
      <c r="G3831" s="138"/>
      <c r="H3831" s="177"/>
    </row>
    <row r="3832" spans="1:8" s="139" customFormat="1" x14ac:dyDescent="0.3">
      <c r="A3832" s="293" t="s">
        <v>266</v>
      </c>
      <c r="B3832" s="294" t="s">
        <v>267</v>
      </c>
      <c r="C3832" s="256" t="s">
        <v>59</v>
      </c>
      <c r="D3832" s="141"/>
      <c r="E3832" s="110"/>
      <c r="F3832" s="110"/>
      <c r="G3832" s="138"/>
      <c r="H3832" s="177"/>
    </row>
    <row r="3833" spans="1:8" s="139" customFormat="1" x14ac:dyDescent="0.35">
      <c r="A3833" s="111"/>
      <c r="B3833" s="112" t="s">
        <v>802</v>
      </c>
      <c r="C3833" s="118"/>
      <c r="D3833" s="118"/>
      <c r="E3833" s="119"/>
      <c r="F3833" s="119"/>
      <c r="G3833" s="138"/>
      <c r="H3833" s="177"/>
    </row>
    <row r="3834" spans="1:8" s="139" customFormat="1" x14ac:dyDescent="0.25">
      <c r="A3834" s="111"/>
      <c r="B3834" s="134" t="s">
        <v>942</v>
      </c>
      <c r="C3834" s="118" t="s">
        <v>27</v>
      </c>
      <c r="D3834" s="228">
        <f>2.9*2+0.8</f>
        <v>6.6</v>
      </c>
      <c r="E3834" s="119">
        <f>48000/6</f>
        <v>8000</v>
      </c>
      <c r="F3834" s="119">
        <f>+D3834*E3834</f>
        <v>52800</v>
      </c>
      <c r="G3834" s="138"/>
      <c r="H3834" s="177"/>
    </row>
    <row r="3835" spans="1:8" s="139" customFormat="1" x14ac:dyDescent="0.25">
      <c r="A3835" s="111"/>
      <c r="B3835" s="134" t="s">
        <v>966</v>
      </c>
      <c r="C3835" s="118" t="s">
        <v>27</v>
      </c>
      <c r="D3835" s="228">
        <f>0.8*2</f>
        <v>1.6</v>
      </c>
      <c r="E3835" s="119">
        <f>48000/6</f>
        <v>8000</v>
      </c>
      <c r="F3835" s="119">
        <f>+D3835*E3835</f>
        <v>12800</v>
      </c>
      <c r="G3835" s="138"/>
      <c r="H3835" s="177"/>
    </row>
    <row r="3836" spans="1:8" s="139" customFormat="1" x14ac:dyDescent="0.25">
      <c r="A3836" s="111"/>
      <c r="B3836" s="134" t="s">
        <v>1320</v>
      </c>
      <c r="C3836" s="118" t="s">
        <v>35</v>
      </c>
      <c r="D3836" s="295">
        <f>2.86*0.8</f>
        <v>2.2879999999999998</v>
      </c>
      <c r="E3836" s="119">
        <f>36000/(2.4*1.2)</f>
        <v>12500</v>
      </c>
      <c r="F3836" s="119">
        <f>+D3836*E3836</f>
        <v>28599.999999999996</v>
      </c>
      <c r="G3836" s="138"/>
      <c r="H3836" s="177"/>
    </row>
    <row r="3837" spans="1:8" s="139" customFormat="1" x14ac:dyDescent="0.25">
      <c r="A3837" s="111"/>
      <c r="B3837" s="134" t="s">
        <v>964</v>
      </c>
      <c r="C3837" s="118" t="s">
        <v>59</v>
      </c>
      <c r="D3837" s="253">
        <v>1</v>
      </c>
      <c r="E3837" s="119">
        <v>120000</v>
      </c>
      <c r="F3837" s="119">
        <f>+D3837*E3837</f>
        <v>120000</v>
      </c>
      <c r="G3837" s="138"/>
      <c r="H3837" s="177"/>
    </row>
    <row r="3838" spans="1:8" s="139" customFormat="1" x14ac:dyDescent="0.25">
      <c r="A3838" s="111"/>
      <c r="B3838" s="134" t="s">
        <v>968</v>
      </c>
      <c r="C3838" s="118" t="s">
        <v>27</v>
      </c>
      <c r="D3838" s="253">
        <v>0.8</v>
      </c>
      <c r="E3838" s="119">
        <f>160000/12</f>
        <v>13333.333333333334</v>
      </c>
      <c r="F3838" s="119">
        <f>+D3838*E3838</f>
        <v>10666.666666666668</v>
      </c>
      <c r="G3838" s="138"/>
      <c r="H3838" s="177"/>
    </row>
    <row r="3839" spans="1:8" s="139" customFormat="1" x14ac:dyDescent="0.35">
      <c r="A3839" s="111"/>
      <c r="B3839" s="120" t="s">
        <v>965</v>
      </c>
      <c r="C3839" s="118"/>
      <c r="D3839" s="118"/>
      <c r="E3839" s="119"/>
      <c r="F3839" s="119">
        <f>0.1*(F3836+F3834+F3835+F3837+F3838)</f>
        <v>22486.666666666668</v>
      </c>
      <c r="G3839" s="138"/>
      <c r="H3839" s="177"/>
    </row>
    <row r="3840" spans="1:8" s="139" customFormat="1" x14ac:dyDescent="0.35">
      <c r="A3840" s="107"/>
      <c r="B3840" s="108" t="s">
        <v>769</v>
      </c>
      <c r="C3840" s="109"/>
      <c r="D3840" s="124"/>
      <c r="E3840" s="117"/>
      <c r="F3840" s="110">
        <f>SUM(F3834:F3839)</f>
        <v>247353.33333333331</v>
      </c>
      <c r="G3840" s="138"/>
      <c r="H3840" s="177"/>
    </row>
    <row r="3841" spans="1:8" s="139" customFormat="1" x14ac:dyDescent="0.3">
      <c r="A3841" s="111"/>
      <c r="B3841" s="136" t="s">
        <v>808</v>
      </c>
      <c r="C3841" s="115"/>
      <c r="D3841" s="124"/>
      <c r="E3841" s="117"/>
      <c r="F3841" s="110"/>
      <c r="G3841" s="138"/>
      <c r="H3841" s="177"/>
    </row>
    <row r="3842" spans="1:8" s="139" customFormat="1" x14ac:dyDescent="0.25">
      <c r="A3842" s="111"/>
      <c r="B3842" s="134" t="s">
        <v>820</v>
      </c>
      <c r="C3842" s="115" t="s">
        <v>772</v>
      </c>
      <c r="D3842" s="124">
        <v>0.25</v>
      </c>
      <c r="E3842" s="117">
        <v>7500</v>
      </c>
      <c r="F3842" s="117">
        <f t="shared" ref="F3842:F3847" si="89">+D3842*E3842</f>
        <v>1875</v>
      </c>
      <c r="G3842" s="138"/>
      <c r="H3842" s="177"/>
    </row>
    <row r="3843" spans="1:8" s="139" customFormat="1" x14ac:dyDescent="0.25">
      <c r="A3843" s="111"/>
      <c r="B3843" s="134" t="s">
        <v>821</v>
      </c>
      <c r="C3843" s="115" t="s">
        <v>772</v>
      </c>
      <c r="D3843" s="124">
        <v>0.15</v>
      </c>
      <c r="E3843" s="117">
        <v>7500</v>
      </c>
      <c r="F3843" s="117">
        <f t="shared" si="89"/>
        <v>1125</v>
      </c>
      <c r="G3843" s="138"/>
      <c r="H3843" s="177"/>
    </row>
    <row r="3844" spans="1:8" s="139" customFormat="1" x14ac:dyDescent="0.25">
      <c r="A3844" s="111"/>
      <c r="B3844" s="134" t="s">
        <v>895</v>
      </c>
      <c r="C3844" s="115" t="s">
        <v>772</v>
      </c>
      <c r="D3844" s="124">
        <v>0.5</v>
      </c>
      <c r="E3844" s="117">
        <v>15000</v>
      </c>
      <c r="F3844" s="117">
        <f t="shared" si="89"/>
        <v>7500</v>
      </c>
      <c r="G3844" s="138"/>
      <c r="H3844" s="177"/>
    </row>
    <row r="3845" spans="1:8" s="139" customFormat="1" x14ac:dyDescent="0.25">
      <c r="A3845" s="111"/>
      <c r="B3845" s="134" t="s">
        <v>896</v>
      </c>
      <c r="C3845" s="115" t="s">
        <v>772</v>
      </c>
      <c r="D3845" s="124">
        <v>0.15</v>
      </c>
      <c r="E3845" s="117">
        <v>15000</v>
      </c>
      <c r="F3845" s="117">
        <f t="shared" si="89"/>
        <v>2250</v>
      </c>
      <c r="G3845" s="138"/>
      <c r="H3845" s="177"/>
    </row>
    <row r="3846" spans="1:8" s="139" customFormat="1" x14ac:dyDescent="0.25">
      <c r="A3846" s="111"/>
      <c r="B3846" s="134" t="s">
        <v>773</v>
      </c>
      <c r="C3846" s="115" t="s">
        <v>772</v>
      </c>
      <c r="D3846" s="124">
        <v>0.5</v>
      </c>
      <c r="E3846" s="117">
        <v>15000</v>
      </c>
      <c r="F3846" s="117">
        <f t="shared" si="89"/>
        <v>7500</v>
      </c>
      <c r="G3846" s="138"/>
      <c r="H3846" s="177"/>
    </row>
    <row r="3847" spans="1:8" s="139" customFormat="1" x14ac:dyDescent="0.25">
      <c r="A3847" s="111"/>
      <c r="B3847" s="134" t="s">
        <v>851</v>
      </c>
      <c r="C3847" s="115" t="s">
        <v>772</v>
      </c>
      <c r="D3847" s="124">
        <v>0.5</v>
      </c>
      <c r="E3847" s="117">
        <v>15000</v>
      </c>
      <c r="F3847" s="117">
        <f t="shared" si="89"/>
        <v>7500</v>
      </c>
      <c r="G3847" s="138"/>
      <c r="H3847" s="177"/>
    </row>
    <row r="3848" spans="1:8" s="139" customFormat="1" x14ac:dyDescent="0.3">
      <c r="A3848" s="111"/>
      <c r="B3848" s="136" t="s">
        <v>774</v>
      </c>
      <c r="C3848" s="115"/>
      <c r="D3848" s="124"/>
      <c r="E3848" s="117"/>
      <c r="F3848" s="110">
        <f>SUM(F3842:F3847)</f>
        <v>27750</v>
      </c>
      <c r="G3848" s="138"/>
      <c r="H3848" s="177"/>
    </row>
    <row r="3849" spans="1:8" s="139" customFormat="1" x14ac:dyDescent="0.3">
      <c r="A3849" s="111"/>
      <c r="B3849" s="136" t="s">
        <v>775</v>
      </c>
      <c r="C3849" s="115"/>
      <c r="D3849" s="109"/>
      <c r="E3849" s="110"/>
      <c r="F3849" s="110">
        <f>+F3848+F3840</f>
        <v>275103.33333333331</v>
      </c>
      <c r="G3849" s="138"/>
      <c r="H3849" s="177"/>
    </row>
    <row r="3850" spans="1:8" s="139" customFormat="1" x14ac:dyDescent="0.25">
      <c r="A3850" s="111"/>
      <c r="B3850" s="134" t="s">
        <v>776</v>
      </c>
      <c r="C3850" s="115"/>
      <c r="D3850" s="124">
        <v>1.25</v>
      </c>
      <c r="E3850" s="110"/>
      <c r="F3850" s="110">
        <f>+F3849*D3850</f>
        <v>343879.16666666663</v>
      </c>
      <c r="G3850" s="138"/>
      <c r="H3850" s="177"/>
    </row>
    <row r="3851" spans="1:8" s="139" customFormat="1" x14ac:dyDescent="0.25">
      <c r="A3851" s="111"/>
      <c r="B3851" s="134" t="s">
        <v>835</v>
      </c>
      <c r="C3851" s="115"/>
      <c r="D3851" s="124">
        <v>1.25</v>
      </c>
      <c r="E3851" s="110"/>
      <c r="F3851" s="110"/>
      <c r="G3851" s="138"/>
      <c r="H3851" s="177"/>
    </row>
    <row r="3852" spans="1:8" s="139" customFormat="1" x14ac:dyDescent="0.35">
      <c r="A3852" s="296" t="s">
        <v>266</v>
      </c>
      <c r="B3852" s="242" t="s">
        <v>785</v>
      </c>
      <c r="C3852" s="208" t="s">
        <v>59</v>
      </c>
      <c r="D3852" s="208"/>
      <c r="E3852" s="209"/>
      <c r="F3852" s="209">
        <f>+D3851*F3850</f>
        <v>429848.95833333326</v>
      </c>
      <c r="G3852" s="138"/>
      <c r="H3852" s="177"/>
    </row>
    <row r="3853" spans="1:8" s="139" customFormat="1" x14ac:dyDescent="0.35">
      <c r="A3853" s="206"/>
      <c r="B3853" s="207"/>
      <c r="C3853" s="208"/>
      <c r="D3853" s="208"/>
      <c r="E3853" s="210">
        <f>+E3827</f>
        <v>3035.45</v>
      </c>
      <c r="F3853" s="210">
        <f>+F3852/E3853</f>
        <v>141.60963228955617</v>
      </c>
      <c r="G3853" s="138"/>
      <c r="H3853" s="177"/>
    </row>
    <row r="3854" spans="1:8" s="139" customFormat="1" x14ac:dyDescent="0.35">
      <c r="A3854" s="286"/>
      <c r="B3854" s="287"/>
      <c r="C3854" s="288"/>
      <c r="D3854" s="289"/>
      <c r="E3854" s="138"/>
      <c r="F3854" s="138"/>
      <c r="G3854" s="138"/>
      <c r="H3854" s="177"/>
    </row>
    <row r="3855" spans="1:8" s="139" customFormat="1" x14ac:dyDescent="0.35">
      <c r="A3855" s="286"/>
      <c r="B3855" s="287"/>
      <c r="C3855" s="288"/>
      <c r="D3855" s="289"/>
      <c r="E3855" s="138"/>
      <c r="F3855" s="138"/>
      <c r="G3855" s="138"/>
      <c r="H3855" s="177"/>
    </row>
    <row r="3856" spans="1:8" s="139" customFormat="1" x14ac:dyDescent="0.3">
      <c r="A3856" s="257" t="s">
        <v>227</v>
      </c>
      <c r="B3856" s="290" t="s">
        <v>228</v>
      </c>
      <c r="C3856" s="291"/>
      <c r="D3856" s="202" t="s">
        <v>765</v>
      </c>
      <c r="E3856" s="203" t="s">
        <v>766</v>
      </c>
      <c r="F3856" s="203" t="s">
        <v>767</v>
      </c>
      <c r="G3856" s="138"/>
      <c r="H3856" s="177"/>
    </row>
    <row r="3857" spans="1:8" s="139" customFormat="1" x14ac:dyDescent="0.3">
      <c r="A3857" s="237" t="s">
        <v>265</v>
      </c>
      <c r="B3857" s="292" t="s">
        <v>639</v>
      </c>
      <c r="C3857" s="256"/>
      <c r="D3857" s="141"/>
      <c r="E3857" s="110"/>
      <c r="F3857" s="110"/>
      <c r="G3857" s="138"/>
      <c r="H3857" s="177"/>
    </row>
    <row r="3858" spans="1:8" s="139" customFormat="1" x14ac:dyDescent="0.3">
      <c r="A3858" s="293" t="s">
        <v>268</v>
      </c>
      <c r="B3858" s="294" t="s">
        <v>269</v>
      </c>
      <c r="C3858" s="256" t="s">
        <v>59</v>
      </c>
      <c r="D3858" s="141"/>
      <c r="E3858" s="110"/>
      <c r="F3858" s="110"/>
      <c r="G3858" s="138"/>
      <c r="H3858" s="177"/>
    </row>
    <row r="3859" spans="1:8" s="139" customFormat="1" x14ac:dyDescent="0.35">
      <c r="A3859" s="111"/>
      <c r="B3859" s="112" t="s">
        <v>802</v>
      </c>
      <c r="C3859" s="118"/>
      <c r="D3859" s="118"/>
      <c r="E3859" s="119"/>
      <c r="F3859" s="119"/>
      <c r="G3859" s="138"/>
      <c r="H3859" s="177"/>
    </row>
    <row r="3860" spans="1:8" s="139" customFormat="1" x14ac:dyDescent="0.25">
      <c r="A3860" s="111"/>
      <c r="B3860" s="134" t="s">
        <v>942</v>
      </c>
      <c r="C3860" s="118" t="s">
        <v>27</v>
      </c>
      <c r="D3860" s="228">
        <f>2.1*2+0.8</f>
        <v>5</v>
      </c>
      <c r="E3860" s="119">
        <f>48000/6</f>
        <v>8000</v>
      </c>
      <c r="F3860" s="119">
        <f>+D3860*E3860</f>
        <v>40000</v>
      </c>
      <c r="G3860" s="138"/>
      <c r="H3860" s="177"/>
    </row>
    <row r="3861" spans="1:8" s="139" customFormat="1" x14ac:dyDescent="0.25">
      <c r="A3861" s="111"/>
      <c r="B3861" s="134" t="s">
        <v>966</v>
      </c>
      <c r="C3861" s="118" t="s">
        <v>27</v>
      </c>
      <c r="D3861" s="228">
        <v>0.8</v>
      </c>
      <c r="E3861" s="119">
        <f>48000/6</f>
        <v>8000</v>
      </c>
      <c r="F3861" s="119">
        <f>+D3861*E3861</f>
        <v>6400</v>
      </c>
      <c r="G3861" s="138"/>
      <c r="H3861" s="177"/>
    </row>
    <row r="3862" spans="1:8" s="139" customFormat="1" x14ac:dyDescent="0.25">
      <c r="A3862" s="111"/>
      <c r="B3862" s="134" t="s">
        <v>1320</v>
      </c>
      <c r="C3862" s="118" t="s">
        <v>35</v>
      </c>
      <c r="D3862" s="295">
        <f>2.1*0.8</f>
        <v>1.6800000000000002</v>
      </c>
      <c r="E3862" s="119">
        <f>36000/(2.4*1.2)</f>
        <v>12500</v>
      </c>
      <c r="F3862" s="119">
        <f>+D3862*E3862</f>
        <v>21000.000000000004</v>
      </c>
      <c r="G3862" s="138"/>
      <c r="H3862" s="177"/>
    </row>
    <row r="3863" spans="1:8" s="139" customFormat="1" x14ac:dyDescent="0.25">
      <c r="A3863" s="111"/>
      <c r="B3863" s="134" t="s">
        <v>964</v>
      </c>
      <c r="C3863" s="118" t="s">
        <v>59</v>
      </c>
      <c r="D3863" s="253">
        <v>1</v>
      </c>
      <c r="E3863" s="119">
        <v>120000</v>
      </c>
      <c r="F3863" s="119">
        <f>+D3863*E3863</f>
        <v>120000</v>
      </c>
      <c r="G3863" s="138"/>
      <c r="H3863" s="177"/>
    </row>
    <row r="3864" spans="1:8" s="139" customFormat="1" x14ac:dyDescent="0.25">
      <c r="A3864" s="111"/>
      <c r="B3864" s="134" t="s">
        <v>968</v>
      </c>
      <c r="C3864" s="118" t="s">
        <v>27</v>
      </c>
      <c r="D3864" s="253">
        <v>0.8</v>
      </c>
      <c r="E3864" s="119">
        <f>160000/12</f>
        <v>13333.333333333334</v>
      </c>
      <c r="F3864" s="119">
        <f>+D3864*E3864</f>
        <v>10666.666666666668</v>
      </c>
      <c r="G3864" s="138"/>
      <c r="H3864" s="177"/>
    </row>
    <row r="3865" spans="1:8" s="139" customFormat="1" x14ac:dyDescent="0.35">
      <c r="A3865" s="111"/>
      <c r="B3865" s="120" t="s">
        <v>965</v>
      </c>
      <c r="C3865" s="118"/>
      <c r="D3865" s="118"/>
      <c r="E3865" s="119"/>
      <c r="F3865" s="119">
        <f>0.1*(F3862+F3860+F3861+F3863+F3864)</f>
        <v>19806.666666666668</v>
      </c>
      <c r="G3865" s="138"/>
      <c r="H3865" s="177"/>
    </row>
    <row r="3866" spans="1:8" s="139" customFormat="1" x14ac:dyDescent="0.35">
      <c r="A3866" s="107"/>
      <c r="B3866" s="108" t="s">
        <v>769</v>
      </c>
      <c r="C3866" s="109"/>
      <c r="D3866" s="124"/>
      <c r="E3866" s="117"/>
      <c r="F3866" s="110">
        <f>SUM(F3860:F3865)</f>
        <v>217873.33333333331</v>
      </c>
      <c r="G3866" s="138"/>
      <c r="H3866" s="177"/>
    </row>
    <row r="3867" spans="1:8" s="139" customFormat="1" x14ac:dyDescent="0.3">
      <c r="A3867" s="111"/>
      <c r="B3867" s="136" t="s">
        <v>808</v>
      </c>
      <c r="C3867" s="115"/>
      <c r="D3867" s="124"/>
      <c r="E3867" s="117"/>
      <c r="F3867" s="110"/>
      <c r="G3867" s="138"/>
      <c r="H3867" s="177"/>
    </row>
    <row r="3868" spans="1:8" s="139" customFormat="1" x14ac:dyDescent="0.25">
      <c r="A3868" s="111"/>
      <c r="B3868" s="134" t="s">
        <v>820</v>
      </c>
      <c r="C3868" s="115" t="s">
        <v>772</v>
      </c>
      <c r="D3868" s="124">
        <v>0.25</v>
      </c>
      <c r="E3868" s="117">
        <v>7500</v>
      </c>
      <c r="F3868" s="117">
        <f t="shared" ref="F3868:F3873" si="90">+D3868*E3868</f>
        <v>1875</v>
      </c>
      <c r="G3868" s="138"/>
      <c r="H3868" s="177"/>
    </row>
    <row r="3869" spans="1:8" s="139" customFormat="1" x14ac:dyDescent="0.25">
      <c r="A3869" s="111"/>
      <c r="B3869" s="134" t="s">
        <v>821</v>
      </c>
      <c r="C3869" s="115" t="s">
        <v>772</v>
      </c>
      <c r="D3869" s="124">
        <v>0.15</v>
      </c>
      <c r="E3869" s="117">
        <v>7500</v>
      </c>
      <c r="F3869" s="117">
        <f t="shared" si="90"/>
        <v>1125</v>
      </c>
      <c r="G3869" s="138"/>
      <c r="H3869" s="177"/>
    </row>
    <row r="3870" spans="1:8" s="139" customFormat="1" x14ac:dyDescent="0.25">
      <c r="A3870" s="111"/>
      <c r="B3870" s="134" t="s">
        <v>895</v>
      </c>
      <c r="C3870" s="115" t="s">
        <v>772</v>
      </c>
      <c r="D3870" s="124">
        <v>0.5</v>
      </c>
      <c r="E3870" s="117">
        <v>15000</v>
      </c>
      <c r="F3870" s="117">
        <f t="shared" si="90"/>
        <v>7500</v>
      </c>
      <c r="G3870" s="138"/>
      <c r="H3870" s="177"/>
    </row>
    <row r="3871" spans="1:8" s="139" customFormat="1" x14ac:dyDescent="0.25">
      <c r="A3871" s="111"/>
      <c r="B3871" s="134" t="s">
        <v>896</v>
      </c>
      <c r="C3871" s="115" t="s">
        <v>772</v>
      </c>
      <c r="D3871" s="124">
        <v>0.15</v>
      </c>
      <c r="E3871" s="117">
        <v>15000</v>
      </c>
      <c r="F3871" s="117">
        <f t="shared" si="90"/>
        <v>2250</v>
      </c>
      <c r="G3871" s="138"/>
      <c r="H3871" s="177"/>
    </row>
    <row r="3872" spans="1:8" s="139" customFormat="1" x14ac:dyDescent="0.25">
      <c r="A3872" s="111"/>
      <c r="B3872" s="134" t="s">
        <v>773</v>
      </c>
      <c r="C3872" s="115" t="s">
        <v>772</v>
      </c>
      <c r="D3872" s="124">
        <v>0.5</v>
      </c>
      <c r="E3872" s="117">
        <v>15000</v>
      </c>
      <c r="F3872" s="117">
        <f t="shared" si="90"/>
        <v>7500</v>
      </c>
      <c r="G3872" s="138"/>
      <c r="H3872" s="177"/>
    </row>
    <row r="3873" spans="1:8" s="139" customFormat="1" x14ac:dyDescent="0.25">
      <c r="A3873" s="111"/>
      <c r="B3873" s="134" t="s">
        <v>851</v>
      </c>
      <c r="C3873" s="115" t="s">
        <v>772</v>
      </c>
      <c r="D3873" s="124">
        <v>0.5</v>
      </c>
      <c r="E3873" s="117">
        <v>15000</v>
      </c>
      <c r="F3873" s="117">
        <f t="shared" si="90"/>
        <v>7500</v>
      </c>
      <c r="G3873" s="138"/>
      <c r="H3873" s="177"/>
    </row>
    <row r="3874" spans="1:8" s="139" customFormat="1" x14ac:dyDescent="0.3">
      <c r="A3874" s="111"/>
      <c r="B3874" s="136" t="s">
        <v>774</v>
      </c>
      <c r="C3874" s="115"/>
      <c r="D3874" s="124"/>
      <c r="E3874" s="117"/>
      <c r="F3874" s="110">
        <f>SUM(F3868:F3873)</f>
        <v>27750</v>
      </c>
      <c r="G3874" s="138"/>
      <c r="H3874" s="177"/>
    </row>
    <row r="3875" spans="1:8" s="139" customFormat="1" x14ac:dyDescent="0.3">
      <c r="A3875" s="111"/>
      <c r="B3875" s="136" t="s">
        <v>775</v>
      </c>
      <c r="C3875" s="115"/>
      <c r="D3875" s="109"/>
      <c r="E3875" s="110"/>
      <c r="F3875" s="110">
        <f>+F3874+F3866</f>
        <v>245623.33333333331</v>
      </c>
      <c r="G3875" s="138"/>
      <c r="H3875" s="177"/>
    </row>
    <row r="3876" spans="1:8" s="139" customFormat="1" x14ac:dyDescent="0.25">
      <c r="A3876" s="111"/>
      <c r="B3876" s="134" t="s">
        <v>776</v>
      </c>
      <c r="C3876" s="115"/>
      <c r="D3876" s="124">
        <v>1.25</v>
      </c>
      <c r="E3876" s="110"/>
      <c r="F3876" s="110">
        <f>+F3875*D3876</f>
        <v>307029.16666666663</v>
      </c>
      <c r="G3876" s="138"/>
      <c r="H3876" s="177"/>
    </row>
    <row r="3877" spans="1:8" s="139" customFormat="1" x14ac:dyDescent="0.25">
      <c r="A3877" s="111"/>
      <c r="B3877" s="134" t="s">
        <v>835</v>
      </c>
      <c r="C3877" s="115"/>
      <c r="D3877" s="124">
        <v>1.25</v>
      </c>
      <c r="E3877" s="110"/>
      <c r="F3877" s="110"/>
      <c r="G3877" s="138"/>
      <c r="H3877" s="177"/>
    </row>
    <row r="3878" spans="1:8" s="139" customFormat="1" x14ac:dyDescent="0.35">
      <c r="A3878" s="296" t="s">
        <v>268</v>
      </c>
      <c r="B3878" s="242" t="s">
        <v>785</v>
      </c>
      <c r="C3878" s="208" t="s">
        <v>59</v>
      </c>
      <c r="D3878" s="208"/>
      <c r="E3878" s="209"/>
      <c r="F3878" s="209">
        <f>+D3877*F3876</f>
        <v>383786.45833333326</v>
      </c>
      <c r="G3878" s="138"/>
      <c r="H3878" s="177"/>
    </row>
    <row r="3879" spans="1:8" s="139" customFormat="1" x14ac:dyDescent="0.35">
      <c r="A3879" s="206"/>
      <c r="B3879" s="207"/>
      <c r="C3879" s="208"/>
      <c r="D3879" s="208"/>
      <c r="E3879" s="210">
        <f>+E3853</f>
        <v>3035.45</v>
      </c>
      <c r="F3879" s="210">
        <f>+F3878/E3879</f>
        <v>126.43478177315828</v>
      </c>
      <c r="G3879" s="138"/>
      <c r="H3879" s="177"/>
    </row>
    <row r="3880" spans="1:8" s="139" customFormat="1" x14ac:dyDescent="0.35">
      <c r="A3880" s="286"/>
      <c r="B3880" s="287"/>
      <c r="C3880" s="288"/>
      <c r="D3880" s="289"/>
      <c r="E3880" s="138"/>
      <c r="F3880" s="138"/>
      <c r="G3880" s="138"/>
      <c r="H3880" s="177"/>
    </row>
    <row r="3881" spans="1:8" s="139" customFormat="1" x14ac:dyDescent="0.35">
      <c r="A3881" s="286"/>
      <c r="B3881" s="287"/>
      <c r="C3881" s="288"/>
      <c r="D3881" s="289"/>
      <c r="E3881" s="138"/>
      <c r="F3881" s="138"/>
      <c r="G3881" s="138"/>
      <c r="H3881" s="177"/>
    </row>
    <row r="3882" spans="1:8" s="139" customFormat="1" x14ac:dyDescent="0.3">
      <c r="A3882" s="257" t="s">
        <v>227</v>
      </c>
      <c r="B3882" s="290" t="s">
        <v>228</v>
      </c>
      <c r="C3882" s="291"/>
      <c r="D3882" s="202" t="s">
        <v>765</v>
      </c>
      <c r="E3882" s="203" t="s">
        <v>766</v>
      </c>
      <c r="F3882" s="203" t="s">
        <v>767</v>
      </c>
      <c r="G3882" s="138"/>
      <c r="H3882" s="177"/>
    </row>
    <row r="3883" spans="1:8" s="139" customFormat="1" x14ac:dyDescent="0.3">
      <c r="A3883" s="237" t="s">
        <v>265</v>
      </c>
      <c r="B3883" s="292" t="s">
        <v>639</v>
      </c>
      <c r="C3883" s="256"/>
      <c r="D3883" s="141"/>
      <c r="E3883" s="110"/>
      <c r="F3883" s="110"/>
      <c r="G3883" s="138"/>
      <c r="H3883" s="177"/>
    </row>
    <row r="3884" spans="1:8" s="139" customFormat="1" x14ac:dyDescent="0.3">
      <c r="A3884" s="293" t="s">
        <v>270</v>
      </c>
      <c r="B3884" s="294" t="s">
        <v>271</v>
      </c>
      <c r="C3884" s="256" t="s">
        <v>59</v>
      </c>
      <c r="D3884" s="141"/>
      <c r="E3884" s="110"/>
      <c r="F3884" s="110"/>
      <c r="G3884" s="138"/>
      <c r="H3884" s="177"/>
    </row>
    <row r="3885" spans="1:8" s="139" customFormat="1" x14ac:dyDescent="0.35">
      <c r="A3885" s="111"/>
      <c r="B3885" s="112" t="s">
        <v>802</v>
      </c>
      <c r="C3885" s="118"/>
      <c r="D3885" s="118"/>
      <c r="E3885" s="119"/>
      <c r="F3885" s="119"/>
      <c r="G3885" s="138"/>
      <c r="H3885" s="177"/>
    </row>
    <row r="3886" spans="1:8" s="139" customFormat="1" x14ac:dyDescent="0.25">
      <c r="A3886" s="111"/>
      <c r="B3886" s="134" t="s">
        <v>942</v>
      </c>
      <c r="C3886" s="118" t="s">
        <v>27</v>
      </c>
      <c r="D3886" s="228">
        <f>2.53*2+0.8</f>
        <v>5.8599999999999994</v>
      </c>
      <c r="E3886" s="119">
        <f>48000/6</f>
        <v>8000</v>
      </c>
      <c r="F3886" s="119">
        <f>+D3886*E3886</f>
        <v>46879.999999999993</v>
      </c>
      <c r="G3886" s="138"/>
      <c r="H3886" s="177"/>
    </row>
    <row r="3887" spans="1:8" s="139" customFormat="1" x14ac:dyDescent="0.25">
      <c r="A3887" s="111"/>
      <c r="B3887" s="134" t="s">
        <v>966</v>
      </c>
      <c r="C3887" s="118" t="s">
        <v>27</v>
      </c>
      <c r="D3887" s="228">
        <f>0.8*2</f>
        <v>1.6</v>
      </c>
      <c r="E3887" s="119">
        <f>48000/6</f>
        <v>8000</v>
      </c>
      <c r="F3887" s="119">
        <f>+D3887*E3887</f>
        <v>12800</v>
      </c>
      <c r="G3887" s="138"/>
      <c r="H3887" s="177"/>
    </row>
    <row r="3888" spans="1:8" s="139" customFormat="1" x14ac:dyDescent="0.25">
      <c r="A3888" s="111"/>
      <c r="B3888" s="134" t="s">
        <v>1320</v>
      </c>
      <c r="C3888" s="118" t="s">
        <v>35</v>
      </c>
      <c r="D3888" s="295">
        <f>2.53*0.8</f>
        <v>2.024</v>
      </c>
      <c r="E3888" s="119">
        <f>36000/(2.4*1.2)</f>
        <v>12500</v>
      </c>
      <c r="F3888" s="119">
        <f>+D3888*E3888</f>
        <v>25300</v>
      </c>
      <c r="G3888" s="138"/>
      <c r="H3888" s="177"/>
    </row>
    <row r="3889" spans="1:8" s="139" customFormat="1" x14ac:dyDescent="0.25">
      <c r="A3889" s="111"/>
      <c r="B3889" s="134" t="s">
        <v>964</v>
      </c>
      <c r="C3889" s="118" t="s">
        <v>59</v>
      </c>
      <c r="D3889" s="253">
        <v>1</v>
      </c>
      <c r="E3889" s="119">
        <v>120000</v>
      </c>
      <c r="F3889" s="119">
        <f>+D3889*E3889</f>
        <v>120000</v>
      </c>
      <c r="G3889" s="138"/>
      <c r="H3889" s="177"/>
    </row>
    <row r="3890" spans="1:8" s="139" customFormat="1" x14ac:dyDescent="0.25">
      <c r="A3890" s="111"/>
      <c r="B3890" s="134" t="s">
        <v>968</v>
      </c>
      <c r="C3890" s="118" t="s">
        <v>27</v>
      </c>
      <c r="D3890" s="253">
        <v>0.8</v>
      </c>
      <c r="E3890" s="119">
        <f>160000/12</f>
        <v>13333.333333333334</v>
      </c>
      <c r="F3890" s="119">
        <f>+D3890*E3890</f>
        <v>10666.666666666668</v>
      </c>
      <c r="G3890" s="138"/>
      <c r="H3890" s="177"/>
    </row>
    <row r="3891" spans="1:8" s="139" customFormat="1" x14ac:dyDescent="0.35">
      <c r="A3891" s="111"/>
      <c r="B3891" s="120" t="s">
        <v>965</v>
      </c>
      <c r="C3891" s="118"/>
      <c r="D3891" s="118"/>
      <c r="E3891" s="119"/>
      <c r="F3891" s="119">
        <f>0.1*(F3888+F3886+F3887+F3889+F3890)</f>
        <v>21564.666666666668</v>
      </c>
      <c r="G3891" s="138"/>
      <c r="H3891" s="177"/>
    </row>
    <row r="3892" spans="1:8" s="139" customFormat="1" x14ac:dyDescent="0.35">
      <c r="A3892" s="107"/>
      <c r="B3892" s="108" t="s">
        <v>769</v>
      </c>
      <c r="C3892" s="109"/>
      <c r="D3892" s="124"/>
      <c r="E3892" s="117"/>
      <c r="F3892" s="110">
        <f>SUM(F3886:F3891)</f>
        <v>237211.33333333331</v>
      </c>
      <c r="G3892" s="138"/>
      <c r="H3892" s="177"/>
    </row>
    <row r="3893" spans="1:8" s="139" customFormat="1" x14ac:dyDescent="0.3">
      <c r="A3893" s="111"/>
      <c r="B3893" s="136" t="s">
        <v>808</v>
      </c>
      <c r="C3893" s="115"/>
      <c r="D3893" s="124"/>
      <c r="E3893" s="117"/>
      <c r="F3893" s="110"/>
      <c r="G3893" s="138"/>
      <c r="H3893" s="177"/>
    </row>
    <row r="3894" spans="1:8" s="139" customFormat="1" x14ac:dyDescent="0.25">
      <c r="A3894" s="111"/>
      <c r="B3894" s="134" t="s">
        <v>820</v>
      </c>
      <c r="C3894" s="115" t="s">
        <v>772</v>
      </c>
      <c r="D3894" s="124">
        <v>0.25</v>
      </c>
      <c r="E3894" s="117">
        <v>7500</v>
      </c>
      <c r="F3894" s="117">
        <f t="shared" ref="F3894:F3899" si="91">+D3894*E3894</f>
        <v>1875</v>
      </c>
      <c r="G3894" s="138"/>
      <c r="H3894" s="177"/>
    </row>
    <row r="3895" spans="1:8" s="139" customFormat="1" x14ac:dyDescent="0.25">
      <c r="A3895" s="111"/>
      <c r="B3895" s="134" t="s">
        <v>821</v>
      </c>
      <c r="C3895" s="115" t="s">
        <v>772</v>
      </c>
      <c r="D3895" s="124">
        <v>0.15</v>
      </c>
      <c r="E3895" s="117">
        <v>7500</v>
      </c>
      <c r="F3895" s="117">
        <f t="shared" si="91"/>
        <v>1125</v>
      </c>
      <c r="G3895" s="138"/>
      <c r="H3895" s="177"/>
    </row>
    <row r="3896" spans="1:8" s="139" customFormat="1" x14ac:dyDescent="0.25">
      <c r="A3896" s="111"/>
      <c r="B3896" s="134" t="s">
        <v>895</v>
      </c>
      <c r="C3896" s="115" t="s">
        <v>772</v>
      </c>
      <c r="D3896" s="124">
        <v>0.5</v>
      </c>
      <c r="E3896" s="117">
        <v>15000</v>
      </c>
      <c r="F3896" s="117">
        <f t="shared" si="91"/>
        <v>7500</v>
      </c>
      <c r="G3896" s="138"/>
      <c r="H3896" s="177"/>
    </row>
    <row r="3897" spans="1:8" s="139" customFormat="1" x14ac:dyDescent="0.25">
      <c r="A3897" s="111"/>
      <c r="B3897" s="134" t="s">
        <v>896</v>
      </c>
      <c r="C3897" s="115" t="s">
        <v>772</v>
      </c>
      <c r="D3897" s="124">
        <v>0.15</v>
      </c>
      <c r="E3897" s="117">
        <v>15000</v>
      </c>
      <c r="F3897" s="117">
        <f t="shared" si="91"/>
        <v>2250</v>
      </c>
      <c r="G3897" s="138"/>
      <c r="H3897" s="177"/>
    </row>
    <row r="3898" spans="1:8" s="139" customFormat="1" x14ac:dyDescent="0.25">
      <c r="A3898" s="111"/>
      <c r="B3898" s="134" t="s">
        <v>773</v>
      </c>
      <c r="C3898" s="115" t="s">
        <v>772</v>
      </c>
      <c r="D3898" s="124">
        <v>0.5</v>
      </c>
      <c r="E3898" s="117">
        <v>15000</v>
      </c>
      <c r="F3898" s="117">
        <f t="shared" si="91"/>
        <v>7500</v>
      </c>
      <c r="G3898" s="138"/>
      <c r="H3898" s="177"/>
    </row>
    <row r="3899" spans="1:8" s="139" customFormat="1" x14ac:dyDescent="0.25">
      <c r="A3899" s="111"/>
      <c r="B3899" s="134" t="s">
        <v>851</v>
      </c>
      <c r="C3899" s="115" t="s">
        <v>772</v>
      </c>
      <c r="D3899" s="124">
        <v>0.5</v>
      </c>
      <c r="E3899" s="117">
        <v>15000</v>
      </c>
      <c r="F3899" s="117">
        <f t="shared" si="91"/>
        <v>7500</v>
      </c>
      <c r="G3899" s="138"/>
      <c r="H3899" s="177"/>
    </row>
    <row r="3900" spans="1:8" s="139" customFormat="1" x14ac:dyDescent="0.3">
      <c r="A3900" s="111"/>
      <c r="B3900" s="136" t="s">
        <v>774</v>
      </c>
      <c r="C3900" s="115"/>
      <c r="D3900" s="124"/>
      <c r="E3900" s="117"/>
      <c r="F3900" s="110">
        <f>SUM(F3894:F3899)</f>
        <v>27750</v>
      </c>
      <c r="G3900" s="138"/>
      <c r="H3900" s="177"/>
    </row>
    <row r="3901" spans="1:8" s="139" customFormat="1" x14ac:dyDescent="0.3">
      <c r="A3901" s="111"/>
      <c r="B3901" s="136" t="s">
        <v>775</v>
      </c>
      <c r="C3901" s="115"/>
      <c r="D3901" s="109"/>
      <c r="E3901" s="110"/>
      <c r="F3901" s="110">
        <f>+F3900+F3892</f>
        <v>264961.33333333331</v>
      </c>
      <c r="G3901" s="138"/>
      <c r="H3901" s="177"/>
    </row>
    <row r="3902" spans="1:8" s="139" customFormat="1" x14ac:dyDescent="0.25">
      <c r="A3902" s="111"/>
      <c r="B3902" s="134" t="s">
        <v>776</v>
      </c>
      <c r="C3902" s="115"/>
      <c r="D3902" s="124">
        <v>1.25</v>
      </c>
      <c r="E3902" s="110"/>
      <c r="F3902" s="110">
        <f>+F3901*D3902</f>
        <v>331201.66666666663</v>
      </c>
      <c r="G3902" s="138"/>
      <c r="H3902" s="177"/>
    </row>
    <row r="3903" spans="1:8" s="139" customFormat="1" x14ac:dyDescent="0.25">
      <c r="A3903" s="111"/>
      <c r="B3903" s="134" t="s">
        <v>835</v>
      </c>
      <c r="C3903" s="115"/>
      <c r="D3903" s="124">
        <v>1.25</v>
      </c>
      <c r="E3903" s="110"/>
      <c r="F3903" s="110"/>
      <c r="G3903" s="138"/>
      <c r="H3903" s="177"/>
    </row>
    <row r="3904" spans="1:8" s="139" customFormat="1" x14ac:dyDescent="0.35">
      <c r="A3904" s="296" t="s">
        <v>270</v>
      </c>
      <c r="B3904" s="242" t="s">
        <v>785</v>
      </c>
      <c r="C3904" s="208" t="s">
        <v>59</v>
      </c>
      <c r="D3904" s="208"/>
      <c r="E3904" s="209"/>
      <c r="F3904" s="209">
        <f>+D3903*F3902</f>
        <v>414002.08333333326</v>
      </c>
      <c r="G3904" s="138"/>
      <c r="H3904" s="177"/>
    </row>
    <row r="3905" spans="1:8" s="139" customFormat="1" x14ac:dyDescent="0.35">
      <c r="A3905" s="206"/>
      <c r="B3905" s="207"/>
      <c r="C3905" s="208"/>
      <c r="D3905" s="208"/>
      <c r="E3905" s="210">
        <f>+E3879</f>
        <v>3035.45</v>
      </c>
      <c r="F3905" s="210">
        <f>+F3904/E3905</f>
        <v>136.38903073130285</v>
      </c>
      <c r="G3905" s="138"/>
      <c r="H3905" s="177"/>
    </row>
    <row r="3906" spans="1:8" s="139" customFormat="1" x14ac:dyDescent="0.35">
      <c r="A3906" s="286"/>
      <c r="B3906" s="287"/>
      <c r="C3906" s="288"/>
      <c r="D3906" s="289"/>
      <c r="E3906" s="138"/>
      <c r="F3906" s="138"/>
      <c r="G3906" s="138"/>
      <c r="H3906" s="177"/>
    </row>
    <row r="3907" spans="1:8" s="139" customFormat="1" x14ac:dyDescent="0.35">
      <c r="A3907" s="286"/>
      <c r="B3907" s="287"/>
      <c r="C3907" s="288"/>
      <c r="D3907" s="289"/>
      <c r="E3907" s="138"/>
      <c r="F3907" s="138"/>
      <c r="G3907" s="138"/>
      <c r="H3907" s="177"/>
    </row>
    <row r="3908" spans="1:8" s="139" customFormat="1" x14ac:dyDescent="0.3">
      <c r="A3908" s="257" t="s">
        <v>227</v>
      </c>
      <c r="B3908" s="290" t="s">
        <v>228</v>
      </c>
      <c r="C3908" s="291"/>
      <c r="D3908" s="202" t="s">
        <v>765</v>
      </c>
      <c r="E3908" s="203" t="s">
        <v>766</v>
      </c>
      <c r="F3908" s="203" t="s">
        <v>767</v>
      </c>
      <c r="G3908" s="138"/>
      <c r="H3908" s="177"/>
    </row>
    <row r="3909" spans="1:8" s="139" customFormat="1" x14ac:dyDescent="0.3">
      <c r="A3909" s="237" t="s">
        <v>265</v>
      </c>
      <c r="B3909" s="292" t="s">
        <v>639</v>
      </c>
      <c r="C3909" s="256"/>
      <c r="D3909" s="141"/>
      <c r="E3909" s="110"/>
      <c r="F3909" s="110"/>
      <c r="G3909" s="138"/>
      <c r="H3909" s="177"/>
    </row>
    <row r="3910" spans="1:8" s="139" customFormat="1" x14ac:dyDescent="0.3">
      <c r="A3910" s="293" t="s">
        <v>272</v>
      </c>
      <c r="B3910" s="294" t="s">
        <v>273</v>
      </c>
      <c r="C3910" s="256" t="s">
        <v>59</v>
      </c>
      <c r="D3910" s="141"/>
      <c r="E3910" s="110"/>
      <c r="F3910" s="110"/>
      <c r="G3910" s="138"/>
      <c r="H3910" s="177"/>
    </row>
    <row r="3911" spans="1:8" s="139" customFormat="1" x14ac:dyDescent="0.35">
      <c r="A3911" s="111"/>
      <c r="B3911" s="112" t="s">
        <v>802</v>
      </c>
      <c r="C3911" s="118"/>
      <c r="D3911" s="118"/>
      <c r="E3911" s="119"/>
      <c r="F3911" s="119"/>
      <c r="G3911" s="138"/>
      <c r="H3911" s="177"/>
    </row>
    <row r="3912" spans="1:8" s="139" customFormat="1" x14ac:dyDescent="0.25">
      <c r="A3912" s="111"/>
      <c r="B3912" s="134" t="s">
        <v>942</v>
      </c>
      <c r="C3912" s="118" t="s">
        <v>27</v>
      </c>
      <c r="D3912" s="228">
        <f>2.53*2+0.93</f>
        <v>5.9899999999999993</v>
      </c>
      <c r="E3912" s="119">
        <f>48000/6</f>
        <v>8000</v>
      </c>
      <c r="F3912" s="119">
        <f>+D3912*E3912</f>
        <v>47919.999999999993</v>
      </c>
      <c r="G3912" s="138"/>
      <c r="H3912" s="177"/>
    </row>
    <row r="3913" spans="1:8" s="139" customFormat="1" x14ac:dyDescent="0.25">
      <c r="A3913" s="111"/>
      <c r="B3913" s="134" t="s">
        <v>966</v>
      </c>
      <c r="C3913" s="118" t="s">
        <v>27</v>
      </c>
      <c r="D3913" s="228">
        <f>0.93*2</f>
        <v>1.86</v>
      </c>
      <c r="E3913" s="119">
        <f>48000/6</f>
        <v>8000</v>
      </c>
      <c r="F3913" s="119">
        <f>+D3913*E3913</f>
        <v>14880</v>
      </c>
      <c r="G3913" s="138"/>
      <c r="H3913" s="177"/>
    </row>
    <row r="3914" spans="1:8" s="139" customFormat="1" x14ac:dyDescent="0.25">
      <c r="A3914" s="111"/>
      <c r="B3914" s="134" t="s">
        <v>1320</v>
      </c>
      <c r="C3914" s="118" t="s">
        <v>35</v>
      </c>
      <c r="D3914" s="295">
        <f>2.53*0.8</f>
        <v>2.024</v>
      </c>
      <c r="E3914" s="119">
        <f>36000/(2.4*1.2)</f>
        <v>12500</v>
      </c>
      <c r="F3914" s="119">
        <f>+D3914*E3914</f>
        <v>25300</v>
      </c>
      <c r="G3914" s="138"/>
      <c r="H3914" s="177"/>
    </row>
    <row r="3915" spans="1:8" x14ac:dyDescent="0.25">
      <c r="A3915" s="111"/>
      <c r="B3915" s="134" t="s">
        <v>964</v>
      </c>
      <c r="C3915" s="118" t="s">
        <v>59</v>
      </c>
      <c r="D3915" s="253">
        <v>1</v>
      </c>
      <c r="E3915" s="119">
        <v>120000</v>
      </c>
      <c r="F3915" s="119">
        <f>+D3915*E3915</f>
        <v>120000</v>
      </c>
    </row>
    <row r="3916" spans="1:8" x14ac:dyDescent="0.25">
      <c r="A3916" s="111"/>
      <c r="B3916" s="134" t="s">
        <v>968</v>
      </c>
      <c r="C3916" s="118" t="s">
        <v>27</v>
      </c>
      <c r="D3916" s="253">
        <v>0.93</v>
      </c>
      <c r="E3916" s="119">
        <f>160000/12</f>
        <v>13333.333333333334</v>
      </c>
      <c r="F3916" s="119">
        <f>+D3916*E3916</f>
        <v>12400.000000000002</v>
      </c>
    </row>
    <row r="3917" spans="1:8" x14ac:dyDescent="0.35">
      <c r="A3917" s="111"/>
      <c r="B3917" s="120" t="s">
        <v>965</v>
      </c>
      <c r="C3917" s="118"/>
      <c r="D3917" s="118"/>
      <c r="E3917" s="119"/>
      <c r="F3917" s="119">
        <f>0.1*(F3914+F3912+F3913+F3915+F3916)</f>
        <v>22050</v>
      </c>
    </row>
    <row r="3918" spans="1:8" x14ac:dyDescent="0.35">
      <c r="A3918" s="107"/>
      <c r="B3918" s="108" t="s">
        <v>769</v>
      </c>
      <c r="C3918" s="109"/>
      <c r="D3918" s="124"/>
      <c r="E3918" s="117"/>
      <c r="F3918" s="110">
        <f>SUM(F3912:F3917)</f>
        <v>242550</v>
      </c>
    </row>
    <row r="3919" spans="1:8" x14ac:dyDescent="0.3">
      <c r="A3919" s="111"/>
      <c r="B3919" s="136" t="s">
        <v>808</v>
      </c>
      <c r="C3919" s="115"/>
      <c r="D3919" s="124"/>
      <c r="E3919" s="117"/>
      <c r="F3919" s="110"/>
    </row>
    <row r="3920" spans="1:8" x14ac:dyDescent="0.25">
      <c r="A3920" s="111"/>
      <c r="B3920" s="134" t="s">
        <v>820</v>
      </c>
      <c r="C3920" s="115" t="s">
        <v>772</v>
      </c>
      <c r="D3920" s="124">
        <v>0.25</v>
      </c>
      <c r="E3920" s="117">
        <v>7500</v>
      </c>
      <c r="F3920" s="117">
        <f t="shared" ref="F3920:F3925" si="92">+D3920*E3920</f>
        <v>1875</v>
      </c>
    </row>
    <row r="3921" spans="1:6" x14ac:dyDescent="0.25">
      <c r="A3921" s="111"/>
      <c r="B3921" s="134" t="s">
        <v>821</v>
      </c>
      <c r="C3921" s="115" t="s">
        <v>772</v>
      </c>
      <c r="D3921" s="124">
        <v>0.15</v>
      </c>
      <c r="E3921" s="117">
        <v>7500</v>
      </c>
      <c r="F3921" s="117">
        <f t="shared" si="92"/>
        <v>1125</v>
      </c>
    </row>
    <row r="3922" spans="1:6" x14ac:dyDescent="0.25">
      <c r="A3922" s="111"/>
      <c r="B3922" s="134" t="s">
        <v>895</v>
      </c>
      <c r="C3922" s="115" t="s">
        <v>772</v>
      </c>
      <c r="D3922" s="124">
        <v>0.5</v>
      </c>
      <c r="E3922" s="117">
        <v>15000</v>
      </c>
      <c r="F3922" s="117">
        <f t="shared" si="92"/>
        <v>7500</v>
      </c>
    </row>
    <row r="3923" spans="1:6" x14ac:dyDescent="0.25">
      <c r="A3923" s="111"/>
      <c r="B3923" s="134" t="s">
        <v>896</v>
      </c>
      <c r="C3923" s="115" t="s">
        <v>772</v>
      </c>
      <c r="D3923" s="124">
        <v>0.15</v>
      </c>
      <c r="E3923" s="117">
        <v>15000</v>
      </c>
      <c r="F3923" s="117">
        <f t="shared" si="92"/>
        <v>2250</v>
      </c>
    </row>
    <row r="3924" spans="1:6" x14ac:dyDescent="0.25">
      <c r="A3924" s="111"/>
      <c r="B3924" s="134" t="s">
        <v>773</v>
      </c>
      <c r="C3924" s="115" t="s">
        <v>772</v>
      </c>
      <c r="D3924" s="124">
        <v>0.5</v>
      </c>
      <c r="E3924" s="117">
        <v>15000</v>
      </c>
      <c r="F3924" s="117">
        <f t="shared" si="92"/>
        <v>7500</v>
      </c>
    </row>
    <row r="3925" spans="1:6" x14ac:dyDescent="0.25">
      <c r="A3925" s="111"/>
      <c r="B3925" s="134" t="s">
        <v>851</v>
      </c>
      <c r="C3925" s="115" t="s">
        <v>772</v>
      </c>
      <c r="D3925" s="124">
        <v>0.5</v>
      </c>
      <c r="E3925" s="117">
        <v>15000</v>
      </c>
      <c r="F3925" s="117">
        <f t="shared" si="92"/>
        <v>7500</v>
      </c>
    </row>
    <row r="3926" spans="1:6" x14ac:dyDescent="0.3">
      <c r="A3926" s="111"/>
      <c r="B3926" s="136" t="s">
        <v>774</v>
      </c>
      <c r="C3926" s="115"/>
      <c r="D3926" s="124"/>
      <c r="E3926" s="117"/>
      <c r="F3926" s="110">
        <f>SUM(F3920:F3925)</f>
        <v>27750</v>
      </c>
    </row>
    <row r="3927" spans="1:6" x14ac:dyDescent="0.3">
      <c r="A3927" s="111"/>
      <c r="B3927" s="136" t="s">
        <v>775</v>
      </c>
      <c r="C3927" s="115"/>
      <c r="D3927" s="109"/>
      <c r="E3927" s="110"/>
      <c r="F3927" s="110">
        <f>+F3926+F3918</f>
        <v>270300</v>
      </c>
    </row>
    <row r="3928" spans="1:6" x14ac:dyDescent="0.25">
      <c r="A3928" s="111"/>
      <c r="B3928" s="134" t="s">
        <v>776</v>
      </c>
      <c r="C3928" s="115"/>
      <c r="D3928" s="124">
        <v>1.25</v>
      </c>
      <c r="E3928" s="110"/>
      <c r="F3928" s="110">
        <f>+F3927*D3928</f>
        <v>337875</v>
      </c>
    </row>
    <row r="3929" spans="1:6" x14ac:dyDescent="0.25">
      <c r="A3929" s="111"/>
      <c r="B3929" s="134" t="s">
        <v>835</v>
      </c>
      <c r="C3929" s="115"/>
      <c r="D3929" s="124">
        <v>1.25</v>
      </c>
      <c r="E3929" s="110"/>
      <c r="F3929" s="110"/>
    </row>
    <row r="3930" spans="1:6" x14ac:dyDescent="0.35">
      <c r="A3930" s="296" t="s">
        <v>272</v>
      </c>
      <c r="B3930" s="242" t="s">
        <v>785</v>
      </c>
      <c r="C3930" s="208" t="s">
        <v>59</v>
      </c>
      <c r="D3930" s="208"/>
      <c r="E3930" s="209"/>
      <c r="F3930" s="209">
        <f>+D3929*F3928</f>
        <v>422343.75</v>
      </c>
    </row>
    <row r="3931" spans="1:6" x14ac:dyDescent="0.35">
      <c r="A3931" s="206"/>
      <c r="B3931" s="207"/>
      <c r="C3931" s="208"/>
      <c r="D3931" s="208"/>
      <c r="E3931" s="210">
        <f>+E3905</f>
        <v>3035.45</v>
      </c>
      <c r="F3931" s="210">
        <f>+F3930/E3931</f>
        <v>139.13711311337693</v>
      </c>
    </row>
    <row r="3934" spans="1:6" x14ac:dyDescent="0.3">
      <c r="A3934" s="257" t="s">
        <v>227</v>
      </c>
      <c r="B3934" s="290" t="s">
        <v>228</v>
      </c>
      <c r="C3934" s="291"/>
      <c r="D3934" s="202" t="s">
        <v>765</v>
      </c>
      <c r="E3934" s="203" t="s">
        <v>766</v>
      </c>
      <c r="F3934" s="203" t="s">
        <v>767</v>
      </c>
    </row>
    <row r="3935" spans="1:6" x14ac:dyDescent="0.3">
      <c r="A3935" s="237" t="s">
        <v>265</v>
      </c>
      <c r="B3935" s="292" t="s">
        <v>639</v>
      </c>
      <c r="C3935" s="256"/>
      <c r="D3935" s="141"/>
      <c r="E3935" s="110"/>
      <c r="F3935" s="110"/>
    </row>
    <row r="3936" spans="1:6" x14ac:dyDescent="0.3">
      <c r="A3936" s="293" t="s">
        <v>274</v>
      </c>
      <c r="B3936" s="294" t="s">
        <v>275</v>
      </c>
      <c r="C3936" s="256" t="s">
        <v>59</v>
      </c>
      <c r="D3936" s="141"/>
      <c r="E3936" s="110"/>
      <c r="F3936" s="110"/>
    </row>
    <row r="3937" spans="1:6" x14ac:dyDescent="0.35">
      <c r="A3937" s="111"/>
      <c r="B3937" s="112" t="s">
        <v>802</v>
      </c>
      <c r="C3937" s="118"/>
      <c r="D3937" s="118"/>
      <c r="E3937" s="119"/>
      <c r="F3937" s="119"/>
    </row>
    <row r="3938" spans="1:6" x14ac:dyDescent="0.25">
      <c r="A3938" s="111"/>
      <c r="B3938" s="134" t="s">
        <v>942</v>
      </c>
      <c r="C3938" s="118" t="s">
        <v>27</v>
      </c>
      <c r="D3938" s="228">
        <f>2.86*2+0.93</f>
        <v>6.6499999999999995</v>
      </c>
      <c r="E3938" s="119">
        <f>48000/6</f>
        <v>8000</v>
      </c>
      <c r="F3938" s="119">
        <f>+D3938*E3938</f>
        <v>53199.999999999993</v>
      </c>
    </row>
    <row r="3939" spans="1:6" x14ac:dyDescent="0.25">
      <c r="A3939" s="111"/>
      <c r="B3939" s="134" t="s">
        <v>966</v>
      </c>
      <c r="C3939" s="118" t="s">
        <v>27</v>
      </c>
      <c r="D3939" s="228">
        <f>0.93*2</f>
        <v>1.86</v>
      </c>
      <c r="E3939" s="119">
        <f>48000/6</f>
        <v>8000</v>
      </c>
      <c r="F3939" s="119">
        <f>+D3939*E3939</f>
        <v>14880</v>
      </c>
    </row>
    <row r="3940" spans="1:6" x14ac:dyDescent="0.25">
      <c r="A3940" s="111"/>
      <c r="B3940" s="134" t="s">
        <v>1320</v>
      </c>
      <c r="C3940" s="118" t="s">
        <v>35</v>
      </c>
      <c r="D3940" s="295">
        <f>2.86*0.8</f>
        <v>2.2879999999999998</v>
      </c>
      <c r="E3940" s="119">
        <f>36000/(2.4*1.2)</f>
        <v>12500</v>
      </c>
      <c r="F3940" s="119">
        <f>+D3940*E3940</f>
        <v>28599.999999999996</v>
      </c>
    </row>
    <row r="3941" spans="1:6" x14ac:dyDescent="0.25">
      <c r="A3941" s="111"/>
      <c r="B3941" s="134" t="s">
        <v>964</v>
      </c>
      <c r="C3941" s="118" t="s">
        <v>59</v>
      </c>
      <c r="D3941" s="253">
        <v>1</v>
      </c>
      <c r="E3941" s="119">
        <v>120000</v>
      </c>
      <c r="F3941" s="119">
        <f>+D3941*E3941</f>
        <v>120000</v>
      </c>
    </row>
    <row r="3942" spans="1:6" x14ac:dyDescent="0.25">
      <c r="A3942" s="111"/>
      <c r="B3942" s="134" t="s">
        <v>968</v>
      </c>
      <c r="C3942" s="118" t="s">
        <v>27</v>
      </c>
      <c r="D3942" s="253">
        <v>0.93</v>
      </c>
      <c r="E3942" s="119">
        <f>160000/12</f>
        <v>13333.333333333334</v>
      </c>
      <c r="F3942" s="119">
        <f>+D3942*E3942</f>
        <v>12400.000000000002</v>
      </c>
    </row>
    <row r="3943" spans="1:6" x14ac:dyDescent="0.35">
      <c r="A3943" s="111"/>
      <c r="B3943" s="120" t="s">
        <v>965</v>
      </c>
      <c r="C3943" s="118"/>
      <c r="D3943" s="118"/>
      <c r="E3943" s="119"/>
      <c r="F3943" s="119">
        <f>0.1*(F3940+F3938+F3939+F3941+F3942)</f>
        <v>22908</v>
      </c>
    </row>
    <row r="3944" spans="1:6" x14ac:dyDescent="0.35">
      <c r="A3944" s="107"/>
      <c r="B3944" s="108" t="s">
        <v>769</v>
      </c>
      <c r="C3944" s="109"/>
      <c r="D3944" s="124"/>
      <c r="E3944" s="117"/>
      <c r="F3944" s="110">
        <f>SUM(F3938:F3943)</f>
        <v>251988</v>
      </c>
    </row>
    <row r="3945" spans="1:6" x14ac:dyDescent="0.3">
      <c r="A3945" s="111"/>
      <c r="B3945" s="136" t="s">
        <v>808</v>
      </c>
      <c r="C3945" s="115"/>
      <c r="D3945" s="124"/>
      <c r="E3945" s="117"/>
      <c r="F3945" s="110"/>
    </row>
    <row r="3946" spans="1:6" x14ac:dyDescent="0.25">
      <c r="A3946" s="111"/>
      <c r="B3946" s="134" t="s">
        <v>820</v>
      </c>
      <c r="C3946" s="115" t="s">
        <v>772</v>
      </c>
      <c r="D3946" s="124">
        <v>0.25</v>
      </c>
      <c r="E3946" s="117">
        <v>7500</v>
      </c>
      <c r="F3946" s="117">
        <f t="shared" ref="F3946:F3951" si="93">+D3946*E3946</f>
        <v>1875</v>
      </c>
    </row>
    <row r="3947" spans="1:6" x14ac:dyDescent="0.25">
      <c r="A3947" s="111"/>
      <c r="B3947" s="134" t="s">
        <v>821</v>
      </c>
      <c r="C3947" s="115" t="s">
        <v>772</v>
      </c>
      <c r="D3947" s="124">
        <v>0.15</v>
      </c>
      <c r="E3947" s="117">
        <v>7500</v>
      </c>
      <c r="F3947" s="117">
        <f t="shared" si="93"/>
        <v>1125</v>
      </c>
    </row>
    <row r="3948" spans="1:6" x14ac:dyDescent="0.25">
      <c r="A3948" s="111"/>
      <c r="B3948" s="134" t="s">
        <v>895</v>
      </c>
      <c r="C3948" s="115" t="s">
        <v>772</v>
      </c>
      <c r="D3948" s="124">
        <v>0.5</v>
      </c>
      <c r="E3948" s="117">
        <v>15000</v>
      </c>
      <c r="F3948" s="117">
        <f t="shared" si="93"/>
        <v>7500</v>
      </c>
    </row>
    <row r="3949" spans="1:6" x14ac:dyDescent="0.25">
      <c r="A3949" s="111"/>
      <c r="B3949" s="134" t="s">
        <v>896</v>
      </c>
      <c r="C3949" s="115" t="s">
        <v>772</v>
      </c>
      <c r="D3949" s="124">
        <v>0.15</v>
      </c>
      <c r="E3949" s="117">
        <v>15000</v>
      </c>
      <c r="F3949" s="117">
        <f t="shared" si="93"/>
        <v>2250</v>
      </c>
    </row>
    <row r="3950" spans="1:6" x14ac:dyDescent="0.25">
      <c r="A3950" s="111"/>
      <c r="B3950" s="134" t="s">
        <v>773</v>
      </c>
      <c r="C3950" s="115" t="s">
        <v>772</v>
      </c>
      <c r="D3950" s="124">
        <v>0.5</v>
      </c>
      <c r="E3950" s="117">
        <v>15000</v>
      </c>
      <c r="F3950" s="117">
        <f t="shared" si="93"/>
        <v>7500</v>
      </c>
    </row>
    <row r="3951" spans="1:6" x14ac:dyDescent="0.25">
      <c r="A3951" s="111"/>
      <c r="B3951" s="134" t="s">
        <v>851</v>
      </c>
      <c r="C3951" s="115" t="s">
        <v>772</v>
      </c>
      <c r="D3951" s="124">
        <v>0.5</v>
      </c>
      <c r="E3951" s="117">
        <v>15000</v>
      </c>
      <c r="F3951" s="117">
        <f t="shared" si="93"/>
        <v>7500</v>
      </c>
    </row>
    <row r="3952" spans="1:6" x14ac:dyDescent="0.3">
      <c r="A3952" s="111"/>
      <c r="B3952" s="136" t="s">
        <v>774</v>
      </c>
      <c r="C3952" s="115"/>
      <c r="D3952" s="124"/>
      <c r="E3952" s="117"/>
      <c r="F3952" s="110">
        <f>SUM(F3946:F3951)</f>
        <v>27750</v>
      </c>
    </row>
    <row r="3953" spans="1:6" x14ac:dyDescent="0.3">
      <c r="A3953" s="111"/>
      <c r="B3953" s="136" t="s">
        <v>775</v>
      </c>
      <c r="C3953" s="115"/>
      <c r="D3953" s="109"/>
      <c r="E3953" s="110"/>
      <c r="F3953" s="110">
        <f>+F3952+F3944</f>
        <v>279738</v>
      </c>
    </row>
    <row r="3954" spans="1:6" x14ac:dyDescent="0.25">
      <c r="A3954" s="111"/>
      <c r="B3954" s="134" t="s">
        <v>776</v>
      </c>
      <c r="C3954" s="115"/>
      <c r="D3954" s="124">
        <v>1.25</v>
      </c>
      <c r="E3954" s="110"/>
      <c r="F3954" s="110">
        <f>+F3953*D3954</f>
        <v>349672.5</v>
      </c>
    </row>
    <row r="3955" spans="1:6" x14ac:dyDescent="0.25">
      <c r="A3955" s="111"/>
      <c r="B3955" s="134" t="s">
        <v>835</v>
      </c>
      <c r="C3955" s="115"/>
      <c r="D3955" s="124">
        <v>1.25</v>
      </c>
      <c r="E3955" s="110"/>
      <c r="F3955" s="110"/>
    </row>
    <row r="3956" spans="1:6" x14ac:dyDescent="0.35">
      <c r="A3956" s="296" t="s">
        <v>274</v>
      </c>
      <c r="B3956" s="242" t="s">
        <v>785</v>
      </c>
      <c r="C3956" s="208" t="s">
        <v>59</v>
      </c>
      <c r="D3956" s="208"/>
      <c r="E3956" s="209"/>
      <c r="F3956" s="209">
        <f>+D3955*F3954</f>
        <v>437090.625</v>
      </c>
    </row>
    <row r="3957" spans="1:6" x14ac:dyDescent="0.35">
      <c r="A3957" s="206"/>
      <c r="B3957" s="207"/>
      <c r="C3957" s="208"/>
      <c r="D3957" s="208"/>
      <c r="E3957" s="210">
        <f>+E3931</f>
        <v>3035.45</v>
      </c>
      <c r="F3957" s="210">
        <f>+F3956/E3957</f>
        <v>143.99533018168643</v>
      </c>
    </row>
    <row r="3960" spans="1:6" x14ac:dyDescent="0.3">
      <c r="A3960" s="257" t="s">
        <v>227</v>
      </c>
      <c r="B3960" s="290" t="s">
        <v>228</v>
      </c>
      <c r="C3960" s="291"/>
      <c r="D3960" s="202" t="s">
        <v>765</v>
      </c>
      <c r="E3960" s="203" t="s">
        <v>766</v>
      </c>
      <c r="F3960" s="203" t="s">
        <v>767</v>
      </c>
    </row>
    <row r="3961" spans="1:6" x14ac:dyDescent="0.3">
      <c r="A3961" s="237" t="s">
        <v>265</v>
      </c>
      <c r="B3961" s="292" t="s">
        <v>639</v>
      </c>
      <c r="C3961" s="256"/>
      <c r="D3961" s="141"/>
      <c r="E3961" s="110"/>
      <c r="F3961" s="110"/>
    </row>
    <row r="3962" spans="1:6" x14ac:dyDescent="0.3">
      <c r="A3962" s="293" t="s">
        <v>276</v>
      </c>
      <c r="B3962" s="294" t="s">
        <v>1321</v>
      </c>
      <c r="C3962" s="256" t="s">
        <v>59</v>
      </c>
      <c r="D3962" s="141"/>
      <c r="E3962" s="110"/>
      <c r="F3962" s="110"/>
    </row>
    <row r="3963" spans="1:6" x14ac:dyDescent="0.35">
      <c r="A3963" s="111"/>
      <c r="B3963" s="112" t="s">
        <v>802</v>
      </c>
      <c r="C3963" s="118"/>
      <c r="D3963" s="118"/>
      <c r="E3963" s="119"/>
      <c r="F3963" s="119"/>
    </row>
    <row r="3964" spans="1:6" x14ac:dyDescent="0.25">
      <c r="A3964" s="111"/>
      <c r="B3964" s="134" t="s">
        <v>942</v>
      </c>
      <c r="C3964" s="118" t="s">
        <v>27</v>
      </c>
      <c r="D3964" s="228">
        <f>2.64*2+0.93</f>
        <v>6.21</v>
      </c>
      <c r="E3964" s="119">
        <f>48000/6</f>
        <v>8000</v>
      </c>
      <c r="F3964" s="119">
        <f>+D3964*E3964</f>
        <v>49680</v>
      </c>
    </row>
    <row r="3965" spans="1:6" x14ac:dyDescent="0.25">
      <c r="A3965" s="111"/>
      <c r="B3965" s="134" t="s">
        <v>966</v>
      </c>
      <c r="C3965" s="118" t="s">
        <v>27</v>
      </c>
      <c r="D3965" s="228">
        <f>0.93*2</f>
        <v>1.86</v>
      </c>
      <c r="E3965" s="119">
        <f>48000/6</f>
        <v>8000</v>
      </c>
      <c r="F3965" s="119">
        <f>+D3965*E3965</f>
        <v>14880</v>
      </c>
    </row>
    <row r="3966" spans="1:6" x14ac:dyDescent="0.25">
      <c r="A3966" s="111"/>
      <c r="B3966" s="134" t="s">
        <v>1320</v>
      </c>
      <c r="C3966" s="118" t="s">
        <v>35</v>
      </c>
      <c r="D3966" s="295">
        <f>2.64*0.8</f>
        <v>2.1120000000000001</v>
      </c>
      <c r="E3966" s="119">
        <f>36000/(2.4*1.2)</f>
        <v>12500</v>
      </c>
      <c r="F3966" s="119">
        <f>+D3966*E3966</f>
        <v>26400</v>
      </c>
    </row>
    <row r="3967" spans="1:6" x14ac:dyDescent="0.25">
      <c r="A3967" s="111"/>
      <c r="B3967" s="134" t="s">
        <v>964</v>
      </c>
      <c r="C3967" s="118" t="s">
        <v>59</v>
      </c>
      <c r="D3967" s="253">
        <v>1</v>
      </c>
      <c r="E3967" s="119">
        <v>120000</v>
      </c>
      <c r="F3967" s="119">
        <f>+D3967*E3967</f>
        <v>120000</v>
      </c>
    </row>
    <row r="3968" spans="1:6" x14ac:dyDescent="0.25">
      <c r="A3968" s="111"/>
      <c r="B3968" s="134" t="s">
        <v>968</v>
      </c>
      <c r="C3968" s="118" t="s">
        <v>27</v>
      </c>
      <c r="D3968" s="253">
        <v>0.93</v>
      </c>
      <c r="E3968" s="119">
        <f>160000/12</f>
        <v>13333.333333333334</v>
      </c>
      <c r="F3968" s="119">
        <f>+D3968*E3968</f>
        <v>12400.000000000002</v>
      </c>
    </row>
    <row r="3969" spans="1:6" x14ac:dyDescent="0.35">
      <c r="A3969" s="111"/>
      <c r="B3969" s="120" t="s">
        <v>965</v>
      </c>
      <c r="C3969" s="118"/>
      <c r="D3969" s="118"/>
      <c r="E3969" s="119"/>
      <c r="F3969" s="119">
        <f>0.1*(F3966+F3964+F3965+F3967+F3968)</f>
        <v>22336</v>
      </c>
    </row>
    <row r="3970" spans="1:6" x14ac:dyDescent="0.35">
      <c r="A3970" s="107"/>
      <c r="B3970" s="108" t="s">
        <v>769</v>
      </c>
      <c r="C3970" s="109"/>
      <c r="D3970" s="124"/>
      <c r="E3970" s="117"/>
      <c r="F3970" s="110">
        <f>SUM(F3964:F3969)</f>
        <v>245696</v>
      </c>
    </row>
    <row r="3971" spans="1:6" x14ac:dyDescent="0.3">
      <c r="A3971" s="111"/>
      <c r="B3971" s="136" t="s">
        <v>808</v>
      </c>
      <c r="C3971" s="115"/>
      <c r="D3971" s="124"/>
      <c r="E3971" s="117"/>
      <c r="F3971" s="110"/>
    </row>
    <row r="3972" spans="1:6" x14ac:dyDescent="0.25">
      <c r="A3972" s="111"/>
      <c r="B3972" s="134" t="s">
        <v>820</v>
      </c>
      <c r="C3972" s="115" t="s">
        <v>772</v>
      </c>
      <c r="D3972" s="124">
        <v>0.25</v>
      </c>
      <c r="E3972" s="117">
        <v>7500</v>
      </c>
      <c r="F3972" s="117">
        <f t="shared" ref="F3972:F3977" si="94">+D3972*E3972</f>
        <v>1875</v>
      </c>
    </row>
    <row r="3973" spans="1:6" x14ac:dyDescent="0.25">
      <c r="A3973" s="111"/>
      <c r="B3973" s="134" t="s">
        <v>821</v>
      </c>
      <c r="C3973" s="115" t="s">
        <v>772</v>
      </c>
      <c r="D3973" s="124">
        <v>0.15</v>
      </c>
      <c r="E3973" s="117">
        <v>7500</v>
      </c>
      <c r="F3973" s="117">
        <f t="shared" si="94"/>
        <v>1125</v>
      </c>
    </row>
    <row r="3974" spans="1:6" x14ac:dyDescent="0.25">
      <c r="A3974" s="111"/>
      <c r="B3974" s="134" t="s">
        <v>895</v>
      </c>
      <c r="C3974" s="115" t="s">
        <v>772</v>
      </c>
      <c r="D3974" s="124">
        <v>0.5</v>
      </c>
      <c r="E3974" s="117">
        <v>15000</v>
      </c>
      <c r="F3974" s="117">
        <f t="shared" si="94"/>
        <v>7500</v>
      </c>
    </row>
    <row r="3975" spans="1:6" x14ac:dyDescent="0.25">
      <c r="A3975" s="111"/>
      <c r="B3975" s="134" t="s">
        <v>896</v>
      </c>
      <c r="C3975" s="115" t="s">
        <v>772</v>
      </c>
      <c r="D3975" s="124">
        <v>0.15</v>
      </c>
      <c r="E3975" s="117">
        <v>15000</v>
      </c>
      <c r="F3975" s="117">
        <f t="shared" si="94"/>
        <v>2250</v>
      </c>
    </row>
    <row r="3976" spans="1:6" x14ac:dyDescent="0.25">
      <c r="A3976" s="111"/>
      <c r="B3976" s="134" t="s">
        <v>773</v>
      </c>
      <c r="C3976" s="115" t="s">
        <v>772</v>
      </c>
      <c r="D3976" s="124">
        <v>0.5</v>
      </c>
      <c r="E3976" s="117">
        <v>15000</v>
      </c>
      <c r="F3976" s="117">
        <f t="shared" si="94"/>
        <v>7500</v>
      </c>
    </row>
    <row r="3977" spans="1:6" x14ac:dyDescent="0.25">
      <c r="A3977" s="111"/>
      <c r="B3977" s="134" t="s">
        <v>851</v>
      </c>
      <c r="C3977" s="115" t="s">
        <v>772</v>
      </c>
      <c r="D3977" s="124">
        <v>0.5</v>
      </c>
      <c r="E3977" s="117">
        <v>15000</v>
      </c>
      <c r="F3977" s="117">
        <f t="shared" si="94"/>
        <v>7500</v>
      </c>
    </row>
    <row r="3978" spans="1:6" x14ac:dyDescent="0.3">
      <c r="A3978" s="111"/>
      <c r="B3978" s="136" t="s">
        <v>774</v>
      </c>
      <c r="C3978" s="115"/>
      <c r="D3978" s="124"/>
      <c r="E3978" s="117"/>
      <c r="F3978" s="110">
        <f>SUM(F3972:F3977)</f>
        <v>27750</v>
      </c>
    </row>
    <row r="3979" spans="1:6" x14ac:dyDescent="0.3">
      <c r="A3979" s="111"/>
      <c r="B3979" s="136" t="s">
        <v>775</v>
      </c>
      <c r="C3979" s="115"/>
      <c r="D3979" s="109"/>
      <c r="E3979" s="110"/>
      <c r="F3979" s="110">
        <f>+F3978+F3970</f>
        <v>273446</v>
      </c>
    </row>
    <row r="3980" spans="1:6" x14ac:dyDescent="0.25">
      <c r="A3980" s="111"/>
      <c r="B3980" s="134" t="s">
        <v>776</v>
      </c>
      <c r="C3980" s="115"/>
      <c r="D3980" s="124">
        <v>1.25</v>
      </c>
      <c r="E3980" s="110"/>
      <c r="F3980" s="110">
        <f>+F3979*D3980</f>
        <v>341807.5</v>
      </c>
    </row>
    <row r="3981" spans="1:6" x14ac:dyDescent="0.25">
      <c r="A3981" s="111"/>
      <c r="B3981" s="134" t="s">
        <v>835</v>
      </c>
      <c r="C3981" s="115"/>
      <c r="D3981" s="124">
        <v>1.25</v>
      </c>
      <c r="E3981" s="110"/>
      <c r="F3981" s="110"/>
    </row>
    <row r="3982" spans="1:6" x14ac:dyDescent="0.35">
      <c r="A3982" s="296" t="s">
        <v>276</v>
      </c>
      <c r="B3982" s="242" t="s">
        <v>785</v>
      </c>
      <c r="C3982" s="208" t="s">
        <v>59</v>
      </c>
      <c r="D3982" s="208"/>
      <c r="E3982" s="209"/>
      <c r="F3982" s="209">
        <f>+D3981*F3980</f>
        <v>427259.375</v>
      </c>
    </row>
    <row r="3983" spans="1:6" x14ac:dyDescent="0.35">
      <c r="A3983" s="206"/>
      <c r="B3983" s="207"/>
      <c r="C3983" s="208"/>
      <c r="D3983" s="208"/>
      <c r="E3983" s="210">
        <f>+E3957</f>
        <v>3035.45</v>
      </c>
      <c r="F3983" s="210">
        <f>+F3982/E3983</f>
        <v>140.75651880281342</v>
      </c>
    </row>
    <row r="3986" spans="1:6" x14ac:dyDescent="0.3">
      <c r="A3986" s="257" t="s">
        <v>227</v>
      </c>
      <c r="B3986" s="290" t="s">
        <v>228</v>
      </c>
      <c r="C3986" s="291"/>
      <c r="D3986" s="202" t="s">
        <v>765</v>
      </c>
      <c r="E3986" s="203" t="s">
        <v>766</v>
      </c>
      <c r="F3986" s="203" t="s">
        <v>767</v>
      </c>
    </row>
    <row r="3987" spans="1:6" x14ac:dyDescent="0.3">
      <c r="A3987" s="237" t="s">
        <v>277</v>
      </c>
      <c r="B3987" s="292" t="s">
        <v>640</v>
      </c>
      <c r="C3987" s="256"/>
      <c r="D3987" s="141"/>
      <c r="E3987" s="110"/>
      <c r="F3987" s="110"/>
    </row>
    <row r="3988" spans="1:6" x14ac:dyDescent="0.3">
      <c r="A3988" s="293" t="s">
        <v>278</v>
      </c>
      <c r="B3988" s="294" t="s">
        <v>279</v>
      </c>
      <c r="C3988" s="256" t="s">
        <v>59</v>
      </c>
      <c r="D3988" s="141"/>
      <c r="E3988" s="110"/>
      <c r="F3988" s="110"/>
    </row>
    <row r="3989" spans="1:6" x14ac:dyDescent="0.35">
      <c r="A3989" s="111"/>
      <c r="B3989" s="112" t="s">
        <v>802</v>
      </c>
      <c r="C3989" s="118"/>
      <c r="D3989" s="118"/>
      <c r="E3989" s="119"/>
      <c r="F3989" s="119"/>
    </row>
    <row r="3990" spans="1:6" x14ac:dyDescent="0.25">
      <c r="A3990" s="111"/>
      <c r="B3990" s="134" t="s">
        <v>942</v>
      </c>
      <c r="C3990" s="118" t="s">
        <v>27</v>
      </c>
      <c r="D3990" s="228">
        <f>2.53*2+1.215</f>
        <v>6.2749999999999995</v>
      </c>
      <c r="E3990" s="119">
        <f>48000/6</f>
        <v>8000</v>
      </c>
      <c r="F3990" s="119">
        <f>+D3990*E3990</f>
        <v>50199.999999999993</v>
      </c>
    </row>
    <row r="3991" spans="1:6" x14ac:dyDescent="0.25">
      <c r="A3991" s="111"/>
      <c r="B3991" s="134" t="s">
        <v>966</v>
      </c>
      <c r="C3991" s="118" t="s">
        <v>27</v>
      </c>
      <c r="D3991" s="228">
        <f>1.215*2</f>
        <v>2.4300000000000002</v>
      </c>
      <c r="E3991" s="119">
        <f>48000/6</f>
        <v>8000</v>
      </c>
      <c r="F3991" s="119">
        <f>+D3991*E3991</f>
        <v>19440</v>
      </c>
    </row>
    <row r="3992" spans="1:6" x14ac:dyDescent="0.25">
      <c r="A3992" s="111"/>
      <c r="B3992" s="134" t="s">
        <v>968</v>
      </c>
      <c r="C3992" s="118" t="s">
        <v>27</v>
      </c>
      <c r="D3992" s="253">
        <v>1.2150000000000001</v>
      </c>
      <c r="E3992" s="119">
        <f>160000/12</f>
        <v>13333.333333333334</v>
      </c>
      <c r="F3992" s="119">
        <f>+D3992*E3992</f>
        <v>16200.000000000002</v>
      </c>
    </row>
    <row r="3993" spans="1:6" x14ac:dyDescent="0.25">
      <c r="A3993" s="111"/>
      <c r="B3993" s="134" t="s">
        <v>1320</v>
      </c>
      <c r="C3993" s="118" t="s">
        <v>35</v>
      </c>
      <c r="D3993" s="228">
        <f>2.53*1.215</f>
        <v>3.07395</v>
      </c>
      <c r="E3993" s="119">
        <f>36000/(2.4*1.2)</f>
        <v>12500</v>
      </c>
      <c r="F3993" s="119">
        <f>+D3993*E3993</f>
        <v>38424.375</v>
      </c>
    </row>
    <row r="3994" spans="1:6" x14ac:dyDescent="0.25">
      <c r="A3994" s="111"/>
      <c r="B3994" s="134" t="s">
        <v>964</v>
      </c>
      <c r="C3994" s="118" t="s">
        <v>59</v>
      </c>
      <c r="D3994" s="253">
        <v>1</v>
      </c>
      <c r="E3994" s="119">
        <v>120000</v>
      </c>
      <c r="F3994" s="119">
        <f>+D3994*E3994</f>
        <v>120000</v>
      </c>
    </row>
    <row r="3995" spans="1:6" x14ac:dyDescent="0.35">
      <c r="A3995" s="111"/>
      <c r="B3995" s="120" t="s">
        <v>965</v>
      </c>
      <c r="C3995" s="118"/>
      <c r="D3995" s="118"/>
      <c r="E3995" s="119"/>
      <c r="F3995" s="119">
        <f>0.1*(F3994+F3993+F3990+F3991+F3992)</f>
        <v>24426.4375</v>
      </c>
    </row>
    <row r="3996" spans="1:6" x14ac:dyDescent="0.35">
      <c r="A3996" s="107"/>
      <c r="B3996" s="108" t="s">
        <v>769</v>
      </c>
      <c r="C3996" s="109"/>
      <c r="D3996" s="124"/>
      <c r="E3996" s="117"/>
      <c r="F3996" s="110">
        <f>SUM(F3990:F3995)</f>
        <v>268690.8125</v>
      </c>
    </row>
    <row r="3997" spans="1:6" x14ac:dyDescent="0.3">
      <c r="A3997" s="111"/>
      <c r="B3997" s="136" t="s">
        <v>808</v>
      </c>
      <c r="C3997" s="115"/>
      <c r="D3997" s="124"/>
      <c r="E3997" s="117"/>
      <c r="F3997" s="110"/>
    </row>
    <row r="3998" spans="1:6" x14ac:dyDescent="0.25">
      <c r="A3998" s="111"/>
      <c r="B3998" s="134" t="s">
        <v>820</v>
      </c>
      <c r="C3998" s="115" t="s">
        <v>772</v>
      </c>
      <c r="D3998" s="124">
        <v>0.5</v>
      </c>
      <c r="E3998" s="117">
        <v>7500</v>
      </c>
      <c r="F3998" s="117">
        <f t="shared" ref="F3998:F4003" si="95">+D3998*E3998</f>
        <v>3750</v>
      </c>
    </row>
    <row r="3999" spans="1:6" x14ac:dyDescent="0.25">
      <c r="A3999" s="111"/>
      <c r="B3999" s="134" t="s">
        <v>821</v>
      </c>
      <c r="C3999" s="115" t="s">
        <v>772</v>
      </c>
      <c r="D3999" s="124">
        <v>0.5</v>
      </c>
      <c r="E3999" s="117">
        <v>7500</v>
      </c>
      <c r="F3999" s="117">
        <f t="shared" si="95"/>
        <v>3750</v>
      </c>
    </row>
    <row r="4000" spans="1:6" x14ac:dyDescent="0.25">
      <c r="A4000" s="111"/>
      <c r="B4000" s="134" t="s">
        <v>895</v>
      </c>
      <c r="C4000" s="115" t="s">
        <v>772</v>
      </c>
      <c r="D4000" s="124">
        <v>0.25</v>
      </c>
      <c r="E4000" s="117">
        <v>15000</v>
      </c>
      <c r="F4000" s="117">
        <f t="shared" si="95"/>
        <v>3750</v>
      </c>
    </row>
    <row r="4001" spans="1:6" x14ac:dyDescent="0.25">
      <c r="A4001" s="111"/>
      <c r="B4001" s="134" t="s">
        <v>896</v>
      </c>
      <c r="C4001" s="115" t="s">
        <v>772</v>
      </c>
      <c r="D4001" s="124">
        <v>0.15</v>
      </c>
      <c r="E4001" s="117">
        <v>15000</v>
      </c>
      <c r="F4001" s="117">
        <f t="shared" si="95"/>
        <v>2250</v>
      </c>
    </row>
    <row r="4002" spans="1:6" x14ac:dyDescent="0.25">
      <c r="A4002" s="111"/>
      <c r="B4002" s="134" t="s">
        <v>773</v>
      </c>
      <c r="C4002" s="115" t="s">
        <v>772</v>
      </c>
      <c r="D4002" s="124">
        <v>0.5</v>
      </c>
      <c r="E4002" s="117">
        <v>15000</v>
      </c>
      <c r="F4002" s="117">
        <f t="shared" si="95"/>
        <v>7500</v>
      </c>
    </row>
    <row r="4003" spans="1:6" x14ac:dyDescent="0.25">
      <c r="A4003" s="111"/>
      <c r="B4003" s="134" t="s">
        <v>851</v>
      </c>
      <c r="C4003" s="115" t="s">
        <v>772</v>
      </c>
      <c r="D4003" s="124">
        <v>0.5</v>
      </c>
      <c r="E4003" s="117">
        <v>15000</v>
      </c>
      <c r="F4003" s="117">
        <f t="shared" si="95"/>
        <v>7500</v>
      </c>
    </row>
    <row r="4004" spans="1:6" x14ac:dyDescent="0.3">
      <c r="A4004" s="111"/>
      <c r="B4004" s="136" t="s">
        <v>774</v>
      </c>
      <c r="C4004" s="115"/>
      <c r="D4004" s="124"/>
      <c r="E4004" s="117"/>
      <c r="F4004" s="110">
        <f>SUM(F3998:F4003)</f>
        <v>28500</v>
      </c>
    </row>
    <row r="4005" spans="1:6" x14ac:dyDescent="0.3">
      <c r="A4005" s="111"/>
      <c r="B4005" s="136" t="s">
        <v>775</v>
      </c>
      <c r="C4005" s="115"/>
      <c r="D4005" s="109"/>
      <c r="E4005" s="110"/>
      <c r="F4005" s="110">
        <f>+F4004+F3996</f>
        <v>297190.8125</v>
      </c>
    </row>
    <row r="4006" spans="1:6" x14ac:dyDescent="0.25">
      <c r="A4006" s="111"/>
      <c r="B4006" s="134" t="s">
        <v>776</v>
      </c>
      <c r="C4006" s="115"/>
      <c r="D4006" s="124">
        <v>1.25</v>
      </c>
      <c r="E4006" s="110"/>
      <c r="F4006" s="110">
        <f>+F4005*D4006</f>
        <v>371488.515625</v>
      </c>
    </row>
    <row r="4007" spans="1:6" x14ac:dyDescent="0.25">
      <c r="A4007" s="111"/>
      <c r="B4007" s="134" t="s">
        <v>835</v>
      </c>
      <c r="C4007" s="115"/>
      <c r="D4007" s="124">
        <v>1.25</v>
      </c>
      <c r="E4007" s="110"/>
      <c r="F4007" s="110"/>
    </row>
    <row r="4008" spans="1:6" x14ac:dyDescent="0.35">
      <c r="A4008" s="261" t="s">
        <v>278</v>
      </c>
      <c r="B4008" s="242" t="s">
        <v>785</v>
      </c>
      <c r="C4008" s="208" t="s">
        <v>59</v>
      </c>
      <c r="D4008" s="208"/>
      <c r="E4008" s="209"/>
      <c r="F4008" s="209">
        <f>+D4007*F4006</f>
        <v>464360.64453125</v>
      </c>
    </row>
    <row r="4009" spans="1:6" x14ac:dyDescent="0.35">
      <c r="A4009" s="206"/>
      <c r="B4009" s="207"/>
      <c r="C4009" s="208"/>
      <c r="D4009" s="208"/>
      <c r="E4009" s="210">
        <f>+E3983</f>
        <v>3035.45</v>
      </c>
      <c r="F4009" s="210">
        <f>+F4008/E4009</f>
        <v>152.97917756222307</v>
      </c>
    </row>
    <row r="4012" spans="1:6" x14ac:dyDescent="0.3">
      <c r="A4012" s="257" t="s">
        <v>227</v>
      </c>
      <c r="B4012" s="290" t="s">
        <v>228</v>
      </c>
      <c r="C4012" s="291"/>
      <c r="D4012" s="202" t="s">
        <v>765</v>
      </c>
      <c r="E4012" s="203" t="s">
        <v>766</v>
      </c>
      <c r="F4012" s="203" t="s">
        <v>767</v>
      </c>
    </row>
    <row r="4013" spans="1:6" x14ac:dyDescent="0.3">
      <c r="A4013" s="237" t="s">
        <v>277</v>
      </c>
      <c r="B4013" s="292" t="s">
        <v>640</v>
      </c>
      <c r="C4013" s="256"/>
      <c r="D4013" s="141"/>
      <c r="E4013" s="110"/>
      <c r="F4013" s="110"/>
    </row>
    <row r="4014" spans="1:6" x14ac:dyDescent="0.3">
      <c r="A4014" s="293" t="s">
        <v>280</v>
      </c>
      <c r="B4014" s="294" t="s">
        <v>281</v>
      </c>
      <c r="C4014" s="256" t="s">
        <v>59</v>
      </c>
      <c r="D4014" s="141"/>
      <c r="E4014" s="110"/>
      <c r="F4014" s="110"/>
    </row>
    <row r="4015" spans="1:6" x14ac:dyDescent="0.35">
      <c r="A4015" s="111"/>
      <c r="B4015" s="112" t="s">
        <v>802</v>
      </c>
      <c r="C4015" s="118"/>
      <c r="D4015" s="118"/>
      <c r="E4015" s="119"/>
      <c r="F4015" s="119"/>
    </row>
    <row r="4016" spans="1:6" x14ac:dyDescent="0.25">
      <c r="A4016" s="111"/>
      <c r="B4016" s="134" t="s">
        <v>942</v>
      </c>
      <c r="C4016" s="118" t="s">
        <v>27</v>
      </c>
      <c r="D4016" s="228">
        <f>2.86*2+1.5</f>
        <v>7.22</v>
      </c>
      <c r="E4016" s="119">
        <f>48000/6</f>
        <v>8000</v>
      </c>
      <c r="F4016" s="119">
        <f>+D4016*E4016</f>
        <v>57760</v>
      </c>
    </row>
    <row r="4017" spans="1:6" x14ac:dyDescent="0.25">
      <c r="A4017" s="111"/>
      <c r="B4017" s="134" t="s">
        <v>966</v>
      </c>
      <c r="C4017" s="118" t="s">
        <v>27</v>
      </c>
      <c r="D4017" s="228">
        <f>1.5*2</f>
        <v>3</v>
      </c>
      <c r="E4017" s="119">
        <f>48000/6</f>
        <v>8000</v>
      </c>
      <c r="F4017" s="119">
        <f>+D4017*E4017</f>
        <v>24000</v>
      </c>
    </row>
    <row r="4018" spans="1:6" x14ac:dyDescent="0.25">
      <c r="A4018" s="111"/>
      <c r="B4018" s="134" t="s">
        <v>968</v>
      </c>
      <c r="C4018" s="118" t="s">
        <v>27</v>
      </c>
      <c r="D4018" s="253">
        <v>1.5</v>
      </c>
      <c r="E4018" s="119">
        <f>160000/12</f>
        <v>13333.333333333334</v>
      </c>
      <c r="F4018" s="119">
        <f>+D4018*E4018</f>
        <v>20000</v>
      </c>
    </row>
    <row r="4019" spans="1:6" x14ac:dyDescent="0.25">
      <c r="A4019" s="111"/>
      <c r="B4019" s="134" t="s">
        <v>1320</v>
      </c>
      <c r="C4019" s="118" t="s">
        <v>35</v>
      </c>
      <c r="D4019" s="228">
        <f>2.86*1.5</f>
        <v>4.29</v>
      </c>
      <c r="E4019" s="119">
        <f>36000/(2.4*1.2)</f>
        <v>12500</v>
      </c>
      <c r="F4019" s="119">
        <f>+D4019*E4019</f>
        <v>53625</v>
      </c>
    </row>
    <row r="4020" spans="1:6" x14ac:dyDescent="0.25">
      <c r="A4020" s="111"/>
      <c r="B4020" s="134" t="s">
        <v>964</v>
      </c>
      <c r="C4020" s="118" t="s">
        <v>59</v>
      </c>
      <c r="D4020" s="253">
        <v>1</v>
      </c>
      <c r="E4020" s="119">
        <v>120000</v>
      </c>
      <c r="F4020" s="119">
        <f>+D4020*E4020</f>
        <v>120000</v>
      </c>
    </row>
    <row r="4021" spans="1:6" x14ac:dyDescent="0.35">
      <c r="A4021" s="111"/>
      <c r="B4021" s="120" t="s">
        <v>965</v>
      </c>
      <c r="C4021" s="118"/>
      <c r="D4021" s="118"/>
      <c r="E4021" s="119"/>
      <c r="F4021" s="119">
        <f>0.1*(F4020+F4019+F4016+F4017+F4018)</f>
        <v>27538.5</v>
      </c>
    </row>
    <row r="4022" spans="1:6" x14ac:dyDescent="0.35">
      <c r="A4022" s="107"/>
      <c r="B4022" s="108" t="s">
        <v>769</v>
      </c>
      <c r="C4022" s="109"/>
      <c r="D4022" s="124"/>
      <c r="E4022" s="117"/>
      <c r="F4022" s="110">
        <f>SUM(F4016:F4021)</f>
        <v>302923.5</v>
      </c>
    </row>
    <row r="4023" spans="1:6" x14ac:dyDescent="0.3">
      <c r="A4023" s="111"/>
      <c r="B4023" s="136" t="s">
        <v>808</v>
      </c>
      <c r="C4023" s="115"/>
      <c r="D4023" s="124"/>
      <c r="E4023" s="117"/>
      <c r="F4023" s="110"/>
    </row>
    <row r="4024" spans="1:6" x14ac:dyDescent="0.25">
      <c r="A4024" s="111"/>
      <c r="B4024" s="134" t="s">
        <v>820</v>
      </c>
      <c r="C4024" s="115" t="s">
        <v>772</v>
      </c>
      <c r="D4024" s="124">
        <v>0.5</v>
      </c>
      <c r="E4024" s="117">
        <v>7500</v>
      </c>
      <c r="F4024" s="117">
        <f t="shared" ref="F4024:F4029" si="96">+D4024*E4024</f>
        <v>3750</v>
      </c>
    </row>
    <row r="4025" spans="1:6" x14ac:dyDescent="0.25">
      <c r="A4025" s="111"/>
      <c r="B4025" s="134" t="s">
        <v>821</v>
      </c>
      <c r="C4025" s="115" t="s">
        <v>772</v>
      </c>
      <c r="D4025" s="124">
        <v>0.5</v>
      </c>
      <c r="E4025" s="117">
        <v>7500</v>
      </c>
      <c r="F4025" s="117">
        <f t="shared" si="96"/>
        <v>3750</v>
      </c>
    </row>
    <row r="4026" spans="1:6" x14ac:dyDescent="0.25">
      <c r="A4026" s="111"/>
      <c r="B4026" s="134" t="s">
        <v>895</v>
      </c>
      <c r="C4026" s="115" t="s">
        <v>772</v>
      </c>
      <c r="D4026" s="124">
        <v>0.25</v>
      </c>
      <c r="E4026" s="117">
        <v>15000</v>
      </c>
      <c r="F4026" s="117">
        <f t="shared" si="96"/>
        <v>3750</v>
      </c>
    </row>
    <row r="4027" spans="1:6" x14ac:dyDescent="0.25">
      <c r="A4027" s="111"/>
      <c r="B4027" s="134" t="s">
        <v>896</v>
      </c>
      <c r="C4027" s="115" t="s">
        <v>772</v>
      </c>
      <c r="D4027" s="124">
        <v>0.15</v>
      </c>
      <c r="E4027" s="117">
        <v>15000</v>
      </c>
      <c r="F4027" s="117">
        <f t="shared" si="96"/>
        <v>2250</v>
      </c>
    </row>
    <row r="4028" spans="1:6" x14ac:dyDescent="0.25">
      <c r="A4028" s="111"/>
      <c r="B4028" s="134" t="s">
        <v>773</v>
      </c>
      <c r="C4028" s="115" t="s">
        <v>772</v>
      </c>
      <c r="D4028" s="124">
        <v>0.5</v>
      </c>
      <c r="E4028" s="117">
        <v>15000</v>
      </c>
      <c r="F4028" s="117">
        <f t="shared" si="96"/>
        <v>7500</v>
      </c>
    </row>
    <row r="4029" spans="1:6" x14ac:dyDescent="0.25">
      <c r="A4029" s="111"/>
      <c r="B4029" s="134" t="s">
        <v>851</v>
      </c>
      <c r="C4029" s="115" t="s">
        <v>772</v>
      </c>
      <c r="D4029" s="124">
        <v>0.5</v>
      </c>
      <c r="E4029" s="117">
        <v>15000</v>
      </c>
      <c r="F4029" s="117">
        <f t="shared" si="96"/>
        <v>7500</v>
      </c>
    </row>
    <row r="4030" spans="1:6" x14ac:dyDescent="0.3">
      <c r="A4030" s="111"/>
      <c r="B4030" s="136" t="s">
        <v>774</v>
      </c>
      <c r="C4030" s="115"/>
      <c r="D4030" s="124"/>
      <c r="E4030" s="117"/>
      <c r="F4030" s="110">
        <f>SUM(F4024:F4029)</f>
        <v>28500</v>
      </c>
    </row>
    <row r="4031" spans="1:6" x14ac:dyDescent="0.3">
      <c r="A4031" s="111"/>
      <c r="B4031" s="136" t="s">
        <v>775</v>
      </c>
      <c r="C4031" s="115"/>
      <c r="D4031" s="109"/>
      <c r="E4031" s="110"/>
      <c r="F4031" s="110">
        <f>+F4030+F4022</f>
        <v>331423.5</v>
      </c>
    </row>
    <row r="4032" spans="1:6" x14ac:dyDescent="0.25">
      <c r="A4032" s="111"/>
      <c r="B4032" s="134" t="s">
        <v>776</v>
      </c>
      <c r="C4032" s="115"/>
      <c r="D4032" s="124">
        <v>1.25</v>
      </c>
      <c r="E4032" s="110"/>
      <c r="F4032" s="110">
        <f>+F4031*D4032</f>
        <v>414279.375</v>
      </c>
    </row>
    <row r="4033" spans="1:8" x14ac:dyDescent="0.25">
      <c r="A4033" s="111"/>
      <c r="B4033" s="134" t="s">
        <v>835</v>
      </c>
      <c r="C4033" s="115"/>
      <c r="D4033" s="124">
        <v>1.25</v>
      </c>
      <c r="E4033" s="110"/>
      <c r="F4033" s="110"/>
    </row>
    <row r="4034" spans="1:8" x14ac:dyDescent="0.35">
      <c r="A4034" s="261" t="s">
        <v>280</v>
      </c>
      <c r="B4034" s="242" t="s">
        <v>785</v>
      </c>
      <c r="C4034" s="208" t="s">
        <v>59</v>
      </c>
      <c r="D4034" s="208"/>
      <c r="E4034" s="209"/>
      <c r="F4034" s="209">
        <f>+D4033*F4032</f>
        <v>517849.21875</v>
      </c>
    </row>
    <row r="4035" spans="1:8" x14ac:dyDescent="0.35">
      <c r="A4035" s="206"/>
      <c r="B4035" s="207"/>
      <c r="C4035" s="208"/>
      <c r="D4035" s="208"/>
      <c r="E4035" s="210">
        <f>+E4009</f>
        <v>3035.45</v>
      </c>
      <c r="F4035" s="210">
        <f>+F4034/E4035</f>
        <v>170.60047727684528</v>
      </c>
    </row>
    <row r="4036" spans="1:8" s="139" customFormat="1" x14ac:dyDescent="0.35">
      <c r="A4036" s="105"/>
      <c r="B4036" s="106"/>
      <c r="C4036" s="101"/>
      <c r="D4036" s="101"/>
      <c r="E4036" s="161"/>
      <c r="F4036" s="161"/>
      <c r="G4036" s="138"/>
      <c r="H4036" s="177"/>
    </row>
    <row r="4038" spans="1:8" x14ac:dyDescent="0.3">
      <c r="A4038" s="257" t="s">
        <v>227</v>
      </c>
      <c r="B4038" s="290" t="s">
        <v>228</v>
      </c>
      <c r="C4038" s="291"/>
      <c r="D4038" s="202" t="s">
        <v>765</v>
      </c>
      <c r="E4038" s="203" t="s">
        <v>766</v>
      </c>
      <c r="F4038" s="203" t="s">
        <v>767</v>
      </c>
    </row>
    <row r="4039" spans="1:8" x14ac:dyDescent="0.3">
      <c r="A4039" s="237" t="s">
        <v>277</v>
      </c>
      <c r="B4039" s="292" t="s">
        <v>640</v>
      </c>
      <c r="C4039" s="256"/>
      <c r="D4039" s="141"/>
      <c r="E4039" s="110"/>
      <c r="F4039" s="110"/>
    </row>
    <row r="4040" spans="1:8" x14ac:dyDescent="0.3">
      <c r="A4040" s="293" t="s">
        <v>282</v>
      </c>
      <c r="B4040" s="294" t="s">
        <v>283</v>
      </c>
      <c r="C4040" s="256" t="s">
        <v>59</v>
      </c>
      <c r="D4040" s="141"/>
      <c r="E4040" s="110"/>
      <c r="F4040" s="110"/>
    </row>
    <row r="4041" spans="1:8" x14ac:dyDescent="0.35">
      <c r="A4041" s="111"/>
      <c r="B4041" s="112" t="s">
        <v>802</v>
      </c>
      <c r="C4041" s="118"/>
      <c r="D4041" s="118"/>
      <c r="E4041" s="119"/>
      <c r="F4041" s="119"/>
    </row>
    <row r="4042" spans="1:8" x14ac:dyDescent="0.25">
      <c r="A4042" s="111"/>
      <c r="B4042" s="134" t="s">
        <v>942</v>
      </c>
      <c r="C4042" s="118" t="s">
        <v>27</v>
      </c>
      <c r="D4042" s="228">
        <f>2.86*2+1.215</f>
        <v>6.9349999999999996</v>
      </c>
      <c r="E4042" s="119">
        <f>48000/6</f>
        <v>8000</v>
      </c>
      <c r="F4042" s="119">
        <f>+D4042*E4042</f>
        <v>55480</v>
      </c>
    </row>
    <row r="4043" spans="1:8" x14ac:dyDescent="0.25">
      <c r="A4043" s="111"/>
      <c r="B4043" s="134" t="s">
        <v>966</v>
      </c>
      <c r="C4043" s="118" t="s">
        <v>27</v>
      </c>
      <c r="D4043" s="228">
        <f>1.215*2</f>
        <v>2.4300000000000002</v>
      </c>
      <c r="E4043" s="119">
        <f>48000/6</f>
        <v>8000</v>
      </c>
      <c r="F4043" s="119">
        <f>+D4043*E4043</f>
        <v>19440</v>
      </c>
    </row>
    <row r="4044" spans="1:8" x14ac:dyDescent="0.25">
      <c r="A4044" s="111"/>
      <c r="B4044" s="134" t="s">
        <v>968</v>
      </c>
      <c r="C4044" s="118" t="s">
        <v>27</v>
      </c>
      <c r="D4044" s="253">
        <v>1.5</v>
      </c>
      <c r="E4044" s="119">
        <f>160000/12</f>
        <v>13333.333333333334</v>
      </c>
      <c r="F4044" s="119">
        <f>+D4044*E4044</f>
        <v>20000</v>
      </c>
    </row>
    <row r="4045" spans="1:8" x14ac:dyDescent="0.25">
      <c r="A4045" s="111"/>
      <c r="B4045" s="134" t="s">
        <v>1320</v>
      </c>
      <c r="C4045" s="118" t="s">
        <v>35</v>
      </c>
      <c r="D4045" s="228">
        <f>2.86*1.5</f>
        <v>4.29</v>
      </c>
      <c r="E4045" s="119">
        <f>36000/(2.4*1.2)</f>
        <v>12500</v>
      </c>
      <c r="F4045" s="119">
        <f>+D4045*E4045</f>
        <v>53625</v>
      </c>
    </row>
    <row r="4046" spans="1:8" x14ac:dyDescent="0.25">
      <c r="A4046" s="111"/>
      <c r="B4046" s="134" t="s">
        <v>964</v>
      </c>
      <c r="C4046" s="118" t="s">
        <v>59</v>
      </c>
      <c r="D4046" s="253">
        <v>1</v>
      </c>
      <c r="E4046" s="119">
        <v>120000</v>
      </c>
      <c r="F4046" s="119">
        <f>+D4046*E4046</f>
        <v>120000</v>
      </c>
    </row>
    <row r="4047" spans="1:8" x14ac:dyDescent="0.35">
      <c r="A4047" s="111"/>
      <c r="B4047" s="120" t="s">
        <v>965</v>
      </c>
      <c r="C4047" s="118"/>
      <c r="D4047" s="118"/>
      <c r="E4047" s="119"/>
      <c r="F4047" s="119">
        <f>0.1*(F4046+F4045+F4042+F4043+F4044)</f>
        <v>26854.5</v>
      </c>
    </row>
    <row r="4048" spans="1:8" x14ac:dyDescent="0.35">
      <c r="A4048" s="107"/>
      <c r="B4048" s="108" t="s">
        <v>769</v>
      </c>
      <c r="C4048" s="109"/>
      <c r="D4048" s="124"/>
      <c r="E4048" s="117"/>
      <c r="F4048" s="110">
        <f>SUM(F4042:F4047)</f>
        <v>295399.5</v>
      </c>
    </row>
    <row r="4049" spans="1:6" x14ac:dyDescent="0.3">
      <c r="A4049" s="111"/>
      <c r="B4049" s="136" t="s">
        <v>808</v>
      </c>
      <c r="C4049" s="115"/>
      <c r="D4049" s="124"/>
      <c r="E4049" s="117"/>
      <c r="F4049" s="110"/>
    </row>
    <row r="4050" spans="1:6" x14ac:dyDescent="0.25">
      <c r="A4050" s="111"/>
      <c r="B4050" s="134" t="s">
        <v>820</v>
      </c>
      <c r="C4050" s="115" t="s">
        <v>772</v>
      </c>
      <c r="D4050" s="124">
        <v>0.5</v>
      </c>
      <c r="E4050" s="117">
        <v>7500</v>
      </c>
      <c r="F4050" s="117">
        <f t="shared" ref="F4050:F4055" si="97">+D4050*E4050</f>
        <v>3750</v>
      </c>
    </row>
    <row r="4051" spans="1:6" x14ac:dyDescent="0.25">
      <c r="A4051" s="111"/>
      <c r="B4051" s="134" t="s">
        <v>821</v>
      </c>
      <c r="C4051" s="115" t="s">
        <v>772</v>
      </c>
      <c r="D4051" s="124">
        <v>0.5</v>
      </c>
      <c r="E4051" s="117">
        <v>7500</v>
      </c>
      <c r="F4051" s="117">
        <f t="shared" si="97"/>
        <v>3750</v>
      </c>
    </row>
    <row r="4052" spans="1:6" x14ac:dyDescent="0.25">
      <c r="A4052" s="111"/>
      <c r="B4052" s="134" t="s">
        <v>895</v>
      </c>
      <c r="C4052" s="115" t="s">
        <v>772</v>
      </c>
      <c r="D4052" s="124">
        <v>0.25</v>
      </c>
      <c r="E4052" s="117">
        <v>15000</v>
      </c>
      <c r="F4052" s="117">
        <f t="shared" si="97"/>
        <v>3750</v>
      </c>
    </row>
    <row r="4053" spans="1:6" x14ac:dyDescent="0.25">
      <c r="A4053" s="111"/>
      <c r="B4053" s="134" t="s">
        <v>896</v>
      </c>
      <c r="C4053" s="115" t="s">
        <v>772</v>
      </c>
      <c r="D4053" s="124">
        <v>0.15</v>
      </c>
      <c r="E4053" s="117">
        <v>15000</v>
      </c>
      <c r="F4053" s="117">
        <f t="shared" si="97"/>
        <v>2250</v>
      </c>
    </row>
    <row r="4054" spans="1:6" x14ac:dyDescent="0.25">
      <c r="A4054" s="111"/>
      <c r="B4054" s="134" t="s">
        <v>773</v>
      </c>
      <c r="C4054" s="115" t="s">
        <v>772</v>
      </c>
      <c r="D4054" s="124">
        <v>0.5</v>
      </c>
      <c r="E4054" s="117">
        <v>15000</v>
      </c>
      <c r="F4054" s="117">
        <f t="shared" si="97"/>
        <v>7500</v>
      </c>
    </row>
    <row r="4055" spans="1:6" x14ac:dyDescent="0.25">
      <c r="A4055" s="111"/>
      <c r="B4055" s="134" t="s">
        <v>851</v>
      </c>
      <c r="C4055" s="115" t="s">
        <v>772</v>
      </c>
      <c r="D4055" s="124">
        <v>0.5</v>
      </c>
      <c r="E4055" s="117">
        <v>15000</v>
      </c>
      <c r="F4055" s="117">
        <f t="shared" si="97"/>
        <v>7500</v>
      </c>
    </row>
    <row r="4056" spans="1:6" x14ac:dyDescent="0.3">
      <c r="A4056" s="111"/>
      <c r="B4056" s="136" t="s">
        <v>774</v>
      </c>
      <c r="C4056" s="115"/>
      <c r="D4056" s="124"/>
      <c r="E4056" s="117"/>
      <c r="F4056" s="110">
        <f>SUM(F4050:F4055)</f>
        <v>28500</v>
      </c>
    </row>
    <row r="4057" spans="1:6" x14ac:dyDescent="0.3">
      <c r="A4057" s="111"/>
      <c r="B4057" s="136" t="s">
        <v>775</v>
      </c>
      <c r="C4057" s="115"/>
      <c r="D4057" s="109"/>
      <c r="E4057" s="110"/>
      <c r="F4057" s="110">
        <f>+F4056+F4048</f>
        <v>323899.5</v>
      </c>
    </row>
    <row r="4058" spans="1:6" x14ac:dyDescent="0.25">
      <c r="A4058" s="111"/>
      <c r="B4058" s="134" t="s">
        <v>776</v>
      </c>
      <c r="C4058" s="115"/>
      <c r="D4058" s="124">
        <v>1.25</v>
      </c>
      <c r="E4058" s="110"/>
      <c r="F4058" s="110">
        <f>+F4057*D4058</f>
        <v>404874.375</v>
      </c>
    </row>
    <row r="4059" spans="1:6" x14ac:dyDescent="0.25">
      <c r="A4059" s="111"/>
      <c r="B4059" s="134" t="s">
        <v>835</v>
      </c>
      <c r="C4059" s="115"/>
      <c r="D4059" s="124">
        <v>1.25</v>
      </c>
      <c r="E4059" s="110"/>
      <c r="F4059" s="110"/>
    </row>
    <row r="4060" spans="1:6" x14ac:dyDescent="0.35">
      <c r="A4060" s="261" t="s">
        <v>282</v>
      </c>
      <c r="B4060" s="242" t="s">
        <v>785</v>
      </c>
      <c r="C4060" s="208" t="s">
        <v>59</v>
      </c>
      <c r="D4060" s="208"/>
      <c r="E4060" s="209"/>
      <c r="F4060" s="209">
        <f>+D4059*F4058</f>
        <v>506092.96875</v>
      </c>
    </row>
    <row r="4061" spans="1:6" x14ac:dyDescent="0.35">
      <c r="A4061" s="206"/>
      <c r="B4061" s="207"/>
      <c r="C4061" s="208"/>
      <c r="D4061" s="208"/>
      <c r="E4061" s="210">
        <f>+E4035</f>
        <v>3035.45</v>
      </c>
      <c r="F4061" s="210">
        <f>+F4060/E4061</f>
        <v>166.72749304057061</v>
      </c>
    </row>
    <row r="4064" spans="1:6" x14ac:dyDescent="0.3">
      <c r="A4064" s="257" t="s">
        <v>227</v>
      </c>
      <c r="B4064" s="290" t="s">
        <v>228</v>
      </c>
      <c r="C4064" s="291"/>
      <c r="D4064" s="202" t="s">
        <v>765</v>
      </c>
      <c r="E4064" s="203" t="s">
        <v>766</v>
      </c>
      <c r="F4064" s="203" t="s">
        <v>767</v>
      </c>
    </row>
    <row r="4065" spans="1:6" x14ac:dyDescent="0.3">
      <c r="A4065" s="237" t="s">
        <v>277</v>
      </c>
      <c r="B4065" s="292" t="s">
        <v>640</v>
      </c>
      <c r="C4065" s="256"/>
      <c r="D4065" s="141"/>
      <c r="E4065" s="110"/>
      <c r="F4065" s="110"/>
    </row>
    <row r="4066" spans="1:6" x14ac:dyDescent="0.3">
      <c r="A4066" s="293" t="s">
        <v>284</v>
      </c>
      <c r="B4066" s="294" t="s">
        <v>285</v>
      </c>
      <c r="C4066" s="256" t="s">
        <v>59</v>
      </c>
      <c r="D4066" s="141"/>
      <c r="E4066" s="110"/>
      <c r="F4066" s="110"/>
    </row>
    <row r="4067" spans="1:6" x14ac:dyDescent="0.35">
      <c r="A4067" s="111"/>
      <c r="B4067" s="112" t="s">
        <v>802</v>
      </c>
      <c r="C4067" s="118"/>
      <c r="D4067" s="118"/>
      <c r="E4067" s="119"/>
      <c r="F4067" s="119"/>
    </row>
    <row r="4068" spans="1:6" x14ac:dyDescent="0.25">
      <c r="A4068" s="111"/>
      <c r="B4068" s="134" t="s">
        <v>942</v>
      </c>
      <c r="C4068" s="118" t="s">
        <v>27</v>
      </c>
      <c r="D4068" s="228">
        <f>2.64*2+1.5</f>
        <v>6.78</v>
      </c>
      <c r="E4068" s="119">
        <f>48000/6</f>
        <v>8000</v>
      </c>
      <c r="F4068" s="119">
        <f>+D4068*E4068</f>
        <v>54240</v>
      </c>
    </row>
    <row r="4069" spans="1:6" x14ac:dyDescent="0.25">
      <c r="A4069" s="111"/>
      <c r="B4069" s="134" t="s">
        <v>966</v>
      </c>
      <c r="C4069" s="118" t="s">
        <v>27</v>
      </c>
      <c r="D4069" s="228">
        <f>1.5*2</f>
        <v>3</v>
      </c>
      <c r="E4069" s="119">
        <f>48000/6</f>
        <v>8000</v>
      </c>
      <c r="F4069" s="119">
        <f>+D4069*E4069</f>
        <v>24000</v>
      </c>
    </row>
    <row r="4070" spans="1:6" x14ac:dyDescent="0.25">
      <c r="A4070" s="111"/>
      <c r="B4070" s="134" t="s">
        <v>968</v>
      </c>
      <c r="C4070" s="118" t="s">
        <v>27</v>
      </c>
      <c r="D4070" s="253">
        <v>1.5</v>
      </c>
      <c r="E4070" s="119">
        <f>160000/12</f>
        <v>13333.333333333334</v>
      </c>
      <c r="F4070" s="119">
        <f>+D4070*E4070</f>
        <v>20000</v>
      </c>
    </row>
    <row r="4071" spans="1:6" x14ac:dyDescent="0.25">
      <c r="A4071" s="111"/>
      <c r="B4071" s="134" t="s">
        <v>1320</v>
      </c>
      <c r="C4071" s="118" t="s">
        <v>35</v>
      </c>
      <c r="D4071" s="228">
        <f>2.64*1.5</f>
        <v>3.96</v>
      </c>
      <c r="E4071" s="119">
        <f>36000/(2.4*1.2)</f>
        <v>12500</v>
      </c>
      <c r="F4071" s="119">
        <f>+D4071*E4071</f>
        <v>49500</v>
      </c>
    </row>
    <row r="4072" spans="1:6" x14ac:dyDescent="0.25">
      <c r="A4072" s="111"/>
      <c r="B4072" s="134" t="s">
        <v>964</v>
      </c>
      <c r="C4072" s="118" t="s">
        <v>59</v>
      </c>
      <c r="D4072" s="253">
        <v>1</v>
      </c>
      <c r="E4072" s="119">
        <v>120000</v>
      </c>
      <c r="F4072" s="119">
        <f>+D4072*E4072</f>
        <v>120000</v>
      </c>
    </row>
    <row r="4073" spans="1:6" x14ac:dyDescent="0.35">
      <c r="A4073" s="111"/>
      <c r="B4073" s="120" t="s">
        <v>965</v>
      </c>
      <c r="C4073" s="118"/>
      <c r="D4073" s="118"/>
      <c r="E4073" s="119"/>
      <c r="F4073" s="119">
        <f>0.1*(F4072+F4071+F4068+F4069+F4070)</f>
        <v>26774</v>
      </c>
    </row>
    <row r="4074" spans="1:6" x14ac:dyDescent="0.35">
      <c r="A4074" s="107"/>
      <c r="B4074" s="108" t="s">
        <v>769</v>
      </c>
      <c r="C4074" s="109"/>
      <c r="D4074" s="124"/>
      <c r="E4074" s="117"/>
      <c r="F4074" s="110">
        <f>SUM(F4068:F4073)</f>
        <v>294514</v>
      </c>
    </row>
    <row r="4075" spans="1:6" x14ac:dyDescent="0.3">
      <c r="A4075" s="111"/>
      <c r="B4075" s="136" t="s">
        <v>808</v>
      </c>
      <c r="C4075" s="115"/>
      <c r="D4075" s="124"/>
      <c r="E4075" s="117"/>
      <c r="F4075" s="110"/>
    </row>
    <row r="4076" spans="1:6" x14ac:dyDescent="0.25">
      <c r="A4076" s="111"/>
      <c r="B4076" s="134" t="s">
        <v>820</v>
      </c>
      <c r="C4076" s="115" t="s">
        <v>772</v>
      </c>
      <c r="D4076" s="124">
        <v>0.5</v>
      </c>
      <c r="E4076" s="117">
        <v>7500</v>
      </c>
      <c r="F4076" s="117">
        <f t="shared" ref="F4076:F4081" si="98">+D4076*E4076</f>
        <v>3750</v>
      </c>
    </row>
    <row r="4077" spans="1:6" x14ac:dyDescent="0.25">
      <c r="A4077" s="111"/>
      <c r="B4077" s="134" t="s">
        <v>821</v>
      </c>
      <c r="C4077" s="115" t="s">
        <v>772</v>
      </c>
      <c r="D4077" s="124">
        <v>0.5</v>
      </c>
      <c r="E4077" s="117">
        <v>7500</v>
      </c>
      <c r="F4077" s="117">
        <f t="shared" si="98"/>
        <v>3750</v>
      </c>
    </row>
    <row r="4078" spans="1:6" x14ac:dyDescent="0.25">
      <c r="A4078" s="111"/>
      <c r="B4078" s="134" t="s">
        <v>895</v>
      </c>
      <c r="C4078" s="115" t="s">
        <v>772</v>
      </c>
      <c r="D4078" s="124">
        <v>0.25</v>
      </c>
      <c r="E4078" s="117">
        <v>15000</v>
      </c>
      <c r="F4078" s="117">
        <f t="shared" si="98"/>
        <v>3750</v>
      </c>
    </row>
    <row r="4079" spans="1:6" x14ac:dyDescent="0.25">
      <c r="A4079" s="111"/>
      <c r="B4079" s="134" t="s">
        <v>896</v>
      </c>
      <c r="C4079" s="115" t="s">
        <v>772</v>
      </c>
      <c r="D4079" s="124">
        <v>0.15</v>
      </c>
      <c r="E4079" s="117">
        <v>15000</v>
      </c>
      <c r="F4079" s="117">
        <f t="shared" si="98"/>
        <v>2250</v>
      </c>
    </row>
    <row r="4080" spans="1:6" x14ac:dyDescent="0.25">
      <c r="A4080" s="111"/>
      <c r="B4080" s="134" t="s">
        <v>773</v>
      </c>
      <c r="C4080" s="115" t="s">
        <v>772</v>
      </c>
      <c r="D4080" s="124">
        <v>0.5</v>
      </c>
      <c r="E4080" s="117">
        <v>15000</v>
      </c>
      <c r="F4080" s="117">
        <f t="shared" si="98"/>
        <v>7500</v>
      </c>
    </row>
    <row r="4081" spans="1:6" x14ac:dyDescent="0.25">
      <c r="A4081" s="111"/>
      <c r="B4081" s="134" t="s">
        <v>851</v>
      </c>
      <c r="C4081" s="115" t="s">
        <v>772</v>
      </c>
      <c r="D4081" s="124">
        <v>0.5</v>
      </c>
      <c r="E4081" s="117">
        <v>15000</v>
      </c>
      <c r="F4081" s="117">
        <f t="shared" si="98"/>
        <v>7500</v>
      </c>
    </row>
    <row r="4082" spans="1:6" x14ac:dyDescent="0.3">
      <c r="A4082" s="111"/>
      <c r="B4082" s="136" t="s">
        <v>774</v>
      </c>
      <c r="C4082" s="115"/>
      <c r="D4082" s="124"/>
      <c r="E4082" s="117"/>
      <c r="F4082" s="110">
        <f>SUM(F4076:F4081)</f>
        <v>28500</v>
      </c>
    </row>
    <row r="4083" spans="1:6" x14ac:dyDescent="0.3">
      <c r="A4083" s="111"/>
      <c r="B4083" s="136" t="s">
        <v>775</v>
      </c>
      <c r="C4083" s="115"/>
      <c r="D4083" s="109"/>
      <c r="E4083" s="110"/>
      <c r="F4083" s="110">
        <f>+F4082+F4074</f>
        <v>323014</v>
      </c>
    </row>
    <row r="4084" spans="1:6" x14ac:dyDescent="0.25">
      <c r="A4084" s="111"/>
      <c r="B4084" s="134" t="s">
        <v>776</v>
      </c>
      <c r="C4084" s="115"/>
      <c r="D4084" s="124">
        <v>1.25</v>
      </c>
      <c r="E4084" s="110"/>
      <c r="F4084" s="110">
        <f>+F4083*D4084</f>
        <v>403767.5</v>
      </c>
    </row>
    <row r="4085" spans="1:6" x14ac:dyDescent="0.25">
      <c r="A4085" s="111"/>
      <c r="B4085" s="134" t="s">
        <v>835</v>
      </c>
      <c r="C4085" s="115"/>
      <c r="D4085" s="124">
        <v>1.25</v>
      </c>
      <c r="E4085" s="110"/>
      <c r="F4085" s="110"/>
    </row>
    <row r="4086" spans="1:6" x14ac:dyDescent="0.35">
      <c r="A4086" s="261" t="s">
        <v>284</v>
      </c>
      <c r="B4086" s="242" t="s">
        <v>785</v>
      </c>
      <c r="C4086" s="208" t="s">
        <v>59</v>
      </c>
      <c r="D4086" s="208"/>
      <c r="E4086" s="209"/>
      <c r="F4086" s="209">
        <f>+D4085*F4084</f>
        <v>504709.375</v>
      </c>
    </row>
    <row r="4087" spans="1:6" x14ac:dyDescent="0.35">
      <c r="A4087" s="206"/>
      <c r="B4087" s="207"/>
      <c r="C4087" s="208"/>
      <c r="D4087" s="208"/>
      <c r="E4087" s="210">
        <f>+E4061</f>
        <v>3035.45</v>
      </c>
      <c r="F4087" s="210">
        <f>+F4086/E4087</f>
        <v>166.27168129931312</v>
      </c>
    </row>
    <row r="4090" spans="1:6" x14ac:dyDescent="0.3">
      <c r="A4090" s="257" t="s">
        <v>227</v>
      </c>
      <c r="B4090" s="290" t="s">
        <v>228</v>
      </c>
      <c r="C4090" s="200" t="s">
        <v>2</v>
      </c>
      <c r="D4090" s="202" t="s">
        <v>765</v>
      </c>
      <c r="E4090" s="203" t="s">
        <v>766</v>
      </c>
      <c r="F4090" s="203" t="s">
        <v>767</v>
      </c>
    </row>
    <row r="4091" spans="1:6" x14ac:dyDescent="0.3">
      <c r="A4091" s="237" t="s">
        <v>277</v>
      </c>
      <c r="B4091" s="292" t="s">
        <v>640</v>
      </c>
      <c r="C4091" s="256"/>
      <c r="D4091" s="141"/>
      <c r="E4091" s="110"/>
      <c r="F4091" s="110"/>
    </row>
    <row r="4092" spans="1:6" x14ac:dyDescent="0.3">
      <c r="A4092" s="293" t="s">
        <v>286</v>
      </c>
      <c r="B4092" s="294" t="s">
        <v>287</v>
      </c>
      <c r="C4092" s="256" t="s">
        <v>59</v>
      </c>
      <c r="D4092" s="141"/>
      <c r="E4092" s="110"/>
      <c r="F4092" s="110"/>
    </row>
    <row r="4093" spans="1:6" x14ac:dyDescent="0.35">
      <c r="A4093" s="111"/>
      <c r="B4093" s="112" t="s">
        <v>802</v>
      </c>
      <c r="C4093" s="118"/>
      <c r="D4093" s="118"/>
      <c r="E4093" s="119"/>
      <c r="F4093" s="119"/>
    </row>
    <row r="4094" spans="1:6" x14ac:dyDescent="0.25">
      <c r="A4094" s="111"/>
      <c r="B4094" s="134" t="s">
        <v>942</v>
      </c>
      <c r="C4094" s="118" t="s">
        <v>27</v>
      </c>
      <c r="D4094" s="228">
        <f>2.64*2+1.215</f>
        <v>6.4950000000000001</v>
      </c>
      <c r="E4094" s="119">
        <f>48000/6</f>
        <v>8000</v>
      </c>
      <c r="F4094" s="119">
        <f>+D4094*E4094</f>
        <v>51960</v>
      </c>
    </row>
    <row r="4095" spans="1:6" x14ac:dyDescent="0.25">
      <c r="A4095" s="111"/>
      <c r="B4095" s="134" t="s">
        <v>966</v>
      </c>
      <c r="C4095" s="118" t="s">
        <v>27</v>
      </c>
      <c r="D4095" s="228">
        <f>1.215*2</f>
        <v>2.4300000000000002</v>
      </c>
      <c r="E4095" s="119">
        <f>48000/6</f>
        <v>8000</v>
      </c>
      <c r="F4095" s="119">
        <f>+D4095*E4095</f>
        <v>19440</v>
      </c>
    </row>
    <row r="4096" spans="1:6" x14ac:dyDescent="0.25">
      <c r="A4096" s="111"/>
      <c r="B4096" s="134" t="s">
        <v>968</v>
      </c>
      <c r="C4096" s="118" t="s">
        <v>27</v>
      </c>
      <c r="D4096" s="253">
        <v>1.2150000000000001</v>
      </c>
      <c r="E4096" s="119">
        <f>160000/12</f>
        <v>13333.333333333334</v>
      </c>
      <c r="F4096" s="119">
        <f>+D4096*E4096</f>
        <v>16200.000000000002</v>
      </c>
    </row>
    <row r="4097" spans="1:6" x14ac:dyDescent="0.25">
      <c r="A4097" s="111"/>
      <c r="B4097" s="134" t="s">
        <v>1320</v>
      </c>
      <c r="C4097" s="118" t="s">
        <v>35</v>
      </c>
      <c r="D4097" s="228">
        <f>2.64*1.215</f>
        <v>3.2076000000000002</v>
      </c>
      <c r="E4097" s="119">
        <f>36000/(2.4*1.2)</f>
        <v>12500</v>
      </c>
      <c r="F4097" s="119">
        <f>+D4097*E4097</f>
        <v>40095</v>
      </c>
    </row>
    <row r="4098" spans="1:6" x14ac:dyDescent="0.25">
      <c r="A4098" s="111"/>
      <c r="B4098" s="134" t="s">
        <v>964</v>
      </c>
      <c r="C4098" s="118" t="s">
        <v>59</v>
      </c>
      <c r="D4098" s="253">
        <v>1</v>
      </c>
      <c r="E4098" s="119">
        <v>120000</v>
      </c>
      <c r="F4098" s="119">
        <f>+D4098*E4098</f>
        <v>120000</v>
      </c>
    </row>
    <row r="4099" spans="1:6" x14ac:dyDescent="0.35">
      <c r="A4099" s="111"/>
      <c r="B4099" s="120" t="s">
        <v>965</v>
      </c>
      <c r="C4099" s="118"/>
      <c r="D4099" s="118"/>
      <c r="E4099" s="119"/>
      <c r="F4099" s="119">
        <f>0.1*(F4098+F4097+F4094+F4095+F4096)</f>
        <v>24769.5</v>
      </c>
    </row>
    <row r="4100" spans="1:6" x14ac:dyDescent="0.35">
      <c r="A4100" s="107"/>
      <c r="B4100" s="108" t="s">
        <v>769</v>
      </c>
      <c r="C4100" s="109"/>
      <c r="D4100" s="124"/>
      <c r="E4100" s="117"/>
      <c r="F4100" s="110">
        <f>SUM(F4094:F4099)</f>
        <v>272464.5</v>
      </c>
    </row>
    <row r="4101" spans="1:6" x14ac:dyDescent="0.3">
      <c r="A4101" s="111"/>
      <c r="B4101" s="136" t="s">
        <v>808</v>
      </c>
      <c r="C4101" s="115"/>
      <c r="D4101" s="124"/>
      <c r="E4101" s="117"/>
      <c r="F4101" s="110"/>
    </row>
    <row r="4102" spans="1:6" x14ac:dyDescent="0.25">
      <c r="A4102" s="111"/>
      <c r="B4102" s="134" t="s">
        <v>820</v>
      </c>
      <c r="C4102" s="115" t="s">
        <v>772</v>
      </c>
      <c r="D4102" s="124">
        <v>0.5</v>
      </c>
      <c r="E4102" s="117">
        <v>7500</v>
      </c>
      <c r="F4102" s="117">
        <f t="shared" ref="F4102:F4107" si="99">+D4102*E4102</f>
        <v>3750</v>
      </c>
    </row>
    <row r="4103" spans="1:6" x14ac:dyDescent="0.25">
      <c r="A4103" s="111"/>
      <c r="B4103" s="134" t="s">
        <v>821</v>
      </c>
      <c r="C4103" s="115" t="s">
        <v>772</v>
      </c>
      <c r="D4103" s="124">
        <v>0.5</v>
      </c>
      <c r="E4103" s="117">
        <v>7500</v>
      </c>
      <c r="F4103" s="117">
        <f t="shared" si="99"/>
        <v>3750</v>
      </c>
    </row>
    <row r="4104" spans="1:6" x14ac:dyDescent="0.25">
      <c r="A4104" s="111"/>
      <c r="B4104" s="134" t="s">
        <v>895</v>
      </c>
      <c r="C4104" s="115" t="s">
        <v>772</v>
      </c>
      <c r="D4104" s="124">
        <v>0.25</v>
      </c>
      <c r="E4104" s="117">
        <v>15000</v>
      </c>
      <c r="F4104" s="117">
        <f t="shared" si="99"/>
        <v>3750</v>
      </c>
    </row>
    <row r="4105" spans="1:6" x14ac:dyDescent="0.25">
      <c r="A4105" s="111"/>
      <c r="B4105" s="134" t="s">
        <v>896</v>
      </c>
      <c r="C4105" s="115" t="s">
        <v>772</v>
      </c>
      <c r="D4105" s="124">
        <v>0.15</v>
      </c>
      <c r="E4105" s="117">
        <v>15000</v>
      </c>
      <c r="F4105" s="117">
        <f t="shared" si="99"/>
        <v>2250</v>
      </c>
    </row>
    <row r="4106" spans="1:6" x14ac:dyDescent="0.25">
      <c r="A4106" s="111"/>
      <c r="B4106" s="134" t="s">
        <v>773</v>
      </c>
      <c r="C4106" s="115" t="s">
        <v>772</v>
      </c>
      <c r="D4106" s="124">
        <v>0.5</v>
      </c>
      <c r="E4106" s="117">
        <v>15000</v>
      </c>
      <c r="F4106" s="117">
        <f t="shared" si="99"/>
        <v>7500</v>
      </c>
    </row>
    <row r="4107" spans="1:6" x14ac:dyDescent="0.25">
      <c r="A4107" s="111"/>
      <c r="B4107" s="134" t="s">
        <v>851</v>
      </c>
      <c r="C4107" s="115" t="s">
        <v>772</v>
      </c>
      <c r="D4107" s="124">
        <v>0.5</v>
      </c>
      <c r="E4107" s="117">
        <v>15000</v>
      </c>
      <c r="F4107" s="117">
        <f t="shared" si="99"/>
        <v>7500</v>
      </c>
    </row>
    <row r="4108" spans="1:6" x14ac:dyDescent="0.3">
      <c r="A4108" s="111"/>
      <c r="B4108" s="136" t="s">
        <v>774</v>
      </c>
      <c r="C4108" s="115"/>
      <c r="D4108" s="124"/>
      <c r="E4108" s="117"/>
      <c r="F4108" s="110">
        <f>SUM(F4102:F4107)</f>
        <v>28500</v>
      </c>
    </row>
    <row r="4109" spans="1:6" x14ac:dyDescent="0.3">
      <c r="A4109" s="111"/>
      <c r="B4109" s="136" t="s">
        <v>775</v>
      </c>
      <c r="C4109" s="115"/>
      <c r="D4109" s="109"/>
      <c r="E4109" s="110"/>
      <c r="F4109" s="110">
        <f>+F4108+F4100</f>
        <v>300964.5</v>
      </c>
    </row>
    <row r="4110" spans="1:6" x14ac:dyDescent="0.25">
      <c r="A4110" s="111"/>
      <c r="B4110" s="134" t="s">
        <v>776</v>
      </c>
      <c r="C4110" s="115"/>
      <c r="D4110" s="124">
        <v>1.25</v>
      </c>
      <c r="E4110" s="110"/>
      <c r="F4110" s="110">
        <f>+F4109*D4110</f>
        <v>376205.625</v>
      </c>
    </row>
    <row r="4111" spans="1:6" x14ac:dyDescent="0.25">
      <c r="A4111" s="111"/>
      <c r="B4111" s="134" t="s">
        <v>835</v>
      </c>
      <c r="C4111" s="115"/>
      <c r="D4111" s="124">
        <v>1.25</v>
      </c>
      <c r="E4111" s="110"/>
      <c r="F4111" s="110"/>
    </row>
    <row r="4112" spans="1:6" x14ac:dyDescent="0.35">
      <c r="A4112" s="261" t="s">
        <v>286</v>
      </c>
      <c r="B4112" s="242" t="s">
        <v>785</v>
      </c>
      <c r="C4112" s="208" t="s">
        <v>59</v>
      </c>
      <c r="D4112" s="208"/>
      <c r="E4112" s="209"/>
      <c r="F4112" s="209">
        <f>+D4111*F4110</f>
        <v>470257.03125</v>
      </c>
    </row>
    <row r="4113" spans="1:6" x14ac:dyDescent="0.35">
      <c r="A4113" s="206"/>
      <c r="B4113" s="207"/>
      <c r="C4113" s="208"/>
      <c r="D4113" s="208"/>
      <c r="E4113" s="210">
        <f>+E4087</f>
        <v>3035.45</v>
      </c>
      <c r="F4113" s="210">
        <f>+F4112/E4113</f>
        <v>154.92168582911924</v>
      </c>
    </row>
    <row r="4116" spans="1:6" x14ac:dyDescent="0.3">
      <c r="A4116" s="257" t="s">
        <v>227</v>
      </c>
      <c r="B4116" s="258" t="s">
        <v>228</v>
      </c>
      <c r="C4116" s="200" t="s">
        <v>2</v>
      </c>
      <c r="D4116" s="202" t="s">
        <v>765</v>
      </c>
      <c r="E4116" s="203" t="s">
        <v>766</v>
      </c>
      <c r="F4116" s="203" t="s">
        <v>767</v>
      </c>
    </row>
    <row r="4117" spans="1:6" x14ac:dyDescent="0.3">
      <c r="A4117" s="237" t="s">
        <v>288</v>
      </c>
      <c r="B4117" s="297" t="s">
        <v>1322</v>
      </c>
      <c r="C4117" s="256"/>
      <c r="E4117" s="110"/>
      <c r="F4117" s="110"/>
    </row>
    <row r="4118" spans="1:6" x14ac:dyDescent="0.3">
      <c r="A4118" s="239" t="s">
        <v>289</v>
      </c>
      <c r="B4118" s="298" t="s">
        <v>290</v>
      </c>
      <c r="C4118" s="256" t="s">
        <v>59</v>
      </c>
      <c r="D4118" s="141"/>
      <c r="E4118" s="110"/>
      <c r="F4118" s="110"/>
    </row>
    <row r="4119" spans="1:6" x14ac:dyDescent="0.35">
      <c r="A4119" s="111"/>
      <c r="B4119" s="112" t="s">
        <v>802</v>
      </c>
      <c r="C4119" s="118"/>
      <c r="D4119" s="141"/>
      <c r="E4119" s="119"/>
      <c r="F4119" s="119"/>
    </row>
    <row r="4120" spans="1:6" x14ac:dyDescent="0.25">
      <c r="A4120" s="111"/>
      <c r="B4120" s="134" t="s">
        <v>942</v>
      </c>
      <c r="C4120" s="118" t="s">
        <v>27</v>
      </c>
      <c r="D4120" s="118">
        <f>(0.93+2.86)*2</f>
        <v>7.58</v>
      </c>
      <c r="E4120" s="119">
        <f>48000/6</f>
        <v>8000</v>
      </c>
      <c r="F4120" s="119">
        <f t="shared" ref="F4120:F4128" si="100">+D4120*E4120</f>
        <v>60640</v>
      </c>
    </row>
    <row r="4121" spans="1:6" x14ac:dyDescent="0.25">
      <c r="A4121" s="111"/>
      <c r="B4121" s="134" t="s">
        <v>957</v>
      </c>
      <c r="C4121" s="118" t="s">
        <v>27</v>
      </c>
      <c r="D4121" s="228">
        <f>+(2.1+0.93)*2</f>
        <v>6.0600000000000005</v>
      </c>
      <c r="E4121" s="119">
        <f>42500/6</f>
        <v>7083.333333333333</v>
      </c>
      <c r="F4121" s="119">
        <f t="shared" si="100"/>
        <v>42925</v>
      </c>
    </row>
    <row r="4122" spans="1:6" x14ac:dyDescent="0.25">
      <c r="A4122" s="111"/>
      <c r="B4122" s="134" t="s">
        <v>971</v>
      </c>
      <c r="C4122" s="118" t="s">
        <v>35</v>
      </c>
      <c r="D4122" s="228">
        <f>0.93*1</f>
        <v>0.93</v>
      </c>
      <c r="E4122" s="119">
        <f>85000/(1.2*2.4)</f>
        <v>29513.888888888891</v>
      </c>
      <c r="F4122" s="119">
        <f t="shared" si="100"/>
        <v>27447.916666666668</v>
      </c>
    </row>
    <row r="4123" spans="1:6" x14ac:dyDescent="0.25">
      <c r="A4123" s="111"/>
      <c r="B4123" s="134" t="s">
        <v>1323</v>
      </c>
      <c r="C4123" s="118" t="s">
        <v>35</v>
      </c>
      <c r="D4123" s="228">
        <f>(0.93+1.86)*2</f>
        <v>5.58</v>
      </c>
      <c r="E4123" s="119">
        <f>30000/(1.2*2.4)</f>
        <v>10416.666666666668</v>
      </c>
      <c r="F4123" s="119">
        <f t="shared" si="100"/>
        <v>58125.000000000007</v>
      </c>
    </row>
    <row r="4124" spans="1:6" x14ac:dyDescent="0.25">
      <c r="A4124" s="111"/>
      <c r="B4124" s="134" t="s">
        <v>958</v>
      </c>
      <c r="C4124" s="118" t="s">
        <v>27</v>
      </c>
      <c r="D4124" s="154">
        <f>0.93</f>
        <v>0.93</v>
      </c>
      <c r="E4124" s="119">
        <f>160000/12</f>
        <v>13333.333333333334</v>
      </c>
      <c r="F4124" s="119">
        <f t="shared" si="100"/>
        <v>12400.000000000002</v>
      </c>
    </row>
    <row r="4125" spans="1:6" x14ac:dyDescent="0.25">
      <c r="A4125" s="111"/>
      <c r="B4125" s="134" t="s">
        <v>959</v>
      </c>
      <c r="C4125" s="118" t="s">
        <v>27</v>
      </c>
      <c r="D4125" s="228">
        <v>0</v>
      </c>
      <c r="E4125" s="119">
        <f>25000/6</f>
        <v>4166.666666666667</v>
      </c>
      <c r="F4125" s="119">
        <f t="shared" si="100"/>
        <v>0</v>
      </c>
    </row>
    <row r="4126" spans="1:6" x14ac:dyDescent="0.25">
      <c r="A4126" s="111"/>
      <c r="B4126" s="134" t="s">
        <v>960</v>
      </c>
      <c r="C4126" s="118" t="s">
        <v>27</v>
      </c>
      <c r="D4126" s="253">
        <f>(0.93+0.76)*2</f>
        <v>3.38</v>
      </c>
      <c r="E4126" s="119">
        <f>42000/6</f>
        <v>7000</v>
      </c>
      <c r="F4126" s="119">
        <f t="shared" si="100"/>
        <v>23660</v>
      </c>
    </row>
    <row r="4127" spans="1:6" x14ac:dyDescent="0.25">
      <c r="A4127" s="111"/>
      <c r="B4127" s="134" t="s">
        <v>961</v>
      </c>
      <c r="C4127" s="118" t="s">
        <v>35</v>
      </c>
      <c r="D4127" s="299">
        <f>0.93*2.86</f>
        <v>2.6598000000000002</v>
      </c>
      <c r="E4127" s="119">
        <f>72000/4</f>
        <v>18000</v>
      </c>
      <c r="F4127" s="119">
        <f t="shared" si="100"/>
        <v>47876.4</v>
      </c>
    </row>
    <row r="4128" spans="1:6" x14ac:dyDescent="0.25">
      <c r="A4128" s="111"/>
      <c r="B4128" s="134" t="s">
        <v>962</v>
      </c>
      <c r="C4128" s="118" t="s">
        <v>35</v>
      </c>
      <c r="D4128" s="299">
        <f>0.93*2.86</f>
        <v>2.6598000000000002</v>
      </c>
      <c r="E4128" s="119">
        <f>75000/4</f>
        <v>18750</v>
      </c>
      <c r="F4128" s="119">
        <f t="shared" si="100"/>
        <v>49871.25</v>
      </c>
    </row>
    <row r="4129" spans="1:6" x14ac:dyDescent="0.25">
      <c r="A4129" s="111"/>
      <c r="B4129" s="120" t="s">
        <v>952</v>
      </c>
      <c r="C4129" s="118"/>
      <c r="D4129" s="155"/>
      <c r="E4129" s="119"/>
      <c r="F4129" s="119">
        <f>0.1*(F4128+F4127+F4126+F4125+F4124+F4123+F4120+F4121)</f>
        <v>29549.765000000003</v>
      </c>
    </row>
    <row r="4130" spans="1:6" x14ac:dyDescent="0.35">
      <c r="A4130" s="107"/>
      <c r="B4130" s="108" t="s">
        <v>769</v>
      </c>
      <c r="C4130" s="109"/>
      <c r="D4130" s="118"/>
      <c r="E4130" s="117"/>
      <c r="F4130" s="110">
        <f>SUM(F4120:F4129)</f>
        <v>352495.33166666672</v>
      </c>
    </row>
    <row r="4131" spans="1:6" x14ac:dyDescent="0.3">
      <c r="A4131" s="111"/>
      <c r="B4131" s="136" t="s">
        <v>808</v>
      </c>
      <c r="C4131" s="115"/>
      <c r="D4131" s="124"/>
      <c r="E4131" s="117"/>
      <c r="F4131" s="110"/>
    </row>
    <row r="4132" spans="1:6" x14ac:dyDescent="0.25">
      <c r="A4132" s="111"/>
      <c r="B4132" s="134" t="s">
        <v>820</v>
      </c>
      <c r="C4132" s="115" t="s">
        <v>772</v>
      </c>
      <c r="D4132" s="124">
        <v>0.25</v>
      </c>
      <c r="E4132" s="117">
        <v>7500</v>
      </c>
      <c r="F4132" s="117">
        <f t="shared" ref="F4132:F4137" si="101">+D4132*E4132</f>
        <v>1875</v>
      </c>
    </row>
    <row r="4133" spans="1:6" x14ac:dyDescent="0.25">
      <c r="A4133" s="111"/>
      <c r="B4133" s="134" t="s">
        <v>821</v>
      </c>
      <c r="C4133" s="115" t="s">
        <v>772</v>
      </c>
      <c r="D4133" s="124">
        <v>0.25</v>
      </c>
      <c r="E4133" s="117">
        <v>7500</v>
      </c>
      <c r="F4133" s="117">
        <f t="shared" si="101"/>
        <v>1875</v>
      </c>
    </row>
    <row r="4134" spans="1:6" x14ac:dyDescent="0.25">
      <c r="A4134" s="111"/>
      <c r="B4134" s="134" t="s">
        <v>895</v>
      </c>
      <c r="C4134" s="115" t="s">
        <v>772</v>
      </c>
      <c r="D4134" s="124">
        <v>1</v>
      </c>
      <c r="E4134" s="117">
        <v>15000</v>
      </c>
      <c r="F4134" s="117">
        <f t="shared" si="101"/>
        <v>15000</v>
      </c>
    </row>
    <row r="4135" spans="1:6" x14ac:dyDescent="0.25">
      <c r="A4135" s="111"/>
      <c r="B4135" s="134" t="s">
        <v>896</v>
      </c>
      <c r="C4135" s="115" t="s">
        <v>772</v>
      </c>
      <c r="D4135" s="124">
        <v>0.15</v>
      </c>
      <c r="E4135" s="117">
        <v>15000</v>
      </c>
      <c r="F4135" s="117">
        <f t="shared" si="101"/>
        <v>2250</v>
      </c>
    </row>
    <row r="4136" spans="1:6" x14ac:dyDescent="0.25">
      <c r="A4136" s="111"/>
      <c r="B4136" s="134" t="s">
        <v>851</v>
      </c>
      <c r="C4136" s="115" t="s">
        <v>772</v>
      </c>
      <c r="D4136" s="124">
        <v>1</v>
      </c>
      <c r="E4136" s="117">
        <v>15000</v>
      </c>
      <c r="F4136" s="117">
        <f t="shared" si="101"/>
        <v>15000</v>
      </c>
    </row>
    <row r="4137" spans="1:6" x14ac:dyDescent="0.25">
      <c r="A4137" s="111"/>
      <c r="B4137" s="134" t="s">
        <v>953</v>
      </c>
      <c r="C4137" s="115" t="s">
        <v>772</v>
      </c>
      <c r="D4137" s="124">
        <v>0.45</v>
      </c>
      <c r="E4137" s="117">
        <v>15000</v>
      </c>
      <c r="F4137" s="117">
        <f t="shared" si="101"/>
        <v>6750</v>
      </c>
    </row>
    <row r="4138" spans="1:6" x14ac:dyDescent="0.3">
      <c r="A4138" s="111"/>
      <c r="B4138" s="136" t="s">
        <v>774</v>
      </c>
      <c r="C4138" s="115"/>
      <c r="D4138" s="124"/>
      <c r="E4138" s="117"/>
      <c r="F4138" s="110">
        <f>SUM(F4132:F4137)</f>
        <v>42750</v>
      </c>
    </row>
    <row r="4139" spans="1:6" x14ac:dyDescent="0.3">
      <c r="A4139" s="111"/>
      <c r="B4139" s="136" t="s">
        <v>775</v>
      </c>
      <c r="C4139" s="115"/>
      <c r="D4139" s="124"/>
      <c r="E4139" s="110"/>
      <c r="F4139" s="110">
        <f>+F4138+F4130</f>
        <v>395245.33166666672</v>
      </c>
    </row>
    <row r="4140" spans="1:6" x14ac:dyDescent="0.25">
      <c r="A4140" s="111"/>
      <c r="B4140" s="134" t="s">
        <v>956</v>
      </c>
      <c r="C4140" s="115"/>
      <c r="D4140" s="124">
        <v>1.02</v>
      </c>
      <c r="E4140" s="110"/>
      <c r="F4140" s="110">
        <f>+F4139*D4140</f>
        <v>403150.23830000008</v>
      </c>
    </row>
    <row r="4141" spans="1:6" x14ac:dyDescent="0.25">
      <c r="A4141" s="111"/>
      <c r="B4141" s="134" t="s">
        <v>848</v>
      </c>
      <c r="C4141" s="115"/>
      <c r="D4141" s="124">
        <v>1.05</v>
      </c>
      <c r="E4141" s="110"/>
      <c r="F4141" s="110"/>
    </row>
    <row r="4142" spans="1:6" x14ac:dyDescent="0.35">
      <c r="A4142" s="261" t="s">
        <v>289</v>
      </c>
      <c r="B4142" s="242" t="s">
        <v>785</v>
      </c>
      <c r="C4142" s="208" t="s">
        <v>59</v>
      </c>
      <c r="D4142" s="300"/>
      <c r="E4142" s="209"/>
      <c r="F4142" s="209">
        <f>+D4141*F4140</f>
        <v>423307.75021500012</v>
      </c>
    </row>
    <row r="4143" spans="1:6" x14ac:dyDescent="0.35">
      <c r="A4143" s="206"/>
      <c r="B4143" s="207"/>
      <c r="C4143" s="208"/>
      <c r="D4143" s="208"/>
      <c r="E4143" s="210">
        <f>+E4113</f>
        <v>3035.45</v>
      </c>
      <c r="F4143" s="210">
        <f>+F4142/E4143</f>
        <v>139.45469377357563</v>
      </c>
    </row>
    <row r="4146" spans="1:6" x14ac:dyDescent="0.3">
      <c r="A4146" s="257" t="s">
        <v>227</v>
      </c>
      <c r="B4146" s="258" t="s">
        <v>228</v>
      </c>
      <c r="C4146" s="200" t="s">
        <v>2</v>
      </c>
      <c r="D4146" s="202" t="s">
        <v>765</v>
      </c>
      <c r="E4146" s="203" t="s">
        <v>766</v>
      </c>
      <c r="F4146" s="203" t="s">
        <v>767</v>
      </c>
    </row>
    <row r="4147" spans="1:6" x14ac:dyDescent="0.3">
      <c r="A4147" s="237" t="s">
        <v>288</v>
      </c>
      <c r="B4147" s="297" t="s">
        <v>1322</v>
      </c>
      <c r="C4147" s="256"/>
      <c r="E4147" s="110"/>
      <c r="F4147" s="110"/>
    </row>
    <row r="4148" spans="1:6" x14ac:dyDescent="0.3">
      <c r="A4148" s="239" t="s">
        <v>291</v>
      </c>
      <c r="B4148" s="301" t="s">
        <v>292</v>
      </c>
      <c r="C4148" s="256" t="s">
        <v>59</v>
      </c>
      <c r="D4148" s="141"/>
      <c r="E4148" s="110"/>
      <c r="F4148" s="110"/>
    </row>
    <row r="4149" spans="1:6" x14ac:dyDescent="0.35">
      <c r="A4149" s="111"/>
      <c r="B4149" s="112" t="s">
        <v>802</v>
      </c>
      <c r="C4149" s="118"/>
      <c r="D4149" s="141"/>
      <c r="E4149" s="119"/>
      <c r="F4149" s="119"/>
    </row>
    <row r="4150" spans="1:6" x14ac:dyDescent="0.25">
      <c r="A4150" s="111"/>
      <c r="B4150" s="134" t="s">
        <v>942</v>
      </c>
      <c r="C4150" s="118" t="s">
        <v>27</v>
      </c>
      <c r="D4150" s="118">
        <f>(0.8+2.86)*2</f>
        <v>7.32</v>
      </c>
      <c r="E4150" s="119">
        <f>48000/6</f>
        <v>8000</v>
      </c>
      <c r="F4150" s="119">
        <f>+D4150*E4150</f>
        <v>58560</v>
      </c>
    </row>
    <row r="4151" spans="1:6" x14ac:dyDescent="0.25">
      <c r="A4151" s="111"/>
      <c r="B4151" s="134" t="s">
        <v>957</v>
      </c>
      <c r="C4151" s="118" t="s">
        <v>27</v>
      </c>
      <c r="D4151" s="228">
        <f>+(2.1+0.8)*2</f>
        <v>5.8000000000000007</v>
      </c>
      <c r="E4151" s="119">
        <f>42500/6</f>
        <v>7083.333333333333</v>
      </c>
      <c r="F4151" s="119">
        <f t="shared" ref="F4151:F4158" si="102">+D4151*E4151</f>
        <v>41083.333333333336</v>
      </c>
    </row>
    <row r="4152" spans="1:6" x14ac:dyDescent="0.25">
      <c r="A4152" s="111"/>
      <c r="B4152" s="134" t="s">
        <v>971</v>
      </c>
      <c r="C4152" s="118" t="s">
        <v>35</v>
      </c>
      <c r="D4152" s="228">
        <f>0.8*1</f>
        <v>0.8</v>
      </c>
      <c r="E4152" s="119">
        <f>85000/(1.2*2.4)</f>
        <v>29513.888888888891</v>
      </c>
      <c r="F4152" s="119">
        <f t="shared" si="102"/>
        <v>23611.111111111113</v>
      </c>
    </row>
    <row r="4153" spans="1:6" x14ac:dyDescent="0.25">
      <c r="A4153" s="111"/>
      <c r="B4153" s="134" t="s">
        <v>1323</v>
      </c>
      <c r="C4153" s="118" t="s">
        <v>35</v>
      </c>
      <c r="D4153" s="228">
        <f>(0.8+1.86)*2</f>
        <v>5.32</v>
      </c>
      <c r="E4153" s="119">
        <f>30000/(1.2*2.4)</f>
        <v>10416.666666666668</v>
      </c>
      <c r="F4153" s="119">
        <f t="shared" si="102"/>
        <v>55416.666666666679</v>
      </c>
    </row>
    <row r="4154" spans="1:6" x14ac:dyDescent="0.25">
      <c r="A4154" s="111"/>
      <c r="B4154" s="134" t="s">
        <v>958</v>
      </c>
      <c r="C4154" s="118" t="s">
        <v>27</v>
      </c>
      <c r="D4154" s="154">
        <f>0.8</f>
        <v>0.8</v>
      </c>
      <c r="E4154" s="119">
        <f>160000/12</f>
        <v>13333.333333333334</v>
      </c>
      <c r="F4154" s="119">
        <f t="shared" si="102"/>
        <v>10666.666666666668</v>
      </c>
    </row>
    <row r="4155" spans="1:6" x14ac:dyDescent="0.25">
      <c r="A4155" s="111"/>
      <c r="B4155" s="134" t="s">
        <v>959</v>
      </c>
      <c r="C4155" s="118" t="s">
        <v>27</v>
      </c>
      <c r="D4155" s="228">
        <v>0</v>
      </c>
      <c r="E4155" s="119">
        <f>25000/6</f>
        <v>4166.666666666667</v>
      </c>
      <c r="F4155" s="119">
        <f t="shared" si="102"/>
        <v>0</v>
      </c>
    </row>
    <row r="4156" spans="1:6" x14ac:dyDescent="0.25">
      <c r="A4156" s="111"/>
      <c r="B4156" s="134" t="s">
        <v>960</v>
      </c>
      <c r="C4156" s="118" t="s">
        <v>27</v>
      </c>
      <c r="D4156" s="253">
        <f>(0.8+0.76)*2</f>
        <v>3.12</v>
      </c>
      <c r="E4156" s="119">
        <f>42000/6</f>
        <v>7000</v>
      </c>
      <c r="F4156" s="119">
        <f t="shared" si="102"/>
        <v>21840</v>
      </c>
    </row>
    <row r="4157" spans="1:6" x14ac:dyDescent="0.25">
      <c r="A4157" s="111"/>
      <c r="B4157" s="134" t="s">
        <v>961</v>
      </c>
      <c r="C4157" s="118" t="s">
        <v>35</v>
      </c>
      <c r="D4157" s="299">
        <f>0.8*2.86</f>
        <v>2.2879999999999998</v>
      </c>
      <c r="E4157" s="119">
        <f>72000/4</f>
        <v>18000</v>
      </c>
      <c r="F4157" s="119">
        <f t="shared" si="102"/>
        <v>41184</v>
      </c>
    </row>
    <row r="4158" spans="1:6" x14ac:dyDescent="0.25">
      <c r="A4158" s="111"/>
      <c r="B4158" s="134" t="s">
        <v>962</v>
      </c>
      <c r="C4158" s="118" t="s">
        <v>35</v>
      </c>
      <c r="D4158" s="299">
        <f>0.8*2.86</f>
        <v>2.2879999999999998</v>
      </c>
      <c r="E4158" s="119">
        <f>75000/4</f>
        <v>18750</v>
      </c>
      <c r="F4158" s="119">
        <f t="shared" si="102"/>
        <v>42900</v>
      </c>
    </row>
    <row r="4159" spans="1:6" x14ac:dyDescent="0.25">
      <c r="A4159" s="111"/>
      <c r="B4159" s="120" t="s">
        <v>952</v>
      </c>
      <c r="C4159" s="118"/>
      <c r="D4159" s="155"/>
      <c r="E4159" s="119"/>
      <c r="F4159" s="119">
        <f>0.1*(F4158+F4157+F4156+F4155+F4154+F4153+F4150+F4151)</f>
        <v>27165.066666666669</v>
      </c>
    </row>
    <row r="4160" spans="1:6" x14ac:dyDescent="0.35">
      <c r="A4160" s="107"/>
      <c r="B4160" s="108" t="s">
        <v>769</v>
      </c>
      <c r="C4160" s="109"/>
      <c r="D4160" s="118"/>
      <c r="E4160" s="117"/>
      <c r="F4160" s="110">
        <f>SUM(F4150:F4159)</f>
        <v>322426.8444444444</v>
      </c>
    </row>
    <row r="4161" spans="1:6" x14ac:dyDescent="0.3">
      <c r="A4161" s="111"/>
      <c r="B4161" s="136" t="s">
        <v>808</v>
      </c>
      <c r="C4161" s="115"/>
      <c r="D4161" s="124"/>
      <c r="E4161" s="117"/>
      <c r="F4161" s="110"/>
    </row>
    <row r="4162" spans="1:6" x14ac:dyDescent="0.25">
      <c r="A4162" s="111"/>
      <c r="B4162" s="134" t="s">
        <v>820</v>
      </c>
      <c r="C4162" s="115" t="s">
        <v>772</v>
      </c>
      <c r="D4162" s="124">
        <v>0.25</v>
      </c>
      <c r="E4162" s="117">
        <v>7500</v>
      </c>
      <c r="F4162" s="117">
        <f t="shared" ref="F4162:F4167" si="103">+D4162*E4162</f>
        <v>1875</v>
      </c>
    </row>
    <row r="4163" spans="1:6" x14ac:dyDescent="0.25">
      <c r="A4163" s="111"/>
      <c r="B4163" s="134" t="s">
        <v>821</v>
      </c>
      <c r="C4163" s="115" t="s">
        <v>772</v>
      </c>
      <c r="D4163" s="124">
        <v>0.25</v>
      </c>
      <c r="E4163" s="117">
        <v>7500</v>
      </c>
      <c r="F4163" s="117">
        <f t="shared" si="103"/>
        <v>1875</v>
      </c>
    </row>
    <row r="4164" spans="1:6" x14ac:dyDescent="0.25">
      <c r="A4164" s="111"/>
      <c r="B4164" s="134" t="s">
        <v>895</v>
      </c>
      <c r="C4164" s="115" t="s">
        <v>772</v>
      </c>
      <c r="D4164" s="124">
        <v>1</v>
      </c>
      <c r="E4164" s="117">
        <v>15000</v>
      </c>
      <c r="F4164" s="117">
        <f t="shared" si="103"/>
        <v>15000</v>
      </c>
    </row>
    <row r="4165" spans="1:6" x14ac:dyDescent="0.25">
      <c r="A4165" s="111"/>
      <c r="B4165" s="134" t="s">
        <v>896</v>
      </c>
      <c r="C4165" s="115" t="s">
        <v>772</v>
      </c>
      <c r="D4165" s="124">
        <v>0.15</v>
      </c>
      <c r="E4165" s="117">
        <v>15000</v>
      </c>
      <c r="F4165" s="117">
        <f t="shared" si="103"/>
        <v>2250</v>
      </c>
    </row>
    <row r="4166" spans="1:6" x14ac:dyDescent="0.25">
      <c r="A4166" s="111"/>
      <c r="B4166" s="134" t="s">
        <v>851</v>
      </c>
      <c r="C4166" s="115" t="s">
        <v>772</v>
      </c>
      <c r="D4166" s="124">
        <v>1</v>
      </c>
      <c r="E4166" s="117">
        <v>15000</v>
      </c>
      <c r="F4166" s="117">
        <f t="shared" si="103"/>
        <v>15000</v>
      </c>
    </row>
    <row r="4167" spans="1:6" x14ac:dyDescent="0.25">
      <c r="A4167" s="111"/>
      <c r="B4167" s="134" t="s">
        <v>953</v>
      </c>
      <c r="C4167" s="115" t="s">
        <v>772</v>
      </c>
      <c r="D4167" s="124">
        <v>0.45</v>
      </c>
      <c r="E4167" s="117">
        <v>15000</v>
      </c>
      <c r="F4167" s="117">
        <f t="shared" si="103"/>
        <v>6750</v>
      </c>
    </row>
    <row r="4168" spans="1:6" x14ac:dyDescent="0.3">
      <c r="A4168" s="111"/>
      <c r="B4168" s="136" t="s">
        <v>774</v>
      </c>
      <c r="C4168" s="115"/>
      <c r="D4168" s="124"/>
      <c r="E4168" s="117"/>
      <c r="F4168" s="110">
        <f>SUM(F4162:F4167)</f>
        <v>42750</v>
      </c>
    </row>
    <row r="4169" spans="1:6" x14ac:dyDescent="0.3">
      <c r="A4169" s="111"/>
      <c r="B4169" s="136" t="s">
        <v>775</v>
      </c>
      <c r="C4169" s="115"/>
      <c r="D4169" s="124"/>
      <c r="E4169" s="110"/>
      <c r="F4169" s="110">
        <f>+F4168+F4160</f>
        <v>365176.8444444444</v>
      </c>
    </row>
    <row r="4170" spans="1:6" x14ac:dyDescent="0.25">
      <c r="A4170" s="111"/>
      <c r="B4170" s="134" t="s">
        <v>956</v>
      </c>
      <c r="C4170" s="115"/>
      <c r="D4170" s="124">
        <v>1.02</v>
      </c>
      <c r="E4170" s="110"/>
      <c r="F4170" s="110">
        <f>+F4169*D4170</f>
        <v>372480.38133333332</v>
      </c>
    </row>
    <row r="4171" spans="1:6" x14ac:dyDescent="0.25">
      <c r="A4171" s="111"/>
      <c r="B4171" s="134" t="s">
        <v>848</v>
      </c>
      <c r="C4171" s="115"/>
      <c r="D4171" s="124">
        <v>1.05</v>
      </c>
      <c r="E4171" s="110"/>
      <c r="F4171" s="110"/>
    </row>
    <row r="4172" spans="1:6" x14ac:dyDescent="0.35">
      <c r="A4172" s="261" t="s">
        <v>291</v>
      </c>
      <c r="B4172" s="242" t="s">
        <v>785</v>
      </c>
      <c r="C4172" s="208" t="s">
        <v>59</v>
      </c>
      <c r="D4172" s="300"/>
      <c r="E4172" s="209"/>
      <c r="F4172" s="209">
        <f>+D4171*F4170</f>
        <v>391104.40039999998</v>
      </c>
    </row>
    <row r="4173" spans="1:6" x14ac:dyDescent="0.35">
      <c r="A4173" s="206"/>
      <c r="B4173" s="207"/>
      <c r="C4173" s="208"/>
      <c r="D4173" s="208"/>
      <c r="E4173" s="210">
        <f>+E4143</f>
        <v>3035.45</v>
      </c>
      <c r="F4173" s="210">
        <f>+F4172/E4173</f>
        <v>128.84560786703784</v>
      </c>
    </row>
    <row r="4176" spans="1:6" x14ac:dyDescent="0.3">
      <c r="A4176" s="257" t="s">
        <v>227</v>
      </c>
      <c r="B4176" s="258" t="s">
        <v>228</v>
      </c>
      <c r="C4176" s="200" t="s">
        <v>2</v>
      </c>
      <c r="D4176" s="202" t="s">
        <v>765</v>
      </c>
      <c r="E4176" s="203" t="s">
        <v>766</v>
      </c>
      <c r="F4176" s="203" t="s">
        <v>767</v>
      </c>
    </row>
    <row r="4177" spans="1:6" x14ac:dyDescent="0.3">
      <c r="A4177" s="237" t="s">
        <v>288</v>
      </c>
      <c r="B4177" s="297" t="s">
        <v>1322</v>
      </c>
      <c r="C4177" s="256"/>
      <c r="E4177" s="110"/>
      <c r="F4177" s="110"/>
    </row>
    <row r="4178" spans="1:6" x14ac:dyDescent="0.3">
      <c r="A4178" s="239" t="s">
        <v>293</v>
      </c>
      <c r="B4178" s="302" t="s">
        <v>294</v>
      </c>
      <c r="C4178" s="256" t="s">
        <v>59</v>
      </c>
      <c r="D4178" s="141"/>
      <c r="E4178" s="110"/>
      <c r="F4178" s="110"/>
    </row>
    <row r="4179" spans="1:6" x14ac:dyDescent="0.35">
      <c r="A4179" s="111"/>
      <c r="B4179" s="112" t="s">
        <v>802</v>
      </c>
      <c r="C4179" s="118"/>
      <c r="D4179" s="141"/>
      <c r="E4179" s="119"/>
      <c r="F4179" s="119"/>
    </row>
    <row r="4180" spans="1:6" x14ac:dyDescent="0.25">
      <c r="A4180" s="111"/>
      <c r="B4180" s="134" t="s">
        <v>942</v>
      </c>
      <c r="C4180" s="118" t="s">
        <v>27</v>
      </c>
      <c r="D4180" s="118">
        <f>(0.9+2.86)*2</f>
        <v>7.52</v>
      </c>
      <c r="E4180" s="119">
        <f>48000/6</f>
        <v>8000</v>
      </c>
      <c r="F4180" s="119">
        <f>+D4180*E4180</f>
        <v>60160</v>
      </c>
    </row>
    <row r="4181" spans="1:6" x14ac:dyDescent="0.25">
      <c r="A4181" s="111"/>
      <c r="B4181" s="134" t="s">
        <v>957</v>
      </c>
      <c r="C4181" s="118" t="s">
        <v>27</v>
      </c>
      <c r="D4181" s="228">
        <f>+(2.1+0.9)*2</f>
        <v>6</v>
      </c>
      <c r="E4181" s="119">
        <f>42500/6</f>
        <v>7083.333333333333</v>
      </c>
      <c r="F4181" s="119">
        <f t="shared" ref="F4181:F4188" si="104">+D4181*E4181</f>
        <v>42500</v>
      </c>
    </row>
    <row r="4182" spans="1:6" x14ac:dyDescent="0.25">
      <c r="A4182" s="111"/>
      <c r="B4182" s="134" t="s">
        <v>971</v>
      </c>
      <c r="C4182" s="118" t="s">
        <v>35</v>
      </c>
      <c r="D4182" s="228">
        <f>0.9*1</f>
        <v>0.9</v>
      </c>
      <c r="E4182" s="119">
        <f>85000/(1.2*2.4)</f>
        <v>29513.888888888891</v>
      </c>
      <c r="F4182" s="119">
        <f t="shared" si="104"/>
        <v>26562.500000000004</v>
      </c>
    </row>
    <row r="4183" spans="1:6" x14ac:dyDescent="0.25">
      <c r="A4183" s="111"/>
      <c r="B4183" s="134" t="s">
        <v>1323</v>
      </c>
      <c r="C4183" s="118" t="s">
        <v>35</v>
      </c>
      <c r="D4183" s="228">
        <f>(0.9+1.86)*2</f>
        <v>5.5200000000000005</v>
      </c>
      <c r="E4183" s="119">
        <f>30000/(1.2*2.4)</f>
        <v>10416.666666666668</v>
      </c>
      <c r="F4183" s="119">
        <f t="shared" si="104"/>
        <v>57500.000000000015</v>
      </c>
    </row>
    <row r="4184" spans="1:6" x14ac:dyDescent="0.25">
      <c r="A4184" s="111"/>
      <c r="B4184" s="134" t="s">
        <v>958</v>
      </c>
      <c r="C4184" s="118" t="s">
        <v>27</v>
      </c>
      <c r="D4184" s="154">
        <f>0.9</f>
        <v>0.9</v>
      </c>
      <c r="E4184" s="119">
        <f>160000/12</f>
        <v>13333.333333333334</v>
      </c>
      <c r="F4184" s="119">
        <f t="shared" si="104"/>
        <v>12000</v>
      </c>
    </row>
    <row r="4185" spans="1:6" x14ac:dyDescent="0.25">
      <c r="A4185" s="111"/>
      <c r="B4185" s="134" t="s">
        <v>959</v>
      </c>
      <c r="C4185" s="118" t="s">
        <v>27</v>
      </c>
      <c r="D4185" s="228">
        <v>0</v>
      </c>
      <c r="E4185" s="119">
        <f>25000/6</f>
        <v>4166.666666666667</v>
      </c>
      <c r="F4185" s="119">
        <f t="shared" si="104"/>
        <v>0</v>
      </c>
    </row>
    <row r="4186" spans="1:6" x14ac:dyDescent="0.25">
      <c r="A4186" s="111"/>
      <c r="B4186" s="134" t="s">
        <v>960</v>
      </c>
      <c r="C4186" s="118" t="s">
        <v>27</v>
      </c>
      <c r="D4186" s="253">
        <f>(0.9+0.76)*2</f>
        <v>3.3200000000000003</v>
      </c>
      <c r="E4186" s="119">
        <f>42000/6</f>
        <v>7000</v>
      </c>
      <c r="F4186" s="119">
        <f t="shared" si="104"/>
        <v>23240.000000000004</v>
      </c>
    </row>
    <row r="4187" spans="1:6" x14ac:dyDescent="0.25">
      <c r="A4187" s="111"/>
      <c r="B4187" s="134" t="s">
        <v>961</v>
      </c>
      <c r="C4187" s="118" t="s">
        <v>35</v>
      </c>
      <c r="D4187" s="299">
        <f>0.9*2.86</f>
        <v>2.5739999999999998</v>
      </c>
      <c r="E4187" s="119">
        <f>72000/4</f>
        <v>18000</v>
      </c>
      <c r="F4187" s="119">
        <f t="shared" si="104"/>
        <v>46332</v>
      </c>
    </row>
    <row r="4188" spans="1:6" x14ac:dyDescent="0.25">
      <c r="A4188" s="111"/>
      <c r="B4188" s="134" t="s">
        <v>962</v>
      </c>
      <c r="C4188" s="118" t="s">
        <v>35</v>
      </c>
      <c r="D4188" s="299">
        <f>0.9*2.86</f>
        <v>2.5739999999999998</v>
      </c>
      <c r="E4188" s="119">
        <f>75000/4</f>
        <v>18750</v>
      </c>
      <c r="F4188" s="119">
        <f t="shared" si="104"/>
        <v>48262.5</v>
      </c>
    </row>
    <row r="4189" spans="1:6" x14ac:dyDescent="0.25">
      <c r="A4189" s="111"/>
      <c r="B4189" s="120" t="s">
        <v>952</v>
      </c>
      <c r="C4189" s="118"/>
      <c r="D4189" s="155"/>
      <c r="E4189" s="119"/>
      <c r="F4189" s="119">
        <f>0.1*(F4188+F4187+F4186+F4185+F4184+F4183+F4180+F4181)</f>
        <v>28999.45</v>
      </c>
    </row>
    <row r="4190" spans="1:6" x14ac:dyDescent="0.35">
      <c r="A4190" s="107"/>
      <c r="B4190" s="108" t="s">
        <v>769</v>
      </c>
      <c r="C4190" s="109"/>
      <c r="D4190" s="118"/>
      <c r="E4190" s="117"/>
      <c r="F4190" s="110">
        <f>SUM(F4180:F4189)</f>
        <v>345556.45</v>
      </c>
    </row>
    <row r="4191" spans="1:6" x14ac:dyDescent="0.3">
      <c r="A4191" s="111"/>
      <c r="B4191" s="136" t="s">
        <v>808</v>
      </c>
      <c r="C4191" s="115"/>
      <c r="D4191" s="124"/>
      <c r="E4191" s="117"/>
      <c r="F4191" s="110"/>
    </row>
    <row r="4192" spans="1:6" x14ac:dyDescent="0.25">
      <c r="A4192" s="111"/>
      <c r="B4192" s="134" t="s">
        <v>820</v>
      </c>
      <c r="C4192" s="115" t="s">
        <v>772</v>
      </c>
      <c r="D4192" s="124">
        <v>0.25</v>
      </c>
      <c r="E4192" s="117">
        <v>7500</v>
      </c>
      <c r="F4192" s="117">
        <f t="shared" ref="F4192:F4197" si="105">+D4192*E4192</f>
        <v>1875</v>
      </c>
    </row>
    <row r="4193" spans="1:6" x14ac:dyDescent="0.25">
      <c r="A4193" s="111"/>
      <c r="B4193" s="134" t="s">
        <v>821</v>
      </c>
      <c r="C4193" s="115" t="s">
        <v>772</v>
      </c>
      <c r="D4193" s="124">
        <v>0.25</v>
      </c>
      <c r="E4193" s="117">
        <v>7500</v>
      </c>
      <c r="F4193" s="117">
        <f t="shared" si="105"/>
        <v>1875</v>
      </c>
    </row>
    <row r="4194" spans="1:6" x14ac:dyDescent="0.25">
      <c r="A4194" s="111"/>
      <c r="B4194" s="134" t="s">
        <v>895</v>
      </c>
      <c r="C4194" s="115" t="s">
        <v>772</v>
      </c>
      <c r="D4194" s="124">
        <v>1</v>
      </c>
      <c r="E4194" s="117">
        <v>15000</v>
      </c>
      <c r="F4194" s="117">
        <f t="shared" si="105"/>
        <v>15000</v>
      </c>
    </row>
    <row r="4195" spans="1:6" x14ac:dyDescent="0.25">
      <c r="A4195" s="111"/>
      <c r="B4195" s="134" t="s">
        <v>896</v>
      </c>
      <c r="C4195" s="115" t="s">
        <v>772</v>
      </c>
      <c r="D4195" s="124">
        <v>0.15</v>
      </c>
      <c r="E4195" s="117">
        <v>15000</v>
      </c>
      <c r="F4195" s="117">
        <f t="shared" si="105"/>
        <v>2250</v>
      </c>
    </row>
    <row r="4196" spans="1:6" x14ac:dyDescent="0.25">
      <c r="A4196" s="111"/>
      <c r="B4196" s="134" t="s">
        <v>851</v>
      </c>
      <c r="C4196" s="115" t="s">
        <v>772</v>
      </c>
      <c r="D4196" s="124">
        <v>1</v>
      </c>
      <c r="E4196" s="117">
        <v>15000</v>
      </c>
      <c r="F4196" s="117">
        <f t="shared" si="105"/>
        <v>15000</v>
      </c>
    </row>
    <row r="4197" spans="1:6" x14ac:dyDescent="0.25">
      <c r="A4197" s="111"/>
      <c r="B4197" s="134" t="s">
        <v>953</v>
      </c>
      <c r="C4197" s="115" t="s">
        <v>772</v>
      </c>
      <c r="D4197" s="124">
        <v>0.45</v>
      </c>
      <c r="E4197" s="117">
        <v>15000</v>
      </c>
      <c r="F4197" s="117">
        <f t="shared" si="105"/>
        <v>6750</v>
      </c>
    </row>
    <row r="4198" spans="1:6" x14ac:dyDescent="0.3">
      <c r="A4198" s="111"/>
      <c r="B4198" s="136" t="s">
        <v>774</v>
      </c>
      <c r="C4198" s="115"/>
      <c r="D4198" s="124"/>
      <c r="E4198" s="117"/>
      <c r="F4198" s="110">
        <f>SUM(F4192:F4197)</f>
        <v>42750</v>
      </c>
    </row>
    <row r="4199" spans="1:6" x14ac:dyDescent="0.3">
      <c r="A4199" s="111"/>
      <c r="B4199" s="136" t="s">
        <v>775</v>
      </c>
      <c r="C4199" s="115"/>
      <c r="D4199" s="124"/>
      <c r="E4199" s="110"/>
      <c r="F4199" s="110">
        <f>+F4198+F4190</f>
        <v>388306.45</v>
      </c>
    </row>
    <row r="4200" spans="1:6" x14ac:dyDescent="0.25">
      <c r="A4200" s="111"/>
      <c r="B4200" s="134" t="s">
        <v>956</v>
      </c>
      <c r="C4200" s="115"/>
      <c r="D4200" s="124">
        <v>1.02</v>
      </c>
      <c r="E4200" s="110"/>
      <c r="F4200" s="110">
        <f>+F4199*D4200</f>
        <v>396072.57900000003</v>
      </c>
    </row>
    <row r="4201" spans="1:6" x14ac:dyDescent="0.25">
      <c r="A4201" s="111"/>
      <c r="B4201" s="134" t="s">
        <v>848</v>
      </c>
      <c r="C4201" s="115"/>
      <c r="D4201" s="124">
        <v>1.05</v>
      </c>
      <c r="E4201" s="110"/>
      <c r="F4201" s="110"/>
    </row>
    <row r="4202" spans="1:6" x14ac:dyDescent="0.35">
      <c r="A4202" s="261" t="s">
        <v>293</v>
      </c>
      <c r="B4202" s="242" t="s">
        <v>785</v>
      </c>
      <c r="C4202" s="208" t="s">
        <v>59</v>
      </c>
      <c r="D4202" s="300"/>
      <c r="E4202" s="209"/>
      <c r="F4202" s="209">
        <f>+D4201*F4200</f>
        <v>415876.20795000007</v>
      </c>
    </row>
    <row r="4203" spans="1:6" x14ac:dyDescent="0.35">
      <c r="A4203" s="206"/>
      <c r="B4203" s="207"/>
      <c r="C4203" s="208"/>
      <c r="D4203" s="208"/>
      <c r="E4203" s="210">
        <f>+E4173</f>
        <v>3035.45</v>
      </c>
      <c r="F4203" s="210">
        <f>+F4202/E4203</f>
        <v>137.0064431797592</v>
      </c>
    </row>
    <row r="4206" spans="1:6" x14ac:dyDescent="0.3">
      <c r="A4206" s="257" t="s">
        <v>227</v>
      </c>
      <c r="B4206" s="258" t="s">
        <v>228</v>
      </c>
      <c r="C4206" s="200" t="s">
        <v>2</v>
      </c>
      <c r="D4206" s="202" t="s">
        <v>765</v>
      </c>
      <c r="E4206" s="203" t="s">
        <v>766</v>
      </c>
      <c r="F4206" s="203" t="s">
        <v>767</v>
      </c>
    </row>
    <row r="4207" spans="1:6" x14ac:dyDescent="0.3">
      <c r="A4207" s="237" t="s">
        <v>288</v>
      </c>
      <c r="B4207" s="297" t="s">
        <v>1322</v>
      </c>
      <c r="C4207" s="256"/>
      <c r="E4207" s="110"/>
      <c r="F4207" s="110"/>
    </row>
    <row r="4208" spans="1:6" x14ac:dyDescent="0.35">
      <c r="A4208" s="239" t="s">
        <v>295</v>
      </c>
      <c r="B4208" s="303" t="s">
        <v>296</v>
      </c>
      <c r="C4208" s="256" t="s">
        <v>59</v>
      </c>
      <c r="D4208" s="141"/>
      <c r="E4208" s="110"/>
      <c r="F4208" s="110"/>
    </row>
    <row r="4209" spans="1:6" x14ac:dyDescent="0.35">
      <c r="A4209" s="111"/>
      <c r="B4209" s="112" t="s">
        <v>802</v>
      </c>
      <c r="C4209" s="118"/>
      <c r="D4209" s="141"/>
      <c r="E4209" s="119"/>
      <c r="F4209" s="119"/>
    </row>
    <row r="4210" spans="1:6" x14ac:dyDescent="0.25">
      <c r="A4210" s="111"/>
      <c r="B4210" s="134" t="s">
        <v>942</v>
      </c>
      <c r="C4210" s="118" t="s">
        <v>27</v>
      </c>
      <c r="D4210" s="118">
        <f>(0.8+2.64)*2</f>
        <v>6.8800000000000008</v>
      </c>
      <c r="E4210" s="119">
        <f>48000/6</f>
        <v>8000</v>
      </c>
      <c r="F4210" s="119">
        <f>+D4210*E4210</f>
        <v>55040.000000000007</v>
      </c>
    </row>
    <row r="4211" spans="1:6" x14ac:dyDescent="0.25">
      <c r="A4211" s="111"/>
      <c r="B4211" s="134" t="s">
        <v>957</v>
      </c>
      <c r="C4211" s="118" t="s">
        <v>27</v>
      </c>
      <c r="D4211" s="228">
        <f>+(2.1+0.8)*2</f>
        <v>5.8000000000000007</v>
      </c>
      <c r="E4211" s="119">
        <f>42500/6</f>
        <v>7083.333333333333</v>
      </c>
      <c r="F4211" s="119">
        <f t="shared" ref="F4211:F4218" si="106">+D4211*E4211</f>
        <v>41083.333333333336</v>
      </c>
    </row>
    <row r="4212" spans="1:6" x14ac:dyDescent="0.25">
      <c r="A4212" s="111"/>
      <c r="B4212" s="134" t="s">
        <v>971</v>
      </c>
      <c r="C4212" s="118" t="s">
        <v>35</v>
      </c>
      <c r="D4212" s="228">
        <f>0.8*1</f>
        <v>0.8</v>
      </c>
      <c r="E4212" s="119">
        <f>85000/(1.2*2.4)</f>
        <v>29513.888888888891</v>
      </c>
      <c r="F4212" s="119">
        <f t="shared" si="106"/>
        <v>23611.111111111113</v>
      </c>
    </row>
    <row r="4213" spans="1:6" x14ac:dyDescent="0.25">
      <c r="A4213" s="111"/>
      <c r="B4213" s="134" t="s">
        <v>1323</v>
      </c>
      <c r="C4213" s="118" t="s">
        <v>35</v>
      </c>
      <c r="D4213" s="228">
        <f>(0.8+1.64)*2</f>
        <v>4.88</v>
      </c>
      <c r="E4213" s="119">
        <f>30000/(1.2*2.4)</f>
        <v>10416.666666666668</v>
      </c>
      <c r="F4213" s="119">
        <f t="shared" si="106"/>
        <v>50833.333333333336</v>
      </c>
    </row>
    <row r="4214" spans="1:6" x14ac:dyDescent="0.25">
      <c r="A4214" s="111"/>
      <c r="B4214" s="134" t="s">
        <v>958</v>
      </c>
      <c r="C4214" s="118" t="s">
        <v>27</v>
      </c>
      <c r="D4214" s="154">
        <f>0.8</f>
        <v>0.8</v>
      </c>
      <c r="E4214" s="119">
        <f>160000/12</f>
        <v>13333.333333333334</v>
      </c>
      <c r="F4214" s="119">
        <f t="shared" si="106"/>
        <v>10666.666666666668</v>
      </c>
    </row>
    <row r="4215" spans="1:6" x14ac:dyDescent="0.25">
      <c r="A4215" s="111"/>
      <c r="B4215" s="134" t="s">
        <v>959</v>
      </c>
      <c r="C4215" s="118" t="s">
        <v>27</v>
      </c>
      <c r="D4215" s="228">
        <v>0</v>
      </c>
      <c r="E4215" s="119">
        <f>25000/6</f>
        <v>4166.666666666667</v>
      </c>
      <c r="F4215" s="119">
        <f t="shared" si="106"/>
        <v>0</v>
      </c>
    </row>
    <row r="4216" spans="1:6" x14ac:dyDescent="0.25">
      <c r="A4216" s="111"/>
      <c r="B4216" s="134" t="s">
        <v>960</v>
      </c>
      <c r="C4216" s="118" t="s">
        <v>27</v>
      </c>
      <c r="D4216" s="253">
        <f>(0.8+1.64)*2</f>
        <v>4.88</v>
      </c>
      <c r="E4216" s="119">
        <f>42000/6</f>
        <v>7000</v>
      </c>
      <c r="F4216" s="119">
        <f t="shared" si="106"/>
        <v>34160</v>
      </c>
    </row>
    <row r="4217" spans="1:6" x14ac:dyDescent="0.25">
      <c r="A4217" s="111"/>
      <c r="B4217" s="134" t="s">
        <v>961</v>
      </c>
      <c r="C4217" s="118" t="s">
        <v>35</v>
      </c>
      <c r="D4217" s="299">
        <f>0.8*2.64</f>
        <v>2.1120000000000001</v>
      </c>
      <c r="E4217" s="119">
        <f>72000/4</f>
        <v>18000</v>
      </c>
      <c r="F4217" s="119">
        <f t="shared" si="106"/>
        <v>38016</v>
      </c>
    </row>
    <row r="4218" spans="1:6" x14ac:dyDescent="0.25">
      <c r="A4218" s="111"/>
      <c r="B4218" s="134" t="s">
        <v>962</v>
      </c>
      <c r="C4218" s="118" t="s">
        <v>35</v>
      </c>
      <c r="D4218" s="299">
        <f>0.8*2.64</f>
        <v>2.1120000000000001</v>
      </c>
      <c r="E4218" s="119">
        <f>75000/4</f>
        <v>18750</v>
      </c>
      <c r="F4218" s="119">
        <f t="shared" si="106"/>
        <v>39600</v>
      </c>
    </row>
    <row r="4219" spans="1:6" x14ac:dyDescent="0.25">
      <c r="A4219" s="111"/>
      <c r="B4219" s="120" t="s">
        <v>952</v>
      </c>
      <c r="C4219" s="118"/>
      <c r="D4219" s="155"/>
      <c r="E4219" s="119"/>
      <c r="F4219" s="119">
        <f>0.1*(F4218+F4217+F4216+F4215+F4214+F4213+F4210+F4211)</f>
        <v>26939.933333333334</v>
      </c>
    </row>
    <row r="4220" spans="1:6" x14ac:dyDescent="0.35">
      <c r="A4220" s="107"/>
      <c r="B4220" s="108" t="s">
        <v>769</v>
      </c>
      <c r="C4220" s="109"/>
      <c r="D4220" s="118"/>
      <c r="E4220" s="117"/>
      <c r="F4220" s="110">
        <f>SUM(F4210:F4219)</f>
        <v>319950.37777777779</v>
      </c>
    </row>
    <row r="4221" spans="1:6" x14ac:dyDescent="0.3">
      <c r="A4221" s="111"/>
      <c r="B4221" s="136" t="s">
        <v>808</v>
      </c>
      <c r="C4221" s="115"/>
      <c r="D4221" s="124"/>
      <c r="E4221" s="117"/>
      <c r="F4221" s="110"/>
    </row>
    <row r="4222" spans="1:6" x14ac:dyDescent="0.25">
      <c r="A4222" s="111"/>
      <c r="B4222" s="134" t="s">
        <v>820</v>
      </c>
      <c r="C4222" s="115" t="s">
        <v>772</v>
      </c>
      <c r="D4222" s="124">
        <v>0.25</v>
      </c>
      <c r="E4222" s="117">
        <v>7500</v>
      </c>
      <c r="F4222" s="117">
        <f t="shared" ref="F4222:F4227" si="107">+D4222*E4222</f>
        <v>1875</v>
      </c>
    </row>
    <row r="4223" spans="1:6" x14ac:dyDescent="0.25">
      <c r="A4223" s="111"/>
      <c r="B4223" s="134" t="s">
        <v>821</v>
      </c>
      <c r="C4223" s="115" t="s">
        <v>772</v>
      </c>
      <c r="D4223" s="124">
        <v>0.25</v>
      </c>
      <c r="E4223" s="117">
        <v>7500</v>
      </c>
      <c r="F4223" s="117">
        <f t="shared" si="107"/>
        <v>1875</v>
      </c>
    </row>
    <row r="4224" spans="1:6" x14ac:dyDescent="0.25">
      <c r="A4224" s="111"/>
      <c r="B4224" s="134" t="s">
        <v>895</v>
      </c>
      <c r="C4224" s="115" t="s">
        <v>772</v>
      </c>
      <c r="D4224" s="124">
        <v>1</v>
      </c>
      <c r="E4224" s="117">
        <v>15000</v>
      </c>
      <c r="F4224" s="117">
        <f t="shared" si="107"/>
        <v>15000</v>
      </c>
    </row>
    <row r="4225" spans="1:6" x14ac:dyDescent="0.25">
      <c r="A4225" s="111"/>
      <c r="B4225" s="134" t="s">
        <v>896</v>
      </c>
      <c r="C4225" s="115" t="s">
        <v>772</v>
      </c>
      <c r="D4225" s="124">
        <v>0.15</v>
      </c>
      <c r="E4225" s="117">
        <v>15000</v>
      </c>
      <c r="F4225" s="117">
        <f t="shared" si="107"/>
        <v>2250</v>
      </c>
    </row>
    <row r="4226" spans="1:6" x14ac:dyDescent="0.25">
      <c r="A4226" s="111"/>
      <c r="B4226" s="134" t="s">
        <v>851</v>
      </c>
      <c r="C4226" s="115" t="s">
        <v>772</v>
      </c>
      <c r="D4226" s="124">
        <v>1</v>
      </c>
      <c r="E4226" s="117">
        <v>15000</v>
      </c>
      <c r="F4226" s="117">
        <f t="shared" si="107"/>
        <v>15000</v>
      </c>
    </row>
    <row r="4227" spans="1:6" x14ac:dyDescent="0.25">
      <c r="A4227" s="111"/>
      <c r="B4227" s="134" t="s">
        <v>953</v>
      </c>
      <c r="C4227" s="115" t="s">
        <v>772</v>
      </c>
      <c r="D4227" s="124">
        <v>0.45</v>
      </c>
      <c r="E4227" s="117">
        <v>15000</v>
      </c>
      <c r="F4227" s="117">
        <f t="shared" si="107"/>
        <v>6750</v>
      </c>
    </row>
    <row r="4228" spans="1:6" x14ac:dyDescent="0.3">
      <c r="A4228" s="111"/>
      <c r="B4228" s="136" t="s">
        <v>774</v>
      </c>
      <c r="C4228" s="115"/>
      <c r="D4228" s="124"/>
      <c r="E4228" s="117"/>
      <c r="F4228" s="110">
        <f>SUM(F4222:F4227)</f>
        <v>42750</v>
      </c>
    </row>
    <row r="4229" spans="1:6" x14ac:dyDescent="0.3">
      <c r="A4229" s="111"/>
      <c r="B4229" s="136" t="s">
        <v>775</v>
      </c>
      <c r="C4229" s="115"/>
      <c r="D4229" s="124"/>
      <c r="E4229" s="110"/>
      <c r="F4229" s="110">
        <f>+F4228+F4220</f>
        <v>362700.37777777779</v>
      </c>
    </row>
    <row r="4230" spans="1:6" x14ac:dyDescent="0.25">
      <c r="A4230" s="111"/>
      <c r="B4230" s="134" t="s">
        <v>956</v>
      </c>
      <c r="C4230" s="115"/>
      <c r="D4230" s="124">
        <v>1.02</v>
      </c>
      <c r="E4230" s="110"/>
      <c r="F4230" s="110">
        <f>+F4229*D4230</f>
        <v>369954.38533333334</v>
      </c>
    </row>
    <row r="4231" spans="1:6" x14ac:dyDescent="0.25">
      <c r="A4231" s="111"/>
      <c r="B4231" s="134" t="s">
        <v>848</v>
      </c>
      <c r="C4231" s="115"/>
      <c r="D4231" s="124">
        <v>1.05</v>
      </c>
      <c r="E4231" s="110"/>
      <c r="F4231" s="110"/>
    </row>
    <row r="4232" spans="1:6" x14ac:dyDescent="0.35">
      <c r="A4232" s="261" t="s">
        <v>295</v>
      </c>
      <c r="B4232" s="242" t="s">
        <v>785</v>
      </c>
      <c r="C4232" s="208" t="s">
        <v>59</v>
      </c>
      <c r="D4232" s="300"/>
      <c r="E4232" s="209"/>
      <c r="F4232" s="209">
        <f>+D4231*F4230</f>
        <v>388452.10460000002</v>
      </c>
    </row>
    <row r="4233" spans="1:6" x14ac:dyDescent="0.35">
      <c r="A4233" s="206"/>
      <c r="B4233" s="207"/>
      <c r="C4233" s="208"/>
      <c r="D4233" s="208"/>
      <c r="E4233" s="210">
        <f>+E4203</f>
        <v>3035.45</v>
      </c>
      <c r="F4233" s="210">
        <f>+F4232/E4233</f>
        <v>127.97183435734406</v>
      </c>
    </row>
    <row r="4236" spans="1:6" x14ac:dyDescent="0.3">
      <c r="A4236" s="257" t="s">
        <v>227</v>
      </c>
      <c r="B4236" s="258" t="s">
        <v>228</v>
      </c>
      <c r="C4236" s="200" t="s">
        <v>2</v>
      </c>
      <c r="D4236" s="202" t="s">
        <v>765</v>
      </c>
      <c r="E4236" s="203" t="s">
        <v>766</v>
      </c>
      <c r="F4236" s="203" t="s">
        <v>767</v>
      </c>
    </row>
    <row r="4237" spans="1:6" x14ac:dyDescent="0.3">
      <c r="A4237" s="237" t="s">
        <v>288</v>
      </c>
      <c r="B4237" s="297" t="s">
        <v>1322</v>
      </c>
      <c r="C4237" s="256"/>
      <c r="E4237" s="110"/>
      <c r="F4237" s="110"/>
    </row>
    <row r="4238" spans="1:6" x14ac:dyDescent="0.3">
      <c r="A4238" s="239" t="s">
        <v>297</v>
      </c>
      <c r="B4238" s="298" t="s">
        <v>298</v>
      </c>
      <c r="C4238" s="256" t="s">
        <v>59</v>
      </c>
      <c r="D4238" s="141"/>
      <c r="E4238" s="110"/>
      <c r="F4238" s="110"/>
    </row>
    <row r="4239" spans="1:6" x14ac:dyDescent="0.35">
      <c r="A4239" s="111"/>
      <c r="B4239" s="112" t="s">
        <v>802</v>
      </c>
      <c r="C4239" s="118"/>
      <c r="D4239" s="141"/>
      <c r="E4239" s="119"/>
      <c r="F4239" s="119"/>
    </row>
    <row r="4240" spans="1:6" x14ac:dyDescent="0.25">
      <c r="A4240" s="111"/>
      <c r="B4240" s="134" t="s">
        <v>942</v>
      </c>
      <c r="C4240" s="118" t="s">
        <v>27</v>
      </c>
      <c r="D4240" s="118">
        <f>(0.93+2.64)*2</f>
        <v>7.1400000000000006</v>
      </c>
      <c r="E4240" s="119">
        <f>48000/6</f>
        <v>8000</v>
      </c>
      <c r="F4240" s="119">
        <f>+D4240*E4240</f>
        <v>57120.000000000007</v>
      </c>
    </row>
    <row r="4241" spans="1:6" x14ac:dyDescent="0.25">
      <c r="A4241" s="111"/>
      <c r="B4241" s="134" t="s">
        <v>957</v>
      </c>
      <c r="C4241" s="118" t="s">
        <v>27</v>
      </c>
      <c r="D4241" s="228">
        <f>+(2.1+0.93)*2</f>
        <v>6.0600000000000005</v>
      </c>
      <c r="E4241" s="119">
        <f>42500/6</f>
        <v>7083.333333333333</v>
      </c>
      <c r="F4241" s="119">
        <f t="shared" ref="F4241:F4248" si="108">+D4241*E4241</f>
        <v>42925</v>
      </c>
    </row>
    <row r="4242" spans="1:6" x14ac:dyDescent="0.25">
      <c r="A4242" s="111"/>
      <c r="B4242" s="134" t="s">
        <v>971</v>
      </c>
      <c r="C4242" s="118" t="s">
        <v>35</v>
      </c>
      <c r="D4242" s="228">
        <f>0.93*1</f>
        <v>0.93</v>
      </c>
      <c r="E4242" s="119">
        <f>85000/(1.2*2.4)</f>
        <v>29513.888888888891</v>
      </c>
      <c r="F4242" s="119">
        <f t="shared" si="108"/>
        <v>27447.916666666668</v>
      </c>
    </row>
    <row r="4243" spans="1:6" x14ac:dyDescent="0.25">
      <c r="A4243" s="111"/>
      <c r="B4243" s="134" t="s">
        <v>1323</v>
      </c>
      <c r="C4243" s="118" t="s">
        <v>35</v>
      </c>
      <c r="D4243" s="228">
        <f>(0.93+1.64)*2</f>
        <v>5.14</v>
      </c>
      <c r="E4243" s="119">
        <f>30000/(1.2*2.4)</f>
        <v>10416.666666666668</v>
      </c>
      <c r="F4243" s="119">
        <f t="shared" si="108"/>
        <v>53541.666666666672</v>
      </c>
    </row>
    <row r="4244" spans="1:6" x14ac:dyDescent="0.25">
      <c r="A4244" s="111"/>
      <c r="B4244" s="134" t="s">
        <v>958</v>
      </c>
      <c r="C4244" s="118" t="s">
        <v>27</v>
      </c>
      <c r="D4244" s="154">
        <f>0.93</f>
        <v>0.93</v>
      </c>
      <c r="E4244" s="119">
        <f>160000/12</f>
        <v>13333.333333333334</v>
      </c>
      <c r="F4244" s="119">
        <f t="shared" si="108"/>
        <v>12400.000000000002</v>
      </c>
    </row>
    <row r="4245" spans="1:6" x14ac:dyDescent="0.25">
      <c r="A4245" s="111"/>
      <c r="B4245" s="134" t="s">
        <v>959</v>
      </c>
      <c r="C4245" s="118" t="s">
        <v>27</v>
      </c>
      <c r="D4245" s="228">
        <v>0</v>
      </c>
      <c r="E4245" s="119">
        <f>25000/6</f>
        <v>4166.666666666667</v>
      </c>
      <c r="F4245" s="119">
        <f t="shared" si="108"/>
        <v>0</v>
      </c>
    </row>
    <row r="4246" spans="1:6" x14ac:dyDescent="0.25">
      <c r="A4246" s="111"/>
      <c r="B4246" s="134" t="s">
        <v>960</v>
      </c>
      <c r="C4246" s="118" t="s">
        <v>27</v>
      </c>
      <c r="D4246" s="253">
        <f>(0.9+1.64)*2</f>
        <v>5.08</v>
      </c>
      <c r="E4246" s="119">
        <f>42000/6</f>
        <v>7000</v>
      </c>
      <c r="F4246" s="119">
        <f t="shared" si="108"/>
        <v>35560</v>
      </c>
    </row>
    <row r="4247" spans="1:6" x14ac:dyDescent="0.25">
      <c r="A4247" s="111"/>
      <c r="B4247" s="134" t="s">
        <v>961</v>
      </c>
      <c r="C4247" s="118" t="s">
        <v>35</v>
      </c>
      <c r="D4247" s="299">
        <f>0.93*2.64</f>
        <v>2.4552</v>
      </c>
      <c r="E4247" s="119">
        <f>72000/4</f>
        <v>18000</v>
      </c>
      <c r="F4247" s="119">
        <f t="shared" si="108"/>
        <v>44193.599999999999</v>
      </c>
    </row>
    <row r="4248" spans="1:6" x14ac:dyDescent="0.25">
      <c r="A4248" s="111"/>
      <c r="B4248" s="134" t="s">
        <v>962</v>
      </c>
      <c r="C4248" s="118" t="s">
        <v>35</v>
      </c>
      <c r="D4248" s="299">
        <f>0.93*2.64</f>
        <v>2.4552</v>
      </c>
      <c r="E4248" s="119">
        <f>75000/4</f>
        <v>18750</v>
      </c>
      <c r="F4248" s="119">
        <f t="shared" si="108"/>
        <v>46035</v>
      </c>
    </row>
    <row r="4249" spans="1:6" x14ac:dyDescent="0.25">
      <c r="A4249" s="111"/>
      <c r="B4249" s="120" t="s">
        <v>952</v>
      </c>
      <c r="C4249" s="118"/>
      <c r="D4249" s="155"/>
      <c r="E4249" s="119"/>
      <c r="F4249" s="119">
        <f>0.1*(F4248+F4247+F4246+F4245+F4244+F4243+F4240+F4241)</f>
        <v>29177.526666666668</v>
      </c>
    </row>
    <row r="4250" spans="1:6" x14ac:dyDescent="0.35">
      <c r="A4250" s="107"/>
      <c r="B4250" s="108" t="s">
        <v>769</v>
      </c>
      <c r="C4250" s="109"/>
      <c r="D4250" s="118"/>
      <c r="E4250" s="117"/>
      <c r="F4250" s="110">
        <f>SUM(F4240:F4249)</f>
        <v>348400.71</v>
      </c>
    </row>
    <row r="4251" spans="1:6" x14ac:dyDescent="0.3">
      <c r="A4251" s="111"/>
      <c r="B4251" s="136" t="s">
        <v>808</v>
      </c>
      <c r="C4251" s="115"/>
      <c r="D4251" s="124"/>
      <c r="E4251" s="117"/>
      <c r="F4251" s="110"/>
    </row>
    <row r="4252" spans="1:6" x14ac:dyDescent="0.25">
      <c r="A4252" s="111"/>
      <c r="B4252" s="134" t="s">
        <v>820</v>
      </c>
      <c r="C4252" s="115" t="s">
        <v>772</v>
      </c>
      <c r="D4252" s="124">
        <v>0.25</v>
      </c>
      <c r="E4252" s="117">
        <v>7500</v>
      </c>
      <c r="F4252" s="117">
        <f t="shared" ref="F4252:F4257" si="109">+D4252*E4252</f>
        <v>1875</v>
      </c>
    </row>
    <row r="4253" spans="1:6" x14ac:dyDescent="0.25">
      <c r="A4253" s="111"/>
      <c r="B4253" s="134" t="s">
        <v>821</v>
      </c>
      <c r="C4253" s="115" t="s">
        <v>772</v>
      </c>
      <c r="D4253" s="124">
        <v>0.25</v>
      </c>
      <c r="E4253" s="117">
        <v>7500</v>
      </c>
      <c r="F4253" s="117">
        <f t="shared" si="109"/>
        <v>1875</v>
      </c>
    </row>
    <row r="4254" spans="1:6" x14ac:dyDescent="0.25">
      <c r="A4254" s="111"/>
      <c r="B4254" s="134" t="s">
        <v>895</v>
      </c>
      <c r="C4254" s="115" t="s">
        <v>772</v>
      </c>
      <c r="D4254" s="124">
        <v>1</v>
      </c>
      <c r="E4254" s="117">
        <v>15000</v>
      </c>
      <c r="F4254" s="117">
        <f t="shared" si="109"/>
        <v>15000</v>
      </c>
    </row>
    <row r="4255" spans="1:6" x14ac:dyDescent="0.25">
      <c r="A4255" s="111"/>
      <c r="B4255" s="134" t="s">
        <v>896</v>
      </c>
      <c r="C4255" s="115" t="s">
        <v>772</v>
      </c>
      <c r="D4255" s="124">
        <v>0.15</v>
      </c>
      <c r="E4255" s="117">
        <v>15000</v>
      </c>
      <c r="F4255" s="117">
        <f t="shared" si="109"/>
        <v>2250</v>
      </c>
    </row>
    <row r="4256" spans="1:6" x14ac:dyDescent="0.25">
      <c r="A4256" s="111"/>
      <c r="B4256" s="134" t="s">
        <v>851</v>
      </c>
      <c r="C4256" s="115" t="s">
        <v>772</v>
      </c>
      <c r="D4256" s="124">
        <v>1</v>
      </c>
      <c r="E4256" s="117">
        <v>15000</v>
      </c>
      <c r="F4256" s="117">
        <f t="shared" si="109"/>
        <v>15000</v>
      </c>
    </row>
    <row r="4257" spans="1:6" x14ac:dyDescent="0.25">
      <c r="A4257" s="111"/>
      <c r="B4257" s="134" t="s">
        <v>953</v>
      </c>
      <c r="C4257" s="115" t="s">
        <v>772</v>
      </c>
      <c r="D4257" s="124">
        <v>0.45</v>
      </c>
      <c r="E4257" s="117">
        <v>15000</v>
      </c>
      <c r="F4257" s="117">
        <f t="shared" si="109"/>
        <v>6750</v>
      </c>
    </row>
    <row r="4258" spans="1:6" x14ac:dyDescent="0.3">
      <c r="A4258" s="111"/>
      <c r="B4258" s="136" t="s">
        <v>774</v>
      </c>
      <c r="C4258" s="115"/>
      <c r="D4258" s="124"/>
      <c r="E4258" s="117"/>
      <c r="F4258" s="110">
        <f>SUM(F4252:F4257)</f>
        <v>42750</v>
      </c>
    </row>
    <row r="4259" spans="1:6" x14ac:dyDescent="0.3">
      <c r="A4259" s="111"/>
      <c r="B4259" s="136" t="s">
        <v>775</v>
      </c>
      <c r="C4259" s="115"/>
      <c r="D4259" s="124"/>
      <c r="E4259" s="110"/>
      <c r="F4259" s="110">
        <f>+F4258+F4250</f>
        <v>391150.71</v>
      </c>
    </row>
    <row r="4260" spans="1:6" x14ac:dyDescent="0.25">
      <c r="A4260" s="111"/>
      <c r="B4260" s="134" t="s">
        <v>956</v>
      </c>
      <c r="C4260" s="115"/>
      <c r="D4260" s="124">
        <v>1.02</v>
      </c>
      <c r="E4260" s="110"/>
      <c r="F4260" s="110">
        <f>+F4259*D4260</f>
        <v>398973.72420000006</v>
      </c>
    </row>
    <row r="4261" spans="1:6" x14ac:dyDescent="0.25">
      <c r="A4261" s="111"/>
      <c r="B4261" s="134" t="s">
        <v>848</v>
      </c>
      <c r="C4261" s="115"/>
      <c r="D4261" s="124">
        <v>1.05</v>
      </c>
      <c r="E4261" s="110"/>
      <c r="F4261" s="110"/>
    </row>
    <row r="4262" spans="1:6" x14ac:dyDescent="0.35">
      <c r="A4262" s="261" t="s">
        <v>297</v>
      </c>
      <c r="B4262" s="242" t="s">
        <v>785</v>
      </c>
      <c r="C4262" s="208" t="s">
        <v>59</v>
      </c>
      <c r="D4262" s="300"/>
      <c r="E4262" s="209"/>
      <c r="F4262" s="209">
        <f>+D4261*F4260</f>
        <v>418922.41041000007</v>
      </c>
    </row>
    <row r="4263" spans="1:6" x14ac:dyDescent="0.35">
      <c r="A4263" s="206"/>
      <c r="B4263" s="207"/>
      <c r="C4263" s="208"/>
      <c r="D4263" s="208"/>
      <c r="E4263" s="210">
        <f>+E4233</f>
        <v>3035.45</v>
      </c>
      <c r="F4263" s="210">
        <f>+F4262/E4263</f>
        <v>138.00998547497079</v>
      </c>
    </row>
    <row r="4266" spans="1:6" x14ac:dyDescent="0.3">
      <c r="A4266" s="257" t="s">
        <v>227</v>
      </c>
      <c r="B4266" s="258" t="s">
        <v>228</v>
      </c>
      <c r="C4266" s="200" t="s">
        <v>2</v>
      </c>
      <c r="D4266" s="202" t="s">
        <v>765</v>
      </c>
      <c r="E4266" s="203" t="s">
        <v>766</v>
      </c>
      <c r="F4266" s="203" t="s">
        <v>767</v>
      </c>
    </row>
    <row r="4267" spans="1:6" x14ac:dyDescent="0.3">
      <c r="A4267" s="237" t="s">
        <v>299</v>
      </c>
      <c r="B4267" s="304" t="s">
        <v>300</v>
      </c>
      <c r="C4267" s="256"/>
      <c r="E4267" s="110"/>
      <c r="F4267" s="110"/>
    </row>
    <row r="4268" spans="1:6" x14ac:dyDescent="0.3">
      <c r="A4268" s="239" t="s">
        <v>301</v>
      </c>
      <c r="B4268" s="294" t="s">
        <v>302</v>
      </c>
      <c r="C4268" s="256" t="s">
        <v>59</v>
      </c>
      <c r="D4268" s="141"/>
      <c r="E4268" s="110"/>
      <c r="F4268" s="110"/>
    </row>
    <row r="4269" spans="1:6" x14ac:dyDescent="0.35">
      <c r="A4269" s="111"/>
      <c r="B4269" s="112" t="s">
        <v>802</v>
      </c>
      <c r="C4269" s="118"/>
      <c r="D4269" s="141"/>
      <c r="E4269" s="119"/>
      <c r="F4269" s="119"/>
    </row>
    <row r="4270" spans="1:6" x14ac:dyDescent="0.25">
      <c r="A4270" s="111"/>
      <c r="B4270" s="134" t="s">
        <v>942</v>
      </c>
      <c r="C4270" s="118" t="s">
        <v>27</v>
      </c>
      <c r="D4270" s="118">
        <f>(1.78+2.64)*2</f>
        <v>8.84</v>
      </c>
      <c r="E4270" s="119">
        <f>48000/6</f>
        <v>8000</v>
      </c>
      <c r="F4270" s="119">
        <f>+D4270*E4270</f>
        <v>70720</v>
      </c>
    </row>
    <row r="4271" spans="1:6" x14ac:dyDescent="0.25">
      <c r="A4271" s="111"/>
      <c r="B4271" s="134" t="s">
        <v>907</v>
      </c>
      <c r="C4271" s="118" t="s">
        <v>27</v>
      </c>
      <c r="D4271" s="228">
        <f>((0.9+2.09)*2)*2</f>
        <v>11.959999999999999</v>
      </c>
      <c r="E4271" s="119">
        <f>42500/6</f>
        <v>7083.333333333333</v>
      </c>
      <c r="F4271" s="119">
        <f t="shared" ref="F4271:F4278" si="110">+D4271*E4271</f>
        <v>84716.666666666657</v>
      </c>
    </row>
    <row r="4272" spans="1:6" x14ac:dyDescent="0.25">
      <c r="A4272" s="111"/>
      <c r="B4272" s="134" t="s">
        <v>971</v>
      </c>
      <c r="C4272" s="118" t="s">
        <v>35</v>
      </c>
      <c r="D4272" s="295">
        <f>1.78*2.09</f>
        <v>3.7201999999999997</v>
      </c>
      <c r="E4272" s="119">
        <f>85000/(1.2*2.4)</f>
        <v>29513.888888888891</v>
      </c>
      <c r="F4272" s="119">
        <f t="shared" si="110"/>
        <v>109797.56944444444</v>
      </c>
    </row>
    <row r="4273" spans="1:6" x14ac:dyDescent="0.25">
      <c r="A4273" s="111"/>
      <c r="B4273" s="134" t="s">
        <v>1323</v>
      </c>
      <c r="C4273" s="118" t="s">
        <v>35</v>
      </c>
      <c r="D4273" s="228">
        <v>0</v>
      </c>
      <c r="E4273" s="119">
        <f>30000/(1.2*2.4)</f>
        <v>10416.666666666668</v>
      </c>
      <c r="F4273" s="119">
        <f t="shared" si="110"/>
        <v>0</v>
      </c>
    </row>
    <row r="4274" spans="1:6" x14ac:dyDescent="0.25">
      <c r="A4274" s="111"/>
      <c r="B4274" s="134" t="s">
        <v>958</v>
      </c>
      <c r="C4274" s="118" t="s">
        <v>27</v>
      </c>
      <c r="D4274" s="154">
        <f>1.785</f>
        <v>1.7849999999999999</v>
      </c>
      <c r="E4274" s="119">
        <f>160000/12</f>
        <v>13333.333333333334</v>
      </c>
      <c r="F4274" s="119">
        <f t="shared" si="110"/>
        <v>23800</v>
      </c>
    </row>
    <row r="4275" spans="1:6" x14ac:dyDescent="0.25">
      <c r="A4275" s="111"/>
      <c r="B4275" s="134" t="s">
        <v>959</v>
      </c>
      <c r="C4275" s="118" t="s">
        <v>27</v>
      </c>
      <c r="D4275" s="228">
        <v>0</v>
      </c>
      <c r="E4275" s="119">
        <f>25000/6</f>
        <v>4166.666666666667</v>
      </c>
      <c r="F4275" s="119">
        <f t="shared" si="110"/>
        <v>0</v>
      </c>
    </row>
    <row r="4276" spans="1:6" x14ac:dyDescent="0.25">
      <c r="A4276" s="111"/>
      <c r="B4276" s="134" t="s">
        <v>960</v>
      </c>
      <c r="C4276" s="118" t="s">
        <v>27</v>
      </c>
      <c r="D4276" s="253">
        <v>0</v>
      </c>
      <c r="E4276" s="119">
        <f>42000/6</f>
        <v>7000</v>
      </c>
      <c r="F4276" s="119">
        <f t="shared" si="110"/>
        <v>0</v>
      </c>
    </row>
    <row r="4277" spans="1:6" x14ac:dyDescent="0.25">
      <c r="A4277" s="111"/>
      <c r="B4277" s="134" t="s">
        <v>961</v>
      </c>
      <c r="C4277" s="118" t="s">
        <v>35</v>
      </c>
      <c r="D4277" s="299">
        <f>1.78*2.09</f>
        <v>3.7201999999999997</v>
      </c>
      <c r="E4277" s="119">
        <f>72000/4</f>
        <v>18000</v>
      </c>
      <c r="F4277" s="119">
        <f t="shared" si="110"/>
        <v>66963.599999999991</v>
      </c>
    </row>
    <row r="4278" spans="1:6" x14ac:dyDescent="0.25">
      <c r="A4278" s="111"/>
      <c r="B4278" s="134" t="s">
        <v>962</v>
      </c>
      <c r="C4278" s="118" t="s">
        <v>35</v>
      </c>
      <c r="D4278" s="299">
        <f>+D4277</f>
        <v>3.7201999999999997</v>
      </c>
      <c r="E4278" s="119">
        <f>75000/4</f>
        <v>18750</v>
      </c>
      <c r="F4278" s="119">
        <f t="shared" si="110"/>
        <v>69753.75</v>
      </c>
    </row>
    <row r="4279" spans="1:6" x14ac:dyDescent="0.25">
      <c r="A4279" s="111"/>
      <c r="B4279" s="120" t="s">
        <v>952</v>
      </c>
      <c r="C4279" s="118"/>
      <c r="D4279" s="155"/>
      <c r="E4279" s="119"/>
      <c r="F4279" s="119">
        <f>0.1*(F4278+F4277+F4276+F4275+F4274+F4273+F4270+F4271)</f>
        <v>31595.401666666661</v>
      </c>
    </row>
    <row r="4280" spans="1:6" x14ac:dyDescent="0.35">
      <c r="A4280" s="107"/>
      <c r="B4280" s="108" t="s">
        <v>769</v>
      </c>
      <c r="C4280" s="109"/>
      <c r="D4280" s="118"/>
      <c r="E4280" s="117"/>
      <c r="F4280" s="110">
        <f>SUM(F4270:F4279)</f>
        <v>457346.98777777777</v>
      </c>
    </row>
    <row r="4281" spans="1:6" x14ac:dyDescent="0.3">
      <c r="A4281" s="111"/>
      <c r="B4281" s="136" t="s">
        <v>808</v>
      </c>
      <c r="C4281" s="115"/>
      <c r="D4281" s="124"/>
      <c r="E4281" s="117"/>
      <c r="F4281" s="110"/>
    </row>
    <row r="4282" spans="1:6" x14ac:dyDescent="0.25">
      <c r="A4282" s="111"/>
      <c r="B4282" s="134" t="s">
        <v>820</v>
      </c>
      <c r="C4282" s="115" t="s">
        <v>772</v>
      </c>
      <c r="D4282" s="124">
        <v>0.75</v>
      </c>
      <c r="E4282" s="117">
        <v>7500</v>
      </c>
      <c r="F4282" s="117">
        <f t="shared" ref="F4282:F4287" si="111">+D4282*E4282</f>
        <v>5625</v>
      </c>
    </row>
    <row r="4283" spans="1:6" x14ac:dyDescent="0.25">
      <c r="A4283" s="111"/>
      <c r="B4283" s="134" t="s">
        <v>821</v>
      </c>
      <c r="C4283" s="115" t="s">
        <v>772</v>
      </c>
      <c r="D4283" s="124">
        <v>0.75</v>
      </c>
      <c r="E4283" s="117">
        <v>7500</v>
      </c>
      <c r="F4283" s="117">
        <f t="shared" si="111"/>
        <v>5625</v>
      </c>
    </row>
    <row r="4284" spans="1:6" x14ac:dyDescent="0.25">
      <c r="A4284" s="111"/>
      <c r="B4284" s="134" t="s">
        <v>895</v>
      </c>
      <c r="C4284" s="115" t="s">
        <v>772</v>
      </c>
      <c r="D4284" s="124">
        <v>2.5</v>
      </c>
      <c r="E4284" s="117">
        <v>15000</v>
      </c>
      <c r="F4284" s="117">
        <f t="shared" si="111"/>
        <v>37500</v>
      </c>
    </row>
    <row r="4285" spans="1:6" x14ac:dyDescent="0.25">
      <c r="A4285" s="111"/>
      <c r="B4285" s="134" t="s">
        <v>896</v>
      </c>
      <c r="C4285" s="115" t="s">
        <v>772</v>
      </c>
      <c r="D4285" s="124">
        <v>0.5</v>
      </c>
      <c r="E4285" s="117">
        <v>15000</v>
      </c>
      <c r="F4285" s="117">
        <f t="shared" si="111"/>
        <v>7500</v>
      </c>
    </row>
    <row r="4286" spans="1:6" x14ac:dyDescent="0.25">
      <c r="A4286" s="111"/>
      <c r="B4286" s="134" t="s">
        <v>851</v>
      </c>
      <c r="C4286" s="115" t="s">
        <v>772</v>
      </c>
      <c r="D4286" s="124">
        <v>3.5</v>
      </c>
      <c r="E4286" s="117">
        <v>15000</v>
      </c>
      <c r="F4286" s="117">
        <f t="shared" si="111"/>
        <v>52500</v>
      </c>
    </row>
    <row r="4287" spans="1:6" x14ac:dyDescent="0.25">
      <c r="A4287" s="111"/>
      <c r="B4287" s="134" t="s">
        <v>953</v>
      </c>
      <c r="C4287" s="115" t="s">
        <v>772</v>
      </c>
      <c r="D4287" s="124"/>
      <c r="E4287" s="117">
        <v>15000</v>
      </c>
      <c r="F4287" s="117">
        <f t="shared" si="111"/>
        <v>0</v>
      </c>
    </row>
    <row r="4288" spans="1:6" x14ac:dyDescent="0.3">
      <c r="A4288" s="111"/>
      <c r="B4288" s="136" t="s">
        <v>774</v>
      </c>
      <c r="C4288" s="115"/>
      <c r="D4288" s="124"/>
      <c r="E4288" s="117"/>
      <c r="F4288" s="110">
        <f>SUM(F4282:F4287)</f>
        <v>108750</v>
      </c>
    </row>
    <row r="4289" spans="1:6" x14ac:dyDescent="0.3">
      <c r="A4289" s="111"/>
      <c r="B4289" s="136" t="s">
        <v>775</v>
      </c>
      <c r="C4289" s="115"/>
      <c r="D4289" s="124"/>
      <c r="E4289" s="110"/>
      <c r="F4289" s="110">
        <f>+F4288+F4280</f>
        <v>566096.98777777771</v>
      </c>
    </row>
    <row r="4290" spans="1:6" x14ac:dyDescent="0.25">
      <c r="A4290" s="111"/>
      <c r="B4290" s="134" t="s">
        <v>956</v>
      </c>
      <c r="C4290" s="115"/>
      <c r="D4290" s="124">
        <v>1.02</v>
      </c>
      <c r="E4290" s="110"/>
      <c r="F4290" s="110">
        <f>+F4289*D4290</f>
        <v>577418.92753333331</v>
      </c>
    </row>
    <row r="4291" spans="1:6" x14ac:dyDescent="0.25">
      <c r="A4291" s="111"/>
      <c r="B4291" s="134" t="s">
        <v>848</v>
      </c>
      <c r="C4291" s="115"/>
      <c r="D4291" s="124">
        <v>1.05</v>
      </c>
      <c r="E4291" s="110"/>
      <c r="F4291" s="110"/>
    </row>
    <row r="4292" spans="1:6" x14ac:dyDescent="0.35">
      <c r="A4292" s="261" t="s">
        <v>301</v>
      </c>
      <c r="B4292" s="242" t="s">
        <v>785</v>
      </c>
      <c r="C4292" s="208" t="s">
        <v>59</v>
      </c>
      <c r="D4292" s="300"/>
      <c r="E4292" s="209"/>
      <c r="F4292" s="209">
        <f>+D4291*F4290</f>
        <v>606289.87390999997</v>
      </c>
    </row>
    <row r="4293" spans="1:6" x14ac:dyDescent="0.35">
      <c r="A4293" s="206"/>
      <c r="B4293" s="207"/>
      <c r="C4293" s="208"/>
      <c r="D4293" s="208"/>
      <c r="E4293" s="210">
        <f>+E4263</f>
        <v>3035.45</v>
      </c>
      <c r="F4293" s="210">
        <f>+F4292/E4293</f>
        <v>199.73640610453145</v>
      </c>
    </row>
    <row r="4296" spans="1:6" x14ac:dyDescent="0.3">
      <c r="A4296" s="257" t="s">
        <v>227</v>
      </c>
      <c r="B4296" s="258" t="s">
        <v>228</v>
      </c>
      <c r="C4296" s="200" t="s">
        <v>2</v>
      </c>
      <c r="D4296" s="202" t="s">
        <v>765</v>
      </c>
      <c r="E4296" s="203" t="s">
        <v>766</v>
      </c>
      <c r="F4296" s="203" t="s">
        <v>767</v>
      </c>
    </row>
    <row r="4297" spans="1:6" x14ac:dyDescent="0.3">
      <c r="A4297" s="237" t="s">
        <v>299</v>
      </c>
      <c r="B4297" s="304" t="s">
        <v>300</v>
      </c>
      <c r="C4297" s="256"/>
      <c r="E4297" s="110"/>
      <c r="F4297" s="110"/>
    </row>
    <row r="4298" spans="1:6" x14ac:dyDescent="0.3">
      <c r="A4298" s="239" t="s">
        <v>301</v>
      </c>
      <c r="B4298" s="294" t="s">
        <v>1364</v>
      </c>
      <c r="C4298" s="256" t="s">
        <v>59</v>
      </c>
      <c r="D4298" s="141"/>
      <c r="E4298" s="110"/>
      <c r="F4298" s="110"/>
    </row>
    <row r="4299" spans="1:6" x14ac:dyDescent="0.35">
      <c r="A4299" s="111"/>
      <c r="B4299" s="112" t="s">
        <v>802</v>
      </c>
      <c r="C4299" s="118"/>
      <c r="D4299" s="141"/>
      <c r="E4299" s="119"/>
      <c r="F4299" s="119"/>
    </row>
    <row r="4300" spans="1:6" x14ac:dyDescent="0.25">
      <c r="A4300" s="111"/>
      <c r="B4300" s="134" t="s">
        <v>942</v>
      </c>
      <c r="C4300" s="118" t="s">
        <v>27</v>
      </c>
      <c r="D4300" s="118">
        <f>(0.7+2.1)*2</f>
        <v>5.6</v>
      </c>
      <c r="E4300" s="119">
        <f>48000/6</f>
        <v>8000</v>
      </c>
      <c r="F4300" s="119">
        <f>+D4300*E4300</f>
        <v>44800</v>
      </c>
    </row>
    <row r="4301" spans="1:6" x14ac:dyDescent="0.25">
      <c r="A4301" s="111"/>
      <c r="B4301" s="134" t="s">
        <v>907</v>
      </c>
      <c r="C4301" s="118" t="s">
        <v>27</v>
      </c>
      <c r="D4301" s="228">
        <f>((0.7+2.1)*2)*2.1</f>
        <v>11.76</v>
      </c>
      <c r="E4301" s="119">
        <f>42500/6</f>
        <v>7083.333333333333</v>
      </c>
      <c r="F4301" s="119">
        <f t="shared" ref="F4301:F4308" si="112">+D4301*E4301</f>
        <v>83300</v>
      </c>
    </row>
    <row r="4302" spans="1:6" x14ac:dyDescent="0.25">
      <c r="A4302" s="111"/>
      <c r="B4302" s="134" t="s">
        <v>971</v>
      </c>
      <c r="C4302" s="118" t="s">
        <v>35</v>
      </c>
      <c r="D4302" s="295">
        <f>0.7*2.1</f>
        <v>1.47</v>
      </c>
      <c r="E4302" s="119">
        <f>85000/(1.2*2.4)</f>
        <v>29513.888888888891</v>
      </c>
      <c r="F4302" s="119">
        <f t="shared" si="112"/>
        <v>43385.416666666672</v>
      </c>
    </row>
    <row r="4303" spans="1:6" x14ac:dyDescent="0.25">
      <c r="A4303" s="111"/>
      <c r="B4303" s="134" t="s">
        <v>1323</v>
      </c>
      <c r="C4303" s="118" t="s">
        <v>35</v>
      </c>
      <c r="D4303" s="228">
        <v>0</v>
      </c>
      <c r="E4303" s="119">
        <f>30000/(1.2*2.4)</f>
        <v>10416.666666666668</v>
      </c>
      <c r="F4303" s="119">
        <f t="shared" si="112"/>
        <v>0</v>
      </c>
    </row>
    <row r="4304" spans="1:6" x14ac:dyDescent="0.25">
      <c r="A4304" s="111"/>
      <c r="B4304" s="134" t="s">
        <v>958</v>
      </c>
      <c r="C4304" s="118" t="s">
        <v>27</v>
      </c>
      <c r="D4304" s="154">
        <f>0.7</f>
        <v>0.7</v>
      </c>
      <c r="E4304" s="119">
        <f>160000/12</f>
        <v>13333.333333333334</v>
      </c>
      <c r="F4304" s="119">
        <f t="shared" si="112"/>
        <v>9333.3333333333339</v>
      </c>
    </row>
    <row r="4305" spans="1:6" x14ac:dyDescent="0.25">
      <c r="A4305" s="111"/>
      <c r="B4305" s="134" t="s">
        <v>959</v>
      </c>
      <c r="C4305" s="118" t="s">
        <v>27</v>
      </c>
      <c r="D4305" s="228">
        <v>0</v>
      </c>
      <c r="E4305" s="119">
        <f>25000/6</f>
        <v>4166.666666666667</v>
      </c>
      <c r="F4305" s="119">
        <f t="shared" si="112"/>
        <v>0</v>
      </c>
    </row>
    <row r="4306" spans="1:6" x14ac:dyDescent="0.25">
      <c r="A4306" s="111"/>
      <c r="B4306" s="134" t="s">
        <v>960</v>
      </c>
      <c r="C4306" s="118" t="s">
        <v>27</v>
      </c>
      <c r="D4306" s="253">
        <v>0</v>
      </c>
      <c r="E4306" s="119">
        <f>42000/6</f>
        <v>7000</v>
      </c>
      <c r="F4306" s="119">
        <f t="shared" si="112"/>
        <v>0</v>
      </c>
    </row>
    <row r="4307" spans="1:6" x14ac:dyDescent="0.25">
      <c r="A4307" s="111"/>
      <c r="B4307" s="134" t="s">
        <v>961</v>
      </c>
      <c r="C4307" s="118" t="s">
        <v>35</v>
      </c>
      <c r="D4307" s="299">
        <f>0.7*2.1</f>
        <v>1.47</v>
      </c>
      <c r="E4307" s="119">
        <f>72000/4</f>
        <v>18000</v>
      </c>
      <c r="F4307" s="119">
        <f t="shared" si="112"/>
        <v>26460</v>
      </c>
    </row>
    <row r="4308" spans="1:6" x14ac:dyDescent="0.25">
      <c r="A4308" s="111"/>
      <c r="B4308" s="134" t="s">
        <v>962</v>
      </c>
      <c r="C4308" s="118" t="s">
        <v>35</v>
      </c>
      <c r="D4308" s="299">
        <f>+D4307</f>
        <v>1.47</v>
      </c>
      <c r="E4308" s="119">
        <f>75000/4</f>
        <v>18750</v>
      </c>
      <c r="F4308" s="119">
        <f t="shared" si="112"/>
        <v>27562.5</v>
      </c>
    </row>
    <row r="4309" spans="1:6" x14ac:dyDescent="0.25">
      <c r="A4309" s="111"/>
      <c r="B4309" s="120" t="s">
        <v>952</v>
      </c>
      <c r="C4309" s="118"/>
      <c r="D4309" s="155"/>
      <c r="E4309" s="119"/>
      <c r="F4309" s="119">
        <f>0.1*(F4308+F4307+F4306+F4305+F4304+F4303+F4300+F4301)</f>
        <v>19145.583333333336</v>
      </c>
    </row>
    <row r="4310" spans="1:6" x14ac:dyDescent="0.35">
      <c r="A4310" s="107"/>
      <c r="B4310" s="108" t="s">
        <v>769</v>
      </c>
      <c r="C4310" s="109"/>
      <c r="D4310" s="118"/>
      <c r="E4310" s="117"/>
      <c r="F4310" s="110">
        <f>SUM(F4300:F4309)</f>
        <v>253986.83333333337</v>
      </c>
    </row>
    <row r="4311" spans="1:6" x14ac:dyDescent="0.3">
      <c r="A4311" s="111"/>
      <c r="B4311" s="136" t="s">
        <v>808</v>
      </c>
      <c r="C4311" s="115"/>
      <c r="D4311" s="124"/>
      <c r="E4311" s="117"/>
      <c r="F4311" s="110"/>
    </row>
    <row r="4312" spans="1:6" x14ac:dyDescent="0.25">
      <c r="A4312" s="111"/>
      <c r="B4312" s="134" t="s">
        <v>820</v>
      </c>
      <c r="C4312" s="115" t="s">
        <v>772</v>
      </c>
      <c r="D4312" s="124">
        <v>0.75</v>
      </c>
      <c r="E4312" s="117">
        <v>7500</v>
      </c>
      <c r="F4312" s="117">
        <f t="shared" ref="F4312:F4317" si="113">+D4312*E4312</f>
        <v>5625</v>
      </c>
    </row>
    <row r="4313" spans="1:6" x14ac:dyDescent="0.25">
      <c r="A4313" s="111"/>
      <c r="B4313" s="134" t="s">
        <v>821</v>
      </c>
      <c r="C4313" s="115" t="s">
        <v>772</v>
      </c>
      <c r="D4313" s="124">
        <v>0.75</v>
      </c>
      <c r="E4313" s="117">
        <v>7500</v>
      </c>
      <c r="F4313" s="117">
        <f t="shared" si="113"/>
        <v>5625</v>
      </c>
    </row>
    <row r="4314" spans="1:6" x14ac:dyDescent="0.25">
      <c r="A4314" s="111"/>
      <c r="B4314" s="134" t="s">
        <v>895</v>
      </c>
      <c r="C4314" s="115" t="s">
        <v>772</v>
      </c>
      <c r="D4314" s="124">
        <v>2.5</v>
      </c>
      <c r="E4314" s="117">
        <v>15000</v>
      </c>
      <c r="F4314" s="117">
        <f t="shared" si="113"/>
        <v>37500</v>
      </c>
    </row>
    <row r="4315" spans="1:6" x14ac:dyDescent="0.25">
      <c r="A4315" s="111"/>
      <c r="B4315" s="134" t="s">
        <v>896</v>
      </c>
      <c r="C4315" s="115" t="s">
        <v>772</v>
      </c>
      <c r="D4315" s="124">
        <v>0.5</v>
      </c>
      <c r="E4315" s="117">
        <v>15000</v>
      </c>
      <c r="F4315" s="117">
        <f t="shared" si="113"/>
        <v>7500</v>
      </c>
    </row>
    <row r="4316" spans="1:6" x14ac:dyDescent="0.25">
      <c r="A4316" s="111"/>
      <c r="B4316" s="134" t="s">
        <v>851</v>
      </c>
      <c r="C4316" s="115" t="s">
        <v>772</v>
      </c>
      <c r="D4316" s="124">
        <v>3.5</v>
      </c>
      <c r="E4316" s="117">
        <v>15000</v>
      </c>
      <c r="F4316" s="117">
        <f t="shared" si="113"/>
        <v>52500</v>
      </c>
    </row>
    <row r="4317" spans="1:6" x14ac:dyDescent="0.25">
      <c r="A4317" s="111"/>
      <c r="B4317" s="134" t="s">
        <v>953</v>
      </c>
      <c r="C4317" s="115" t="s">
        <v>772</v>
      </c>
      <c r="D4317" s="124"/>
      <c r="E4317" s="117">
        <v>15000</v>
      </c>
      <c r="F4317" s="117">
        <f t="shared" si="113"/>
        <v>0</v>
      </c>
    </row>
    <row r="4318" spans="1:6" x14ac:dyDescent="0.3">
      <c r="A4318" s="111"/>
      <c r="B4318" s="136" t="s">
        <v>774</v>
      </c>
      <c r="C4318" s="115"/>
      <c r="D4318" s="124"/>
      <c r="E4318" s="117"/>
      <c r="F4318" s="110">
        <f>SUM(F4312:F4317)</f>
        <v>108750</v>
      </c>
    </row>
    <row r="4319" spans="1:6" x14ac:dyDescent="0.3">
      <c r="A4319" s="111"/>
      <c r="B4319" s="136" t="s">
        <v>775</v>
      </c>
      <c r="C4319" s="115"/>
      <c r="D4319" s="124"/>
      <c r="E4319" s="110"/>
      <c r="F4319" s="110">
        <f>+F4318+F4310</f>
        <v>362736.83333333337</v>
      </c>
    </row>
    <row r="4320" spans="1:6" x14ac:dyDescent="0.25">
      <c r="A4320" s="111"/>
      <c r="B4320" s="134" t="s">
        <v>956</v>
      </c>
      <c r="C4320" s="115"/>
      <c r="D4320" s="124">
        <v>1.02</v>
      </c>
      <c r="E4320" s="110"/>
      <c r="F4320" s="110">
        <f>+F4319*D4320</f>
        <v>369991.57000000007</v>
      </c>
    </row>
    <row r="4321" spans="1:6" x14ac:dyDescent="0.25">
      <c r="A4321" s="111"/>
      <c r="B4321" s="134" t="s">
        <v>848</v>
      </c>
      <c r="C4321" s="115"/>
      <c r="D4321" s="124">
        <v>1.05</v>
      </c>
      <c r="E4321" s="110"/>
      <c r="F4321" s="110"/>
    </row>
    <row r="4322" spans="1:6" x14ac:dyDescent="0.35">
      <c r="A4322" s="261" t="s">
        <v>301</v>
      </c>
      <c r="B4322" s="242" t="s">
        <v>785</v>
      </c>
      <c r="C4322" s="208" t="s">
        <v>59</v>
      </c>
      <c r="D4322" s="300"/>
      <c r="E4322" s="209"/>
      <c r="F4322" s="209">
        <f>+D4321*F4320</f>
        <v>388491.14850000007</v>
      </c>
    </row>
    <row r="4323" spans="1:6" x14ac:dyDescent="0.35">
      <c r="A4323" s="206"/>
      <c r="B4323" s="207"/>
      <c r="C4323" s="208"/>
      <c r="D4323" s="208"/>
      <c r="E4323" s="210">
        <f>+E4293</f>
        <v>3035.45</v>
      </c>
      <c r="F4323" s="210">
        <f>+F4322/E4323</f>
        <v>127.98469699715037</v>
      </c>
    </row>
    <row r="4326" spans="1:6" x14ac:dyDescent="0.3">
      <c r="A4326" s="257" t="s">
        <v>227</v>
      </c>
      <c r="B4326" s="290" t="s">
        <v>228</v>
      </c>
      <c r="C4326" s="200" t="s">
        <v>2</v>
      </c>
      <c r="D4326" s="202" t="s">
        <v>765</v>
      </c>
      <c r="E4326" s="203" t="s">
        <v>766</v>
      </c>
      <c r="F4326" s="203" t="s">
        <v>767</v>
      </c>
    </row>
    <row r="4327" spans="1:6" x14ac:dyDescent="0.3">
      <c r="A4327" s="305" t="s">
        <v>303</v>
      </c>
      <c r="B4327" s="304" t="s">
        <v>304</v>
      </c>
      <c r="C4327" s="256"/>
      <c r="D4327" s="141"/>
      <c r="E4327" s="110"/>
      <c r="F4327" s="110"/>
    </row>
    <row r="4328" spans="1:6" x14ac:dyDescent="0.3">
      <c r="A4328" s="306" t="s">
        <v>305</v>
      </c>
      <c r="B4328" s="294" t="s">
        <v>306</v>
      </c>
      <c r="C4328" s="256" t="s">
        <v>59</v>
      </c>
      <c r="D4328" s="141"/>
      <c r="E4328" s="110"/>
      <c r="F4328" s="110"/>
    </row>
    <row r="4329" spans="1:6" x14ac:dyDescent="0.35">
      <c r="A4329" s="111"/>
      <c r="B4329" s="112" t="s">
        <v>802</v>
      </c>
      <c r="C4329" s="118"/>
      <c r="D4329" s="118"/>
      <c r="E4329" s="119"/>
      <c r="F4329" s="119"/>
    </row>
    <row r="4330" spans="1:6" x14ac:dyDescent="0.25">
      <c r="A4330" s="111"/>
      <c r="B4330" s="134" t="s">
        <v>893</v>
      </c>
      <c r="C4330" s="118" t="s">
        <v>27</v>
      </c>
      <c r="D4330" s="228">
        <f>(2.86+2.86)*2+2.9*4</f>
        <v>23.04</v>
      </c>
      <c r="E4330" s="119">
        <f>95000/6</f>
        <v>15833.333333333334</v>
      </c>
      <c r="F4330" s="119">
        <f>+D4330*E4330</f>
        <v>364800</v>
      </c>
    </row>
    <row r="4331" spans="1:6" x14ac:dyDescent="0.25">
      <c r="A4331" s="111"/>
      <c r="B4331" s="134" t="s">
        <v>969</v>
      </c>
      <c r="C4331" s="118" t="s">
        <v>27</v>
      </c>
      <c r="D4331" s="228">
        <f>+(((1.5/0.15)-1)*2.86)*2</f>
        <v>51.48</v>
      </c>
      <c r="E4331" s="119">
        <f>25000/6</f>
        <v>4166.666666666667</v>
      </c>
      <c r="F4331" s="119">
        <f>+D4331*E4331</f>
        <v>214500</v>
      </c>
    </row>
    <row r="4332" spans="1:6" x14ac:dyDescent="0.25">
      <c r="A4332" s="111"/>
      <c r="B4332" s="134" t="s">
        <v>970</v>
      </c>
      <c r="C4332" s="118" t="s">
        <v>59</v>
      </c>
      <c r="D4332" s="228">
        <v>1</v>
      </c>
      <c r="E4332" s="119">
        <v>15000</v>
      </c>
      <c r="F4332" s="119">
        <f>+D4332*E4332</f>
        <v>15000</v>
      </c>
    </row>
    <row r="4333" spans="1:6" x14ac:dyDescent="0.35">
      <c r="A4333" s="111"/>
      <c r="B4333" s="120" t="s">
        <v>965</v>
      </c>
      <c r="C4333" s="118"/>
      <c r="D4333" s="118"/>
      <c r="E4333" s="119"/>
      <c r="F4333" s="119">
        <f>0.1*(F4331+F4330+F4332)</f>
        <v>59430</v>
      </c>
    </row>
    <row r="4334" spans="1:6" x14ac:dyDescent="0.35">
      <c r="A4334" s="107"/>
      <c r="B4334" s="108" t="s">
        <v>769</v>
      </c>
      <c r="C4334" s="109"/>
      <c r="D4334" s="124"/>
      <c r="E4334" s="117"/>
      <c r="F4334" s="110">
        <f>SUM(F4330:F4333)</f>
        <v>653730</v>
      </c>
    </row>
    <row r="4335" spans="1:6" x14ac:dyDescent="0.3">
      <c r="A4335" s="111"/>
      <c r="B4335" s="136" t="s">
        <v>808</v>
      </c>
      <c r="C4335" s="115"/>
      <c r="D4335" s="124"/>
      <c r="E4335" s="117"/>
      <c r="F4335" s="110"/>
    </row>
    <row r="4336" spans="1:6" x14ac:dyDescent="0.25">
      <c r="A4336" s="111"/>
      <c r="B4336" s="134" t="s">
        <v>820</v>
      </c>
      <c r="C4336" s="115" t="s">
        <v>772</v>
      </c>
      <c r="D4336" s="124">
        <v>7.5</v>
      </c>
      <c r="E4336" s="117">
        <v>7500</v>
      </c>
      <c r="F4336" s="117">
        <f t="shared" ref="F4336:F4341" si="114">+D4336*E4336</f>
        <v>56250</v>
      </c>
    </row>
    <row r="4337" spans="1:6" x14ac:dyDescent="0.25">
      <c r="A4337" s="111"/>
      <c r="B4337" s="134" t="s">
        <v>821</v>
      </c>
      <c r="C4337" s="115" t="s">
        <v>772</v>
      </c>
      <c r="D4337" s="124">
        <v>7.5</v>
      </c>
      <c r="E4337" s="117">
        <v>7500</v>
      </c>
      <c r="F4337" s="117">
        <f t="shared" si="114"/>
        <v>56250</v>
      </c>
    </row>
    <row r="4338" spans="1:6" x14ac:dyDescent="0.25">
      <c r="A4338" s="111"/>
      <c r="B4338" s="134" t="s">
        <v>895</v>
      </c>
      <c r="C4338" s="115" t="s">
        <v>772</v>
      </c>
      <c r="D4338" s="124">
        <v>8</v>
      </c>
      <c r="E4338" s="117">
        <v>15000</v>
      </c>
      <c r="F4338" s="117">
        <f t="shared" si="114"/>
        <v>120000</v>
      </c>
    </row>
    <row r="4339" spans="1:6" x14ac:dyDescent="0.25">
      <c r="A4339" s="111"/>
      <c r="B4339" s="134" t="s">
        <v>896</v>
      </c>
      <c r="C4339" s="115" t="s">
        <v>772</v>
      </c>
      <c r="D4339" s="124">
        <v>2</v>
      </c>
      <c r="E4339" s="117">
        <v>15000</v>
      </c>
      <c r="F4339" s="117">
        <f t="shared" si="114"/>
        <v>30000</v>
      </c>
    </row>
    <row r="4340" spans="1:6" x14ac:dyDescent="0.25">
      <c r="A4340" s="111"/>
      <c r="B4340" s="134" t="s">
        <v>773</v>
      </c>
      <c r="C4340" s="115" t="s">
        <v>772</v>
      </c>
      <c r="D4340" s="124">
        <v>6</v>
      </c>
      <c r="E4340" s="117">
        <v>15000</v>
      </c>
      <c r="F4340" s="117">
        <f t="shared" si="114"/>
        <v>90000</v>
      </c>
    </row>
    <row r="4341" spans="1:6" x14ac:dyDescent="0.25">
      <c r="A4341" s="111"/>
      <c r="B4341" s="134" t="s">
        <v>851</v>
      </c>
      <c r="C4341" s="115" t="s">
        <v>772</v>
      </c>
      <c r="D4341" s="124">
        <v>15</v>
      </c>
      <c r="E4341" s="117">
        <v>15000</v>
      </c>
      <c r="F4341" s="117">
        <f t="shared" si="114"/>
        <v>225000</v>
      </c>
    </row>
    <row r="4342" spans="1:6" x14ac:dyDescent="0.3">
      <c r="A4342" s="111"/>
      <c r="B4342" s="136" t="s">
        <v>774</v>
      </c>
      <c r="C4342" s="115"/>
      <c r="D4342" s="124"/>
      <c r="E4342" s="117"/>
      <c r="F4342" s="110">
        <f>SUM(F4336:F4341)</f>
        <v>577500</v>
      </c>
    </row>
    <row r="4343" spans="1:6" x14ac:dyDescent="0.3">
      <c r="A4343" s="111"/>
      <c r="B4343" s="136" t="s">
        <v>775</v>
      </c>
      <c r="C4343" s="115"/>
      <c r="D4343" s="109"/>
      <c r="E4343" s="110"/>
      <c r="F4343" s="110">
        <f>+F4342+F4334</f>
        <v>1231230</v>
      </c>
    </row>
    <row r="4344" spans="1:6" x14ac:dyDescent="0.25">
      <c r="A4344" s="111"/>
      <c r="B4344" s="134" t="s">
        <v>776</v>
      </c>
      <c r="C4344" s="115"/>
      <c r="D4344" s="124">
        <v>1.25</v>
      </c>
      <c r="E4344" s="110"/>
      <c r="F4344" s="110">
        <f>+F4343*D4344</f>
        <v>1539037.5</v>
      </c>
    </row>
    <row r="4345" spans="1:6" x14ac:dyDescent="0.25">
      <c r="A4345" s="111"/>
      <c r="B4345" s="134" t="s">
        <v>835</v>
      </c>
      <c r="C4345" s="115"/>
      <c r="D4345" s="124">
        <v>1.25</v>
      </c>
      <c r="E4345" s="110"/>
      <c r="F4345" s="110"/>
    </row>
    <row r="4346" spans="1:6" x14ac:dyDescent="0.35">
      <c r="A4346" s="307" t="s">
        <v>305</v>
      </c>
      <c r="B4346" s="242" t="s">
        <v>785</v>
      </c>
      <c r="C4346" s="208" t="s">
        <v>59</v>
      </c>
      <c r="D4346" s="208"/>
      <c r="E4346" s="209"/>
      <c r="F4346" s="209">
        <f>+D4345*F4344</f>
        <v>1923796.875</v>
      </c>
    </row>
    <row r="4347" spans="1:6" x14ac:dyDescent="0.35">
      <c r="A4347" s="206"/>
      <c r="B4347" s="207"/>
      <c r="C4347" s="208"/>
      <c r="D4347" s="208"/>
      <c r="E4347" s="210">
        <f>+E4293</f>
        <v>3035.45</v>
      </c>
      <c r="F4347" s="210">
        <f>+F4346/E4347</f>
        <v>633.77649936582714</v>
      </c>
    </row>
    <row r="4350" spans="1:6" x14ac:dyDescent="0.3">
      <c r="A4350" s="257" t="s">
        <v>227</v>
      </c>
      <c r="B4350" s="290" t="s">
        <v>228</v>
      </c>
      <c r="C4350" s="200" t="s">
        <v>2</v>
      </c>
      <c r="D4350" s="202" t="s">
        <v>765</v>
      </c>
      <c r="E4350" s="203" t="s">
        <v>766</v>
      </c>
      <c r="F4350" s="203" t="s">
        <v>767</v>
      </c>
    </row>
    <row r="4351" spans="1:6" x14ac:dyDescent="0.3">
      <c r="A4351" s="305" t="s">
        <v>303</v>
      </c>
      <c r="B4351" s="304" t="s">
        <v>304</v>
      </c>
      <c r="C4351" s="256"/>
      <c r="D4351" s="141"/>
      <c r="E4351" s="110"/>
      <c r="F4351" s="110"/>
    </row>
    <row r="4352" spans="1:6" x14ac:dyDescent="0.3">
      <c r="A4352" s="306" t="s">
        <v>307</v>
      </c>
      <c r="B4352" s="301" t="s">
        <v>308</v>
      </c>
      <c r="C4352" s="256" t="s">
        <v>59</v>
      </c>
      <c r="D4352" s="141"/>
      <c r="E4352" s="110"/>
      <c r="F4352" s="110"/>
    </row>
    <row r="4353" spans="1:6" x14ac:dyDescent="0.35">
      <c r="A4353" s="111"/>
      <c r="B4353" s="112" t="s">
        <v>802</v>
      </c>
      <c r="C4353" s="118"/>
      <c r="D4353" s="118"/>
      <c r="E4353" s="119"/>
      <c r="F4353" s="119"/>
    </row>
    <row r="4354" spans="1:6" x14ac:dyDescent="0.25">
      <c r="A4354" s="111"/>
      <c r="B4354" s="134" t="s">
        <v>893</v>
      </c>
      <c r="C4354" s="118" t="s">
        <v>27</v>
      </c>
      <c r="D4354" s="228">
        <f>(2.64+2.86)*2+2.9*4</f>
        <v>22.6</v>
      </c>
      <c r="E4354" s="119">
        <f>95000/6</f>
        <v>15833.333333333334</v>
      </c>
      <c r="F4354" s="119">
        <f>+D4354*E4354</f>
        <v>357833.33333333337</v>
      </c>
    </row>
    <row r="4355" spans="1:6" x14ac:dyDescent="0.25">
      <c r="A4355" s="111"/>
      <c r="B4355" s="134" t="s">
        <v>969</v>
      </c>
      <c r="C4355" s="118" t="s">
        <v>27</v>
      </c>
      <c r="D4355" s="228">
        <f>+(((1.5/0.15)-1)*2.86)*2</f>
        <v>51.48</v>
      </c>
      <c r="E4355" s="119">
        <f>25000/6</f>
        <v>4166.666666666667</v>
      </c>
      <c r="F4355" s="119">
        <f>+D4355*E4355</f>
        <v>214500</v>
      </c>
    </row>
    <row r="4356" spans="1:6" x14ac:dyDescent="0.25">
      <c r="A4356" s="111"/>
      <c r="B4356" s="134" t="s">
        <v>970</v>
      </c>
      <c r="C4356" s="118" t="s">
        <v>59</v>
      </c>
      <c r="D4356" s="228">
        <v>1</v>
      </c>
      <c r="E4356" s="119">
        <v>15000</v>
      </c>
      <c r="F4356" s="119">
        <f>+D4356*E4356</f>
        <v>15000</v>
      </c>
    </row>
    <row r="4357" spans="1:6" x14ac:dyDescent="0.35">
      <c r="A4357" s="111"/>
      <c r="B4357" s="120" t="s">
        <v>965</v>
      </c>
      <c r="C4357" s="118"/>
      <c r="D4357" s="118"/>
      <c r="E4357" s="119"/>
      <c r="F4357" s="119">
        <f>0.1*(F4355+F4354+F4356)</f>
        <v>58733.333333333343</v>
      </c>
    </row>
    <row r="4358" spans="1:6" x14ac:dyDescent="0.35">
      <c r="A4358" s="107"/>
      <c r="B4358" s="108" t="s">
        <v>769</v>
      </c>
      <c r="C4358" s="109"/>
      <c r="D4358" s="124"/>
      <c r="E4358" s="117"/>
      <c r="F4358" s="110">
        <f>SUM(F4354:F4357)</f>
        <v>646066.66666666674</v>
      </c>
    </row>
    <row r="4359" spans="1:6" x14ac:dyDescent="0.3">
      <c r="A4359" s="111"/>
      <c r="B4359" s="136" t="s">
        <v>808</v>
      </c>
      <c r="C4359" s="115"/>
      <c r="D4359" s="124"/>
      <c r="E4359" s="117"/>
      <c r="F4359" s="110"/>
    </row>
    <row r="4360" spans="1:6" x14ac:dyDescent="0.25">
      <c r="A4360" s="111"/>
      <c r="B4360" s="134" t="s">
        <v>820</v>
      </c>
      <c r="C4360" s="115" t="s">
        <v>772</v>
      </c>
      <c r="D4360" s="124">
        <v>7.5</v>
      </c>
      <c r="E4360" s="117">
        <v>7500</v>
      </c>
      <c r="F4360" s="117">
        <f t="shared" ref="F4360:F4365" si="115">+D4360*E4360</f>
        <v>56250</v>
      </c>
    </row>
    <row r="4361" spans="1:6" x14ac:dyDescent="0.25">
      <c r="A4361" s="111"/>
      <c r="B4361" s="134" t="s">
        <v>821</v>
      </c>
      <c r="C4361" s="115" t="s">
        <v>772</v>
      </c>
      <c r="D4361" s="124">
        <v>7.5</v>
      </c>
      <c r="E4361" s="117">
        <v>7500</v>
      </c>
      <c r="F4361" s="117">
        <f t="shared" si="115"/>
        <v>56250</v>
      </c>
    </row>
    <row r="4362" spans="1:6" x14ac:dyDescent="0.25">
      <c r="A4362" s="111"/>
      <c r="B4362" s="134" t="s">
        <v>895</v>
      </c>
      <c r="C4362" s="115" t="s">
        <v>772</v>
      </c>
      <c r="D4362" s="124">
        <v>8</v>
      </c>
      <c r="E4362" s="117">
        <v>15000</v>
      </c>
      <c r="F4362" s="117">
        <f t="shared" si="115"/>
        <v>120000</v>
      </c>
    </row>
    <row r="4363" spans="1:6" x14ac:dyDescent="0.25">
      <c r="A4363" s="111"/>
      <c r="B4363" s="134" t="s">
        <v>896</v>
      </c>
      <c r="C4363" s="115" t="s">
        <v>772</v>
      </c>
      <c r="D4363" s="124">
        <v>2</v>
      </c>
      <c r="E4363" s="117">
        <v>15000</v>
      </c>
      <c r="F4363" s="117">
        <f t="shared" si="115"/>
        <v>30000</v>
      </c>
    </row>
    <row r="4364" spans="1:6" x14ac:dyDescent="0.25">
      <c r="A4364" s="111"/>
      <c r="B4364" s="134" t="s">
        <v>773</v>
      </c>
      <c r="C4364" s="115" t="s">
        <v>772</v>
      </c>
      <c r="D4364" s="124">
        <v>6</v>
      </c>
      <c r="E4364" s="117">
        <v>15000</v>
      </c>
      <c r="F4364" s="117">
        <f t="shared" si="115"/>
        <v>90000</v>
      </c>
    </row>
    <row r="4365" spans="1:6" x14ac:dyDescent="0.25">
      <c r="A4365" s="111"/>
      <c r="B4365" s="134" t="s">
        <v>851</v>
      </c>
      <c r="C4365" s="115" t="s">
        <v>772</v>
      </c>
      <c r="D4365" s="124">
        <v>15</v>
      </c>
      <c r="E4365" s="117">
        <v>15000</v>
      </c>
      <c r="F4365" s="117">
        <f t="shared" si="115"/>
        <v>225000</v>
      </c>
    </row>
    <row r="4366" spans="1:6" x14ac:dyDescent="0.3">
      <c r="A4366" s="111"/>
      <c r="B4366" s="136" t="s">
        <v>774</v>
      </c>
      <c r="C4366" s="115"/>
      <c r="D4366" s="124"/>
      <c r="E4366" s="117"/>
      <c r="F4366" s="110">
        <f>SUM(F4360:F4365)</f>
        <v>577500</v>
      </c>
    </row>
    <row r="4367" spans="1:6" x14ac:dyDescent="0.3">
      <c r="A4367" s="111"/>
      <c r="B4367" s="136" t="s">
        <v>775</v>
      </c>
      <c r="C4367" s="115"/>
      <c r="D4367" s="109"/>
      <c r="E4367" s="110"/>
      <c r="F4367" s="110">
        <f>+F4366+F4358</f>
        <v>1223566.6666666667</v>
      </c>
    </row>
    <row r="4368" spans="1:6" x14ac:dyDescent="0.25">
      <c r="A4368" s="111"/>
      <c r="B4368" s="134" t="s">
        <v>776</v>
      </c>
      <c r="C4368" s="115"/>
      <c r="D4368" s="124">
        <v>1.25</v>
      </c>
      <c r="E4368" s="110"/>
      <c r="F4368" s="110">
        <f>+F4367*D4368</f>
        <v>1529458.3333333335</v>
      </c>
    </row>
    <row r="4369" spans="1:6" x14ac:dyDescent="0.25">
      <c r="A4369" s="111"/>
      <c r="B4369" s="134" t="s">
        <v>835</v>
      </c>
      <c r="C4369" s="115"/>
      <c r="D4369" s="124">
        <v>1.25</v>
      </c>
      <c r="E4369" s="110"/>
      <c r="F4369" s="110"/>
    </row>
    <row r="4370" spans="1:6" x14ac:dyDescent="0.35">
      <c r="A4370" s="307" t="s">
        <v>307</v>
      </c>
      <c r="B4370" s="242" t="s">
        <v>785</v>
      </c>
      <c r="C4370" s="208" t="s">
        <v>59</v>
      </c>
      <c r="D4370" s="208"/>
      <c r="E4370" s="209"/>
      <c r="F4370" s="209">
        <f>+D4369*F4368</f>
        <v>1911822.916666667</v>
      </c>
    </row>
    <row r="4371" spans="1:6" x14ac:dyDescent="0.35">
      <c r="A4371" s="206"/>
      <c r="B4371" s="207"/>
      <c r="C4371" s="208"/>
      <c r="D4371" s="208"/>
      <c r="E4371" s="210">
        <f>+E4347</f>
        <v>3035.45</v>
      </c>
      <c r="F4371" s="210">
        <f>+F4370/E4371</f>
        <v>629.83179319925125</v>
      </c>
    </row>
    <row r="4374" spans="1:6" x14ac:dyDescent="0.3">
      <c r="A4374" s="257" t="s">
        <v>227</v>
      </c>
      <c r="B4374" s="290" t="s">
        <v>228</v>
      </c>
      <c r="C4374" s="200" t="s">
        <v>2</v>
      </c>
      <c r="D4374" s="202" t="s">
        <v>765</v>
      </c>
      <c r="E4374" s="203" t="s">
        <v>766</v>
      </c>
      <c r="F4374" s="203" t="s">
        <v>767</v>
      </c>
    </row>
    <row r="4375" spans="1:6" x14ac:dyDescent="0.3">
      <c r="A4375" s="305" t="s">
        <v>303</v>
      </c>
      <c r="B4375" s="304" t="s">
        <v>304</v>
      </c>
      <c r="C4375" s="256"/>
      <c r="D4375" s="141"/>
      <c r="E4375" s="110"/>
      <c r="F4375" s="110"/>
    </row>
    <row r="4376" spans="1:6" x14ac:dyDescent="0.3">
      <c r="A4376" s="306" t="s">
        <v>309</v>
      </c>
      <c r="B4376" s="301" t="s">
        <v>310</v>
      </c>
      <c r="C4376" s="256" t="s">
        <v>59</v>
      </c>
      <c r="D4376" s="141"/>
      <c r="E4376" s="110"/>
      <c r="F4376" s="110"/>
    </row>
    <row r="4377" spans="1:6" x14ac:dyDescent="0.35">
      <c r="A4377" s="111"/>
      <c r="B4377" s="112" t="s">
        <v>802</v>
      </c>
      <c r="C4377" s="118"/>
      <c r="D4377" s="118"/>
      <c r="E4377" s="119"/>
      <c r="F4377" s="119"/>
    </row>
    <row r="4378" spans="1:6" x14ac:dyDescent="0.25">
      <c r="A4378" s="111"/>
      <c r="B4378" s="134" t="s">
        <v>893</v>
      </c>
      <c r="C4378" s="118" t="s">
        <v>27</v>
      </c>
      <c r="D4378" s="228">
        <f>(2.53+2.86)*2+2.86*4</f>
        <v>22.22</v>
      </c>
      <c r="E4378" s="119">
        <f>95000/6</f>
        <v>15833.333333333334</v>
      </c>
      <c r="F4378" s="119">
        <f>+D4378*E4378</f>
        <v>351816.66666666669</v>
      </c>
    </row>
    <row r="4379" spans="1:6" x14ac:dyDescent="0.25">
      <c r="A4379" s="111"/>
      <c r="B4379" s="134" t="s">
        <v>969</v>
      </c>
      <c r="C4379" s="118" t="s">
        <v>27</v>
      </c>
      <c r="D4379" s="228">
        <f>+(((1.5/0.15)-1)*2.86)*2</f>
        <v>51.48</v>
      </c>
      <c r="E4379" s="119">
        <f>25000/6</f>
        <v>4166.666666666667</v>
      </c>
      <c r="F4379" s="119">
        <f>+D4379*E4379</f>
        <v>214500</v>
      </c>
    </row>
    <row r="4380" spans="1:6" x14ac:dyDescent="0.25">
      <c r="A4380" s="111"/>
      <c r="B4380" s="134" t="s">
        <v>970</v>
      </c>
      <c r="C4380" s="118" t="s">
        <v>59</v>
      </c>
      <c r="D4380" s="228">
        <v>1</v>
      </c>
      <c r="E4380" s="119">
        <v>15000</v>
      </c>
      <c r="F4380" s="119">
        <f>+D4380*E4380</f>
        <v>15000</v>
      </c>
    </row>
    <row r="4381" spans="1:6" x14ac:dyDescent="0.35">
      <c r="A4381" s="111"/>
      <c r="B4381" s="120" t="s">
        <v>965</v>
      </c>
      <c r="C4381" s="118"/>
      <c r="D4381" s="118"/>
      <c r="E4381" s="119"/>
      <c r="F4381" s="119">
        <f>0.1*(F4379+F4378+F4380)</f>
        <v>58131.666666666679</v>
      </c>
    </row>
    <row r="4382" spans="1:6" x14ac:dyDescent="0.35">
      <c r="A4382" s="107"/>
      <c r="B4382" s="108" t="s">
        <v>769</v>
      </c>
      <c r="C4382" s="109"/>
      <c r="D4382" s="124"/>
      <c r="E4382" s="117"/>
      <c r="F4382" s="110">
        <f>SUM(F4378:F4381)</f>
        <v>639448.33333333337</v>
      </c>
    </row>
    <row r="4383" spans="1:6" x14ac:dyDescent="0.3">
      <c r="A4383" s="111"/>
      <c r="B4383" s="136" t="s">
        <v>808</v>
      </c>
      <c r="C4383" s="115"/>
      <c r="D4383" s="124"/>
      <c r="E4383" s="117"/>
      <c r="F4383" s="110"/>
    </row>
    <row r="4384" spans="1:6" x14ac:dyDescent="0.25">
      <c r="A4384" s="111"/>
      <c r="B4384" s="134" t="s">
        <v>820</v>
      </c>
      <c r="C4384" s="115" t="s">
        <v>772</v>
      </c>
      <c r="D4384" s="124">
        <v>7.5</v>
      </c>
      <c r="E4384" s="117">
        <v>7500</v>
      </c>
      <c r="F4384" s="117">
        <f t="shared" ref="F4384:F4389" si="116">+D4384*E4384</f>
        <v>56250</v>
      </c>
    </row>
    <row r="4385" spans="1:6" x14ac:dyDescent="0.25">
      <c r="A4385" s="111"/>
      <c r="B4385" s="134" t="s">
        <v>821</v>
      </c>
      <c r="C4385" s="115" t="s">
        <v>772</v>
      </c>
      <c r="D4385" s="124">
        <v>7.5</v>
      </c>
      <c r="E4385" s="117">
        <v>7500</v>
      </c>
      <c r="F4385" s="117">
        <f t="shared" si="116"/>
        <v>56250</v>
      </c>
    </row>
    <row r="4386" spans="1:6" x14ac:dyDescent="0.25">
      <c r="A4386" s="111"/>
      <c r="B4386" s="134" t="s">
        <v>895</v>
      </c>
      <c r="C4386" s="115" t="s">
        <v>772</v>
      </c>
      <c r="D4386" s="124">
        <v>8</v>
      </c>
      <c r="E4386" s="117">
        <v>15000</v>
      </c>
      <c r="F4386" s="117">
        <f t="shared" si="116"/>
        <v>120000</v>
      </c>
    </row>
    <row r="4387" spans="1:6" x14ac:dyDescent="0.25">
      <c r="A4387" s="111"/>
      <c r="B4387" s="134" t="s">
        <v>896</v>
      </c>
      <c r="C4387" s="115" t="s">
        <v>772</v>
      </c>
      <c r="D4387" s="124">
        <v>2</v>
      </c>
      <c r="E4387" s="117">
        <v>15000</v>
      </c>
      <c r="F4387" s="117">
        <f t="shared" si="116"/>
        <v>30000</v>
      </c>
    </row>
    <row r="4388" spans="1:6" x14ac:dyDescent="0.25">
      <c r="A4388" s="111"/>
      <c r="B4388" s="134" t="s">
        <v>773</v>
      </c>
      <c r="C4388" s="115" t="s">
        <v>772</v>
      </c>
      <c r="D4388" s="124">
        <v>6</v>
      </c>
      <c r="E4388" s="117">
        <v>15000</v>
      </c>
      <c r="F4388" s="117">
        <f t="shared" si="116"/>
        <v>90000</v>
      </c>
    </row>
    <row r="4389" spans="1:6" x14ac:dyDescent="0.25">
      <c r="A4389" s="111"/>
      <c r="B4389" s="134" t="s">
        <v>851</v>
      </c>
      <c r="C4389" s="115" t="s">
        <v>772</v>
      </c>
      <c r="D4389" s="124">
        <v>15</v>
      </c>
      <c r="E4389" s="117">
        <v>15000</v>
      </c>
      <c r="F4389" s="117">
        <f t="shared" si="116"/>
        <v>225000</v>
      </c>
    </row>
    <row r="4390" spans="1:6" x14ac:dyDescent="0.3">
      <c r="A4390" s="111"/>
      <c r="B4390" s="136" t="s">
        <v>774</v>
      </c>
      <c r="C4390" s="115"/>
      <c r="D4390" s="124"/>
      <c r="E4390" s="117"/>
      <c r="F4390" s="110">
        <f>SUM(F4384:F4389)</f>
        <v>577500</v>
      </c>
    </row>
    <row r="4391" spans="1:6" x14ac:dyDescent="0.3">
      <c r="A4391" s="111"/>
      <c r="B4391" s="136" t="s">
        <v>775</v>
      </c>
      <c r="C4391" s="115"/>
      <c r="D4391" s="109"/>
      <c r="E4391" s="110"/>
      <c r="F4391" s="110">
        <f>+F4390+F4382</f>
        <v>1216948.3333333335</v>
      </c>
    </row>
    <row r="4392" spans="1:6" x14ac:dyDescent="0.25">
      <c r="A4392" s="111"/>
      <c r="B4392" s="134" t="s">
        <v>776</v>
      </c>
      <c r="C4392" s="115"/>
      <c r="D4392" s="124">
        <v>1.25</v>
      </c>
      <c r="E4392" s="110"/>
      <c r="F4392" s="110">
        <f>+F4391*D4392</f>
        <v>1521185.416666667</v>
      </c>
    </row>
    <row r="4393" spans="1:6" x14ac:dyDescent="0.25">
      <c r="A4393" s="111"/>
      <c r="B4393" s="134" t="s">
        <v>835</v>
      </c>
      <c r="C4393" s="115"/>
      <c r="D4393" s="124">
        <v>1.25</v>
      </c>
      <c r="E4393" s="110"/>
      <c r="F4393" s="110"/>
    </row>
    <row r="4394" spans="1:6" x14ac:dyDescent="0.35">
      <c r="A4394" s="307" t="s">
        <v>309</v>
      </c>
      <c r="B4394" s="242" t="s">
        <v>785</v>
      </c>
      <c r="C4394" s="208" t="s">
        <v>59</v>
      </c>
      <c r="D4394" s="208"/>
      <c r="E4394" s="209"/>
      <c r="F4394" s="209">
        <f>+D4393*F4392</f>
        <v>1901481.7708333337</v>
      </c>
    </row>
    <row r="4395" spans="1:6" x14ac:dyDescent="0.35">
      <c r="A4395" s="206"/>
      <c r="B4395" s="207"/>
      <c r="C4395" s="208"/>
      <c r="D4395" s="208"/>
      <c r="E4395" s="210">
        <f>+E4371</f>
        <v>3035.45</v>
      </c>
      <c r="F4395" s="210">
        <f>+F4394/E4395</f>
        <v>626.42500150993556</v>
      </c>
    </row>
    <row r="4398" spans="1:6" x14ac:dyDescent="0.3">
      <c r="A4398" s="257" t="s">
        <v>227</v>
      </c>
      <c r="B4398" s="290" t="s">
        <v>228</v>
      </c>
      <c r="C4398" s="200" t="s">
        <v>2</v>
      </c>
      <c r="D4398" s="202" t="s">
        <v>765</v>
      </c>
      <c r="E4398" s="203" t="s">
        <v>766</v>
      </c>
      <c r="F4398" s="203" t="s">
        <v>767</v>
      </c>
    </row>
    <row r="4399" spans="1:6" x14ac:dyDescent="0.3">
      <c r="A4399" s="305" t="s">
        <v>303</v>
      </c>
      <c r="B4399" s="304" t="s">
        <v>304</v>
      </c>
      <c r="C4399" s="256"/>
      <c r="D4399" s="141"/>
      <c r="E4399" s="110"/>
      <c r="F4399" s="110"/>
    </row>
    <row r="4400" spans="1:6" x14ac:dyDescent="0.3">
      <c r="A4400" s="306" t="s">
        <v>311</v>
      </c>
      <c r="B4400" s="308" t="s">
        <v>312</v>
      </c>
      <c r="C4400" s="256" t="s">
        <v>59</v>
      </c>
      <c r="D4400" s="141"/>
      <c r="E4400" s="110"/>
      <c r="F4400" s="110"/>
    </row>
    <row r="4401" spans="1:6" x14ac:dyDescent="0.35">
      <c r="A4401" s="111"/>
      <c r="B4401" s="112" t="s">
        <v>802</v>
      </c>
      <c r="C4401" s="118"/>
      <c r="D4401" s="118"/>
      <c r="E4401" s="119"/>
      <c r="F4401" s="119"/>
    </row>
    <row r="4402" spans="1:6" x14ac:dyDescent="0.25">
      <c r="A4402" s="111"/>
      <c r="B4402" s="134" t="s">
        <v>893</v>
      </c>
      <c r="C4402" s="118" t="s">
        <v>27</v>
      </c>
      <c r="D4402" s="228">
        <f>(1.54+2.64)*2+2.64*4</f>
        <v>18.920000000000002</v>
      </c>
      <c r="E4402" s="119">
        <f>95000/6</f>
        <v>15833.333333333334</v>
      </c>
      <c r="F4402" s="119">
        <f>+D4402*E4402</f>
        <v>299566.66666666669</v>
      </c>
    </row>
    <row r="4403" spans="1:6" x14ac:dyDescent="0.25">
      <c r="A4403" s="111"/>
      <c r="B4403" s="134" t="s">
        <v>969</v>
      </c>
      <c r="C4403" s="118" t="s">
        <v>27</v>
      </c>
      <c r="D4403" s="228">
        <f>+(((1.5/0.15)-1)*2.64)*2</f>
        <v>47.52</v>
      </c>
      <c r="E4403" s="119">
        <f>25000/6</f>
        <v>4166.666666666667</v>
      </c>
      <c r="F4403" s="119">
        <f>+D4403*E4403</f>
        <v>198000.00000000003</v>
      </c>
    </row>
    <row r="4404" spans="1:6" x14ac:dyDescent="0.25">
      <c r="A4404" s="111"/>
      <c r="B4404" s="134" t="s">
        <v>970</v>
      </c>
      <c r="C4404" s="118" t="s">
        <v>59</v>
      </c>
      <c r="D4404" s="228">
        <v>1</v>
      </c>
      <c r="E4404" s="119">
        <v>15000</v>
      </c>
      <c r="F4404" s="119">
        <f>+D4404*E4404</f>
        <v>15000</v>
      </c>
    </row>
    <row r="4405" spans="1:6" x14ac:dyDescent="0.35">
      <c r="A4405" s="111"/>
      <c r="B4405" s="120" t="s">
        <v>965</v>
      </c>
      <c r="C4405" s="118"/>
      <c r="D4405" s="118"/>
      <c r="E4405" s="119"/>
      <c r="F4405" s="119">
        <f>0.1*(F4403+F4402+F4404)</f>
        <v>51256.666666666679</v>
      </c>
    </row>
    <row r="4406" spans="1:6" x14ac:dyDescent="0.35">
      <c r="A4406" s="107"/>
      <c r="B4406" s="108" t="s">
        <v>769</v>
      </c>
      <c r="C4406" s="109"/>
      <c r="D4406" s="124"/>
      <c r="E4406" s="117"/>
      <c r="F4406" s="110">
        <f>SUM(F4402:F4405)</f>
        <v>563823.33333333337</v>
      </c>
    </row>
    <row r="4407" spans="1:6" x14ac:dyDescent="0.3">
      <c r="A4407" s="111"/>
      <c r="B4407" s="136" t="s">
        <v>808</v>
      </c>
      <c r="C4407" s="115"/>
      <c r="D4407" s="124"/>
      <c r="E4407" s="117"/>
      <c r="F4407" s="110"/>
    </row>
    <row r="4408" spans="1:6" x14ac:dyDescent="0.25">
      <c r="A4408" s="111"/>
      <c r="B4408" s="134" t="s">
        <v>820</v>
      </c>
      <c r="C4408" s="115" t="s">
        <v>772</v>
      </c>
      <c r="D4408" s="124">
        <v>7.5</v>
      </c>
      <c r="E4408" s="117">
        <v>7500</v>
      </c>
      <c r="F4408" s="117">
        <f t="shared" ref="F4408:F4413" si="117">+D4408*E4408</f>
        <v>56250</v>
      </c>
    </row>
    <row r="4409" spans="1:6" x14ac:dyDescent="0.25">
      <c r="A4409" s="111"/>
      <c r="B4409" s="134" t="s">
        <v>821</v>
      </c>
      <c r="C4409" s="115" t="s">
        <v>772</v>
      </c>
      <c r="D4409" s="124">
        <v>7.5</v>
      </c>
      <c r="E4409" s="117">
        <v>7500</v>
      </c>
      <c r="F4409" s="117">
        <f t="shared" si="117"/>
        <v>56250</v>
      </c>
    </row>
    <row r="4410" spans="1:6" x14ac:dyDescent="0.25">
      <c r="A4410" s="111"/>
      <c r="B4410" s="134" t="s">
        <v>895</v>
      </c>
      <c r="C4410" s="115" t="s">
        <v>772</v>
      </c>
      <c r="D4410" s="124">
        <v>8</v>
      </c>
      <c r="E4410" s="117">
        <v>15000</v>
      </c>
      <c r="F4410" s="117">
        <f t="shared" si="117"/>
        <v>120000</v>
      </c>
    </row>
    <row r="4411" spans="1:6" x14ac:dyDescent="0.25">
      <c r="A4411" s="111"/>
      <c r="B4411" s="134" t="s">
        <v>896</v>
      </c>
      <c r="C4411" s="115" t="s">
        <v>772</v>
      </c>
      <c r="D4411" s="124">
        <v>2</v>
      </c>
      <c r="E4411" s="117">
        <v>15000</v>
      </c>
      <c r="F4411" s="117">
        <f t="shared" si="117"/>
        <v>30000</v>
      </c>
    </row>
    <row r="4412" spans="1:6" x14ac:dyDescent="0.25">
      <c r="A4412" s="111"/>
      <c r="B4412" s="134" t="s">
        <v>773</v>
      </c>
      <c r="C4412" s="115" t="s">
        <v>772</v>
      </c>
      <c r="D4412" s="124">
        <v>6</v>
      </c>
      <c r="E4412" s="117">
        <v>15000</v>
      </c>
      <c r="F4412" s="117">
        <f t="shared" si="117"/>
        <v>90000</v>
      </c>
    </row>
    <row r="4413" spans="1:6" x14ac:dyDescent="0.25">
      <c r="A4413" s="111"/>
      <c r="B4413" s="134" t="s">
        <v>851</v>
      </c>
      <c r="C4413" s="115" t="s">
        <v>772</v>
      </c>
      <c r="D4413" s="124">
        <v>15</v>
      </c>
      <c r="E4413" s="117">
        <v>15000</v>
      </c>
      <c r="F4413" s="117">
        <f t="shared" si="117"/>
        <v>225000</v>
      </c>
    </row>
    <row r="4414" spans="1:6" x14ac:dyDescent="0.3">
      <c r="A4414" s="111"/>
      <c r="B4414" s="136" t="s">
        <v>774</v>
      </c>
      <c r="C4414" s="115"/>
      <c r="D4414" s="124"/>
      <c r="E4414" s="117"/>
      <c r="F4414" s="110">
        <f>SUM(F4408:F4413)</f>
        <v>577500</v>
      </c>
    </row>
    <row r="4415" spans="1:6" x14ac:dyDescent="0.3">
      <c r="A4415" s="111"/>
      <c r="B4415" s="136" t="s">
        <v>775</v>
      </c>
      <c r="C4415" s="115"/>
      <c r="D4415" s="109"/>
      <c r="E4415" s="110"/>
      <c r="F4415" s="110">
        <f>+F4414+F4406</f>
        <v>1141323.3333333335</v>
      </c>
    </row>
    <row r="4416" spans="1:6" x14ac:dyDescent="0.25">
      <c r="A4416" s="111"/>
      <c r="B4416" s="134" t="s">
        <v>776</v>
      </c>
      <c r="C4416" s="115"/>
      <c r="D4416" s="124">
        <v>1.25</v>
      </c>
      <c r="E4416" s="110"/>
      <c r="F4416" s="110">
        <f>+F4415*D4416</f>
        <v>1426654.166666667</v>
      </c>
    </row>
    <row r="4417" spans="1:6" x14ac:dyDescent="0.25">
      <c r="A4417" s="111"/>
      <c r="B4417" s="134" t="s">
        <v>835</v>
      </c>
      <c r="C4417" s="115"/>
      <c r="D4417" s="124">
        <v>1.25</v>
      </c>
      <c r="E4417" s="110"/>
      <c r="F4417" s="110"/>
    </row>
    <row r="4418" spans="1:6" x14ac:dyDescent="0.35">
      <c r="A4418" s="307" t="s">
        <v>311</v>
      </c>
      <c r="B4418" s="242" t="s">
        <v>785</v>
      </c>
      <c r="C4418" s="208" t="s">
        <v>59</v>
      </c>
      <c r="D4418" s="208"/>
      <c r="E4418" s="209"/>
      <c r="F4418" s="209">
        <f>+D4417*F4416</f>
        <v>1783317.7083333337</v>
      </c>
    </row>
    <row r="4419" spans="1:6" x14ac:dyDescent="0.35">
      <c r="A4419" s="206"/>
      <c r="B4419" s="207"/>
      <c r="C4419" s="208"/>
      <c r="D4419" s="208"/>
      <c r="E4419" s="210">
        <f>+E4395</f>
        <v>3035.45</v>
      </c>
      <c r="F4419" s="210">
        <f>+F4418/E4419</f>
        <v>587.49698012925069</v>
      </c>
    </row>
    <row r="4420" spans="1:6" x14ac:dyDescent="0.25">
      <c r="A4420" s="101"/>
      <c r="B4420" s="309"/>
      <c r="C4420" s="165"/>
      <c r="D4420" s="165"/>
      <c r="E4420" s="166"/>
      <c r="F4420" s="166"/>
    </row>
    <row r="4421" spans="1:6" x14ac:dyDescent="0.25">
      <c r="A4421" s="101"/>
      <c r="B4421" s="309"/>
      <c r="C4421" s="165"/>
      <c r="D4421" s="165"/>
      <c r="E4421" s="166"/>
      <c r="F4421" s="166"/>
    </row>
    <row r="4422" spans="1:6" x14ac:dyDescent="0.3">
      <c r="A4422" s="257" t="s">
        <v>227</v>
      </c>
      <c r="B4422" s="290" t="s">
        <v>228</v>
      </c>
      <c r="C4422" s="200" t="s">
        <v>2</v>
      </c>
      <c r="D4422" s="202" t="s">
        <v>765</v>
      </c>
      <c r="E4422" s="203" t="s">
        <v>766</v>
      </c>
      <c r="F4422" s="203" t="s">
        <v>767</v>
      </c>
    </row>
    <row r="4423" spans="1:6" x14ac:dyDescent="0.3">
      <c r="A4423" s="305" t="s">
        <v>303</v>
      </c>
      <c r="B4423" s="304" t="s">
        <v>304</v>
      </c>
      <c r="C4423" s="256"/>
      <c r="D4423" s="141"/>
      <c r="E4423" s="110"/>
      <c r="F4423" s="110"/>
    </row>
    <row r="4424" spans="1:6" x14ac:dyDescent="0.3">
      <c r="A4424" s="306" t="s">
        <v>313</v>
      </c>
      <c r="B4424" s="308" t="s">
        <v>314</v>
      </c>
      <c r="C4424" s="256" t="s">
        <v>59</v>
      </c>
      <c r="D4424" s="141"/>
      <c r="E4424" s="110"/>
      <c r="F4424" s="110"/>
    </row>
    <row r="4425" spans="1:6" x14ac:dyDescent="0.35">
      <c r="A4425" s="111"/>
      <c r="B4425" s="112" t="s">
        <v>802</v>
      </c>
      <c r="C4425" s="118"/>
      <c r="D4425" s="118"/>
      <c r="E4425" s="119"/>
      <c r="F4425" s="119"/>
    </row>
    <row r="4426" spans="1:6" x14ac:dyDescent="0.25">
      <c r="A4426" s="111"/>
      <c r="B4426" s="134" t="s">
        <v>893</v>
      </c>
      <c r="C4426" s="118" t="s">
        <v>27</v>
      </c>
      <c r="D4426" s="228">
        <f>(2.355+2.64)*2+2.64*4</f>
        <v>20.55</v>
      </c>
      <c r="E4426" s="119">
        <f>95000/6</f>
        <v>15833.333333333334</v>
      </c>
      <c r="F4426" s="119">
        <f>+D4426*E4426</f>
        <v>325375</v>
      </c>
    </row>
    <row r="4427" spans="1:6" x14ac:dyDescent="0.25">
      <c r="A4427" s="111"/>
      <c r="B4427" s="134" t="s">
        <v>969</v>
      </c>
      <c r="C4427" s="118" t="s">
        <v>27</v>
      </c>
      <c r="D4427" s="228">
        <f>+(((1.5/0.15)-1)*2.64)*2</f>
        <v>47.52</v>
      </c>
      <c r="E4427" s="119">
        <f>25000/6</f>
        <v>4166.666666666667</v>
      </c>
      <c r="F4427" s="119">
        <f>+D4427*E4427</f>
        <v>198000.00000000003</v>
      </c>
    </row>
    <row r="4428" spans="1:6" x14ac:dyDescent="0.25">
      <c r="A4428" s="111"/>
      <c r="B4428" s="134" t="s">
        <v>970</v>
      </c>
      <c r="C4428" s="118" t="s">
        <v>59</v>
      </c>
      <c r="D4428" s="228">
        <v>1</v>
      </c>
      <c r="E4428" s="119">
        <v>15000</v>
      </c>
      <c r="F4428" s="119">
        <f>+D4428*E4428</f>
        <v>15000</v>
      </c>
    </row>
    <row r="4429" spans="1:6" x14ac:dyDescent="0.35">
      <c r="A4429" s="111"/>
      <c r="B4429" s="120" t="s">
        <v>965</v>
      </c>
      <c r="C4429" s="118"/>
      <c r="D4429" s="118"/>
      <c r="E4429" s="119"/>
      <c r="F4429" s="119">
        <f>0.1*(F4427+F4426+F4428)</f>
        <v>53837.5</v>
      </c>
    </row>
    <row r="4430" spans="1:6" x14ac:dyDescent="0.35">
      <c r="A4430" s="107"/>
      <c r="B4430" s="108" t="s">
        <v>769</v>
      </c>
      <c r="C4430" s="109"/>
      <c r="D4430" s="124"/>
      <c r="E4430" s="117"/>
      <c r="F4430" s="110">
        <f>SUM(F4426:F4429)</f>
        <v>592212.5</v>
      </c>
    </row>
    <row r="4431" spans="1:6" x14ac:dyDescent="0.3">
      <c r="A4431" s="111"/>
      <c r="B4431" s="136" t="s">
        <v>808</v>
      </c>
      <c r="C4431" s="115"/>
      <c r="D4431" s="124"/>
      <c r="E4431" s="117"/>
      <c r="F4431" s="110"/>
    </row>
    <row r="4432" spans="1:6" x14ac:dyDescent="0.25">
      <c r="A4432" s="111"/>
      <c r="B4432" s="134" t="s">
        <v>820</v>
      </c>
      <c r="C4432" s="115" t="s">
        <v>772</v>
      </c>
      <c r="D4432" s="124">
        <v>7.5</v>
      </c>
      <c r="E4432" s="117">
        <v>7500</v>
      </c>
      <c r="F4432" s="117">
        <f t="shared" ref="F4432:F4437" si="118">+D4432*E4432</f>
        <v>56250</v>
      </c>
    </row>
    <row r="4433" spans="1:6" x14ac:dyDescent="0.25">
      <c r="A4433" s="111"/>
      <c r="B4433" s="134" t="s">
        <v>821</v>
      </c>
      <c r="C4433" s="115" t="s">
        <v>772</v>
      </c>
      <c r="D4433" s="124">
        <v>7.5</v>
      </c>
      <c r="E4433" s="117">
        <v>7500</v>
      </c>
      <c r="F4433" s="117">
        <f t="shared" si="118"/>
        <v>56250</v>
      </c>
    </row>
    <row r="4434" spans="1:6" x14ac:dyDescent="0.25">
      <c r="A4434" s="111"/>
      <c r="B4434" s="134" t="s">
        <v>895</v>
      </c>
      <c r="C4434" s="115" t="s">
        <v>772</v>
      </c>
      <c r="D4434" s="124">
        <v>8</v>
      </c>
      <c r="E4434" s="117">
        <v>15000</v>
      </c>
      <c r="F4434" s="117">
        <f t="shared" si="118"/>
        <v>120000</v>
      </c>
    </row>
    <row r="4435" spans="1:6" x14ac:dyDescent="0.25">
      <c r="A4435" s="111"/>
      <c r="B4435" s="134" t="s">
        <v>896</v>
      </c>
      <c r="C4435" s="115" t="s">
        <v>772</v>
      </c>
      <c r="D4435" s="124">
        <v>2</v>
      </c>
      <c r="E4435" s="117">
        <v>15000</v>
      </c>
      <c r="F4435" s="117">
        <f t="shared" si="118"/>
        <v>30000</v>
      </c>
    </row>
    <row r="4436" spans="1:6" x14ac:dyDescent="0.25">
      <c r="A4436" s="111"/>
      <c r="B4436" s="134" t="s">
        <v>773</v>
      </c>
      <c r="C4436" s="115" t="s">
        <v>772</v>
      </c>
      <c r="D4436" s="124">
        <v>6</v>
      </c>
      <c r="E4436" s="117">
        <v>15000</v>
      </c>
      <c r="F4436" s="117">
        <f t="shared" si="118"/>
        <v>90000</v>
      </c>
    </row>
    <row r="4437" spans="1:6" x14ac:dyDescent="0.25">
      <c r="A4437" s="111"/>
      <c r="B4437" s="134" t="s">
        <v>851</v>
      </c>
      <c r="C4437" s="115" t="s">
        <v>772</v>
      </c>
      <c r="D4437" s="124">
        <v>15</v>
      </c>
      <c r="E4437" s="117">
        <v>15000</v>
      </c>
      <c r="F4437" s="117">
        <f t="shared" si="118"/>
        <v>225000</v>
      </c>
    </row>
    <row r="4438" spans="1:6" x14ac:dyDescent="0.3">
      <c r="A4438" s="111"/>
      <c r="B4438" s="136" t="s">
        <v>774</v>
      </c>
      <c r="C4438" s="115"/>
      <c r="D4438" s="124"/>
      <c r="E4438" s="117"/>
      <c r="F4438" s="110">
        <f>SUM(F4432:F4437)</f>
        <v>577500</v>
      </c>
    </row>
    <row r="4439" spans="1:6" x14ac:dyDescent="0.3">
      <c r="A4439" s="111"/>
      <c r="B4439" s="136" t="s">
        <v>775</v>
      </c>
      <c r="C4439" s="115"/>
      <c r="D4439" s="109"/>
      <c r="E4439" s="110"/>
      <c r="F4439" s="110">
        <f>+F4438+F4430</f>
        <v>1169712.5</v>
      </c>
    </row>
    <row r="4440" spans="1:6" x14ac:dyDescent="0.25">
      <c r="A4440" s="111"/>
      <c r="B4440" s="134" t="s">
        <v>776</v>
      </c>
      <c r="C4440" s="115"/>
      <c r="D4440" s="124">
        <v>1.25</v>
      </c>
      <c r="E4440" s="110"/>
      <c r="F4440" s="110">
        <f>+F4439*D4440</f>
        <v>1462140.625</v>
      </c>
    </row>
    <row r="4441" spans="1:6" x14ac:dyDescent="0.25">
      <c r="A4441" s="111"/>
      <c r="B4441" s="134" t="s">
        <v>835</v>
      </c>
      <c r="C4441" s="115"/>
      <c r="D4441" s="124">
        <v>1.25</v>
      </c>
      <c r="E4441" s="110"/>
      <c r="F4441" s="110"/>
    </row>
    <row r="4442" spans="1:6" x14ac:dyDescent="0.35">
      <c r="A4442" s="307" t="s">
        <v>313</v>
      </c>
      <c r="B4442" s="242" t="s">
        <v>785</v>
      </c>
      <c r="C4442" s="208" t="s">
        <v>59</v>
      </c>
      <c r="D4442" s="208"/>
      <c r="E4442" s="209"/>
      <c r="F4442" s="209">
        <f>+D4441*F4440</f>
        <v>1827675.78125</v>
      </c>
    </row>
    <row r="4443" spans="1:6" x14ac:dyDescent="0.35">
      <c r="A4443" s="206"/>
      <c r="B4443" s="207"/>
      <c r="C4443" s="208"/>
      <c r="D4443" s="208"/>
      <c r="E4443" s="210">
        <f>+E4419</f>
        <v>3035.45</v>
      </c>
      <c r="F4443" s="210">
        <f>+F4442/E4443</f>
        <v>602.11032342815736</v>
      </c>
    </row>
    <row r="4444" spans="1:6" x14ac:dyDescent="0.35">
      <c r="A4444" s="105"/>
      <c r="B4444" s="106"/>
      <c r="C4444" s="101"/>
      <c r="D4444" s="101"/>
      <c r="E4444" s="161"/>
      <c r="F4444" s="161"/>
    </row>
    <row r="4445" spans="1:6" x14ac:dyDescent="0.35">
      <c r="A4445" s="105"/>
      <c r="B4445" s="106"/>
      <c r="C4445" s="101"/>
      <c r="D4445" s="101"/>
      <c r="E4445" s="161"/>
      <c r="F4445" s="161"/>
    </row>
    <row r="4446" spans="1:6" x14ac:dyDescent="0.3">
      <c r="A4446" s="257" t="s">
        <v>227</v>
      </c>
      <c r="B4446" s="290" t="s">
        <v>228</v>
      </c>
      <c r="C4446" s="200" t="s">
        <v>2</v>
      </c>
      <c r="D4446" s="202" t="s">
        <v>765</v>
      </c>
      <c r="E4446" s="203" t="s">
        <v>766</v>
      </c>
      <c r="F4446" s="203" t="s">
        <v>767</v>
      </c>
    </row>
    <row r="4447" spans="1:6" x14ac:dyDescent="0.3">
      <c r="A4447" s="305" t="s">
        <v>315</v>
      </c>
      <c r="B4447" s="304" t="s">
        <v>1324</v>
      </c>
      <c r="C4447" s="256"/>
      <c r="D4447" s="141"/>
      <c r="E4447" s="110"/>
      <c r="F4447" s="110"/>
    </row>
    <row r="4448" spans="1:6" x14ac:dyDescent="0.3">
      <c r="A4448" s="306" t="s">
        <v>316</v>
      </c>
      <c r="B4448" s="294" t="s">
        <v>317</v>
      </c>
      <c r="C4448" s="256" t="s">
        <v>59</v>
      </c>
      <c r="D4448" s="141"/>
      <c r="E4448" s="110"/>
      <c r="F4448" s="110"/>
    </row>
    <row r="4449" spans="1:6" x14ac:dyDescent="0.35">
      <c r="A4449" s="111"/>
      <c r="B4449" s="112" t="s">
        <v>802</v>
      </c>
      <c r="C4449" s="118"/>
      <c r="D4449" s="118"/>
      <c r="E4449" s="119"/>
      <c r="F4449" s="119"/>
    </row>
    <row r="4450" spans="1:6" x14ac:dyDescent="0.25">
      <c r="A4450" s="111"/>
      <c r="B4450" s="134" t="s">
        <v>942</v>
      </c>
      <c r="C4450" s="118" t="s">
        <v>27</v>
      </c>
      <c r="D4450" s="228">
        <f>2.86*2+0.865</f>
        <v>6.585</v>
      </c>
      <c r="E4450" s="119">
        <f>48000/6</f>
        <v>8000</v>
      </c>
      <c r="F4450" s="119">
        <f t="shared" ref="F4450:F4457" si="119">+D4450*E4450</f>
        <v>52680</v>
      </c>
    </row>
    <row r="4451" spans="1:6" x14ac:dyDescent="0.25">
      <c r="A4451" s="111"/>
      <c r="B4451" s="134" t="s">
        <v>966</v>
      </c>
      <c r="C4451" s="118" t="s">
        <v>27</v>
      </c>
      <c r="D4451" s="228">
        <f>0.865</f>
        <v>0.86499999999999999</v>
      </c>
      <c r="E4451" s="119">
        <f>48000/6</f>
        <v>8000</v>
      </c>
      <c r="F4451" s="119">
        <f t="shared" si="119"/>
        <v>6920</v>
      </c>
    </row>
    <row r="4452" spans="1:6" x14ac:dyDescent="0.25">
      <c r="A4452" s="111"/>
      <c r="B4452" s="134" t="s">
        <v>957</v>
      </c>
      <c r="C4452" s="118" t="s">
        <v>27</v>
      </c>
      <c r="D4452" s="228">
        <f>((2.1+0.865)*2)*2</f>
        <v>11.86</v>
      </c>
      <c r="E4452" s="119">
        <f>42500/6</f>
        <v>7083.333333333333</v>
      </c>
      <c r="F4452" s="119">
        <f t="shared" si="119"/>
        <v>84008.333333333328</v>
      </c>
    </row>
    <row r="4453" spans="1:6" x14ac:dyDescent="0.25">
      <c r="A4453" s="111"/>
      <c r="B4453" s="134" t="s">
        <v>968</v>
      </c>
      <c r="C4453" s="118" t="s">
        <v>27</v>
      </c>
      <c r="D4453" s="253">
        <v>0.9</v>
      </c>
      <c r="E4453" s="119">
        <f>160000/12</f>
        <v>13333.333333333334</v>
      </c>
      <c r="F4453" s="119">
        <f t="shared" si="119"/>
        <v>12000</v>
      </c>
    </row>
    <row r="4454" spans="1:6" x14ac:dyDescent="0.25">
      <c r="A4454" s="111"/>
      <c r="B4454" s="134" t="s">
        <v>967</v>
      </c>
      <c r="C4454" s="118" t="s">
        <v>35</v>
      </c>
      <c r="D4454" s="253">
        <f>0.865*1.86</f>
        <v>1.6089</v>
      </c>
      <c r="E4454" s="119">
        <f>30000/(1.2*2.4)</f>
        <v>10416.666666666668</v>
      </c>
      <c r="F4454" s="119">
        <f t="shared" si="119"/>
        <v>16759.375000000004</v>
      </c>
    </row>
    <row r="4455" spans="1:6" x14ac:dyDescent="0.25">
      <c r="A4455" s="111"/>
      <c r="B4455" s="134" t="s">
        <v>1325</v>
      </c>
      <c r="C4455" s="118" t="s">
        <v>27</v>
      </c>
      <c r="D4455" s="155">
        <v>0</v>
      </c>
      <c r="E4455" s="119">
        <f>25000/6</f>
        <v>4166.666666666667</v>
      </c>
      <c r="F4455" s="119">
        <f t="shared" si="119"/>
        <v>0</v>
      </c>
    </row>
    <row r="4456" spans="1:6" x14ac:dyDescent="0.25">
      <c r="A4456" s="111"/>
      <c r="B4456" s="134" t="s">
        <v>960</v>
      </c>
      <c r="C4456" s="118" t="s">
        <v>27</v>
      </c>
      <c r="D4456" s="253">
        <f>(0.865+1.86)*2+(0.865+0.76)*2</f>
        <v>8.6999999999999993</v>
      </c>
      <c r="E4456" s="119">
        <f>42000/6</f>
        <v>7000</v>
      </c>
      <c r="F4456" s="119">
        <f t="shared" si="119"/>
        <v>60899.999999999993</v>
      </c>
    </row>
    <row r="4457" spans="1:6" x14ac:dyDescent="0.25">
      <c r="A4457" s="111"/>
      <c r="B4457" s="134" t="s">
        <v>963</v>
      </c>
      <c r="C4457" s="118" t="s">
        <v>35</v>
      </c>
      <c r="D4457" s="155">
        <f>1*0.865</f>
        <v>0.86499999999999999</v>
      </c>
      <c r="E4457" s="119">
        <f>100000/(1.2*2.4)</f>
        <v>34722.222222222226</v>
      </c>
      <c r="F4457" s="119">
        <f t="shared" si="119"/>
        <v>30034.722222222226</v>
      </c>
    </row>
    <row r="4458" spans="1:6" x14ac:dyDescent="0.35">
      <c r="A4458" s="111"/>
      <c r="B4458" s="120" t="s">
        <v>965</v>
      </c>
      <c r="C4458" s="118"/>
      <c r="D4458" s="118"/>
      <c r="E4458" s="119"/>
      <c r="F4458" s="119">
        <f>0.1*(F4457+F4450+F4453+F4454+F4456+F4451+F4455+F4452)</f>
        <v>26330.243055555558</v>
      </c>
    </row>
    <row r="4459" spans="1:6" x14ac:dyDescent="0.35">
      <c r="A4459" s="107"/>
      <c r="B4459" s="108" t="s">
        <v>769</v>
      </c>
      <c r="C4459" s="109"/>
      <c r="D4459" s="124"/>
      <c r="E4459" s="117"/>
      <c r="F4459" s="110">
        <f>SUM(F4450:F4458)</f>
        <v>289632.67361111112</v>
      </c>
    </row>
    <row r="4460" spans="1:6" x14ac:dyDescent="0.3">
      <c r="A4460" s="111"/>
      <c r="B4460" s="136" t="s">
        <v>808</v>
      </c>
      <c r="C4460" s="115"/>
      <c r="D4460" s="124"/>
      <c r="E4460" s="117"/>
      <c r="F4460" s="110"/>
    </row>
    <row r="4461" spans="1:6" x14ac:dyDescent="0.25">
      <c r="A4461" s="111"/>
      <c r="B4461" s="134" t="s">
        <v>820</v>
      </c>
      <c r="C4461" s="115" t="s">
        <v>772</v>
      </c>
      <c r="D4461" s="124">
        <v>1.5</v>
      </c>
      <c r="E4461" s="117">
        <v>7500</v>
      </c>
      <c r="F4461" s="117">
        <f t="shared" ref="F4461:F4466" si="120">+D4461*E4461</f>
        <v>11250</v>
      </c>
    </row>
    <row r="4462" spans="1:6" x14ac:dyDescent="0.25">
      <c r="A4462" s="111"/>
      <c r="B4462" s="134" t="s">
        <v>821</v>
      </c>
      <c r="C4462" s="115" t="s">
        <v>772</v>
      </c>
      <c r="D4462" s="124">
        <v>1.5</v>
      </c>
      <c r="E4462" s="117">
        <v>7500</v>
      </c>
      <c r="F4462" s="117">
        <f t="shared" si="120"/>
        <v>11250</v>
      </c>
    </row>
    <row r="4463" spans="1:6" x14ac:dyDescent="0.25">
      <c r="A4463" s="111"/>
      <c r="B4463" s="134" t="s">
        <v>895</v>
      </c>
      <c r="C4463" s="115" t="s">
        <v>772</v>
      </c>
      <c r="D4463" s="124">
        <v>2</v>
      </c>
      <c r="E4463" s="117">
        <v>15000</v>
      </c>
      <c r="F4463" s="117">
        <f t="shared" si="120"/>
        <v>30000</v>
      </c>
    </row>
    <row r="4464" spans="1:6" x14ac:dyDescent="0.25">
      <c r="A4464" s="111"/>
      <c r="B4464" s="134" t="s">
        <v>896</v>
      </c>
      <c r="C4464" s="115" t="s">
        <v>772</v>
      </c>
      <c r="D4464" s="124">
        <v>0.15</v>
      </c>
      <c r="E4464" s="117">
        <v>15000</v>
      </c>
      <c r="F4464" s="117">
        <f t="shared" si="120"/>
        <v>2250</v>
      </c>
    </row>
    <row r="4465" spans="1:6" x14ac:dyDescent="0.25">
      <c r="A4465" s="111"/>
      <c r="B4465" s="134" t="s">
        <v>773</v>
      </c>
      <c r="C4465" s="115" t="s">
        <v>772</v>
      </c>
      <c r="D4465" s="124">
        <v>2</v>
      </c>
      <c r="E4465" s="117">
        <v>15000</v>
      </c>
      <c r="F4465" s="117">
        <f t="shared" si="120"/>
        <v>30000</v>
      </c>
    </row>
    <row r="4466" spans="1:6" x14ac:dyDescent="0.25">
      <c r="A4466" s="111"/>
      <c r="B4466" s="134" t="s">
        <v>851</v>
      </c>
      <c r="C4466" s="115" t="s">
        <v>772</v>
      </c>
      <c r="D4466" s="124">
        <v>2</v>
      </c>
      <c r="E4466" s="117">
        <v>15000</v>
      </c>
      <c r="F4466" s="117">
        <f t="shared" si="120"/>
        <v>30000</v>
      </c>
    </row>
    <row r="4467" spans="1:6" x14ac:dyDescent="0.3">
      <c r="A4467" s="111"/>
      <c r="B4467" s="136" t="s">
        <v>774</v>
      </c>
      <c r="C4467" s="115"/>
      <c r="D4467" s="124"/>
      <c r="E4467" s="117"/>
      <c r="F4467" s="110">
        <f>SUM(F4461:F4466)</f>
        <v>114750</v>
      </c>
    </row>
    <row r="4468" spans="1:6" x14ac:dyDescent="0.3">
      <c r="A4468" s="111"/>
      <c r="B4468" s="136" t="s">
        <v>775</v>
      </c>
      <c r="C4468" s="115"/>
      <c r="D4468" s="109"/>
      <c r="E4468" s="110"/>
      <c r="F4468" s="110">
        <f>+F4467+F4459</f>
        <v>404382.67361111112</v>
      </c>
    </row>
    <row r="4469" spans="1:6" x14ac:dyDescent="0.25">
      <c r="A4469" s="111"/>
      <c r="B4469" s="134" t="s">
        <v>776</v>
      </c>
      <c r="C4469" s="115"/>
      <c r="D4469" s="124">
        <v>1.25</v>
      </c>
      <c r="E4469" s="110"/>
      <c r="F4469" s="110">
        <f>+F4468*D4469</f>
        <v>505478.34201388888</v>
      </c>
    </row>
    <row r="4470" spans="1:6" x14ac:dyDescent="0.25">
      <c r="A4470" s="111"/>
      <c r="B4470" s="134" t="s">
        <v>835</v>
      </c>
      <c r="C4470" s="115"/>
      <c r="D4470" s="124">
        <v>1.25</v>
      </c>
      <c r="E4470" s="110"/>
      <c r="F4470" s="110"/>
    </row>
    <row r="4471" spans="1:6" x14ac:dyDescent="0.35">
      <c r="A4471" s="261" t="s">
        <v>316</v>
      </c>
      <c r="B4471" s="242" t="s">
        <v>785</v>
      </c>
      <c r="C4471" s="208" t="s">
        <v>59</v>
      </c>
      <c r="D4471" s="208"/>
      <c r="E4471" s="209"/>
      <c r="F4471" s="209">
        <f>+D4470*F4469</f>
        <v>631847.92751736112</v>
      </c>
    </row>
    <row r="4472" spans="1:6" x14ac:dyDescent="0.35">
      <c r="A4472" s="206"/>
      <c r="B4472" s="207"/>
      <c r="C4472" s="208"/>
      <c r="D4472" s="208"/>
      <c r="E4472" s="210">
        <f>+E4443</f>
        <v>3035.45</v>
      </c>
      <c r="F4472" s="210">
        <f>+F4471/E4472</f>
        <v>208.15626266858658</v>
      </c>
    </row>
    <row r="4473" spans="1:6" x14ac:dyDescent="0.35">
      <c r="A4473" s="286"/>
      <c r="B4473" s="287"/>
      <c r="C4473" s="288"/>
      <c r="D4473" s="104"/>
      <c r="F4473" s="138"/>
    </row>
    <row r="4474" spans="1:6" x14ac:dyDescent="0.35">
      <c r="A4474" s="105"/>
      <c r="B4474" s="106"/>
      <c r="C4474" s="101"/>
      <c r="D4474" s="101"/>
      <c r="E4474" s="161"/>
      <c r="F4474" s="161"/>
    </row>
    <row r="4475" spans="1:6" x14ac:dyDescent="0.3">
      <c r="A4475" s="257" t="s">
        <v>227</v>
      </c>
      <c r="B4475" s="290" t="s">
        <v>228</v>
      </c>
      <c r="C4475" s="200" t="s">
        <v>2</v>
      </c>
      <c r="D4475" s="202" t="s">
        <v>765</v>
      </c>
      <c r="E4475" s="203" t="s">
        <v>766</v>
      </c>
      <c r="F4475" s="203" t="s">
        <v>767</v>
      </c>
    </row>
    <row r="4476" spans="1:6" x14ac:dyDescent="0.3">
      <c r="A4476" s="305" t="s">
        <v>315</v>
      </c>
      <c r="B4476" s="304" t="s">
        <v>1324</v>
      </c>
      <c r="C4476" s="256"/>
      <c r="D4476" s="141"/>
      <c r="E4476" s="110"/>
      <c r="F4476" s="110"/>
    </row>
    <row r="4477" spans="1:6" x14ac:dyDescent="0.3">
      <c r="A4477" s="306" t="s">
        <v>318</v>
      </c>
      <c r="B4477" s="301" t="s">
        <v>1326</v>
      </c>
      <c r="C4477" s="256" t="s">
        <v>59</v>
      </c>
      <c r="D4477" s="141"/>
      <c r="E4477" s="110"/>
      <c r="F4477" s="110"/>
    </row>
    <row r="4478" spans="1:6" x14ac:dyDescent="0.35">
      <c r="A4478" s="111"/>
      <c r="B4478" s="112" t="s">
        <v>802</v>
      </c>
      <c r="C4478" s="118"/>
      <c r="D4478" s="118"/>
      <c r="E4478" s="119"/>
      <c r="F4478" s="119"/>
    </row>
    <row r="4479" spans="1:6" x14ac:dyDescent="0.25">
      <c r="A4479" s="111"/>
      <c r="B4479" s="134" t="s">
        <v>942</v>
      </c>
      <c r="C4479" s="118" t="s">
        <v>27</v>
      </c>
      <c r="D4479" s="228">
        <f>2.86*2+0.9</f>
        <v>6.62</v>
      </c>
      <c r="E4479" s="119">
        <f>48000/6</f>
        <v>8000</v>
      </c>
      <c r="F4479" s="119">
        <f t="shared" ref="F4479:F4486" si="121">+D4479*E4479</f>
        <v>52960</v>
      </c>
    </row>
    <row r="4480" spans="1:6" x14ac:dyDescent="0.25">
      <c r="A4480" s="111"/>
      <c r="B4480" s="134" t="s">
        <v>966</v>
      </c>
      <c r="C4480" s="118" t="s">
        <v>27</v>
      </c>
      <c r="D4480" s="228">
        <f>0.9*2</f>
        <v>1.8</v>
      </c>
      <c r="E4480" s="119">
        <f>48000/6</f>
        <v>8000</v>
      </c>
      <c r="F4480" s="119">
        <f t="shared" si="121"/>
        <v>14400</v>
      </c>
    </row>
    <row r="4481" spans="1:6" x14ac:dyDescent="0.25">
      <c r="A4481" s="111"/>
      <c r="B4481" s="134" t="s">
        <v>957</v>
      </c>
      <c r="C4481" s="118" t="s">
        <v>27</v>
      </c>
      <c r="D4481" s="228">
        <f>(2.1+0.9)*2</f>
        <v>6</v>
      </c>
      <c r="E4481" s="119">
        <f>42500/6</f>
        <v>7083.333333333333</v>
      </c>
      <c r="F4481" s="119">
        <f t="shared" si="121"/>
        <v>42500</v>
      </c>
    </row>
    <row r="4482" spans="1:6" x14ac:dyDescent="0.25">
      <c r="A4482" s="111"/>
      <c r="B4482" s="134" t="s">
        <v>968</v>
      </c>
      <c r="C4482" s="118" t="s">
        <v>27</v>
      </c>
      <c r="D4482" s="253">
        <v>0.9</v>
      </c>
      <c r="E4482" s="119">
        <f>160000/12</f>
        <v>13333.333333333334</v>
      </c>
      <c r="F4482" s="119">
        <f t="shared" si="121"/>
        <v>12000</v>
      </c>
    </row>
    <row r="4483" spans="1:6" x14ac:dyDescent="0.25">
      <c r="A4483" s="111"/>
      <c r="B4483" s="134" t="s">
        <v>967</v>
      </c>
      <c r="C4483" s="118" t="s">
        <v>35</v>
      </c>
      <c r="D4483" s="253">
        <f>0.9*1.86</f>
        <v>1.6740000000000002</v>
      </c>
      <c r="E4483" s="119">
        <f>30000/(1.2*2.4)</f>
        <v>10416.666666666668</v>
      </c>
      <c r="F4483" s="119">
        <f t="shared" si="121"/>
        <v>17437.500000000004</v>
      </c>
    </row>
    <row r="4484" spans="1:6" x14ac:dyDescent="0.25">
      <c r="A4484" s="111"/>
      <c r="B4484" s="134" t="s">
        <v>1325</v>
      </c>
      <c r="C4484" s="118" t="s">
        <v>27</v>
      </c>
      <c r="D4484" s="155">
        <v>0</v>
      </c>
      <c r="E4484" s="119">
        <f>25000/6</f>
        <v>4166.666666666667</v>
      </c>
      <c r="F4484" s="119">
        <f t="shared" si="121"/>
        <v>0</v>
      </c>
    </row>
    <row r="4485" spans="1:6" x14ac:dyDescent="0.25">
      <c r="A4485" s="111"/>
      <c r="B4485" s="134" t="s">
        <v>960</v>
      </c>
      <c r="C4485" s="118" t="s">
        <v>27</v>
      </c>
      <c r="D4485" s="253">
        <f>(0.9+1.86)*2+(0.865+0.76)*2</f>
        <v>8.77</v>
      </c>
      <c r="E4485" s="119">
        <f>42000/6</f>
        <v>7000</v>
      </c>
      <c r="F4485" s="119">
        <f t="shared" si="121"/>
        <v>61390</v>
      </c>
    </row>
    <row r="4486" spans="1:6" x14ac:dyDescent="0.25">
      <c r="A4486" s="111"/>
      <c r="B4486" s="134" t="s">
        <v>963</v>
      </c>
      <c r="C4486" s="118" t="s">
        <v>35</v>
      </c>
      <c r="D4486" s="155">
        <f>1*0.9</f>
        <v>0.9</v>
      </c>
      <c r="E4486" s="119">
        <f>100000/(1.2*2.4)</f>
        <v>34722.222222222226</v>
      </c>
      <c r="F4486" s="119">
        <f t="shared" si="121"/>
        <v>31250.000000000004</v>
      </c>
    </row>
    <row r="4487" spans="1:6" x14ac:dyDescent="0.35">
      <c r="A4487" s="111"/>
      <c r="B4487" s="120" t="s">
        <v>965</v>
      </c>
      <c r="C4487" s="118"/>
      <c r="D4487" s="118"/>
      <c r="E4487" s="119"/>
      <c r="F4487" s="119">
        <f>0.1*(F4486+F4479+F4482+F4483+F4485+F4480+F4484+F4481)</f>
        <v>23193.75</v>
      </c>
    </row>
    <row r="4488" spans="1:6" x14ac:dyDescent="0.35">
      <c r="A4488" s="107"/>
      <c r="B4488" s="108" t="s">
        <v>769</v>
      </c>
      <c r="C4488" s="109"/>
      <c r="D4488" s="124"/>
      <c r="E4488" s="117"/>
      <c r="F4488" s="110">
        <f>SUM(F4479:F4487)</f>
        <v>255131.25</v>
      </c>
    </row>
    <row r="4489" spans="1:6" x14ac:dyDescent="0.3">
      <c r="A4489" s="111"/>
      <c r="B4489" s="136" t="s">
        <v>808</v>
      </c>
      <c r="C4489" s="115"/>
      <c r="D4489" s="124"/>
      <c r="E4489" s="117"/>
      <c r="F4489" s="110"/>
    </row>
    <row r="4490" spans="1:6" x14ac:dyDescent="0.25">
      <c r="A4490" s="111"/>
      <c r="B4490" s="134" t="s">
        <v>820</v>
      </c>
      <c r="C4490" s="115" t="s">
        <v>772</v>
      </c>
      <c r="D4490" s="124">
        <v>1.5</v>
      </c>
      <c r="E4490" s="117">
        <v>7500</v>
      </c>
      <c r="F4490" s="117">
        <f t="shared" ref="F4490:F4495" si="122">+D4490*E4490</f>
        <v>11250</v>
      </c>
    </row>
    <row r="4491" spans="1:6" x14ac:dyDescent="0.25">
      <c r="A4491" s="111"/>
      <c r="B4491" s="134" t="s">
        <v>821</v>
      </c>
      <c r="C4491" s="115" t="s">
        <v>772</v>
      </c>
      <c r="D4491" s="124">
        <v>1.5</v>
      </c>
      <c r="E4491" s="117">
        <v>7500</v>
      </c>
      <c r="F4491" s="117">
        <f t="shared" si="122"/>
        <v>11250</v>
      </c>
    </row>
    <row r="4492" spans="1:6" x14ac:dyDescent="0.25">
      <c r="A4492" s="111"/>
      <c r="B4492" s="134" t="s">
        <v>895</v>
      </c>
      <c r="C4492" s="115" t="s">
        <v>772</v>
      </c>
      <c r="D4492" s="124">
        <v>2</v>
      </c>
      <c r="E4492" s="117">
        <v>15000</v>
      </c>
      <c r="F4492" s="117">
        <f t="shared" si="122"/>
        <v>30000</v>
      </c>
    </row>
    <row r="4493" spans="1:6" x14ac:dyDescent="0.25">
      <c r="A4493" s="111"/>
      <c r="B4493" s="134" t="s">
        <v>896</v>
      </c>
      <c r="C4493" s="115" t="s">
        <v>772</v>
      </c>
      <c r="D4493" s="124">
        <v>0.15</v>
      </c>
      <c r="E4493" s="117">
        <v>15000</v>
      </c>
      <c r="F4493" s="117">
        <f t="shared" si="122"/>
        <v>2250</v>
      </c>
    </row>
    <row r="4494" spans="1:6" x14ac:dyDescent="0.25">
      <c r="A4494" s="111"/>
      <c r="B4494" s="134" t="s">
        <v>773</v>
      </c>
      <c r="C4494" s="115" t="s">
        <v>772</v>
      </c>
      <c r="D4494" s="124">
        <v>2</v>
      </c>
      <c r="E4494" s="117">
        <v>15000</v>
      </c>
      <c r="F4494" s="117">
        <f t="shared" si="122"/>
        <v>30000</v>
      </c>
    </row>
    <row r="4495" spans="1:6" x14ac:dyDescent="0.25">
      <c r="A4495" s="111"/>
      <c r="B4495" s="134" t="s">
        <v>851</v>
      </c>
      <c r="C4495" s="115" t="s">
        <v>772</v>
      </c>
      <c r="D4495" s="124">
        <v>2</v>
      </c>
      <c r="E4495" s="117">
        <v>15000</v>
      </c>
      <c r="F4495" s="117">
        <f t="shared" si="122"/>
        <v>30000</v>
      </c>
    </row>
    <row r="4496" spans="1:6" x14ac:dyDescent="0.3">
      <c r="A4496" s="111"/>
      <c r="B4496" s="136" t="s">
        <v>774</v>
      </c>
      <c r="C4496" s="115"/>
      <c r="D4496" s="124"/>
      <c r="E4496" s="117"/>
      <c r="F4496" s="110">
        <f>SUM(F4490:F4495)</f>
        <v>114750</v>
      </c>
    </row>
    <row r="4497" spans="1:6" x14ac:dyDescent="0.3">
      <c r="A4497" s="111"/>
      <c r="B4497" s="136" t="s">
        <v>775</v>
      </c>
      <c r="C4497" s="115"/>
      <c r="D4497" s="109"/>
      <c r="E4497" s="110"/>
      <c r="F4497" s="110">
        <f>+F4496+F4488</f>
        <v>369881.25</v>
      </c>
    </row>
    <row r="4498" spans="1:6" x14ac:dyDescent="0.25">
      <c r="A4498" s="111"/>
      <c r="B4498" s="134" t="s">
        <v>776</v>
      </c>
      <c r="C4498" s="115"/>
      <c r="D4498" s="124">
        <v>1.25</v>
      </c>
      <c r="E4498" s="110"/>
      <c r="F4498" s="110">
        <f>+F4497*D4498</f>
        <v>462351.5625</v>
      </c>
    </row>
    <row r="4499" spans="1:6" x14ac:dyDescent="0.25">
      <c r="A4499" s="111"/>
      <c r="B4499" s="134" t="s">
        <v>835</v>
      </c>
      <c r="C4499" s="115"/>
      <c r="D4499" s="124">
        <v>1.25</v>
      </c>
      <c r="E4499" s="110"/>
      <c r="F4499" s="110"/>
    </row>
    <row r="4500" spans="1:6" x14ac:dyDescent="0.35">
      <c r="A4500" s="261" t="s">
        <v>318</v>
      </c>
      <c r="B4500" s="242" t="s">
        <v>785</v>
      </c>
      <c r="C4500" s="208" t="s">
        <v>59</v>
      </c>
      <c r="D4500" s="208"/>
      <c r="E4500" s="209"/>
      <c r="F4500" s="209">
        <f>+D4499*F4498</f>
        <v>577939.453125</v>
      </c>
    </row>
    <row r="4501" spans="1:6" x14ac:dyDescent="0.35">
      <c r="A4501" s="206"/>
      <c r="B4501" s="207"/>
      <c r="C4501" s="208"/>
      <c r="D4501" s="208"/>
      <c r="E4501" s="210">
        <f>+E4472</f>
        <v>3035.45</v>
      </c>
      <c r="F4501" s="210">
        <f>+F4500/E4501</f>
        <v>190.39663085374494</v>
      </c>
    </row>
    <row r="4502" spans="1:6" x14ac:dyDescent="0.35">
      <c r="A4502" s="105"/>
      <c r="B4502" s="106"/>
      <c r="C4502" s="101"/>
      <c r="D4502" s="101"/>
      <c r="E4502" s="161"/>
      <c r="F4502" s="161"/>
    </row>
    <row r="4503" spans="1:6" x14ac:dyDescent="0.35">
      <c r="A4503" s="105"/>
      <c r="B4503" s="106"/>
      <c r="C4503" s="101"/>
      <c r="D4503" s="101"/>
      <c r="E4503" s="161"/>
      <c r="F4503" s="161"/>
    </row>
    <row r="4504" spans="1:6" x14ac:dyDescent="0.3">
      <c r="A4504" s="257" t="s">
        <v>227</v>
      </c>
      <c r="B4504" s="290" t="s">
        <v>228</v>
      </c>
      <c r="C4504" s="200" t="s">
        <v>2</v>
      </c>
      <c r="D4504" s="202" t="s">
        <v>765</v>
      </c>
      <c r="E4504" s="203" t="s">
        <v>766</v>
      </c>
      <c r="F4504" s="203" t="s">
        <v>767</v>
      </c>
    </row>
    <row r="4505" spans="1:6" x14ac:dyDescent="0.3">
      <c r="A4505" s="305" t="s">
        <v>315</v>
      </c>
      <c r="B4505" s="304" t="s">
        <v>1324</v>
      </c>
      <c r="C4505" s="256"/>
      <c r="D4505" s="141"/>
      <c r="E4505" s="110"/>
      <c r="F4505" s="110"/>
    </row>
    <row r="4506" spans="1:6" x14ac:dyDescent="0.3">
      <c r="A4506" s="306" t="s">
        <v>319</v>
      </c>
      <c r="B4506" s="298" t="s">
        <v>1327</v>
      </c>
      <c r="C4506" s="256" t="s">
        <v>59</v>
      </c>
      <c r="D4506" s="141"/>
      <c r="E4506" s="110"/>
      <c r="F4506" s="110"/>
    </row>
    <row r="4507" spans="1:6" x14ac:dyDescent="0.35">
      <c r="A4507" s="111"/>
      <c r="B4507" s="112" t="s">
        <v>802</v>
      </c>
      <c r="C4507" s="118"/>
      <c r="D4507" s="118"/>
      <c r="E4507" s="119"/>
      <c r="F4507" s="119"/>
    </row>
    <row r="4508" spans="1:6" x14ac:dyDescent="0.25">
      <c r="A4508" s="111"/>
      <c r="B4508" s="134" t="s">
        <v>942</v>
      </c>
      <c r="C4508" s="118" t="s">
        <v>27</v>
      </c>
      <c r="D4508" s="228">
        <f>2.64*2+0.93</f>
        <v>6.21</v>
      </c>
      <c r="E4508" s="119">
        <f>48000/6</f>
        <v>8000</v>
      </c>
      <c r="F4508" s="119">
        <f t="shared" ref="F4508:F4515" si="123">+D4508*E4508</f>
        <v>49680</v>
      </c>
    </row>
    <row r="4509" spans="1:6" x14ac:dyDescent="0.25">
      <c r="A4509" s="111"/>
      <c r="B4509" s="134" t="s">
        <v>966</v>
      </c>
      <c r="C4509" s="118" t="s">
        <v>27</v>
      </c>
      <c r="D4509" s="228">
        <f>0.93*2</f>
        <v>1.86</v>
      </c>
      <c r="E4509" s="119">
        <f>48000/6</f>
        <v>8000</v>
      </c>
      <c r="F4509" s="119">
        <f t="shared" si="123"/>
        <v>14880</v>
      </c>
    </row>
    <row r="4510" spans="1:6" x14ac:dyDescent="0.25">
      <c r="A4510" s="111"/>
      <c r="B4510" s="134" t="s">
        <v>957</v>
      </c>
      <c r="C4510" s="118" t="s">
        <v>27</v>
      </c>
      <c r="D4510" s="228">
        <f>(2.1+0.93)*2</f>
        <v>6.0600000000000005</v>
      </c>
      <c r="E4510" s="119">
        <f>42500/6</f>
        <v>7083.333333333333</v>
      </c>
      <c r="F4510" s="119">
        <f t="shared" si="123"/>
        <v>42925</v>
      </c>
    </row>
    <row r="4511" spans="1:6" x14ac:dyDescent="0.25">
      <c r="A4511" s="111"/>
      <c r="B4511" s="134" t="s">
        <v>968</v>
      </c>
      <c r="C4511" s="118" t="s">
        <v>27</v>
      </c>
      <c r="D4511" s="253">
        <v>0.93</v>
      </c>
      <c r="E4511" s="119">
        <f>160000/12</f>
        <v>13333.333333333334</v>
      </c>
      <c r="F4511" s="119">
        <f t="shared" si="123"/>
        <v>12400.000000000002</v>
      </c>
    </row>
    <row r="4512" spans="1:6" x14ac:dyDescent="0.25">
      <c r="A4512" s="111"/>
      <c r="B4512" s="134" t="s">
        <v>967</v>
      </c>
      <c r="C4512" s="118" t="s">
        <v>35</v>
      </c>
      <c r="D4512" s="253">
        <f>0.93*1.86</f>
        <v>1.7298000000000002</v>
      </c>
      <c r="E4512" s="119">
        <f>30000/(1.2*2.4)</f>
        <v>10416.666666666668</v>
      </c>
      <c r="F4512" s="119">
        <f t="shared" si="123"/>
        <v>18018.750000000004</v>
      </c>
    </row>
    <row r="4513" spans="1:6" x14ac:dyDescent="0.25">
      <c r="A4513" s="111"/>
      <c r="B4513" s="134" t="s">
        <v>1325</v>
      </c>
      <c r="C4513" s="118" t="s">
        <v>27</v>
      </c>
      <c r="D4513" s="155">
        <v>0</v>
      </c>
      <c r="E4513" s="119">
        <f>25000/6</f>
        <v>4166.666666666667</v>
      </c>
      <c r="F4513" s="119">
        <f t="shared" si="123"/>
        <v>0</v>
      </c>
    </row>
    <row r="4514" spans="1:6" x14ac:dyDescent="0.25">
      <c r="A4514" s="111"/>
      <c r="B4514" s="134" t="s">
        <v>960</v>
      </c>
      <c r="C4514" s="118" t="s">
        <v>27</v>
      </c>
      <c r="D4514" s="253">
        <f>(0.93+1.86)*2+(0.865+0.76)*2</f>
        <v>8.83</v>
      </c>
      <c r="E4514" s="119">
        <f>42000/6</f>
        <v>7000</v>
      </c>
      <c r="F4514" s="119">
        <f t="shared" si="123"/>
        <v>61810</v>
      </c>
    </row>
    <row r="4515" spans="1:6" x14ac:dyDescent="0.25">
      <c r="A4515" s="111"/>
      <c r="B4515" s="134" t="s">
        <v>963</v>
      </c>
      <c r="C4515" s="118" t="s">
        <v>35</v>
      </c>
      <c r="D4515" s="155">
        <f>1*0.93</f>
        <v>0.93</v>
      </c>
      <c r="E4515" s="119">
        <f>100000/(1.2*2.4)</f>
        <v>34722.222222222226</v>
      </c>
      <c r="F4515" s="119">
        <f t="shared" si="123"/>
        <v>32291.666666666672</v>
      </c>
    </row>
    <row r="4516" spans="1:6" x14ac:dyDescent="0.35">
      <c r="A4516" s="111"/>
      <c r="B4516" s="120" t="s">
        <v>965</v>
      </c>
      <c r="C4516" s="118"/>
      <c r="D4516" s="118"/>
      <c r="E4516" s="119"/>
      <c r="F4516" s="119">
        <f>0.1*(F4515+F4508+F4511+F4512+F4514+F4509+F4513+F4510)</f>
        <v>23200.541666666672</v>
      </c>
    </row>
    <row r="4517" spans="1:6" x14ac:dyDescent="0.35">
      <c r="A4517" s="107"/>
      <c r="B4517" s="108" t="s">
        <v>769</v>
      </c>
      <c r="C4517" s="109"/>
      <c r="D4517" s="124"/>
      <c r="E4517" s="117"/>
      <c r="F4517" s="110">
        <f>SUM(F4508:F4516)</f>
        <v>255205.95833333337</v>
      </c>
    </row>
    <row r="4518" spans="1:6" x14ac:dyDescent="0.3">
      <c r="A4518" s="111"/>
      <c r="B4518" s="136" t="s">
        <v>808</v>
      </c>
      <c r="C4518" s="115"/>
      <c r="D4518" s="124"/>
      <c r="E4518" s="117"/>
      <c r="F4518" s="110"/>
    </row>
    <row r="4519" spans="1:6" x14ac:dyDescent="0.25">
      <c r="A4519" s="111"/>
      <c r="B4519" s="134" t="s">
        <v>820</v>
      </c>
      <c r="C4519" s="115" t="s">
        <v>772</v>
      </c>
      <c r="D4519" s="124">
        <v>1.5</v>
      </c>
      <c r="E4519" s="117">
        <v>7500</v>
      </c>
      <c r="F4519" s="117">
        <f t="shared" ref="F4519:F4524" si="124">+D4519*E4519</f>
        <v>11250</v>
      </c>
    </row>
    <row r="4520" spans="1:6" x14ac:dyDescent="0.25">
      <c r="A4520" s="111"/>
      <c r="B4520" s="134" t="s">
        <v>821</v>
      </c>
      <c r="C4520" s="115" t="s">
        <v>772</v>
      </c>
      <c r="D4520" s="124">
        <v>1.5</v>
      </c>
      <c r="E4520" s="117">
        <v>7500</v>
      </c>
      <c r="F4520" s="117">
        <f t="shared" si="124"/>
        <v>11250</v>
      </c>
    </row>
    <row r="4521" spans="1:6" x14ac:dyDescent="0.25">
      <c r="A4521" s="111"/>
      <c r="B4521" s="134" t="s">
        <v>895</v>
      </c>
      <c r="C4521" s="115" t="s">
        <v>772</v>
      </c>
      <c r="D4521" s="124">
        <v>2</v>
      </c>
      <c r="E4521" s="117">
        <v>15000</v>
      </c>
      <c r="F4521" s="117">
        <f t="shared" si="124"/>
        <v>30000</v>
      </c>
    </row>
    <row r="4522" spans="1:6" x14ac:dyDescent="0.25">
      <c r="A4522" s="111"/>
      <c r="B4522" s="134" t="s">
        <v>896</v>
      </c>
      <c r="C4522" s="115" t="s">
        <v>772</v>
      </c>
      <c r="D4522" s="124">
        <v>0.15</v>
      </c>
      <c r="E4522" s="117">
        <v>15000</v>
      </c>
      <c r="F4522" s="117">
        <f t="shared" si="124"/>
        <v>2250</v>
      </c>
    </row>
    <row r="4523" spans="1:6" x14ac:dyDescent="0.25">
      <c r="A4523" s="111"/>
      <c r="B4523" s="134" t="s">
        <v>773</v>
      </c>
      <c r="C4523" s="115" t="s">
        <v>772</v>
      </c>
      <c r="D4523" s="124">
        <v>2</v>
      </c>
      <c r="E4523" s="117">
        <v>15000</v>
      </c>
      <c r="F4523" s="117">
        <f t="shared" si="124"/>
        <v>30000</v>
      </c>
    </row>
    <row r="4524" spans="1:6" x14ac:dyDescent="0.25">
      <c r="A4524" s="111"/>
      <c r="B4524" s="134" t="s">
        <v>851</v>
      </c>
      <c r="C4524" s="115" t="s">
        <v>772</v>
      </c>
      <c r="D4524" s="124">
        <v>2</v>
      </c>
      <c r="E4524" s="117">
        <v>15000</v>
      </c>
      <c r="F4524" s="117">
        <f t="shared" si="124"/>
        <v>30000</v>
      </c>
    </row>
    <row r="4525" spans="1:6" x14ac:dyDescent="0.3">
      <c r="A4525" s="111"/>
      <c r="B4525" s="136" t="s">
        <v>774</v>
      </c>
      <c r="C4525" s="115"/>
      <c r="D4525" s="124"/>
      <c r="E4525" s="117"/>
      <c r="F4525" s="110">
        <f>SUM(F4519:F4524)</f>
        <v>114750</v>
      </c>
    </row>
    <row r="4526" spans="1:6" x14ac:dyDescent="0.3">
      <c r="A4526" s="111"/>
      <c r="B4526" s="136" t="s">
        <v>775</v>
      </c>
      <c r="C4526" s="115"/>
      <c r="D4526" s="109"/>
      <c r="E4526" s="110"/>
      <c r="F4526" s="110">
        <f>+F4525+F4517</f>
        <v>369955.95833333337</v>
      </c>
    </row>
    <row r="4527" spans="1:6" x14ac:dyDescent="0.25">
      <c r="A4527" s="111"/>
      <c r="B4527" s="134" t="s">
        <v>776</v>
      </c>
      <c r="C4527" s="115"/>
      <c r="D4527" s="124">
        <v>1.25</v>
      </c>
      <c r="E4527" s="110"/>
      <c r="F4527" s="110">
        <f>+F4526*D4527</f>
        <v>462444.94791666674</v>
      </c>
    </row>
    <row r="4528" spans="1:6" x14ac:dyDescent="0.25">
      <c r="A4528" s="111"/>
      <c r="B4528" s="134" t="s">
        <v>835</v>
      </c>
      <c r="C4528" s="115"/>
      <c r="D4528" s="124">
        <v>1.25</v>
      </c>
      <c r="E4528" s="110"/>
      <c r="F4528" s="110"/>
    </row>
    <row r="4529" spans="1:6" x14ac:dyDescent="0.35">
      <c r="A4529" s="261" t="s">
        <v>319</v>
      </c>
      <c r="B4529" s="242" t="s">
        <v>785</v>
      </c>
      <c r="C4529" s="208" t="s">
        <v>59</v>
      </c>
      <c r="D4529" s="208"/>
      <c r="E4529" s="209"/>
      <c r="F4529" s="209">
        <f>+D4528*F4527</f>
        <v>578056.18489583349</v>
      </c>
    </row>
    <row r="4530" spans="1:6" x14ac:dyDescent="0.35">
      <c r="A4530" s="206"/>
      <c r="B4530" s="207"/>
      <c r="C4530" s="208"/>
      <c r="D4530" s="208"/>
      <c r="E4530" s="210">
        <f>+E4501</f>
        <v>3035.45</v>
      </c>
      <c r="F4530" s="210">
        <f>+F4529/E4530</f>
        <v>190.43508702032105</v>
      </c>
    </row>
    <row r="4531" spans="1:6" x14ac:dyDescent="0.35">
      <c r="A4531" s="105"/>
      <c r="B4531" s="106"/>
      <c r="C4531" s="101"/>
      <c r="D4531" s="101"/>
      <c r="E4531" s="161"/>
      <c r="F4531" s="161"/>
    </row>
    <row r="4532" spans="1:6" x14ac:dyDescent="0.35">
      <c r="A4532" s="105"/>
      <c r="B4532" s="106"/>
      <c r="C4532" s="101"/>
      <c r="D4532" s="101"/>
      <c r="E4532" s="161"/>
      <c r="F4532" s="161"/>
    </row>
    <row r="4533" spans="1:6" x14ac:dyDescent="0.3">
      <c r="A4533" s="257" t="s">
        <v>227</v>
      </c>
      <c r="B4533" s="290" t="s">
        <v>228</v>
      </c>
      <c r="C4533" s="200" t="s">
        <v>2</v>
      </c>
      <c r="D4533" s="202" t="s">
        <v>765</v>
      </c>
      <c r="E4533" s="203" t="s">
        <v>766</v>
      </c>
      <c r="F4533" s="203" t="s">
        <v>767</v>
      </c>
    </row>
    <row r="4534" spans="1:6" x14ac:dyDescent="0.3">
      <c r="A4534" s="305" t="s">
        <v>320</v>
      </c>
      <c r="B4534" s="304" t="s">
        <v>321</v>
      </c>
      <c r="C4534" s="256"/>
      <c r="D4534" s="141"/>
      <c r="E4534" s="110"/>
      <c r="F4534" s="110"/>
    </row>
    <row r="4535" spans="1:6" x14ac:dyDescent="0.3">
      <c r="A4535" s="306" t="s">
        <v>322</v>
      </c>
      <c r="B4535" s="294" t="s">
        <v>323</v>
      </c>
      <c r="C4535" s="256" t="s">
        <v>59</v>
      </c>
      <c r="D4535" s="141"/>
      <c r="E4535" s="110"/>
      <c r="F4535" s="110"/>
    </row>
    <row r="4536" spans="1:6" x14ac:dyDescent="0.35">
      <c r="A4536" s="111"/>
      <c r="B4536" s="112" t="s">
        <v>802</v>
      </c>
      <c r="C4536" s="118"/>
      <c r="D4536" s="118"/>
      <c r="E4536" s="119"/>
      <c r="F4536" s="119"/>
    </row>
    <row r="4537" spans="1:6" x14ac:dyDescent="0.25">
      <c r="A4537" s="111"/>
      <c r="B4537" s="134" t="s">
        <v>942</v>
      </c>
      <c r="C4537" s="118" t="s">
        <v>27</v>
      </c>
      <c r="D4537" s="228">
        <f>2.86*2+1.5</f>
        <v>7.22</v>
      </c>
      <c r="E4537" s="119">
        <f>48000/6</f>
        <v>8000</v>
      </c>
      <c r="F4537" s="119">
        <f t="shared" ref="F4537:F4544" si="125">+D4537*E4537</f>
        <v>57760</v>
      </c>
    </row>
    <row r="4538" spans="1:6" x14ac:dyDescent="0.25">
      <c r="A4538" s="111"/>
      <c r="B4538" s="134" t="s">
        <v>966</v>
      </c>
      <c r="C4538" s="118" t="s">
        <v>27</v>
      </c>
      <c r="D4538" s="228">
        <f>2*1.5</f>
        <v>3</v>
      </c>
      <c r="E4538" s="119">
        <f>48000/6</f>
        <v>8000</v>
      </c>
      <c r="F4538" s="119">
        <f t="shared" si="125"/>
        <v>24000</v>
      </c>
    </row>
    <row r="4539" spans="1:6" x14ac:dyDescent="0.25">
      <c r="A4539" s="111"/>
      <c r="B4539" s="134" t="s">
        <v>957</v>
      </c>
      <c r="C4539" s="118" t="s">
        <v>27</v>
      </c>
      <c r="D4539" s="228">
        <f>((1.5+2.86)*2)*2</f>
        <v>17.439999999999998</v>
      </c>
      <c r="E4539" s="119">
        <f>42500/6</f>
        <v>7083.333333333333</v>
      </c>
      <c r="F4539" s="119">
        <f t="shared" si="125"/>
        <v>123533.33333333331</v>
      </c>
    </row>
    <row r="4540" spans="1:6" x14ac:dyDescent="0.25">
      <c r="A4540" s="111"/>
      <c r="B4540" s="134" t="s">
        <v>968</v>
      </c>
      <c r="C4540" s="118" t="s">
        <v>27</v>
      </c>
      <c r="D4540" s="253">
        <v>1.5</v>
      </c>
      <c r="E4540" s="119">
        <f>160000/12</f>
        <v>13333.333333333334</v>
      </c>
      <c r="F4540" s="119">
        <f t="shared" si="125"/>
        <v>20000</v>
      </c>
    </row>
    <row r="4541" spans="1:6" x14ac:dyDescent="0.25">
      <c r="A4541" s="111"/>
      <c r="B4541" s="134" t="s">
        <v>967</v>
      </c>
      <c r="C4541" s="118" t="s">
        <v>35</v>
      </c>
      <c r="D4541" s="253">
        <f>1.5*1.86</f>
        <v>2.79</v>
      </c>
      <c r="E4541" s="119">
        <f>30000/(1.2*2.4)</f>
        <v>10416.666666666668</v>
      </c>
      <c r="F4541" s="119">
        <f t="shared" si="125"/>
        <v>29062.500000000004</v>
      </c>
    </row>
    <row r="4542" spans="1:6" x14ac:dyDescent="0.25">
      <c r="A4542" s="111"/>
      <c r="B4542" s="134" t="s">
        <v>1325</v>
      </c>
      <c r="C4542" s="118" t="s">
        <v>27</v>
      </c>
      <c r="D4542" s="155">
        <f>1.86*2+1.5*2+0.76*2</f>
        <v>8.24</v>
      </c>
      <c r="E4542" s="119">
        <f>25000/6</f>
        <v>4166.666666666667</v>
      </c>
      <c r="F4542" s="119">
        <f t="shared" si="125"/>
        <v>34333.333333333336</v>
      </c>
    </row>
    <row r="4543" spans="1:6" x14ac:dyDescent="0.25">
      <c r="A4543" s="111"/>
      <c r="B4543" s="134" t="s">
        <v>960</v>
      </c>
      <c r="C4543" s="118" t="s">
        <v>27</v>
      </c>
      <c r="D4543" s="253">
        <f>(1.86+1.5)*2</f>
        <v>6.7200000000000006</v>
      </c>
      <c r="E4543" s="119">
        <f>42000/6</f>
        <v>7000</v>
      </c>
      <c r="F4543" s="119">
        <f t="shared" si="125"/>
        <v>47040.000000000007</v>
      </c>
    </row>
    <row r="4544" spans="1:6" x14ac:dyDescent="0.25">
      <c r="A4544" s="111"/>
      <c r="B4544" s="134" t="s">
        <v>963</v>
      </c>
      <c r="C4544" s="118" t="s">
        <v>35</v>
      </c>
      <c r="D4544" s="155">
        <f>1*1.5</f>
        <v>1.5</v>
      </c>
      <c r="E4544" s="119">
        <f>100000/(1.2*2.4)</f>
        <v>34722.222222222226</v>
      </c>
      <c r="F4544" s="119">
        <f t="shared" si="125"/>
        <v>52083.333333333343</v>
      </c>
    </row>
    <row r="4545" spans="1:6" x14ac:dyDescent="0.35">
      <c r="A4545" s="111"/>
      <c r="B4545" s="120" t="s">
        <v>965</v>
      </c>
      <c r="C4545" s="118"/>
      <c r="D4545" s="118"/>
      <c r="E4545" s="119"/>
      <c r="F4545" s="119">
        <f>0.1*(F4544+F4537+F4540+F4541+F4543+F4538+F4542+F4539)</f>
        <v>38781.25</v>
      </c>
    </row>
    <row r="4546" spans="1:6" x14ac:dyDescent="0.35">
      <c r="A4546" s="107"/>
      <c r="B4546" s="108" t="s">
        <v>769</v>
      </c>
      <c r="C4546" s="109"/>
      <c r="D4546" s="124"/>
      <c r="E4546" s="117"/>
      <c r="F4546" s="110">
        <f>SUM(F4537:F4545)</f>
        <v>426593.75</v>
      </c>
    </row>
    <row r="4547" spans="1:6" x14ac:dyDescent="0.3">
      <c r="A4547" s="111"/>
      <c r="B4547" s="136" t="s">
        <v>808</v>
      </c>
      <c r="C4547" s="115"/>
      <c r="D4547" s="124"/>
      <c r="E4547" s="117"/>
      <c r="F4547" s="110"/>
    </row>
    <row r="4548" spans="1:6" x14ac:dyDescent="0.25">
      <c r="A4548" s="111"/>
      <c r="B4548" s="134" t="s">
        <v>820</v>
      </c>
      <c r="C4548" s="115" t="s">
        <v>772</v>
      </c>
      <c r="D4548" s="124">
        <v>1.5</v>
      </c>
      <c r="E4548" s="117">
        <v>7500</v>
      </c>
      <c r="F4548" s="117">
        <f t="shared" ref="F4548:F4553" si="126">+D4548*E4548</f>
        <v>11250</v>
      </c>
    </row>
    <row r="4549" spans="1:6" x14ac:dyDescent="0.25">
      <c r="A4549" s="111"/>
      <c r="B4549" s="134" t="s">
        <v>821</v>
      </c>
      <c r="C4549" s="115" t="s">
        <v>772</v>
      </c>
      <c r="D4549" s="124">
        <v>1.5</v>
      </c>
      <c r="E4549" s="117">
        <v>7500</v>
      </c>
      <c r="F4549" s="117">
        <f t="shared" si="126"/>
        <v>11250</v>
      </c>
    </row>
    <row r="4550" spans="1:6" x14ac:dyDescent="0.25">
      <c r="A4550" s="111"/>
      <c r="B4550" s="134" t="s">
        <v>895</v>
      </c>
      <c r="C4550" s="115" t="s">
        <v>772</v>
      </c>
      <c r="D4550" s="124">
        <v>2</v>
      </c>
      <c r="E4550" s="117">
        <v>15000</v>
      </c>
      <c r="F4550" s="117">
        <f t="shared" si="126"/>
        <v>30000</v>
      </c>
    </row>
    <row r="4551" spans="1:6" x14ac:dyDescent="0.25">
      <c r="A4551" s="111"/>
      <c r="B4551" s="134" t="s">
        <v>896</v>
      </c>
      <c r="C4551" s="115" t="s">
        <v>772</v>
      </c>
      <c r="D4551" s="124">
        <v>0.15</v>
      </c>
      <c r="E4551" s="117">
        <v>15000</v>
      </c>
      <c r="F4551" s="117">
        <f t="shared" si="126"/>
        <v>2250</v>
      </c>
    </row>
    <row r="4552" spans="1:6" x14ac:dyDescent="0.25">
      <c r="A4552" s="111"/>
      <c r="B4552" s="134" t="s">
        <v>773</v>
      </c>
      <c r="C4552" s="115" t="s">
        <v>772</v>
      </c>
      <c r="D4552" s="124">
        <v>2</v>
      </c>
      <c r="E4552" s="117">
        <v>15000</v>
      </c>
      <c r="F4552" s="117">
        <f t="shared" si="126"/>
        <v>30000</v>
      </c>
    </row>
    <row r="4553" spans="1:6" x14ac:dyDescent="0.25">
      <c r="A4553" s="111"/>
      <c r="B4553" s="134" t="s">
        <v>851</v>
      </c>
      <c r="C4553" s="115" t="s">
        <v>772</v>
      </c>
      <c r="D4553" s="124">
        <v>2</v>
      </c>
      <c r="E4553" s="117">
        <v>15000</v>
      </c>
      <c r="F4553" s="117">
        <f t="shared" si="126"/>
        <v>30000</v>
      </c>
    </row>
    <row r="4554" spans="1:6" x14ac:dyDescent="0.3">
      <c r="A4554" s="111"/>
      <c r="B4554" s="136" t="s">
        <v>774</v>
      </c>
      <c r="C4554" s="115"/>
      <c r="D4554" s="124"/>
      <c r="E4554" s="117"/>
      <c r="F4554" s="110">
        <f>SUM(F4548:F4553)</f>
        <v>114750</v>
      </c>
    </row>
    <row r="4555" spans="1:6" x14ac:dyDescent="0.3">
      <c r="A4555" s="111"/>
      <c r="B4555" s="136" t="s">
        <v>775</v>
      </c>
      <c r="C4555" s="115"/>
      <c r="D4555" s="109"/>
      <c r="E4555" s="110"/>
      <c r="F4555" s="110">
        <f>+F4554+F4546</f>
        <v>541343.75</v>
      </c>
    </row>
    <row r="4556" spans="1:6" x14ac:dyDescent="0.25">
      <c r="A4556" s="111"/>
      <c r="B4556" s="134" t="s">
        <v>776</v>
      </c>
      <c r="C4556" s="115"/>
      <c r="D4556" s="124">
        <v>1.25</v>
      </c>
      <c r="E4556" s="110"/>
      <c r="F4556" s="110">
        <f>+F4555*D4556</f>
        <v>676679.6875</v>
      </c>
    </row>
    <row r="4557" spans="1:6" x14ac:dyDescent="0.25">
      <c r="A4557" s="111"/>
      <c r="B4557" s="134" t="s">
        <v>835</v>
      </c>
      <c r="C4557" s="115"/>
      <c r="D4557" s="124">
        <v>1.25</v>
      </c>
      <c r="E4557" s="110"/>
      <c r="F4557" s="110"/>
    </row>
    <row r="4558" spans="1:6" x14ac:dyDescent="0.35">
      <c r="A4558" s="261" t="s">
        <v>322</v>
      </c>
      <c r="B4558" s="242" t="s">
        <v>785</v>
      </c>
      <c r="C4558" s="208" t="s">
        <v>59</v>
      </c>
      <c r="D4558" s="208"/>
      <c r="E4558" s="209"/>
      <c r="F4558" s="209">
        <f>+D4557*F4556</f>
        <v>845849.609375</v>
      </c>
    </row>
    <row r="4559" spans="1:6" x14ac:dyDescent="0.35">
      <c r="A4559" s="206"/>
      <c r="B4559" s="207"/>
      <c r="C4559" s="208"/>
      <c r="D4559" s="208"/>
      <c r="E4559" s="210">
        <f>+E4530</f>
        <v>3035.45</v>
      </c>
      <c r="F4559" s="210">
        <f>+F4558/E4559</f>
        <v>278.65707205686141</v>
      </c>
    </row>
    <row r="4560" spans="1:6" x14ac:dyDescent="0.35">
      <c r="A4560" s="105"/>
      <c r="B4560" s="106"/>
      <c r="C4560" s="101"/>
      <c r="D4560" s="101"/>
      <c r="E4560" s="161"/>
      <c r="F4560" s="161"/>
    </row>
    <row r="4561" spans="1:6" x14ac:dyDescent="0.35">
      <c r="A4561" s="105"/>
      <c r="B4561" s="106"/>
      <c r="C4561" s="101"/>
      <c r="D4561" s="101"/>
      <c r="E4561" s="161"/>
      <c r="F4561" s="161"/>
    </row>
    <row r="4562" spans="1:6" x14ac:dyDescent="0.3">
      <c r="A4562" s="257" t="s">
        <v>227</v>
      </c>
      <c r="B4562" s="290" t="s">
        <v>228</v>
      </c>
      <c r="C4562" s="200" t="s">
        <v>2</v>
      </c>
      <c r="D4562" s="202" t="s">
        <v>765</v>
      </c>
      <c r="E4562" s="203" t="s">
        <v>766</v>
      </c>
      <c r="F4562" s="203" t="s">
        <v>767</v>
      </c>
    </row>
    <row r="4563" spans="1:6" x14ac:dyDescent="0.3">
      <c r="A4563" s="305" t="s">
        <v>320</v>
      </c>
      <c r="B4563" s="304" t="s">
        <v>321</v>
      </c>
      <c r="C4563" s="256"/>
      <c r="D4563" s="141"/>
      <c r="E4563" s="110"/>
      <c r="F4563" s="110"/>
    </row>
    <row r="4564" spans="1:6" x14ac:dyDescent="0.3">
      <c r="A4564" s="306" t="s">
        <v>324</v>
      </c>
      <c r="B4564" s="301" t="s">
        <v>325</v>
      </c>
      <c r="C4564" s="256" t="s">
        <v>59</v>
      </c>
      <c r="D4564" s="141"/>
      <c r="E4564" s="110"/>
      <c r="F4564" s="110"/>
    </row>
    <row r="4565" spans="1:6" x14ac:dyDescent="0.35">
      <c r="A4565" s="111"/>
      <c r="B4565" s="112" t="s">
        <v>802</v>
      </c>
      <c r="C4565" s="118"/>
      <c r="D4565" s="118"/>
      <c r="E4565" s="119"/>
      <c r="F4565" s="119"/>
    </row>
    <row r="4566" spans="1:6" x14ac:dyDescent="0.25">
      <c r="A4566" s="111"/>
      <c r="B4566" s="134" t="s">
        <v>942</v>
      </c>
      <c r="C4566" s="118" t="s">
        <v>27</v>
      </c>
      <c r="D4566" s="228">
        <f>2.64*2+1.785</f>
        <v>7.0650000000000004</v>
      </c>
      <c r="E4566" s="119">
        <f>48000/6</f>
        <v>8000</v>
      </c>
      <c r="F4566" s="119">
        <f t="shared" ref="F4566:F4573" si="127">+D4566*E4566</f>
        <v>56520</v>
      </c>
    </row>
    <row r="4567" spans="1:6" x14ac:dyDescent="0.25">
      <c r="A4567" s="111"/>
      <c r="B4567" s="134" t="s">
        <v>966</v>
      </c>
      <c r="C4567" s="118" t="s">
        <v>27</v>
      </c>
      <c r="D4567" s="228">
        <f>2*1.785</f>
        <v>3.57</v>
      </c>
      <c r="E4567" s="119">
        <f>48000/6</f>
        <v>8000</v>
      </c>
      <c r="F4567" s="119">
        <f t="shared" si="127"/>
        <v>28560</v>
      </c>
    </row>
    <row r="4568" spans="1:6" x14ac:dyDescent="0.25">
      <c r="A4568" s="111"/>
      <c r="B4568" s="134" t="s">
        <v>957</v>
      </c>
      <c r="C4568" s="118" t="s">
        <v>27</v>
      </c>
      <c r="D4568" s="228">
        <f>(1.785+2.86)*2</f>
        <v>9.2899999999999991</v>
      </c>
      <c r="E4568" s="119">
        <f>42500/6</f>
        <v>7083.333333333333</v>
      </c>
      <c r="F4568" s="119">
        <f t="shared" si="127"/>
        <v>65804.166666666657</v>
      </c>
    </row>
    <row r="4569" spans="1:6" x14ac:dyDescent="0.25">
      <c r="A4569" s="111"/>
      <c r="B4569" s="134" t="s">
        <v>968</v>
      </c>
      <c r="C4569" s="118" t="s">
        <v>27</v>
      </c>
      <c r="D4569" s="253">
        <v>1.7849999999999999</v>
      </c>
      <c r="E4569" s="119">
        <f>160000/12</f>
        <v>13333.333333333334</v>
      </c>
      <c r="F4569" s="119">
        <f t="shared" si="127"/>
        <v>23800</v>
      </c>
    </row>
    <row r="4570" spans="1:6" x14ac:dyDescent="0.25">
      <c r="A4570" s="111"/>
      <c r="B4570" s="134" t="s">
        <v>967</v>
      </c>
      <c r="C4570" s="118" t="s">
        <v>35</v>
      </c>
      <c r="D4570" s="253">
        <f>1.785*1.64</f>
        <v>2.9273999999999996</v>
      </c>
      <c r="E4570" s="119">
        <f>30000/(1.2*2.4)</f>
        <v>10416.666666666668</v>
      </c>
      <c r="F4570" s="119">
        <f t="shared" si="127"/>
        <v>30493.75</v>
      </c>
    </row>
    <row r="4571" spans="1:6" x14ac:dyDescent="0.25">
      <c r="A4571" s="111"/>
      <c r="B4571" s="134" t="s">
        <v>1325</v>
      </c>
      <c r="C4571" s="118" t="s">
        <v>27</v>
      </c>
      <c r="D4571" s="155">
        <f>1.64*2+1.785*2+0.54*2</f>
        <v>7.93</v>
      </c>
      <c r="E4571" s="119">
        <f>25000/6</f>
        <v>4166.666666666667</v>
      </c>
      <c r="F4571" s="119">
        <f t="shared" si="127"/>
        <v>33041.666666666672</v>
      </c>
    </row>
    <row r="4572" spans="1:6" x14ac:dyDescent="0.25">
      <c r="A4572" s="111"/>
      <c r="B4572" s="134" t="s">
        <v>960</v>
      </c>
      <c r="C4572" s="118" t="s">
        <v>27</v>
      </c>
      <c r="D4572" s="253">
        <f>1.64*2+1.785*2</f>
        <v>6.85</v>
      </c>
      <c r="E4572" s="119">
        <f>42000/6</f>
        <v>7000</v>
      </c>
      <c r="F4572" s="119">
        <f t="shared" si="127"/>
        <v>47950</v>
      </c>
    </row>
    <row r="4573" spans="1:6" x14ac:dyDescent="0.25">
      <c r="A4573" s="111"/>
      <c r="B4573" s="134" t="s">
        <v>963</v>
      </c>
      <c r="C4573" s="118" t="s">
        <v>35</v>
      </c>
      <c r="D4573" s="155">
        <f>1*1.785</f>
        <v>1.7849999999999999</v>
      </c>
      <c r="E4573" s="119">
        <f>100000/(1.2*2.4)</f>
        <v>34722.222222222226</v>
      </c>
      <c r="F4573" s="119">
        <f t="shared" si="127"/>
        <v>61979.166666666672</v>
      </c>
    </row>
    <row r="4574" spans="1:6" x14ac:dyDescent="0.35">
      <c r="A4574" s="111"/>
      <c r="B4574" s="120" t="s">
        <v>965</v>
      </c>
      <c r="C4574" s="118"/>
      <c r="D4574" s="118"/>
      <c r="E4574" s="119"/>
      <c r="F4574" s="119">
        <f>0.1*(F4573+F4566+F4569+F4570+F4572+F4567+F4571+F4568)</f>
        <v>34814.875</v>
      </c>
    </row>
    <row r="4575" spans="1:6" x14ac:dyDescent="0.35">
      <c r="A4575" s="107"/>
      <c r="B4575" s="108" t="s">
        <v>769</v>
      </c>
      <c r="C4575" s="109"/>
      <c r="D4575" s="124"/>
      <c r="E4575" s="117"/>
      <c r="F4575" s="110">
        <f>SUM(F4566:F4574)</f>
        <v>382963.625</v>
      </c>
    </row>
    <row r="4576" spans="1:6" x14ac:dyDescent="0.3">
      <c r="A4576" s="111"/>
      <c r="B4576" s="136" t="s">
        <v>808</v>
      </c>
      <c r="C4576" s="115"/>
      <c r="D4576" s="124"/>
      <c r="E4576" s="117"/>
      <c r="F4576" s="110"/>
    </row>
    <row r="4577" spans="1:6" x14ac:dyDescent="0.25">
      <c r="A4577" s="111"/>
      <c r="B4577" s="134" t="s">
        <v>820</v>
      </c>
      <c r="C4577" s="115" t="s">
        <v>772</v>
      </c>
      <c r="D4577" s="124">
        <v>1.5</v>
      </c>
      <c r="E4577" s="117">
        <v>7500</v>
      </c>
      <c r="F4577" s="117">
        <f t="shared" ref="F4577:F4582" si="128">+D4577*E4577</f>
        <v>11250</v>
      </c>
    </row>
    <row r="4578" spans="1:6" x14ac:dyDescent="0.25">
      <c r="A4578" s="111"/>
      <c r="B4578" s="134" t="s">
        <v>821</v>
      </c>
      <c r="C4578" s="115" t="s">
        <v>772</v>
      </c>
      <c r="D4578" s="124">
        <v>1.5</v>
      </c>
      <c r="E4578" s="117">
        <v>7500</v>
      </c>
      <c r="F4578" s="117">
        <f t="shared" si="128"/>
        <v>11250</v>
      </c>
    </row>
    <row r="4579" spans="1:6" x14ac:dyDescent="0.25">
      <c r="A4579" s="111"/>
      <c r="B4579" s="134" t="s">
        <v>895</v>
      </c>
      <c r="C4579" s="115" t="s">
        <v>772</v>
      </c>
      <c r="D4579" s="124">
        <v>2</v>
      </c>
      <c r="E4579" s="117">
        <v>15000</v>
      </c>
      <c r="F4579" s="117">
        <f t="shared" si="128"/>
        <v>30000</v>
      </c>
    </row>
    <row r="4580" spans="1:6" x14ac:dyDescent="0.25">
      <c r="A4580" s="111"/>
      <c r="B4580" s="134" t="s">
        <v>896</v>
      </c>
      <c r="C4580" s="115" t="s">
        <v>772</v>
      </c>
      <c r="D4580" s="124">
        <v>0.15</v>
      </c>
      <c r="E4580" s="117">
        <v>15000</v>
      </c>
      <c r="F4580" s="117">
        <f t="shared" si="128"/>
        <v>2250</v>
      </c>
    </row>
    <row r="4581" spans="1:6" x14ac:dyDescent="0.25">
      <c r="A4581" s="111"/>
      <c r="B4581" s="134" t="s">
        <v>773</v>
      </c>
      <c r="C4581" s="115" t="s">
        <v>772</v>
      </c>
      <c r="D4581" s="124">
        <v>2</v>
      </c>
      <c r="E4581" s="117">
        <v>15000</v>
      </c>
      <c r="F4581" s="117">
        <f t="shared" si="128"/>
        <v>30000</v>
      </c>
    </row>
    <row r="4582" spans="1:6" x14ac:dyDescent="0.25">
      <c r="A4582" s="111"/>
      <c r="B4582" s="134" t="s">
        <v>851</v>
      </c>
      <c r="C4582" s="115" t="s">
        <v>772</v>
      </c>
      <c r="D4582" s="124">
        <v>2</v>
      </c>
      <c r="E4582" s="117">
        <v>15000</v>
      </c>
      <c r="F4582" s="117">
        <f t="shared" si="128"/>
        <v>30000</v>
      </c>
    </row>
    <row r="4583" spans="1:6" x14ac:dyDescent="0.3">
      <c r="A4583" s="111"/>
      <c r="B4583" s="136" t="s">
        <v>774</v>
      </c>
      <c r="C4583" s="115"/>
      <c r="D4583" s="124"/>
      <c r="E4583" s="117"/>
      <c r="F4583" s="110">
        <f>SUM(F4577:F4582)</f>
        <v>114750</v>
      </c>
    </row>
    <row r="4584" spans="1:6" x14ac:dyDescent="0.3">
      <c r="A4584" s="111"/>
      <c r="B4584" s="136" t="s">
        <v>775</v>
      </c>
      <c r="C4584" s="115"/>
      <c r="D4584" s="109"/>
      <c r="E4584" s="110"/>
      <c r="F4584" s="110">
        <f>+F4583+F4575</f>
        <v>497713.625</v>
      </c>
    </row>
    <row r="4585" spans="1:6" x14ac:dyDescent="0.25">
      <c r="A4585" s="111"/>
      <c r="B4585" s="134" t="s">
        <v>776</v>
      </c>
      <c r="C4585" s="115"/>
      <c r="D4585" s="124">
        <v>1.25</v>
      </c>
      <c r="E4585" s="110"/>
      <c r="F4585" s="110">
        <f>+F4584*D4585</f>
        <v>622142.03125</v>
      </c>
    </row>
    <row r="4586" spans="1:6" x14ac:dyDescent="0.25">
      <c r="A4586" s="111"/>
      <c r="B4586" s="134" t="s">
        <v>835</v>
      </c>
      <c r="C4586" s="115"/>
      <c r="D4586" s="124">
        <v>1.25</v>
      </c>
      <c r="E4586" s="110"/>
      <c r="F4586" s="110"/>
    </row>
    <row r="4587" spans="1:6" x14ac:dyDescent="0.35">
      <c r="A4587" s="261" t="s">
        <v>324</v>
      </c>
      <c r="B4587" s="242" t="s">
        <v>785</v>
      </c>
      <c r="C4587" s="208" t="s">
        <v>59</v>
      </c>
      <c r="D4587" s="208"/>
      <c r="E4587" s="209"/>
      <c r="F4587" s="209">
        <f>+D4586*F4585</f>
        <v>777677.5390625</v>
      </c>
    </row>
    <row r="4588" spans="1:6" x14ac:dyDescent="0.35">
      <c r="A4588" s="206"/>
      <c r="B4588" s="207"/>
      <c r="C4588" s="208"/>
      <c r="D4588" s="208"/>
      <c r="E4588" s="210">
        <f>+E4559</f>
        <v>3035.45</v>
      </c>
      <c r="F4588" s="210">
        <f>+F4587/E4588</f>
        <v>256.19843484903396</v>
      </c>
    </row>
    <row r="4589" spans="1:6" x14ac:dyDescent="0.35">
      <c r="A4589" s="105"/>
      <c r="B4589" s="106"/>
      <c r="C4589" s="101"/>
      <c r="D4589" s="101"/>
      <c r="E4589" s="161"/>
      <c r="F4589" s="161"/>
    </row>
    <row r="4590" spans="1:6" x14ac:dyDescent="0.35">
      <c r="A4590" s="105"/>
      <c r="B4590" s="106"/>
      <c r="C4590" s="101"/>
      <c r="D4590" s="101"/>
      <c r="E4590" s="161"/>
      <c r="F4590" s="161"/>
    </row>
    <row r="4591" spans="1:6" x14ac:dyDescent="0.3">
      <c r="A4591" s="257" t="s">
        <v>227</v>
      </c>
      <c r="B4591" s="290" t="s">
        <v>228</v>
      </c>
      <c r="C4591" s="200" t="s">
        <v>2</v>
      </c>
      <c r="D4591" s="202" t="s">
        <v>765</v>
      </c>
      <c r="E4591" s="203" t="s">
        <v>766</v>
      </c>
      <c r="F4591" s="203" t="s">
        <v>767</v>
      </c>
    </row>
    <row r="4592" spans="1:6" x14ac:dyDescent="0.3">
      <c r="A4592" s="305" t="s">
        <v>320</v>
      </c>
      <c r="B4592" s="304" t="s">
        <v>321</v>
      </c>
      <c r="C4592" s="256"/>
      <c r="D4592" s="141"/>
      <c r="E4592" s="110"/>
      <c r="F4592" s="110"/>
    </row>
    <row r="4593" spans="1:6" x14ac:dyDescent="0.3">
      <c r="A4593" s="306" t="s">
        <v>326</v>
      </c>
      <c r="B4593" s="310" t="s">
        <v>327</v>
      </c>
      <c r="C4593" s="256" t="s">
        <v>59</v>
      </c>
      <c r="D4593" s="141"/>
      <c r="E4593" s="110"/>
      <c r="F4593" s="110"/>
    </row>
    <row r="4594" spans="1:6" x14ac:dyDescent="0.35">
      <c r="A4594" s="111"/>
      <c r="B4594" s="112" t="s">
        <v>802</v>
      </c>
      <c r="C4594" s="118"/>
      <c r="D4594" s="118"/>
      <c r="E4594" s="119"/>
      <c r="F4594" s="119"/>
    </row>
    <row r="4595" spans="1:6" x14ac:dyDescent="0.25">
      <c r="A4595" s="111"/>
      <c r="B4595" s="134" t="s">
        <v>942</v>
      </c>
      <c r="C4595" s="118" t="s">
        <v>27</v>
      </c>
      <c r="D4595" s="228">
        <f>2.53*2+1.785</f>
        <v>6.8449999999999998</v>
      </c>
      <c r="E4595" s="119">
        <f>48000/6</f>
        <v>8000</v>
      </c>
      <c r="F4595" s="119">
        <f t="shared" ref="F4595:F4602" si="129">+D4595*E4595</f>
        <v>54760</v>
      </c>
    </row>
    <row r="4596" spans="1:6" x14ac:dyDescent="0.25">
      <c r="A4596" s="111"/>
      <c r="B4596" s="134" t="s">
        <v>966</v>
      </c>
      <c r="C4596" s="118" t="s">
        <v>27</v>
      </c>
      <c r="D4596" s="228">
        <f>2*1.785</f>
        <v>3.57</v>
      </c>
      <c r="E4596" s="119">
        <f>48000/6</f>
        <v>8000</v>
      </c>
      <c r="F4596" s="119">
        <f t="shared" si="129"/>
        <v>28560</v>
      </c>
    </row>
    <row r="4597" spans="1:6" x14ac:dyDescent="0.25">
      <c r="A4597" s="111"/>
      <c r="B4597" s="134" t="s">
        <v>957</v>
      </c>
      <c r="C4597" s="118" t="s">
        <v>27</v>
      </c>
      <c r="D4597" s="228">
        <f>(1.785+2.53)*2</f>
        <v>8.629999999999999</v>
      </c>
      <c r="E4597" s="119">
        <f>42500/6</f>
        <v>7083.333333333333</v>
      </c>
      <c r="F4597" s="119">
        <f t="shared" si="129"/>
        <v>61129.166666666657</v>
      </c>
    </row>
    <row r="4598" spans="1:6" x14ac:dyDescent="0.25">
      <c r="A4598" s="111"/>
      <c r="B4598" s="134" t="s">
        <v>968</v>
      </c>
      <c r="C4598" s="118" t="s">
        <v>27</v>
      </c>
      <c r="D4598" s="253">
        <v>1.7849999999999999</v>
      </c>
      <c r="E4598" s="119">
        <f>160000/12</f>
        <v>13333.333333333334</v>
      </c>
      <c r="F4598" s="119">
        <f t="shared" si="129"/>
        <v>23800</v>
      </c>
    </row>
    <row r="4599" spans="1:6" x14ac:dyDescent="0.25">
      <c r="A4599" s="111"/>
      <c r="B4599" s="134" t="s">
        <v>967</v>
      </c>
      <c r="C4599" s="118" t="s">
        <v>35</v>
      </c>
      <c r="D4599" s="253">
        <f>1.785*1.53</f>
        <v>2.7310499999999998</v>
      </c>
      <c r="E4599" s="119">
        <f>30000/(1.2*2.4)</f>
        <v>10416.666666666668</v>
      </c>
      <c r="F4599" s="119">
        <f t="shared" si="129"/>
        <v>28448.4375</v>
      </c>
    </row>
    <row r="4600" spans="1:6" x14ac:dyDescent="0.25">
      <c r="A4600" s="111"/>
      <c r="B4600" s="134" t="s">
        <v>1325</v>
      </c>
      <c r="C4600" s="118" t="s">
        <v>27</v>
      </c>
      <c r="D4600" s="155">
        <f>1.53*2+1.53*2+1.785*2</f>
        <v>9.69</v>
      </c>
      <c r="E4600" s="119">
        <f>25000/6</f>
        <v>4166.666666666667</v>
      </c>
      <c r="F4600" s="119">
        <f t="shared" si="129"/>
        <v>40375</v>
      </c>
    </row>
    <row r="4601" spans="1:6" x14ac:dyDescent="0.25">
      <c r="A4601" s="111"/>
      <c r="B4601" s="134" t="s">
        <v>960</v>
      </c>
      <c r="C4601" s="118" t="s">
        <v>27</v>
      </c>
      <c r="D4601" s="253">
        <f>1.53*2+1.785*2</f>
        <v>6.63</v>
      </c>
      <c r="E4601" s="119">
        <f>42000/6</f>
        <v>7000</v>
      </c>
      <c r="F4601" s="119">
        <f t="shared" si="129"/>
        <v>46410</v>
      </c>
    </row>
    <row r="4602" spans="1:6" x14ac:dyDescent="0.25">
      <c r="A4602" s="111"/>
      <c r="B4602" s="134" t="s">
        <v>963</v>
      </c>
      <c r="C4602" s="118" t="s">
        <v>35</v>
      </c>
      <c r="D4602" s="155">
        <f>1*1.785</f>
        <v>1.7849999999999999</v>
      </c>
      <c r="E4602" s="119">
        <f>100000/(1.2*2.4)</f>
        <v>34722.222222222226</v>
      </c>
      <c r="F4602" s="119">
        <f t="shared" si="129"/>
        <v>61979.166666666672</v>
      </c>
    </row>
    <row r="4603" spans="1:6" x14ac:dyDescent="0.35">
      <c r="A4603" s="111"/>
      <c r="B4603" s="120" t="s">
        <v>965</v>
      </c>
      <c r="C4603" s="118"/>
      <c r="D4603" s="118"/>
      <c r="E4603" s="119"/>
      <c r="F4603" s="119">
        <f>0.1*(F4602+F4595+F4598+F4599+F4601+F4596+F4600+F4597)</f>
        <v>34546.177083333336</v>
      </c>
    </row>
    <row r="4604" spans="1:6" x14ac:dyDescent="0.35">
      <c r="A4604" s="107"/>
      <c r="B4604" s="108" t="s">
        <v>769</v>
      </c>
      <c r="C4604" s="109"/>
      <c r="D4604" s="124"/>
      <c r="E4604" s="117"/>
      <c r="F4604" s="110">
        <f>SUM(F4595:F4603)</f>
        <v>380007.94791666663</v>
      </c>
    </row>
    <row r="4605" spans="1:6" x14ac:dyDescent="0.3">
      <c r="A4605" s="111"/>
      <c r="B4605" s="136" t="s">
        <v>808</v>
      </c>
      <c r="C4605" s="115"/>
      <c r="D4605" s="124"/>
      <c r="E4605" s="117"/>
      <c r="F4605" s="110"/>
    </row>
    <row r="4606" spans="1:6" x14ac:dyDescent="0.25">
      <c r="A4606" s="111"/>
      <c r="B4606" s="134" t="s">
        <v>820</v>
      </c>
      <c r="C4606" s="115" t="s">
        <v>772</v>
      </c>
      <c r="D4606" s="124">
        <v>1.5</v>
      </c>
      <c r="E4606" s="117">
        <v>7500</v>
      </c>
      <c r="F4606" s="117">
        <f t="shared" ref="F4606:F4611" si="130">+D4606*E4606</f>
        <v>11250</v>
      </c>
    </row>
    <row r="4607" spans="1:6" x14ac:dyDescent="0.25">
      <c r="A4607" s="111"/>
      <c r="B4607" s="134" t="s">
        <v>821</v>
      </c>
      <c r="C4607" s="115" t="s">
        <v>772</v>
      </c>
      <c r="D4607" s="124">
        <v>1.5</v>
      </c>
      <c r="E4607" s="117">
        <v>7500</v>
      </c>
      <c r="F4607" s="117">
        <f t="shared" si="130"/>
        <v>11250</v>
      </c>
    </row>
    <row r="4608" spans="1:6" x14ac:dyDescent="0.25">
      <c r="A4608" s="111"/>
      <c r="B4608" s="134" t="s">
        <v>895</v>
      </c>
      <c r="C4608" s="115" t="s">
        <v>772</v>
      </c>
      <c r="D4608" s="124">
        <v>2</v>
      </c>
      <c r="E4608" s="117">
        <v>15000</v>
      </c>
      <c r="F4608" s="117">
        <f t="shared" si="130"/>
        <v>30000</v>
      </c>
    </row>
    <row r="4609" spans="1:6" x14ac:dyDescent="0.25">
      <c r="A4609" s="111"/>
      <c r="B4609" s="134" t="s">
        <v>896</v>
      </c>
      <c r="C4609" s="115" t="s">
        <v>772</v>
      </c>
      <c r="D4609" s="124">
        <v>0.15</v>
      </c>
      <c r="E4609" s="117">
        <v>15000</v>
      </c>
      <c r="F4609" s="117">
        <f t="shared" si="130"/>
        <v>2250</v>
      </c>
    </row>
    <row r="4610" spans="1:6" x14ac:dyDescent="0.25">
      <c r="A4610" s="111"/>
      <c r="B4610" s="134" t="s">
        <v>773</v>
      </c>
      <c r="C4610" s="115" t="s">
        <v>772</v>
      </c>
      <c r="D4610" s="124">
        <v>2</v>
      </c>
      <c r="E4610" s="117">
        <v>15000</v>
      </c>
      <c r="F4610" s="117">
        <f t="shared" si="130"/>
        <v>30000</v>
      </c>
    </row>
    <row r="4611" spans="1:6" x14ac:dyDescent="0.25">
      <c r="A4611" s="111"/>
      <c r="B4611" s="134" t="s">
        <v>851</v>
      </c>
      <c r="C4611" s="115" t="s">
        <v>772</v>
      </c>
      <c r="D4611" s="124">
        <v>2</v>
      </c>
      <c r="E4611" s="117">
        <v>15000</v>
      </c>
      <c r="F4611" s="117">
        <f t="shared" si="130"/>
        <v>30000</v>
      </c>
    </row>
    <row r="4612" spans="1:6" x14ac:dyDescent="0.3">
      <c r="A4612" s="111"/>
      <c r="B4612" s="136" t="s">
        <v>774</v>
      </c>
      <c r="C4612" s="115"/>
      <c r="D4612" s="124"/>
      <c r="E4612" s="117"/>
      <c r="F4612" s="110">
        <f>SUM(F4606:F4611)</f>
        <v>114750</v>
      </c>
    </row>
    <row r="4613" spans="1:6" x14ac:dyDescent="0.3">
      <c r="A4613" s="111"/>
      <c r="B4613" s="136" t="s">
        <v>775</v>
      </c>
      <c r="C4613" s="115"/>
      <c r="D4613" s="109"/>
      <c r="E4613" s="110"/>
      <c r="F4613" s="110">
        <f>+F4612+F4604</f>
        <v>494757.94791666663</v>
      </c>
    </row>
    <row r="4614" spans="1:6" x14ac:dyDescent="0.25">
      <c r="A4614" s="111"/>
      <c r="B4614" s="134" t="s">
        <v>776</v>
      </c>
      <c r="C4614" s="115"/>
      <c r="D4614" s="124">
        <v>1.25</v>
      </c>
      <c r="E4614" s="110"/>
      <c r="F4614" s="110">
        <f>+F4613*D4614</f>
        <v>618447.43489583326</v>
      </c>
    </row>
    <row r="4615" spans="1:6" x14ac:dyDescent="0.25">
      <c r="A4615" s="111"/>
      <c r="B4615" s="134" t="s">
        <v>835</v>
      </c>
      <c r="C4615" s="115"/>
      <c r="D4615" s="124">
        <v>1.25</v>
      </c>
      <c r="E4615" s="110"/>
      <c r="F4615" s="110"/>
    </row>
    <row r="4616" spans="1:6" x14ac:dyDescent="0.35">
      <c r="A4616" s="261" t="s">
        <v>326</v>
      </c>
      <c r="B4616" s="242" t="s">
        <v>785</v>
      </c>
      <c r="C4616" s="208" t="s">
        <v>59</v>
      </c>
      <c r="D4616" s="208"/>
      <c r="E4616" s="209"/>
      <c r="F4616" s="209">
        <f>+D4615*F4614</f>
        <v>773059.29361979151</v>
      </c>
    </row>
    <row r="4617" spans="1:6" x14ac:dyDescent="0.35">
      <c r="A4617" s="206"/>
      <c r="B4617" s="207"/>
      <c r="C4617" s="208"/>
      <c r="D4617" s="208"/>
      <c r="E4617" s="210">
        <f>+E4588</f>
        <v>3035.45</v>
      </c>
      <c r="F4617" s="210">
        <f>+F4616/E4617</f>
        <v>254.67699801340544</v>
      </c>
    </row>
    <row r="4618" spans="1:6" x14ac:dyDescent="0.35">
      <c r="A4618" s="105"/>
      <c r="B4618" s="106"/>
      <c r="C4618" s="101"/>
      <c r="D4618" s="101"/>
      <c r="E4618" s="161"/>
      <c r="F4618" s="161"/>
    </row>
    <row r="4619" spans="1:6" x14ac:dyDescent="0.35">
      <c r="A4619" s="105"/>
      <c r="B4619" s="106"/>
      <c r="C4619" s="101"/>
      <c r="D4619" s="101"/>
      <c r="E4619" s="161"/>
      <c r="F4619" s="161"/>
    </row>
    <row r="4620" spans="1:6" x14ac:dyDescent="0.3">
      <c r="A4620" s="257" t="s">
        <v>227</v>
      </c>
      <c r="B4620" s="290" t="s">
        <v>228</v>
      </c>
      <c r="C4620" s="200" t="s">
        <v>2</v>
      </c>
      <c r="D4620" s="202" t="s">
        <v>765</v>
      </c>
      <c r="E4620" s="203" t="s">
        <v>766</v>
      </c>
      <c r="F4620" s="203" t="s">
        <v>767</v>
      </c>
    </row>
    <row r="4621" spans="1:6" x14ac:dyDescent="0.3">
      <c r="A4621" s="305" t="s">
        <v>320</v>
      </c>
      <c r="B4621" s="304" t="s">
        <v>321</v>
      </c>
      <c r="C4621" s="256"/>
      <c r="D4621" s="141"/>
      <c r="E4621" s="110"/>
      <c r="F4621" s="110"/>
    </row>
    <row r="4622" spans="1:6" x14ac:dyDescent="0.3">
      <c r="A4622" s="306" t="s">
        <v>328</v>
      </c>
      <c r="B4622" s="298" t="s">
        <v>329</v>
      </c>
      <c r="C4622" s="256" t="s">
        <v>59</v>
      </c>
      <c r="D4622" s="141"/>
      <c r="E4622" s="110"/>
      <c r="F4622" s="110"/>
    </row>
    <row r="4623" spans="1:6" x14ac:dyDescent="0.35">
      <c r="A4623" s="111"/>
      <c r="B4623" s="112" t="s">
        <v>802</v>
      </c>
      <c r="C4623" s="118"/>
      <c r="D4623" s="118"/>
      <c r="E4623" s="119"/>
      <c r="F4623" s="119"/>
    </row>
    <row r="4624" spans="1:6" x14ac:dyDescent="0.25">
      <c r="A4624" s="111"/>
      <c r="B4624" s="134" t="s">
        <v>942</v>
      </c>
      <c r="C4624" s="118" t="s">
        <v>27</v>
      </c>
      <c r="D4624" s="228">
        <f>2.53*2+1.215</f>
        <v>6.2749999999999995</v>
      </c>
      <c r="E4624" s="119">
        <f>48000/6</f>
        <v>8000</v>
      </c>
      <c r="F4624" s="119">
        <f t="shared" ref="F4624:F4631" si="131">+D4624*E4624</f>
        <v>50199.999999999993</v>
      </c>
    </row>
    <row r="4625" spans="1:6" x14ac:dyDescent="0.25">
      <c r="A4625" s="111"/>
      <c r="B4625" s="134" t="s">
        <v>966</v>
      </c>
      <c r="C4625" s="118" t="s">
        <v>27</v>
      </c>
      <c r="D4625" s="228">
        <f>2*1.215</f>
        <v>2.4300000000000002</v>
      </c>
      <c r="E4625" s="119">
        <f>48000/6</f>
        <v>8000</v>
      </c>
      <c r="F4625" s="119">
        <f t="shared" si="131"/>
        <v>19440</v>
      </c>
    </row>
    <row r="4626" spans="1:6" x14ac:dyDescent="0.25">
      <c r="A4626" s="111"/>
      <c r="B4626" s="134" t="s">
        <v>957</v>
      </c>
      <c r="C4626" s="118" t="s">
        <v>27</v>
      </c>
      <c r="D4626" s="228">
        <f>(1.215+2.53)*2</f>
        <v>7.49</v>
      </c>
      <c r="E4626" s="119">
        <f>42500/6</f>
        <v>7083.333333333333</v>
      </c>
      <c r="F4626" s="119">
        <f t="shared" si="131"/>
        <v>53054.166666666664</v>
      </c>
    </row>
    <row r="4627" spans="1:6" x14ac:dyDescent="0.25">
      <c r="A4627" s="111"/>
      <c r="B4627" s="134" t="s">
        <v>968</v>
      </c>
      <c r="C4627" s="118" t="s">
        <v>27</v>
      </c>
      <c r="D4627" s="253">
        <v>1.2150000000000001</v>
      </c>
      <c r="E4627" s="119">
        <f>160000/12</f>
        <v>13333.333333333334</v>
      </c>
      <c r="F4627" s="119">
        <f t="shared" si="131"/>
        <v>16200.000000000002</v>
      </c>
    </row>
    <row r="4628" spans="1:6" x14ac:dyDescent="0.25">
      <c r="A4628" s="111"/>
      <c r="B4628" s="134" t="s">
        <v>967</v>
      </c>
      <c r="C4628" s="118" t="s">
        <v>35</v>
      </c>
      <c r="D4628" s="253">
        <f>1.785*1.53</f>
        <v>2.7310499999999998</v>
      </c>
      <c r="E4628" s="119">
        <f>30000/(1.2*2.4)</f>
        <v>10416.666666666668</v>
      </c>
      <c r="F4628" s="119">
        <f t="shared" si="131"/>
        <v>28448.4375</v>
      </c>
    </row>
    <row r="4629" spans="1:6" x14ac:dyDescent="0.25">
      <c r="A4629" s="111"/>
      <c r="B4629" s="134" t="s">
        <v>1325</v>
      </c>
      <c r="C4629" s="118" t="s">
        <v>27</v>
      </c>
      <c r="D4629" s="155">
        <f>1.53*2+1.53*2+1.215*2</f>
        <v>8.5500000000000007</v>
      </c>
      <c r="E4629" s="119">
        <f>25000/6</f>
        <v>4166.666666666667</v>
      </c>
      <c r="F4629" s="119">
        <f t="shared" si="131"/>
        <v>35625.000000000007</v>
      </c>
    </row>
    <row r="4630" spans="1:6" x14ac:dyDescent="0.25">
      <c r="A4630" s="111"/>
      <c r="B4630" s="134" t="s">
        <v>960</v>
      </c>
      <c r="C4630" s="118" t="s">
        <v>27</v>
      </c>
      <c r="D4630" s="253">
        <f>1.53*2+1.215*2</f>
        <v>5.49</v>
      </c>
      <c r="E4630" s="119">
        <f>42000/6</f>
        <v>7000</v>
      </c>
      <c r="F4630" s="119">
        <f t="shared" si="131"/>
        <v>38430</v>
      </c>
    </row>
    <row r="4631" spans="1:6" x14ac:dyDescent="0.25">
      <c r="A4631" s="111"/>
      <c r="B4631" s="134" t="s">
        <v>963</v>
      </c>
      <c r="C4631" s="118" t="s">
        <v>35</v>
      </c>
      <c r="D4631" s="155">
        <f>1*1.215</f>
        <v>1.2150000000000001</v>
      </c>
      <c r="E4631" s="119">
        <f>100000/(1.2*2.4)</f>
        <v>34722.222222222226</v>
      </c>
      <c r="F4631" s="119">
        <f t="shared" si="131"/>
        <v>42187.500000000007</v>
      </c>
    </row>
    <row r="4632" spans="1:6" x14ac:dyDescent="0.35">
      <c r="A4632" s="111"/>
      <c r="B4632" s="120" t="s">
        <v>965</v>
      </c>
      <c r="C4632" s="118"/>
      <c r="D4632" s="118"/>
      <c r="E4632" s="119"/>
      <c r="F4632" s="119">
        <f>0.1*(F4631+F4624+F4627+F4628+F4630+F4625+F4629+F4626)</f>
        <v>28358.510416666672</v>
      </c>
    </row>
    <row r="4633" spans="1:6" x14ac:dyDescent="0.35">
      <c r="A4633" s="107"/>
      <c r="B4633" s="108" t="s">
        <v>769</v>
      </c>
      <c r="C4633" s="109"/>
      <c r="D4633" s="124"/>
      <c r="E4633" s="117"/>
      <c r="F4633" s="110">
        <f>SUM(F4624:F4632)</f>
        <v>311943.61458333337</v>
      </c>
    </row>
    <row r="4634" spans="1:6" x14ac:dyDescent="0.3">
      <c r="A4634" s="111"/>
      <c r="B4634" s="136" t="s">
        <v>808</v>
      </c>
      <c r="C4634" s="115"/>
      <c r="D4634" s="124"/>
      <c r="E4634" s="117"/>
      <c r="F4634" s="110"/>
    </row>
    <row r="4635" spans="1:6" x14ac:dyDescent="0.25">
      <c r="A4635" s="111"/>
      <c r="B4635" s="134" t="s">
        <v>820</v>
      </c>
      <c r="C4635" s="115" t="s">
        <v>772</v>
      </c>
      <c r="D4635" s="124">
        <v>1.5</v>
      </c>
      <c r="E4635" s="117">
        <v>7500</v>
      </c>
      <c r="F4635" s="117">
        <f t="shared" ref="F4635:F4640" si="132">+D4635*E4635</f>
        <v>11250</v>
      </c>
    </row>
    <row r="4636" spans="1:6" x14ac:dyDescent="0.25">
      <c r="A4636" s="111"/>
      <c r="B4636" s="134" t="s">
        <v>821</v>
      </c>
      <c r="C4636" s="115" t="s">
        <v>772</v>
      </c>
      <c r="D4636" s="124">
        <v>1.5</v>
      </c>
      <c r="E4636" s="117">
        <v>7500</v>
      </c>
      <c r="F4636" s="117">
        <f t="shared" si="132"/>
        <v>11250</v>
      </c>
    </row>
    <row r="4637" spans="1:6" x14ac:dyDescent="0.25">
      <c r="A4637" s="111"/>
      <c r="B4637" s="134" t="s">
        <v>895</v>
      </c>
      <c r="C4637" s="115" t="s">
        <v>772</v>
      </c>
      <c r="D4637" s="124">
        <v>2</v>
      </c>
      <c r="E4637" s="117">
        <v>15000</v>
      </c>
      <c r="F4637" s="117">
        <f t="shared" si="132"/>
        <v>30000</v>
      </c>
    </row>
    <row r="4638" spans="1:6" x14ac:dyDescent="0.25">
      <c r="A4638" s="111"/>
      <c r="B4638" s="134" t="s">
        <v>896</v>
      </c>
      <c r="C4638" s="115" t="s">
        <v>772</v>
      </c>
      <c r="D4638" s="124">
        <v>0.15</v>
      </c>
      <c r="E4638" s="117">
        <v>15000</v>
      </c>
      <c r="F4638" s="117">
        <f t="shared" si="132"/>
        <v>2250</v>
      </c>
    </row>
    <row r="4639" spans="1:6" x14ac:dyDescent="0.25">
      <c r="A4639" s="111"/>
      <c r="B4639" s="134" t="s">
        <v>773</v>
      </c>
      <c r="C4639" s="115" t="s">
        <v>772</v>
      </c>
      <c r="D4639" s="124">
        <v>2</v>
      </c>
      <c r="E4639" s="117">
        <v>15000</v>
      </c>
      <c r="F4639" s="117">
        <f t="shared" si="132"/>
        <v>30000</v>
      </c>
    </row>
    <row r="4640" spans="1:6" x14ac:dyDescent="0.25">
      <c r="A4640" s="111"/>
      <c r="B4640" s="134" t="s">
        <v>851</v>
      </c>
      <c r="C4640" s="115" t="s">
        <v>772</v>
      </c>
      <c r="D4640" s="124">
        <v>2</v>
      </c>
      <c r="E4640" s="117">
        <v>15000</v>
      </c>
      <c r="F4640" s="117">
        <f t="shared" si="132"/>
        <v>30000</v>
      </c>
    </row>
    <row r="4641" spans="1:6" x14ac:dyDescent="0.3">
      <c r="A4641" s="111"/>
      <c r="B4641" s="136" t="s">
        <v>774</v>
      </c>
      <c r="C4641" s="115"/>
      <c r="D4641" s="124"/>
      <c r="E4641" s="117"/>
      <c r="F4641" s="110">
        <f>SUM(F4635:F4640)</f>
        <v>114750</v>
      </c>
    </row>
    <row r="4642" spans="1:6" x14ac:dyDescent="0.3">
      <c r="A4642" s="111"/>
      <c r="B4642" s="136" t="s">
        <v>775</v>
      </c>
      <c r="C4642" s="115"/>
      <c r="D4642" s="109"/>
      <c r="E4642" s="110"/>
      <c r="F4642" s="110">
        <f>+F4641+F4633</f>
        <v>426693.61458333337</v>
      </c>
    </row>
    <row r="4643" spans="1:6" x14ac:dyDescent="0.25">
      <c r="A4643" s="111"/>
      <c r="B4643" s="134" t="s">
        <v>776</v>
      </c>
      <c r="C4643" s="115"/>
      <c r="D4643" s="124">
        <v>1.25</v>
      </c>
      <c r="E4643" s="110"/>
      <c r="F4643" s="110">
        <f>+F4642*D4643</f>
        <v>533367.01822916674</v>
      </c>
    </row>
    <row r="4644" spans="1:6" x14ac:dyDescent="0.25">
      <c r="A4644" s="111"/>
      <c r="B4644" s="134" t="s">
        <v>835</v>
      </c>
      <c r="C4644" s="115"/>
      <c r="D4644" s="124">
        <v>1.25</v>
      </c>
      <c r="E4644" s="110"/>
      <c r="F4644" s="110"/>
    </row>
    <row r="4645" spans="1:6" x14ac:dyDescent="0.35">
      <c r="A4645" s="261" t="s">
        <v>328</v>
      </c>
      <c r="B4645" s="242" t="s">
        <v>785</v>
      </c>
      <c r="C4645" s="208" t="s">
        <v>59</v>
      </c>
      <c r="D4645" s="208"/>
      <c r="E4645" s="209"/>
      <c r="F4645" s="209">
        <f>+D4644*F4643</f>
        <v>666708.77278645849</v>
      </c>
    </row>
    <row r="4646" spans="1:6" x14ac:dyDescent="0.35">
      <c r="A4646" s="206"/>
      <c r="B4646" s="207"/>
      <c r="C4646" s="208"/>
      <c r="D4646" s="208"/>
      <c r="E4646" s="210">
        <f>+E4617</f>
        <v>3035.45</v>
      </c>
      <c r="F4646" s="210">
        <f>+F4645/E4646</f>
        <v>219.6408350611799</v>
      </c>
    </row>
    <row r="4647" spans="1:6" x14ac:dyDescent="0.35">
      <c r="A4647" s="105"/>
      <c r="B4647" s="106"/>
      <c r="C4647" s="101"/>
      <c r="D4647" s="101"/>
      <c r="E4647" s="161"/>
      <c r="F4647" s="161"/>
    </row>
    <row r="4648" spans="1:6" x14ac:dyDescent="0.35">
      <c r="A4648" s="105"/>
      <c r="B4648" s="106"/>
      <c r="C4648" s="101"/>
      <c r="D4648" s="101"/>
      <c r="E4648" s="161"/>
      <c r="F4648" s="161"/>
    </row>
    <row r="4649" spans="1:6" x14ac:dyDescent="0.3">
      <c r="A4649" s="311" t="s">
        <v>665</v>
      </c>
      <c r="B4649" s="312" t="s">
        <v>330</v>
      </c>
      <c r="C4649" s="200" t="s">
        <v>2</v>
      </c>
      <c r="D4649" s="202" t="s">
        <v>765</v>
      </c>
      <c r="E4649" s="203" t="s">
        <v>766</v>
      </c>
      <c r="F4649" s="203" t="s">
        <v>767</v>
      </c>
    </row>
    <row r="4650" spans="1:6" x14ac:dyDescent="0.3">
      <c r="A4650" s="239" t="s">
        <v>666</v>
      </c>
      <c r="B4650" s="254" t="s">
        <v>641</v>
      </c>
      <c r="C4650" s="256" t="s">
        <v>27</v>
      </c>
      <c r="D4650" s="141"/>
      <c r="E4650" s="110"/>
      <c r="F4650" s="110"/>
    </row>
    <row r="4651" spans="1:6" x14ac:dyDescent="0.35">
      <c r="A4651" s="111"/>
      <c r="B4651" s="112" t="s">
        <v>802</v>
      </c>
      <c r="C4651" s="118"/>
      <c r="D4651" s="118"/>
      <c r="E4651" s="119"/>
      <c r="F4651" s="119"/>
    </row>
    <row r="4652" spans="1:6" x14ac:dyDescent="0.25">
      <c r="A4652" s="111"/>
      <c r="B4652" s="134" t="s">
        <v>975</v>
      </c>
      <c r="C4652" s="118" t="s">
        <v>27</v>
      </c>
      <c r="D4652" s="228">
        <v>0.85</v>
      </c>
      <c r="E4652" s="313">
        <f>90000/6</f>
        <v>15000</v>
      </c>
      <c r="F4652" s="119">
        <f>+D4652*E4652</f>
        <v>12750</v>
      </c>
    </row>
    <row r="4653" spans="1:6" x14ac:dyDescent="0.25">
      <c r="A4653" s="111"/>
      <c r="B4653" s="134" t="s">
        <v>961</v>
      </c>
      <c r="C4653" s="118" t="s">
        <v>948</v>
      </c>
      <c r="D4653" s="155">
        <v>2</v>
      </c>
      <c r="E4653" s="157">
        <f>72000/4</f>
        <v>18000</v>
      </c>
      <c r="F4653" s="119">
        <f>+D4653*E4653</f>
        <v>36000</v>
      </c>
    </row>
    <row r="4654" spans="1:6" x14ac:dyDescent="0.25">
      <c r="A4654" s="111"/>
      <c r="B4654" s="134" t="s">
        <v>962</v>
      </c>
      <c r="C4654" s="118" t="s">
        <v>948</v>
      </c>
      <c r="D4654" s="155">
        <v>2</v>
      </c>
      <c r="E4654" s="157">
        <f>75000/5</f>
        <v>15000</v>
      </c>
      <c r="F4654" s="119">
        <f>+D4654*E4654</f>
        <v>30000</v>
      </c>
    </row>
    <row r="4655" spans="1:6" x14ac:dyDescent="0.35">
      <c r="A4655" s="111"/>
      <c r="B4655" s="120" t="s">
        <v>952</v>
      </c>
      <c r="C4655" s="118"/>
      <c r="D4655" s="118"/>
      <c r="E4655" s="119"/>
      <c r="F4655" s="119">
        <f>0.1*(F4654+F4653+F4652)</f>
        <v>7875</v>
      </c>
    </row>
    <row r="4656" spans="1:6" x14ac:dyDescent="0.35">
      <c r="A4656" s="107"/>
      <c r="B4656" s="108" t="s">
        <v>769</v>
      </c>
      <c r="C4656" s="109"/>
      <c r="D4656" s="124"/>
      <c r="E4656" s="117"/>
      <c r="F4656" s="110">
        <f>SUM(F4652:F4655)</f>
        <v>86625</v>
      </c>
    </row>
    <row r="4657" spans="1:6" x14ac:dyDescent="0.3">
      <c r="A4657" s="111"/>
      <c r="B4657" s="136" t="s">
        <v>808</v>
      </c>
      <c r="C4657" s="115"/>
      <c r="D4657" s="124"/>
      <c r="E4657" s="117"/>
      <c r="F4657" s="110"/>
    </row>
    <row r="4658" spans="1:6" x14ac:dyDescent="0.25">
      <c r="A4658" s="111"/>
      <c r="B4658" s="134" t="s">
        <v>915</v>
      </c>
      <c r="C4658" s="115" t="s">
        <v>772</v>
      </c>
      <c r="D4658" s="124">
        <v>1</v>
      </c>
      <c r="E4658" s="117">
        <v>7500</v>
      </c>
      <c r="F4658" s="117">
        <f>+D4658*E4658</f>
        <v>7500</v>
      </c>
    </row>
    <row r="4659" spans="1:6" x14ac:dyDescent="0.25">
      <c r="A4659" s="111"/>
      <c r="B4659" s="134" t="s">
        <v>895</v>
      </c>
      <c r="C4659" s="115" t="s">
        <v>772</v>
      </c>
      <c r="D4659" s="124">
        <v>1.2</v>
      </c>
      <c r="E4659" s="117">
        <v>15000</v>
      </c>
      <c r="F4659" s="117">
        <f>+D4659*E4659</f>
        <v>18000</v>
      </c>
    </row>
    <row r="4660" spans="1:6" x14ac:dyDescent="0.25">
      <c r="A4660" s="111"/>
      <c r="B4660" s="134" t="s">
        <v>896</v>
      </c>
      <c r="C4660" s="115" t="s">
        <v>772</v>
      </c>
      <c r="D4660" s="124">
        <v>1.2</v>
      </c>
      <c r="E4660" s="117">
        <v>15000</v>
      </c>
      <c r="F4660" s="117">
        <f>+D4660*E4660</f>
        <v>18000</v>
      </c>
    </row>
    <row r="4661" spans="1:6" x14ac:dyDescent="0.3">
      <c r="A4661" s="111"/>
      <c r="B4661" s="136" t="s">
        <v>774</v>
      </c>
      <c r="C4661" s="115"/>
      <c r="D4661" s="124"/>
      <c r="E4661" s="117"/>
      <c r="F4661" s="110">
        <f>SUM(F4658:F4660)</f>
        <v>43500</v>
      </c>
    </row>
    <row r="4662" spans="1:6" x14ac:dyDescent="0.3">
      <c r="A4662" s="111"/>
      <c r="B4662" s="136" t="s">
        <v>775</v>
      </c>
      <c r="C4662" s="115"/>
      <c r="D4662" s="109"/>
      <c r="E4662" s="110"/>
      <c r="F4662" s="110">
        <f>+F4661+F4656</f>
        <v>130125</v>
      </c>
    </row>
    <row r="4663" spans="1:6" x14ac:dyDescent="0.25">
      <c r="A4663" s="111"/>
      <c r="B4663" s="134" t="s">
        <v>812</v>
      </c>
      <c r="C4663" s="115"/>
      <c r="D4663" s="124">
        <v>1.1499999999999999</v>
      </c>
      <c r="E4663" s="110"/>
      <c r="F4663" s="110">
        <f>+F4662*D4663</f>
        <v>149643.75</v>
      </c>
    </row>
    <row r="4664" spans="1:6" x14ac:dyDescent="0.25">
      <c r="A4664" s="111"/>
      <c r="B4664" s="134" t="s">
        <v>813</v>
      </c>
      <c r="C4664" s="115"/>
      <c r="D4664" s="124">
        <v>1.1499999999999999</v>
      </c>
      <c r="E4664" s="110"/>
      <c r="F4664" s="110"/>
    </row>
    <row r="4665" spans="1:6" x14ac:dyDescent="0.35">
      <c r="A4665" s="261" t="s">
        <v>666</v>
      </c>
      <c r="B4665" s="242" t="s">
        <v>784</v>
      </c>
      <c r="C4665" s="208" t="s">
        <v>27</v>
      </c>
      <c r="D4665" s="208"/>
      <c r="E4665" s="209"/>
      <c r="F4665" s="209">
        <f>+D4664*F4663</f>
        <v>172090.3125</v>
      </c>
    </row>
    <row r="4666" spans="1:6" x14ac:dyDescent="0.35">
      <c r="A4666" s="206"/>
      <c r="B4666" s="207"/>
      <c r="C4666" s="208"/>
      <c r="D4666" s="208"/>
      <c r="E4666" s="210">
        <f>+E4617</f>
        <v>3035.45</v>
      </c>
      <c r="F4666" s="210">
        <f>+F4665/E4666</f>
        <v>56.693509199624444</v>
      </c>
    </row>
    <row r="4667" spans="1:6" x14ac:dyDescent="0.35">
      <c r="D4667" s="104"/>
    </row>
    <row r="4669" spans="1:6" x14ac:dyDescent="0.3">
      <c r="A4669" s="311" t="s">
        <v>665</v>
      </c>
      <c r="B4669" s="312" t="s">
        <v>330</v>
      </c>
      <c r="C4669" s="200" t="s">
        <v>2</v>
      </c>
      <c r="D4669" s="202" t="s">
        <v>765</v>
      </c>
      <c r="E4669" s="203" t="s">
        <v>766</v>
      </c>
      <c r="F4669" s="203" t="s">
        <v>767</v>
      </c>
    </row>
    <row r="4670" spans="1:6" x14ac:dyDescent="0.3">
      <c r="A4670" s="239" t="s">
        <v>973</v>
      </c>
      <c r="B4670" s="254" t="s">
        <v>331</v>
      </c>
      <c r="C4670" s="256" t="s">
        <v>27</v>
      </c>
      <c r="D4670" s="141"/>
      <c r="E4670" s="110"/>
      <c r="F4670" s="110"/>
    </row>
    <row r="4671" spans="1:6" x14ac:dyDescent="0.35">
      <c r="A4671" s="111"/>
      <c r="B4671" s="112" t="s">
        <v>802</v>
      </c>
      <c r="C4671" s="118"/>
      <c r="D4671" s="118"/>
      <c r="E4671" s="119"/>
      <c r="F4671" s="119"/>
    </row>
    <row r="4672" spans="1:6" x14ac:dyDescent="0.25">
      <c r="A4672" s="111"/>
      <c r="B4672" s="134" t="s">
        <v>974</v>
      </c>
      <c r="C4672" s="118" t="s">
        <v>27</v>
      </c>
      <c r="D4672" s="228">
        <v>2</v>
      </c>
      <c r="E4672" s="313">
        <f>105000/6</f>
        <v>17500</v>
      </c>
      <c r="F4672" s="119">
        <f>+D4672*E4672</f>
        <v>35000</v>
      </c>
    </row>
    <row r="4673" spans="1:6" x14ac:dyDescent="0.25">
      <c r="A4673" s="111"/>
      <c r="B4673" s="134" t="s">
        <v>975</v>
      </c>
      <c r="C4673" s="118" t="s">
        <v>27</v>
      </c>
      <c r="D4673" s="228">
        <v>0.85</v>
      </c>
      <c r="E4673" s="313">
        <f>90000/4</f>
        <v>22500</v>
      </c>
      <c r="F4673" s="119">
        <f>+D4673*E4673</f>
        <v>19125</v>
      </c>
    </row>
    <row r="4674" spans="1:6" x14ac:dyDescent="0.25">
      <c r="A4674" s="111"/>
      <c r="B4674" s="134" t="s">
        <v>976</v>
      </c>
      <c r="C4674" s="118" t="s">
        <v>27</v>
      </c>
      <c r="D4674" s="228">
        <v>1</v>
      </c>
      <c r="E4674" s="313">
        <f>33500/6</f>
        <v>5583.333333333333</v>
      </c>
      <c r="F4674" s="119">
        <f>+D4674*E4674</f>
        <v>5583.333333333333</v>
      </c>
    </row>
    <row r="4675" spans="1:6" x14ac:dyDescent="0.25">
      <c r="A4675" s="111"/>
      <c r="B4675" s="134" t="s">
        <v>961</v>
      </c>
      <c r="C4675" s="118" t="s">
        <v>948</v>
      </c>
      <c r="D4675" s="155">
        <v>2</v>
      </c>
      <c r="E4675" s="157">
        <f>72000/4</f>
        <v>18000</v>
      </c>
      <c r="F4675" s="119">
        <f>+D4675*E4675</f>
        <v>36000</v>
      </c>
    </row>
    <row r="4676" spans="1:6" x14ac:dyDescent="0.25">
      <c r="A4676" s="111"/>
      <c r="B4676" s="134" t="s">
        <v>962</v>
      </c>
      <c r="C4676" s="118" t="s">
        <v>948</v>
      </c>
      <c r="D4676" s="155">
        <v>2</v>
      </c>
      <c r="E4676" s="157">
        <f>75000/4</f>
        <v>18750</v>
      </c>
      <c r="F4676" s="119">
        <f>+D4676*E4676</f>
        <v>37500</v>
      </c>
    </row>
    <row r="4677" spans="1:6" x14ac:dyDescent="0.35">
      <c r="A4677" s="111"/>
      <c r="B4677" s="120" t="s">
        <v>952</v>
      </c>
      <c r="C4677" s="118"/>
      <c r="D4677" s="118"/>
      <c r="E4677" s="119"/>
      <c r="F4677" s="119">
        <f>0.1*(F4676+F4675+F4673+F4672)</f>
        <v>12762.5</v>
      </c>
    </row>
    <row r="4678" spans="1:6" x14ac:dyDescent="0.35">
      <c r="A4678" s="107"/>
      <c r="B4678" s="108" t="s">
        <v>769</v>
      </c>
      <c r="C4678" s="109"/>
      <c r="D4678" s="124"/>
      <c r="E4678" s="117"/>
      <c r="F4678" s="110">
        <f>SUM(F4672:F4677)</f>
        <v>145970.83333333334</v>
      </c>
    </row>
    <row r="4679" spans="1:6" x14ac:dyDescent="0.3">
      <c r="A4679" s="111"/>
      <c r="B4679" s="136" t="s">
        <v>808</v>
      </c>
      <c r="C4679" s="115"/>
      <c r="D4679" s="124"/>
      <c r="E4679" s="117"/>
      <c r="F4679" s="110"/>
    </row>
    <row r="4680" spans="1:6" x14ac:dyDescent="0.25">
      <c r="A4680" s="111"/>
      <c r="B4680" s="134" t="s">
        <v>915</v>
      </c>
      <c r="C4680" s="115" t="s">
        <v>772</v>
      </c>
      <c r="D4680" s="124">
        <v>0.12</v>
      </c>
      <c r="E4680" s="117">
        <v>7500</v>
      </c>
      <c r="F4680" s="117">
        <f>+D4680*E4680</f>
        <v>900</v>
      </c>
    </row>
    <row r="4681" spans="1:6" x14ac:dyDescent="0.25">
      <c r="A4681" s="111"/>
      <c r="B4681" s="134" t="s">
        <v>895</v>
      </c>
      <c r="C4681" s="115" t="s">
        <v>772</v>
      </c>
      <c r="D4681" s="124">
        <v>0.2</v>
      </c>
      <c r="E4681" s="117">
        <v>15000</v>
      </c>
      <c r="F4681" s="117">
        <f>+D4681*E4681</f>
        <v>3000</v>
      </c>
    </row>
    <row r="4682" spans="1:6" x14ac:dyDescent="0.25">
      <c r="A4682" s="111"/>
      <c r="B4682" s="134" t="s">
        <v>896</v>
      </c>
      <c r="C4682" s="115" t="s">
        <v>772</v>
      </c>
      <c r="D4682" s="124">
        <v>0.2</v>
      </c>
      <c r="E4682" s="117">
        <v>15000</v>
      </c>
      <c r="F4682" s="117">
        <f>+D4682*E4682</f>
        <v>3000</v>
      </c>
    </row>
    <row r="4683" spans="1:6" x14ac:dyDescent="0.3">
      <c r="A4683" s="111"/>
      <c r="B4683" s="136" t="s">
        <v>774</v>
      </c>
      <c r="C4683" s="115"/>
      <c r="D4683" s="124"/>
      <c r="E4683" s="117"/>
      <c r="F4683" s="110">
        <f>SUM(F4680:F4682)</f>
        <v>6900</v>
      </c>
    </row>
    <row r="4684" spans="1:6" x14ac:dyDescent="0.3">
      <c r="A4684" s="111"/>
      <c r="B4684" s="136" t="s">
        <v>775</v>
      </c>
      <c r="C4684" s="115"/>
      <c r="D4684" s="109"/>
      <c r="E4684" s="110"/>
      <c r="F4684" s="110">
        <f>+F4683+F4678</f>
        <v>152870.83333333334</v>
      </c>
    </row>
    <row r="4685" spans="1:6" x14ac:dyDescent="0.25">
      <c r="A4685" s="111"/>
      <c r="B4685" s="134" t="s">
        <v>792</v>
      </c>
      <c r="C4685" s="115"/>
      <c r="D4685" s="124">
        <v>1.05</v>
      </c>
      <c r="E4685" s="110"/>
      <c r="F4685" s="110">
        <f>+F4684*D4685</f>
        <v>160514.37500000003</v>
      </c>
    </row>
    <row r="4686" spans="1:6" x14ac:dyDescent="0.25">
      <c r="A4686" s="111"/>
      <c r="B4686" s="134" t="s">
        <v>848</v>
      </c>
      <c r="C4686" s="115"/>
      <c r="D4686" s="124">
        <v>1.05</v>
      </c>
      <c r="E4686" s="110"/>
      <c r="F4686" s="110"/>
    </row>
    <row r="4687" spans="1:6" x14ac:dyDescent="0.35">
      <c r="A4687" s="261" t="s">
        <v>973</v>
      </c>
      <c r="B4687" s="242" t="s">
        <v>784</v>
      </c>
      <c r="C4687" s="208" t="s">
        <v>27</v>
      </c>
      <c r="D4687" s="208"/>
      <c r="E4687" s="209"/>
      <c r="F4687" s="209">
        <f>+D4686*F4685</f>
        <v>168540.09375000003</v>
      </c>
    </row>
    <row r="4688" spans="1:6" x14ac:dyDescent="0.35">
      <c r="A4688" s="206"/>
      <c r="B4688" s="207"/>
      <c r="C4688" s="208"/>
      <c r="D4688" s="208"/>
      <c r="E4688" s="210">
        <f>+E4666</f>
        <v>3035.45</v>
      </c>
      <c r="F4688" s="210">
        <f>+F4687/E4688</f>
        <v>55.523923553344659</v>
      </c>
    </row>
    <row r="4689" spans="1:6" ht="12.5" x14ac:dyDescent="0.35">
      <c r="A4689" s="178"/>
      <c r="B4689" s="104"/>
      <c r="C4689" s="104"/>
      <c r="D4689" s="104"/>
      <c r="E4689" s="104"/>
      <c r="F4689" s="104"/>
    </row>
    <row r="4690" spans="1:6" ht="12.5" x14ac:dyDescent="0.35">
      <c r="A4690" s="178"/>
      <c r="B4690" s="104"/>
      <c r="C4690" s="104"/>
      <c r="D4690" s="104"/>
      <c r="E4690" s="104"/>
      <c r="F4690" s="104"/>
    </row>
    <row r="4691" spans="1:6" x14ac:dyDescent="0.3">
      <c r="A4691" s="311" t="s">
        <v>667</v>
      </c>
      <c r="B4691" s="312" t="s">
        <v>978</v>
      </c>
      <c r="C4691" s="200" t="s">
        <v>2</v>
      </c>
      <c r="D4691" s="202" t="s">
        <v>765</v>
      </c>
      <c r="E4691" s="203" t="s">
        <v>766</v>
      </c>
      <c r="F4691" s="203" t="s">
        <v>767</v>
      </c>
    </row>
    <row r="4692" spans="1:6" x14ac:dyDescent="0.3">
      <c r="A4692" s="239" t="s">
        <v>668</v>
      </c>
      <c r="B4692" s="254" t="s">
        <v>332</v>
      </c>
      <c r="C4692" s="256" t="s">
        <v>27</v>
      </c>
      <c r="D4692" s="141"/>
      <c r="E4692" s="110"/>
      <c r="F4692" s="110"/>
    </row>
    <row r="4693" spans="1:6" x14ac:dyDescent="0.35">
      <c r="A4693" s="111"/>
      <c r="B4693" s="112" t="s">
        <v>802</v>
      </c>
      <c r="C4693" s="118"/>
      <c r="D4693" s="118"/>
      <c r="E4693" s="119"/>
      <c r="F4693" s="119"/>
    </row>
    <row r="4694" spans="1:6" x14ac:dyDescent="0.25">
      <c r="A4694" s="111"/>
      <c r="B4694" s="134" t="s">
        <v>979</v>
      </c>
      <c r="C4694" s="118" t="s">
        <v>27</v>
      </c>
      <c r="D4694" s="228">
        <v>0.85</v>
      </c>
      <c r="E4694" s="313">
        <f>[2]Matériaux!$F$51</f>
        <v>12500</v>
      </c>
      <c r="F4694" s="119">
        <f>+D4694*E4694</f>
        <v>10625</v>
      </c>
    </row>
    <row r="4695" spans="1:6" x14ac:dyDescent="0.25">
      <c r="A4695" s="111"/>
      <c r="B4695" s="134" t="s">
        <v>980</v>
      </c>
      <c r="C4695" s="118" t="s">
        <v>948</v>
      </c>
      <c r="D4695" s="155">
        <v>2</v>
      </c>
      <c r="E4695" s="157">
        <f>75000/4</f>
        <v>18750</v>
      </c>
      <c r="F4695" s="119">
        <f>+D4695*E4695</f>
        <v>37500</v>
      </c>
    </row>
    <row r="4696" spans="1:6" x14ac:dyDescent="0.25">
      <c r="A4696" s="111"/>
      <c r="B4696" s="134" t="s">
        <v>962</v>
      </c>
      <c r="C4696" s="118" t="s">
        <v>948</v>
      </c>
      <c r="D4696" s="155">
        <v>2</v>
      </c>
      <c r="E4696" s="157">
        <f>75000/4</f>
        <v>18750</v>
      </c>
      <c r="F4696" s="119">
        <f>+D4696*E4696</f>
        <v>37500</v>
      </c>
    </row>
    <row r="4697" spans="1:6" x14ac:dyDescent="0.35">
      <c r="A4697" s="111"/>
      <c r="B4697" s="120" t="s">
        <v>981</v>
      </c>
      <c r="C4697" s="118"/>
      <c r="D4697" s="118"/>
      <c r="E4697" s="119"/>
      <c r="F4697" s="119">
        <f>0.1*(F4696+F4695+F4694)</f>
        <v>8562.5</v>
      </c>
    </row>
    <row r="4698" spans="1:6" x14ac:dyDescent="0.35">
      <c r="A4698" s="107"/>
      <c r="B4698" s="108" t="s">
        <v>769</v>
      </c>
      <c r="C4698" s="109"/>
      <c r="D4698" s="124"/>
      <c r="E4698" s="117"/>
      <c r="F4698" s="110">
        <f>SUM(F4694:F4697)</f>
        <v>94187.5</v>
      </c>
    </row>
    <row r="4699" spans="1:6" x14ac:dyDescent="0.3">
      <c r="A4699" s="111"/>
      <c r="B4699" s="136" t="s">
        <v>808</v>
      </c>
      <c r="C4699" s="115"/>
      <c r="D4699" s="124"/>
      <c r="E4699" s="117"/>
      <c r="F4699" s="110"/>
    </row>
    <row r="4700" spans="1:6" x14ac:dyDescent="0.25">
      <c r="A4700" s="111"/>
      <c r="B4700" s="134" t="s">
        <v>773</v>
      </c>
      <c r="C4700" s="115" t="s">
        <v>772</v>
      </c>
      <c r="D4700" s="124">
        <v>2</v>
      </c>
      <c r="E4700" s="117">
        <v>15000</v>
      </c>
      <c r="F4700" s="117">
        <f>+D4700*E4700</f>
        <v>30000</v>
      </c>
    </row>
    <row r="4701" spans="1:6" x14ac:dyDescent="0.3">
      <c r="A4701" s="111"/>
      <c r="B4701" s="136" t="s">
        <v>774</v>
      </c>
      <c r="C4701" s="115"/>
      <c r="D4701" s="124"/>
      <c r="E4701" s="117"/>
      <c r="F4701" s="110">
        <f>SUM(F4700:F4700)</f>
        <v>30000</v>
      </c>
    </row>
    <row r="4702" spans="1:6" x14ac:dyDescent="0.3">
      <c r="A4702" s="111"/>
      <c r="B4702" s="136" t="s">
        <v>775</v>
      </c>
      <c r="C4702" s="115"/>
      <c r="D4702" s="109"/>
      <c r="E4702" s="110"/>
      <c r="F4702" s="110">
        <f>+F4701+F4698</f>
        <v>124187.5</v>
      </c>
    </row>
    <row r="4703" spans="1:6" x14ac:dyDescent="0.25">
      <c r="A4703" s="111"/>
      <c r="B4703" s="134" t="s">
        <v>936</v>
      </c>
      <c r="C4703" s="115"/>
      <c r="D4703" s="124">
        <v>1.2</v>
      </c>
      <c r="E4703" s="110"/>
      <c r="F4703" s="110">
        <f>+F4702*D4703</f>
        <v>149025</v>
      </c>
    </row>
    <row r="4704" spans="1:6" x14ac:dyDescent="0.25">
      <c r="A4704" s="111"/>
      <c r="B4704" s="134" t="s">
        <v>835</v>
      </c>
      <c r="C4704" s="115"/>
      <c r="D4704" s="124">
        <v>1.25</v>
      </c>
      <c r="E4704" s="110"/>
      <c r="F4704" s="110"/>
    </row>
    <row r="4705" spans="1:6" x14ac:dyDescent="0.35">
      <c r="A4705" s="261" t="s">
        <v>668</v>
      </c>
      <c r="B4705" s="242" t="s">
        <v>784</v>
      </c>
      <c r="C4705" s="208" t="s">
        <v>27</v>
      </c>
      <c r="D4705" s="208"/>
      <c r="E4705" s="209"/>
      <c r="F4705" s="209">
        <f>+D4704*F4703</f>
        <v>186281.25</v>
      </c>
    </row>
    <row r="4706" spans="1:6" x14ac:dyDescent="0.35">
      <c r="A4706" s="206"/>
      <c r="B4706" s="207"/>
      <c r="C4706" s="208"/>
      <c r="D4706" s="208"/>
      <c r="E4706" s="210">
        <f>+E4688</f>
        <v>3035.45</v>
      </c>
      <c r="F4706" s="210">
        <f>+F4705/E4706</f>
        <v>61.368577970317418</v>
      </c>
    </row>
    <row r="4707" spans="1:6" x14ac:dyDescent="0.35">
      <c r="A4707" s="185"/>
      <c r="B4707" s="186"/>
      <c r="C4707" s="187"/>
      <c r="D4707" s="104"/>
      <c r="E4707" s="189"/>
      <c r="F4707" s="180"/>
    </row>
    <row r="4708" spans="1:6" x14ac:dyDescent="0.35">
      <c r="A4708" s="190"/>
      <c r="B4708" s="191"/>
      <c r="C4708" s="192"/>
      <c r="E4708" s="194"/>
      <c r="F4708" s="182"/>
    </row>
    <row r="4709" spans="1:6" x14ac:dyDescent="0.3">
      <c r="A4709" s="311" t="s">
        <v>667</v>
      </c>
      <c r="B4709" s="312" t="s">
        <v>978</v>
      </c>
      <c r="C4709" s="200" t="s">
        <v>2</v>
      </c>
      <c r="D4709" s="202" t="s">
        <v>765</v>
      </c>
      <c r="E4709" s="203" t="s">
        <v>766</v>
      </c>
      <c r="F4709" s="203" t="s">
        <v>767</v>
      </c>
    </row>
    <row r="4710" spans="1:6" x14ac:dyDescent="0.3">
      <c r="A4710" s="239" t="s">
        <v>977</v>
      </c>
      <c r="B4710" s="254" t="s">
        <v>333</v>
      </c>
      <c r="C4710" s="256" t="s">
        <v>27</v>
      </c>
      <c r="D4710" s="141"/>
      <c r="E4710" s="110"/>
      <c r="F4710" s="110"/>
    </row>
    <row r="4711" spans="1:6" x14ac:dyDescent="0.35">
      <c r="A4711" s="111"/>
      <c r="B4711" s="112" t="s">
        <v>802</v>
      </c>
      <c r="C4711" s="118"/>
      <c r="D4711" s="118"/>
      <c r="E4711" s="119"/>
      <c r="F4711" s="119"/>
    </row>
    <row r="4712" spans="1:6" x14ac:dyDescent="0.25">
      <c r="A4712" s="111"/>
      <c r="B4712" s="134" t="s">
        <v>982</v>
      </c>
      <c r="C4712" s="118" t="s">
        <v>27</v>
      </c>
      <c r="D4712" s="228">
        <v>1</v>
      </c>
      <c r="E4712" s="314">
        <f>33500/6</f>
        <v>5583.333333333333</v>
      </c>
      <c r="F4712" s="119">
        <f>+D4712*E4712</f>
        <v>5583.333333333333</v>
      </c>
    </row>
    <row r="4713" spans="1:6" x14ac:dyDescent="0.25">
      <c r="A4713" s="111"/>
      <c r="B4713" s="134" t="s">
        <v>962</v>
      </c>
      <c r="C4713" s="118" t="s">
        <v>948</v>
      </c>
      <c r="D4713" s="155">
        <v>2</v>
      </c>
      <c r="E4713" s="158">
        <f>75000/4</f>
        <v>18750</v>
      </c>
      <c r="F4713" s="119">
        <f>+D4713*E4713</f>
        <v>37500</v>
      </c>
    </row>
    <row r="4714" spans="1:6" x14ac:dyDescent="0.35">
      <c r="A4714" s="111"/>
      <c r="B4714" s="120" t="s">
        <v>981</v>
      </c>
      <c r="C4714" s="118"/>
      <c r="D4714" s="118"/>
      <c r="E4714" s="119"/>
      <c r="F4714" s="119">
        <f>0.1*(F4713+F4712)</f>
        <v>4308.3333333333339</v>
      </c>
    </row>
    <row r="4715" spans="1:6" x14ac:dyDescent="0.35">
      <c r="A4715" s="107"/>
      <c r="B4715" s="108" t="s">
        <v>769</v>
      </c>
      <c r="C4715" s="109"/>
      <c r="D4715" s="124"/>
      <c r="E4715" s="117"/>
      <c r="F4715" s="110">
        <f>SUM(F4712:F4714)</f>
        <v>47391.666666666672</v>
      </c>
    </row>
    <row r="4716" spans="1:6" x14ac:dyDescent="0.3">
      <c r="A4716" s="111"/>
      <c r="B4716" s="136" t="s">
        <v>808</v>
      </c>
      <c r="C4716" s="115"/>
      <c r="D4716" s="124"/>
      <c r="E4716" s="117"/>
      <c r="F4716" s="110"/>
    </row>
    <row r="4717" spans="1:6" x14ac:dyDescent="0.25">
      <c r="A4717" s="111"/>
      <c r="B4717" s="134" t="s">
        <v>895</v>
      </c>
      <c r="C4717" s="115" t="s">
        <v>772</v>
      </c>
      <c r="D4717" s="124">
        <v>2</v>
      </c>
      <c r="E4717" s="117">
        <v>15000</v>
      </c>
      <c r="F4717" s="117">
        <f>+D4717*E4717</f>
        <v>30000</v>
      </c>
    </row>
    <row r="4718" spans="1:6" x14ac:dyDescent="0.3">
      <c r="A4718" s="111"/>
      <c r="B4718" s="136" t="s">
        <v>774</v>
      </c>
      <c r="C4718" s="115"/>
      <c r="D4718" s="124"/>
      <c r="E4718" s="117"/>
      <c r="F4718" s="110">
        <f>SUM(F4717:F4717)</f>
        <v>30000</v>
      </c>
    </row>
    <row r="4719" spans="1:6" x14ac:dyDescent="0.3">
      <c r="A4719" s="111"/>
      <c r="B4719" s="136" t="s">
        <v>775</v>
      </c>
      <c r="C4719" s="115"/>
      <c r="D4719" s="109"/>
      <c r="E4719" s="110"/>
      <c r="F4719" s="110">
        <f>+F4718+F4715</f>
        <v>77391.666666666672</v>
      </c>
    </row>
    <row r="4720" spans="1:6" x14ac:dyDescent="0.25">
      <c r="A4720" s="111"/>
      <c r="B4720" s="134" t="s">
        <v>792</v>
      </c>
      <c r="C4720" s="115"/>
      <c r="D4720" s="124">
        <v>1.05</v>
      </c>
      <c r="E4720" s="110"/>
      <c r="F4720" s="110">
        <f>+F4719*D4720</f>
        <v>81261.250000000015</v>
      </c>
    </row>
    <row r="4721" spans="1:6" x14ac:dyDescent="0.25">
      <c r="A4721" s="111"/>
      <c r="B4721" s="134" t="s">
        <v>848</v>
      </c>
      <c r="C4721" s="115"/>
      <c r="D4721" s="124">
        <v>1.05</v>
      </c>
      <c r="E4721" s="110"/>
      <c r="F4721" s="110"/>
    </row>
    <row r="4722" spans="1:6" x14ac:dyDescent="0.35">
      <c r="A4722" s="261" t="s">
        <v>977</v>
      </c>
      <c r="B4722" s="242" t="s">
        <v>784</v>
      </c>
      <c r="C4722" s="208" t="s">
        <v>27</v>
      </c>
      <c r="D4722" s="208"/>
      <c r="E4722" s="209"/>
      <c r="F4722" s="209">
        <f>+D4721*F4720</f>
        <v>85324.312500000015</v>
      </c>
    </row>
    <row r="4723" spans="1:6" x14ac:dyDescent="0.35">
      <c r="A4723" s="206"/>
      <c r="B4723" s="207"/>
      <c r="C4723" s="208"/>
      <c r="D4723" s="208"/>
      <c r="E4723" s="210">
        <f>+E4706</f>
        <v>3035.45</v>
      </c>
      <c r="F4723" s="210">
        <f>+F4722/E4723</f>
        <v>28.109279513745911</v>
      </c>
    </row>
    <row r="4724" spans="1:6" x14ac:dyDescent="0.35">
      <c r="A4724" s="185"/>
      <c r="B4724" s="186"/>
      <c r="C4724" s="187"/>
      <c r="D4724" s="181"/>
      <c r="E4724" s="189"/>
      <c r="F4724" s="180"/>
    </row>
    <row r="4725" spans="1:6" x14ac:dyDescent="0.35">
      <c r="A4725" s="190"/>
      <c r="B4725" s="191"/>
      <c r="C4725" s="192"/>
      <c r="E4725" s="194"/>
      <c r="F4725" s="182"/>
    </row>
    <row r="4726" spans="1:6" x14ac:dyDescent="0.3">
      <c r="A4726" s="311" t="s">
        <v>667</v>
      </c>
      <c r="B4726" s="312" t="s">
        <v>978</v>
      </c>
      <c r="C4726" s="200" t="s">
        <v>2</v>
      </c>
      <c r="D4726" s="202" t="s">
        <v>765</v>
      </c>
      <c r="E4726" s="203" t="s">
        <v>766</v>
      </c>
      <c r="F4726" s="203" t="s">
        <v>767</v>
      </c>
    </row>
    <row r="4727" spans="1:6" x14ac:dyDescent="0.3">
      <c r="A4727" s="239" t="s">
        <v>1165</v>
      </c>
      <c r="B4727" s="254" t="s">
        <v>334</v>
      </c>
      <c r="C4727" s="256" t="s">
        <v>59</v>
      </c>
      <c r="D4727" s="141"/>
      <c r="E4727" s="110"/>
      <c r="F4727" s="110"/>
    </row>
    <row r="4728" spans="1:6" x14ac:dyDescent="0.35">
      <c r="A4728" s="111"/>
      <c r="B4728" s="112" t="s">
        <v>802</v>
      </c>
      <c r="C4728" s="118"/>
      <c r="D4728" s="118"/>
      <c r="E4728" s="119"/>
      <c r="F4728" s="119"/>
    </row>
    <row r="4729" spans="1:6" x14ac:dyDescent="0.25">
      <c r="A4729" s="111"/>
      <c r="B4729" s="134" t="s">
        <v>983</v>
      </c>
      <c r="C4729" s="118" t="s">
        <v>35</v>
      </c>
      <c r="D4729" s="228">
        <f>0.45*0.2</f>
        <v>9.0000000000000011E-2</v>
      </c>
      <c r="E4729" s="314">
        <f>85000/(1.2*2.4)</f>
        <v>29513.888888888891</v>
      </c>
      <c r="F4729" s="119">
        <f>+D4729*E4729</f>
        <v>2656.2500000000005</v>
      </c>
    </row>
    <row r="4730" spans="1:6" x14ac:dyDescent="0.25">
      <c r="A4730" s="111"/>
      <c r="B4730" s="134" t="s">
        <v>962</v>
      </c>
      <c r="C4730" s="118" t="s">
        <v>948</v>
      </c>
      <c r="D4730" s="159">
        <v>0.12</v>
      </c>
      <c r="E4730" s="158">
        <f>75000/4</f>
        <v>18750</v>
      </c>
      <c r="F4730" s="119">
        <f>+D4730*E4730</f>
        <v>2250</v>
      </c>
    </row>
    <row r="4731" spans="1:6" x14ac:dyDescent="0.35">
      <c r="A4731" s="111"/>
      <c r="B4731" s="120" t="s">
        <v>981</v>
      </c>
      <c r="C4731" s="118"/>
      <c r="D4731" s="118"/>
      <c r="E4731" s="119"/>
      <c r="F4731" s="119">
        <f>0.1*(F4730+F4729)</f>
        <v>490.625</v>
      </c>
    </row>
    <row r="4732" spans="1:6" x14ac:dyDescent="0.35">
      <c r="A4732" s="107"/>
      <c r="B4732" s="108" t="s">
        <v>769</v>
      </c>
      <c r="C4732" s="109"/>
      <c r="D4732" s="124"/>
      <c r="E4732" s="117"/>
      <c r="F4732" s="110">
        <f>SUM(F4729:F4731)</f>
        <v>5396.875</v>
      </c>
    </row>
    <row r="4733" spans="1:6" x14ac:dyDescent="0.3">
      <c r="A4733" s="111"/>
      <c r="B4733" s="136" t="s">
        <v>808</v>
      </c>
      <c r="C4733" s="115"/>
      <c r="D4733" s="124"/>
      <c r="E4733" s="117"/>
      <c r="F4733" s="110"/>
    </row>
    <row r="4734" spans="1:6" x14ac:dyDescent="0.25">
      <c r="A4734" s="111"/>
      <c r="B4734" s="134" t="s">
        <v>984</v>
      </c>
      <c r="C4734" s="115" t="s">
        <v>772</v>
      </c>
      <c r="D4734" s="124">
        <v>0.75</v>
      </c>
      <c r="E4734" s="117">
        <v>15000</v>
      </c>
      <c r="F4734" s="117">
        <f>+D4734*E4734</f>
        <v>11250</v>
      </c>
    </row>
    <row r="4735" spans="1:6" x14ac:dyDescent="0.3">
      <c r="A4735" s="111"/>
      <c r="B4735" s="136" t="s">
        <v>774</v>
      </c>
      <c r="C4735" s="115"/>
      <c r="D4735" s="124"/>
      <c r="E4735" s="117"/>
      <c r="F4735" s="110">
        <f>SUM(F4734:F4734)</f>
        <v>11250</v>
      </c>
    </row>
    <row r="4736" spans="1:6" x14ac:dyDescent="0.3">
      <c r="A4736" s="111"/>
      <c r="B4736" s="136" t="s">
        <v>775</v>
      </c>
      <c r="C4736" s="115"/>
      <c r="D4736" s="109"/>
      <c r="E4736" s="110"/>
      <c r="F4736" s="110">
        <f>+F4735+F4732</f>
        <v>16646.875</v>
      </c>
    </row>
    <row r="4737" spans="1:6" x14ac:dyDescent="0.25">
      <c r="A4737" s="111"/>
      <c r="B4737" s="134" t="s">
        <v>792</v>
      </c>
      <c r="C4737" s="115"/>
      <c r="D4737" s="124">
        <v>1.05</v>
      </c>
      <c r="E4737" s="110"/>
      <c r="F4737" s="110">
        <f>+F4736*D4737</f>
        <v>17479.21875</v>
      </c>
    </row>
    <row r="4738" spans="1:6" x14ac:dyDescent="0.25">
      <c r="A4738" s="111"/>
      <c r="B4738" s="134" t="s">
        <v>848</v>
      </c>
      <c r="C4738" s="115"/>
      <c r="D4738" s="124">
        <v>1.05</v>
      </c>
      <c r="E4738" s="110"/>
      <c r="F4738" s="110"/>
    </row>
    <row r="4739" spans="1:6" x14ac:dyDescent="0.35">
      <c r="A4739" s="261" t="s">
        <v>1165</v>
      </c>
      <c r="B4739" s="242" t="s">
        <v>785</v>
      </c>
      <c r="C4739" s="208" t="s">
        <v>59</v>
      </c>
      <c r="D4739" s="208"/>
      <c r="E4739" s="209"/>
      <c r="F4739" s="209">
        <f>+D4738*F4737</f>
        <v>18353.1796875</v>
      </c>
    </row>
    <row r="4740" spans="1:6" x14ac:dyDescent="0.35">
      <c r="A4740" s="206"/>
      <c r="B4740" s="207"/>
      <c r="C4740" s="208"/>
      <c r="D4740" s="208"/>
      <c r="E4740" s="210">
        <f>+E4723</f>
        <v>3035.45</v>
      </c>
      <c r="F4740" s="210">
        <f>+F4739/E4740</f>
        <v>6.0462796908201426</v>
      </c>
    </row>
    <row r="4741" spans="1:6" x14ac:dyDescent="0.35">
      <c r="A4741" s="185"/>
      <c r="B4741" s="186"/>
      <c r="C4741" s="187"/>
      <c r="D4741" s="104"/>
      <c r="E4741" s="189"/>
      <c r="F4741" s="180"/>
    </row>
    <row r="4742" spans="1:6" x14ac:dyDescent="0.35">
      <c r="D4742" s="188"/>
    </row>
    <row r="4743" spans="1:6" x14ac:dyDescent="0.3">
      <c r="A4743" s="257" t="s">
        <v>335</v>
      </c>
      <c r="B4743" s="258" t="s">
        <v>336</v>
      </c>
      <c r="C4743" s="200" t="s">
        <v>2</v>
      </c>
      <c r="D4743" s="202" t="s">
        <v>765</v>
      </c>
      <c r="E4743" s="203" t="s">
        <v>766</v>
      </c>
      <c r="F4743" s="203" t="s">
        <v>767</v>
      </c>
    </row>
    <row r="4744" spans="1:6" x14ac:dyDescent="0.3">
      <c r="A4744" s="239" t="s">
        <v>337</v>
      </c>
      <c r="B4744" s="254" t="s">
        <v>645</v>
      </c>
      <c r="C4744" s="256" t="s">
        <v>35</v>
      </c>
      <c r="D4744" s="141"/>
      <c r="E4744" s="110"/>
      <c r="F4744" s="110"/>
    </row>
    <row r="4745" spans="1:6" x14ac:dyDescent="0.3">
      <c r="A4745" s="239" t="s">
        <v>339</v>
      </c>
      <c r="B4745" s="254" t="s">
        <v>340</v>
      </c>
      <c r="C4745" s="256" t="s">
        <v>35</v>
      </c>
      <c r="D4745" s="141"/>
      <c r="E4745" s="110"/>
      <c r="F4745" s="110"/>
    </row>
    <row r="4746" spans="1:6" x14ac:dyDescent="0.3">
      <c r="A4746" s="239" t="s">
        <v>342</v>
      </c>
      <c r="B4746" s="254" t="s">
        <v>647</v>
      </c>
      <c r="C4746" s="256" t="s">
        <v>35</v>
      </c>
      <c r="D4746" s="141"/>
      <c r="E4746" s="110"/>
      <c r="F4746" s="110"/>
    </row>
    <row r="4747" spans="1:6" x14ac:dyDescent="0.35">
      <c r="A4747" s="111"/>
      <c r="B4747" s="112" t="s">
        <v>802</v>
      </c>
      <c r="C4747" s="118"/>
      <c r="D4747" s="118"/>
      <c r="E4747" s="119"/>
      <c r="F4747" s="119"/>
    </row>
    <row r="4748" spans="1:6" x14ac:dyDescent="0.35">
      <c r="A4748" s="111"/>
      <c r="B4748" s="120" t="s">
        <v>985</v>
      </c>
      <c r="C4748" s="118" t="s">
        <v>832</v>
      </c>
      <c r="D4748" s="118">
        <v>1</v>
      </c>
      <c r="E4748" s="142">
        <f>25000/4</f>
        <v>6250</v>
      </c>
      <c r="F4748" s="119">
        <f>+D4748*E4748</f>
        <v>6250</v>
      </c>
    </row>
    <row r="4749" spans="1:6" x14ac:dyDescent="0.25">
      <c r="A4749" s="111"/>
      <c r="B4749" s="134" t="s">
        <v>986</v>
      </c>
      <c r="C4749" s="118" t="s">
        <v>948</v>
      </c>
      <c r="D4749" s="159">
        <v>1</v>
      </c>
      <c r="E4749" s="158">
        <f>208000/20</f>
        <v>10400</v>
      </c>
      <c r="F4749" s="119">
        <f>+D4749*E4749</f>
        <v>10400</v>
      </c>
    </row>
    <row r="4750" spans="1:6" x14ac:dyDescent="0.35">
      <c r="A4750" s="111"/>
      <c r="B4750" s="120" t="s">
        <v>987</v>
      </c>
      <c r="C4750" s="118"/>
      <c r="D4750" s="118"/>
      <c r="E4750" s="119"/>
      <c r="F4750" s="119">
        <f>0.1*(F4749+F4748)</f>
        <v>1665</v>
      </c>
    </row>
    <row r="4751" spans="1:6" x14ac:dyDescent="0.35">
      <c r="A4751" s="107"/>
      <c r="B4751" s="108" t="s">
        <v>769</v>
      </c>
      <c r="C4751" s="109"/>
      <c r="D4751" s="124"/>
      <c r="E4751" s="117"/>
      <c r="F4751" s="110">
        <f>SUM(F4748:F4750)</f>
        <v>18315</v>
      </c>
    </row>
    <row r="4752" spans="1:6" x14ac:dyDescent="0.3">
      <c r="A4752" s="111"/>
      <c r="B4752" s="136" t="s">
        <v>808</v>
      </c>
      <c r="C4752" s="115"/>
      <c r="D4752" s="124"/>
      <c r="E4752" s="117"/>
      <c r="F4752" s="110"/>
    </row>
    <row r="4753" spans="1:6" x14ac:dyDescent="0.25">
      <c r="A4753" s="111"/>
      <c r="B4753" s="134" t="s">
        <v>896</v>
      </c>
      <c r="C4753" s="115" t="s">
        <v>772</v>
      </c>
      <c r="D4753" s="124">
        <v>0.75</v>
      </c>
      <c r="E4753" s="117">
        <v>15000</v>
      </c>
      <c r="F4753" s="117">
        <f>+D4753*E4753</f>
        <v>11250</v>
      </c>
    </row>
    <row r="4754" spans="1:6" x14ac:dyDescent="0.3">
      <c r="A4754" s="111"/>
      <c r="B4754" s="136" t="s">
        <v>774</v>
      </c>
      <c r="C4754" s="115"/>
      <c r="D4754" s="124"/>
      <c r="E4754" s="117"/>
      <c r="F4754" s="110">
        <f>SUM(F4753:F4753)</f>
        <v>11250</v>
      </c>
    </row>
    <row r="4755" spans="1:6" x14ac:dyDescent="0.3">
      <c r="A4755" s="111"/>
      <c r="B4755" s="136" t="s">
        <v>775</v>
      </c>
      <c r="C4755" s="115"/>
      <c r="D4755" s="109"/>
      <c r="E4755" s="110"/>
      <c r="F4755" s="110">
        <f>+F4754+F4751</f>
        <v>29565</v>
      </c>
    </row>
    <row r="4756" spans="1:6" x14ac:dyDescent="0.25">
      <c r="A4756" s="111"/>
      <c r="B4756" s="134" t="s">
        <v>792</v>
      </c>
      <c r="C4756" s="115"/>
      <c r="D4756" s="124">
        <v>1.05</v>
      </c>
      <c r="E4756" s="110"/>
      <c r="F4756" s="110">
        <f>+F4755*D4756</f>
        <v>31043.25</v>
      </c>
    </row>
    <row r="4757" spans="1:6" x14ac:dyDescent="0.25">
      <c r="A4757" s="111"/>
      <c r="B4757" s="134" t="s">
        <v>848</v>
      </c>
      <c r="C4757" s="115"/>
      <c r="D4757" s="124">
        <v>1.05</v>
      </c>
      <c r="E4757" s="110"/>
      <c r="F4757" s="110"/>
    </row>
    <row r="4758" spans="1:6" ht="26" x14ac:dyDescent="0.35">
      <c r="A4758" s="264" t="s">
        <v>988</v>
      </c>
      <c r="B4758" s="242" t="s">
        <v>789</v>
      </c>
      <c r="C4758" s="208" t="s">
        <v>35</v>
      </c>
      <c r="D4758" s="208"/>
      <c r="E4758" s="209"/>
      <c r="F4758" s="209">
        <f>+D4757*F4756</f>
        <v>32595.412500000002</v>
      </c>
    </row>
    <row r="4759" spans="1:6" x14ac:dyDescent="0.35">
      <c r="A4759" s="206"/>
      <c r="B4759" s="207"/>
      <c r="C4759" s="208"/>
      <c r="D4759" s="208"/>
      <c r="E4759" s="210">
        <f>+E4740</f>
        <v>3035.45</v>
      </c>
      <c r="F4759" s="210">
        <f>+F4758/E4759</f>
        <v>10.738247212110233</v>
      </c>
    </row>
    <row r="4760" spans="1:6" x14ac:dyDescent="0.35">
      <c r="A4760" s="185"/>
      <c r="B4760" s="186"/>
      <c r="C4760" s="187"/>
      <c r="D4760" s="181"/>
      <c r="E4760" s="189"/>
      <c r="F4760" s="180"/>
    </row>
    <row r="4761" spans="1:6" x14ac:dyDescent="0.35">
      <c r="A4761" s="190"/>
      <c r="B4761" s="191"/>
      <c r="C4761" s="192"/>
      <c r="E4761" s="194"/>
      <c r="F4761" s="182"/>
    </row>
    <row r="4762" spans="1:6" x14ac:dyDescent="0.3">
      <c r="A4762" s="257" t="s">
        <v>335</v>
      </c>
      <c r="B4762" s="258" t="s">
        <v>336</v>
      </c>
      <c r="C4762" s="200" t="s">
        <v>2</v>
      </c>
      <c r="D4762" s="202" t="s">
        <v>765</v>
      </c>
      <c r="E4762" s="203" t="s">
        <v>766</v>
      </c>
      <c r="F4762" s="203" t="s">
        <v>767</v>
      </c>
    </row>
    <row r="4763" spans="1:6" x14ac:dyDescent="0.3">
      <c r="A4763" s="239" t="s">
        <v>341</v>
      </c>
      <c r="B4763" s="235" t="s">
        <v>646</v>
      </c>
      <c r="C4763" s="256" t="s">
        <v>35</v>
      </c>
      <c r="D4763" s="141"/>
      <c r="E4763" s="110"/>
      <c r="F4763" s="110"/>
    </row>
    <row r="4764" spans="1:6" x14ac:dyDescent="0.35">
      <c r="A4764" s="111"/>
      <c r="B4764" s="112" t="s">
        <v>802</v>
      </c>
      <c r="C4764" s="118"/>
      <c r="D4764" s="118"/>
      <c r="E4764" s="119"/>
      <c r="F4764" s="119"/>
    </row>
    <row r="4765" spans="1:6" x14ac:dyDescent="0.35">
      <c r="A4765" s="111"/>
      <c r="B4765" s="120" t="s">
        <v>985</v>
      </c>
      <c r="C4765" s="118" t="s">
        <v>832</v>
      </c>
      <c r="D4765" s="118">
        <v>1</v>
      </c>
      <c r="E4765" s="142">
        <f>25000/4</f>
        <v>6250</v>
      </c>
      <c r="F4765" s="119">
        <f>+D4765*E4765</f>
        <v>6250</v>
      </c>
    </row>
    <row r="4766" spans="1:6" x14ac:dyDescent="0.25">
      <c r="A4766" s="111"/>
      <c r="B4766" s="134" t="s">
        <v>989</v>
      </c>
      <c r="C4766" s="118" t="s">
        <v>948</v>
      </c>
      <c r="D4766" s="159">
        <v>1</v>
      </c>
      <c r="E4766" s="158">
        <f>208000/20</f>
        <v>10400</v>
      </c>
      <c r="F4766" s="119">
        <f>+D4766*E4766</f>
        <v>10400</v>
      </c>
    </row>
    <row r="4767" spans="1:6" x14ac:dyDescent="0.35">
      <c r="A4767" s="111"/>
      <c r="B4767" s="120" t="s">
        <v>987</v>
      </c>
      <c r="C4767" s="118"/>
      <c r="D4767" s="118"/>
      <c r="E4767" s="119"/>
      <c r="F4767" s="119">
        <f>0.1*(F4766+F4765)</f>
        <v>1665</v>
      </c>
    </row>
    <row r="4768" spans="1:6" x14ac:dyDescent="0.35">
      <c r="A4768" s="107"/>
      <c r="B4768" s="108" t="s">
        <v>769</v>
      </c>
      <c r="C4768" s="109"/>
      <c r="D4768" s="124"/>
      <c r="E4768" s="117"/>
      <c r="F4768" s="110">
        <f>SUM(F4765:F4767)</f>
        <v>18315</v>
      </c>
    </row>
    <row r="4769" spans="1:6" x14ac:dyDescent="0.3">
      <c r="A4769" s="111"/>
      <c r="B4769" s="136" t="s">
        <v>808</v>
      </c>
      <c r="C4769" s="115"/>
      <c r="D4769" s="124"/>
      <c r="E4769" s="117"/>
      <c r="F4769" s="110"/>
    </row>
    <row r="4770" spans="1:6" x14ac:dyDescent="0.25">
      <c r="A4770" s="111"/>
      <c r="B4770" s="134" t="s">
        <v>896</v>
      </c>
      <c r="C4770" s="115" t="s">
        <v>772</v>
      </c>
      <c r="D4770" s="124">
        <v>0.75</v>
      </c>
      <c r="E4770" s="117">
        <v>15000</v>
      </c>
      <c r="F4770" s="117">
        <f>+D4770*E4770</f>
        <v>11250</v>
      </c>
    </row>
    <row r="4771" spans="1:6" x14ac:dyDescent="0.3">
      <c r="A4771" s="111"/>
      <c r="B4771" s="136" t="s">
        <v>774</v>
      </c>
      <c r="C4771" s="115"/>
      <c r="D4771" s="124"/>
      <c r="E4771" s="117"/>
      <c r="F4771" s="110">
        <f>SUM(F4770:F4770)</f>
        <v>11250</v>
      </c>
    </row>
    <row r="4772" spans="1:6" x14ac:dyDescent="0.3">
      <c r="A4772" s="111"/>
      <c r="B4772" s="136" t="s">
        <v>775</v>
      </c>
      <c r="C4772" s="115"/>
      <c r="D4772" s="109"/>
      <c r="E4772" s="110"/>
      <c r="F4772" s="110">
        <f>+F4771+F4768</f>
        <v>29565</v>
      </c>
    </row>
    <row r="4773" spans="1:6" x14ac:dyDescent="0.25">
      <c r="A4773" s="111"/>
      <c r="B4773" s="134" t="s">
        <v>824</v>
      </c>
      <c r="C4773" s="115"/>
      <c r="D4773" s="124">
        <v>1.1000000000000001</v>
      </c>
      <c r="E4773" s="110"/>
      <c r="F4773" s="110">
        <f>+F4772*D4773</f>
        <v>32521.500000000004</v>
      </c>
    </row>
    <row r="4774" spans="1:6" x14ac:dyDescent="0.25">
      <c r="A4774" s="111"/>
      <c r="B4774" s="134" t="s">
        <v>813</v>
      </c>
      <c r="C4774" s="115"/>
      <c r="D4774" s="124">
        <v>1.1499999999999999</v>
      </c>
      <c r="E4774" s="110"/>
      <c r="F4774" s="110"/>
    </row>
    <row r="4775" spans="1:6" x14ac:dyDescent="0.35">
      <c r="A4775" s="264" t="s">
        <v>990</v>
      </c>
      <c r="B4775" s="242" t="s">
        <v>789</v>
      </c>
      <c r="C4775" s="208" t="s">
        <v>35</v>
      </c>
      <c r="D4775" s="208"/>
      <c r="E4775" s="209"/>
      <c r="F4775" s="209">
        <f>+D4774*F4773</f>
        <v>37399.724999999999</v>
      </c>
    </row>
    <row r="4776" spans="1:6" x14ac:dyDescent="0.35">
      <c r="A4776" s="206"/>
      <c r="B4776" s="207"/>
      <c r="C4776" s="208"/>
      <c r="D4776" s="208"/>
      <c r="E4776" s="210">
        <f>+E4759</f>
        <v>3035.45</v>
      </c>
      <c r="F4776" s="210">
        <f>+F4775/E4776</f>
        <v>12.320982061967747</v>
      </c>
    </row>
    <row r="4777" spans="1:6" x14ac:dyDescent="0.35">
      <c r="A4777" s="185"/>
      <c r="B4777" s="186"/>
      <c r="C4777" s="187"/>
      <c r="D4777" s="104"/>
      <c r="E4777" s="189"/>
      <c r="F4777" s="180"/>
    </row>
    <row r="4778" spans="1:6" x14ac:dyDescent="0.35">
      <c r="A4778" s="190"/>
      <c r="B4778" s="191"/>
      <c r="C4778" s="192"/>
      <c r="D4778" s="188"/>
      <c r="E4778" s="194"/>
      <c r="F4778" s="182"/>
    </row>
    <row r="4779" spans="1:6" x14ac:dyDescent="0.3">
      <c r="A4779" s="257" t="s">
        <v>343</v>
      </c>
      <c r="B4779" s="258" t="s">
        <v>344</v>
      </c>
      <c r="C4779" s="200" t="s">
        <v>2</v>
      </c>
      <c r="D4779" s="202" t="s">
        <v>765</v>
      </c>
      <c r="E4779" s="203" t="s">
        <v>766</v>
      </c>
      <c r="F4779" s="203" t="s">
        <v>767</v>
      </c>
    </row>
    <row r="4780" spans="1:6" x14ac:dyDescent="0.3">
      <c r="A4780" s="262" t="s">
        <v>345</v>
      </c>
      <c r="B4780" s="254" t="s">
        <v>348</v>
      </c>
      <c r="C4780" s="256" t="s">
        <v>7</v>
      </c>
      <c r="D4780" s="141"/>
      <c r="E4780" s="110"/>
      <c r="F4780" s="110"/>
    </row>
    <row r="4781" spans="1:6" x14ac:dyDescent="0.35">
      <c r="A4781" s="111"/>
      <c r="B4781" s="112" t="s">
        <v>802</v>
      </c>
      <c r="C4781" s="118"/>
      <c r="D4781" s="118"/>
      <c r="E4781" s="119"/>
      <c r="F4781" s="119"/>
    </row>
    <row r="4782" spans="1:6" x14ac:dyDescent="0.35">
      <c r="A4782" s="111"/>
      <c r="B4782" s="120" t="s">
        <v>991</v>
      </c>
      <c r="C4782" s="118" t="s">
        <v>7</v>
      </c>
      <c r="D4782" s="118">
        <v>1</v>
      </c>
      <c r="E4782" s="142">
        <v>3350000</v>
      </c>
      <c r="F4782" s="119">
        <f>+D4782*E4782</f>
        <v>3350000</v>
      </c>
    </row>
    <row r="4783" spans="1:6" x14ac:dyDescent="0.25">
      <c r="A4783" s="111"/>
      <c r="B4783" s="134" t="s">
        <v>992</v>
      </c>
      <c r="C4783" s="118" t="s">
        <v>59</v>
      </c>
      <c r="D4783" s="159">
        <v>1</v>
      </c>
      <c r="E4783" s="158">
        <v>400000</v>
      </c>
      <c r="F4783" s="119">
        <f>+D4783*E4783</f>
        <v>400000</v>
      </c>
    </row>
    <row r="4784" spans="1:6" x14ac:dyDescent="0.35">
      <c r="A4784" s="111"/>
      <c r="B4784" s="120" t="s">
        <v>993</v>
      </c>
      <c r="C4784" s="118"/>
      <c r="D4784" s="118"/>
      <c r="E4784" s="119"/>
      <c r="F4784" s="119">
        <f>0.1*(F4783+F4782)</f>
        <v>375000</v>
      </c>
    </row>
    <row r="4785" spans="1:6" x14ac:dyDescent="0.35">
      <c r="A4785" s="107"/>
      <c r="B4785" s="108" t="s">
        <v>769</v>
      </c>
      <c r="C4785" s="109"/>
      <c r="D4785" s="124"/>
      <c r="E4785" s="117"/>
      <c r="F4785" s="110">
        <f>SUM(F4782:F4784)</f>
        <v>4125000</v>
      </c>
    </row>
    <row r="4786" spans="1:6" x14ac:dyDescent="0.3">
      <c r="A4786" s="111"/>
      <c r="B4786" s="136" t="s">
        <v>808</v>
      </c>
      <c r="C4786" s="115"/>
      <c r="D4786" s="124"/>
      <c r="E4786" s="117"/>
      <c r="F4786" s="110"/>
    </row>
    <row r="4787" spans="1:6" x14ac:dyDescent="0.25">
      <c r="A4787" s="111"/>
      <c r="B4787" s="134" t="s">
        <v>794</v>
      </c>
      <c r="C4787" s="115" t="s">
        <v>772</v>
      </c>
      <c r="D4787" s="124">
        <v>1</v>
      </c>
      <c r="E4787" s="117">
        <v>15000</v>
      </c>
      <c r="F4787" s="117">
        <f>+D4787*E4787</f>
        <v>15000</v>
      </c>
    </row>
    <row r="4788" spans="1:6" x14ac:dyDescent="0.3">
      <c r="A4788" s="111"/>
      <c r="B4788" s="136" t="s">
        <v>774</v>
      </c>
      <c r="C4788" s="115"/>
      <c r="D4788" s="124"/>
      <c r="E4788" s="117"/>
      <c r="F4788" s="110">
        <f>SUM(F4787:F4787)</f>
        <v>15000</v>
      </c>
    </row>
    <row r="4789" spans="1:6" x14ac:dyDescent="0.3">
      <c r="A4789" s="111"/>
      <c r="B4789" s="136" t="s">
        <v>775</v>
      </c>
      <c r="C4789" s="115"/>
      <c r="D4789" s="109"/>
      <c r="E4789" s="110"/>
      <c r="F4789" s="110">
        <f>+F4788+F4785</f>
        <v>4140000</v>
      </c>
    </row>
    <row r="4790" spans="1:6" x14ac:dyDescent="0.25">
      <c r="A4790" s="111"/>
      <c r="B4790" s="134" t="s">
        <v>824</v>
      </c>
      <c r="C4790" s="115"/>
      <c r="D4790" s="124">
        <v>1.1000000000000001</v>
      </c>
      <c r="E4790" s="110"/>
      <c r="F4790" s="110">
        <f>+F4789*D4790</f>
        <v>4554000</v>
      </c>
    </row>
    <row r="4791" spans="1:6" x14ac:dyDescent="0.25">
      <c r="A4791" s="111"/>
      <c r="B4791" s="134" t="s">
        <v>825</v>
      </c>
      <c r="C4791" s="115"/>
      <c r="D4791" s="124">
        <v>1.1000000000000001</v>
      </c>
      <c r="E4791" s="110"/>
      <c r="F4791" s="110"/>
    </row>
    <row r="4792" spans="1:6" x14ac:dyDescent="0.35">
      <c r="A4792" s="264" t="s">
        <v>990</v>
      </c>
      <c r="B4792" s="242" t="s">
        <v>778</v>
      </c>
      <c r="C4792" s="208" t="s">
        <v>7</v>
      </c>
      <c r="D4792" s="208"/>
      <c r="E4792" s="209"/>
      <c r="F4792" s="209">
        <f>+D4791*F4790</f>
        <v>5009400</v>
      </c>
    </row>
    <row r="4793" spans="1:6" x14ac:dyDescent="0.35">
      <c r="A4793" s="206"/>
      <c r="B4793" s="207"/>
      <c r="C4793" s="208"/>
      <c r="D4793" s="208"/>
      <c r="E4793" s="210">
        <f>+E4776</f>
        <v>3035.45</v>
      </c>
      <c r="F4793" s="210">
        <f>+F4792/E4793</f>
        <v>1650.2989672042038</v>
      </c>
    </row>
    <row r="4794" spans="1:6" x14ac:dyDescent="0.35">
      <c r="A4794" s="185"/>
      <c r="B4794" s="186"/>
      <c r="C4794" s="187"/>
      <c r="D4794" s="104"/>
      <c r="E4794" s="189"/>
      <c r="F4794" s="180"/>
    </row>
    <row r="4795" spans="1:6" x14ac:dyDescent="0.35">
      <c r="A4795" s="190"/>
      <c r="B4795" s="191"/>
      <c r="C4795" s="192"/>
      <c r="D4795" s="188"/>
      <c r="E4795" s="194"/>
      <c r="F4795" s="182"/>
    </row>
    <row r="4796" spans="1:6" x14ac:dyDescent="0.3">
      <c r="A4796" s="257" t="s">
        <v>343</v>
      </c>
      <c r="B4796" s="258" t="s">
        <v>344</v>
      </c>
      <c r="C4796" s="200" t="s">
        <v>2</v>
      </c>
      <c r="D4796" s="202" t="s">
        <v>765</v>
      </c>
      <c r="E4796" s="203" t="s">
        <v>766</v>
      </c>
      <c r="F4796" s="203" t="s">
        <v>767</v>
      </c>
    </row>
    <row r="4797" spans="1:6" x14ac:dyDescent="0.3">
      <c r="A4797" s="262" t="s">
        <v>350</v>
      </c>
      <c r="B4797" s="254" t="s">
        <v>349</v>
      </c>
      <c r="C4797" s="256" t="s">
        <v>59</v>
      </c>
      <c r="D4797" s="141"/>
      <c r="E4797" s="110"/>
      <c r="F4797" s="110"/>
    </row>
    <row r="4798" spans="1:6" x14ac:dyDescent="0.35">
      <c r="A4798" s="111"/>
      <c r="B4798" s="112" t="s">
        <v>802</v>
      </c>
      <c r="C4798" s="118"/>
      <c r="D4798" s="118"/>
      <c r="E4798" s="119"/>
      <c r="F4798" s="119"/>
    </row>
    <row r="4799" spans="1:6" x14ac:dyDescent="0.25">
      <c r="A4799" s="111"/>
      <c r="B4799" s="134" t="s">
        <v>994</v>
      </c>
      <c r="C4799" s="315" t="s">
        <v>38</v>
      </c>
      <c r="D4799" s="316">
        <f>0.6*0.6*0.15</f>
        <v>5.3999999999999999E-2</v>
      </c>
      <c r="E4799" s="142">
        <v>130000</v>
      </c>
      <c r="F4799" s="119">
        <f>+D4799*E4799</f>
        <v>7020</v>
      </c>
    </row>
    <row r="4800" spans="1:6" x14ac:dyDescent="0.25">
      <c r="A4800" s="111"/>
      <c r="B4800" s="134" t="s">
        <v>995</v>
      </c>
      <c r="C4800" s="315" t="s">
        <v>35</v>
      </c>
      <c r="D4800" s="317">
        <f>0.6*0.75*0.2*4</f>
        <v>0.36</v>
      </c>
      <c r="E4800" s="158">
        <f>+F1324</f>
        <v>57473.325000000004</v>
      </c>
      <c r="F4800" s="119">
        <f>+D4800*E4800</f>
        <v>20690.397000000001</v>
      </c>
    </row>
    <row r="4801" spans="1:6" x14ac:dyDescent="0.25">
      <c r="A4801" s="111"/>
      <c r="B4801" s="134" t="s">
        <v>985</v>
      </c>
      <c r="C4801" s="315" t="s">
        <v>35</v>
      </c>
      <c r="D4801" s="317">
        <f>0.6*0.75*4</f>
        <v>1.7999999999999998</v>
      </c>
      <c r="E4801" s="142">
        <f>+E4765</f>
        <v>6250</v>
      </c>
      <c r="F4801" s="119">
        <f>+D4801*E4801</f>
        <v>11249.999999999998</v>
      </c>
    </row>
    <row r="4802" spans="1:6" x14ac:dyDescent="0.25">
      <c r="A4802" s="111"/>
      <c r="B4802" s="134" t="s">
        <v>996</v>
      </c>
      <c r="C4802" s="315" t="s">
        <v>27</v>
      </c>
      <c r="D4802" s="318">
        <f>0.6*4</f>
        <v>2.4</v>
      </c>
      <c r="E4802" s="142">
        <f>42000/6</f>
        <v>7000</v>
      </c>
      <c r="F4802" s="119">
        <f>+D4802*E4802</f>
        <v>16800</v>
      </c>
    </row>
    <row r="4803" spans="1:6" x14ac:dyDescent="0.25">
      <c r="A4803" s="111"/>
      <c r="B4803" s="134" t="s">
        <v>997</v>
      </c>
      <c r="C4803" s="315" t="s">
        <v>59</v>
      </c>
      <c r="D4803" s="319">
        <f>0.1*0.6*0.6</f>
        <v>3.5999999999999997E-2</v>
      </c>
      <c r="E4803" s="142">
        <f>+F1163</f>
        <v>1771644</v>
      </c>
      <c r="F4803" s="119">
        <f>+D4803*E4803</f>
        <v>63779.183999999994</v>
      </c>
    </row>
    <row r="4804" spans="1:6" x14ac:dyDescent="0.35">
      <c r="A4804" s="107"/>
      <c r="B4804" s="108" t="s">
        <v>769</v>
      </c>
      <c r="C4804" s="109"/>
      <c r="D4804" s="124"/>
      <c r="E4804" s="117"/>
      <c r="F4804" s="110">
        <f>SUM(F4799:F4801)</f>
        <v>38960.396999999997</v>
      </c>
    </row>
    <row r="4805" spans="1:6" x14ac:dyDescent="0.3">
      <c r="A4805" s="111"/>
      <c r="B4805" s="136" t="s">
        <v>808</v>
      </c>
      <c r="C4805" s="115"/>
      <c r="D4805" s="124"/>
      <c r="E4805" s="117"/>
      <c r="F4805" s="110"/>
    </row>
    <row r="4806" spans="1:6" x14ac:dyDescent="0.25">
      <c r="A4806" s="111"/>
      <c r="B4806" s="134" t="s">
        <v>820</v>
      </c>
      <c r="C4806" s="115" t="s">
        <v>772</v>
      </c>
      <c r="D4806" s="124">
        <v>2.5</v>
      </c>
      <c r="E4806" s="117">
        <v>7500</v>
      </c>
      <c r="F4806" s="110">
        <f>+D4806*E4806</f>
        <v>18750</v>
      </c>
    </row>
    <row r="4807" spans="1:6" x14ac:dyDescent="0.25">
      <c r="A4807" s="111"/>
      <c r="B4807" s="134" t="s">
        <v>821</v>
      </c>
      <c r="C4807" s="115" t="s">
        <v>772</v>
      </c>
      <c r="D4807" s="124">
        <v>2.5</v>
      </c>
      <c r="E4807" s="117">
        <v>7500</v>
      </c>
      <c r="F4807" s="110">
        <f>+D4807*E4807</f>
        <v>18750</v>
      </c>
    </row>
    <row r="4808" spans="1:6" x14ac:dyDescent="0.25">
      <c r="A4808" s="111"/>
      <c r="B4808" s="134" t="s">
        <v>851</v>
      </c>
      <c r="C4808" s="115" t="s">
        <v>772</v>
      </c>
      <c r="D4808" s="124">
        <v>4.5</v>
      </c>
      <c r="E4808" s="117">
        <v>15000</v>
      </c>
      <c r="F4808" s="110">
        <f>+D4808*E4808</f>
        <v>67500</v>
      </c>
    </row>
    <row r="4809" spans="1:6" x14ac:dyDescent="0.3">
      <c r="A4809" s="111"/>
      <c r="B4809" s="136" t="s">
        <v>774</v>
      </c>
      <c r="C4809" s="115"/>
      <c r="D4809" s="124"/>
      <c r="E4809" s="117"/>
      <c r="F4809" s="110">
        <f>SUM(F4806:F4808)</f>
        <v>105000</v>
      </c>
    </row>
    <row r="4810" spans="1:6" x14ac:dyDescent="0.3">
      <c r="A4810" s="111"/>
      <c r="B4810" s="136" t="s">
        <v>775</v>
      </c>
      <c r="C4810" s="115"/>
      <c r="D4810" s="109"/>
      <c r="E4810" s="110"/>
      <c r="F4810" s="110">
        <f>+F4809+F4804</f>
        <v>143960.397</v>
      </c>
    </row>
    <row r="4811" spans="1:6" x14ac:dyDescent="0.25">
      <c r="A4811" s="111"/>
      <c r="B4811" s="134" t="s">
        <v>776</v>
      </c>
      <c r="C4811" s="115"/>
      <c r="D4811" s="124">
        <v>1.25</v>
      </c>
      <c r="E4811" s="110"/>
      <c r="F4811" s="110">
        <f>+F4810*D4811</f>
        <v>179950.49625</v>
      </c>
    </row>
    <row r="4812" spans="1:6" x14ac:dyDescent="0.25">
      <c r="A4812" s="111"/>
      <c r="B4812" s="134" t="s">
        <v>835</v>
      </c>
      <c r="C4812" s="115"/>
      <c r="D4812" s="124">
        <v>1.25</v>
      </c>
      <c r="E4812" s="110"/>
      <c r="F4812" s="110"/>
    </row>
    <row r="4813" spans="1:6" x14ac:dyDescent="0.35">
      <c r="A4813" s="320" t="s">
        <v>350</v>
      </c>
      <c r="B4813" s="242" t="s">
        <v>785</v>
      </c>
      <c r="C4813" s="208" t="s">
        <v>59</v>
      </c>
      <c r="D4813" s="208"/>
      <c r="E4813" s="209"/>
      <c r="F4813" s="209">
        <f>+D4812*F4811</f>
        <v>224938.12031249999</v>
      </c>
    </row>
    <row r="4814" spans="1:6" x14ac:dyDescent="0.35">
      <c r="A4814" s="206"/>
      <c r="B4814" s="207"/>
      <c r="C4814" s="208"/>
      <c r="D4814" s="208"/>
      <c r="E4814" s="210">
        <f>+E4793</f>
        <v>3035.45</v>
      </c>
      <c r="F4814" s="210">
        <f>+F4813/E4814</f>
        <v>74.10371454397206</v>
      </c>
    </row>
    <row r="4815" spans="1:6" x14ac:dyDescent="0.35">
      <c r="A4815" s="185"/>
      <c r="B4815" s="186"/>
      <c r="C4815" s="187"/>
      <c r="D4815" s="104"/>
      <c r="E4815" s="189"/>
      <c r="F4815" s="180"/>
    </row>
    <row r="4816" spans="1:6" x14ac:dyDescent="0.35">
      <c r="A4816" s="190"/>
      <c r="B4816" s="191"/>
      <c r="C4816" s="192"/>
      <c r="D4816" s="188"/>
      <c r="E4816" s="194"/>
      <c r="F4816" s="182"/>
    </row>
    <row r="4817" spans="1:6" x14ac:dyDescent="0.3">
      <c r="A4817" s="257" t="s">
        <v>343</v>
      </c>
      <c r="B4817" s="258" t="s">
        <v>344</v>
      </c>
      <c r="C4817" s="200" t="s">
        <v>2</v>
      </c>
      <c r="D4817" s="202" t="s">
        <v>765</v>
      </c>
      <c r="E4817" s="203" t="s">
        <v>766</v>
      </c>
      <c r="F4817" s="203" t="s">
        <v>767</v>
      </c>
    </row>
    <row r="4818" spans="1:6" x14ac:dyDescent="0.3">
      <c r="A4818" s="237" t="s">
        <v>353</v>
      </c>
      <c r="B4818" s="231" t="s">
        <v>346</v>
      </c>
      <c r="C4818" s="224"/>
      <c r="D4818" s="141"/>
      <c r="E4818" s="110"/>
      <c r="F4818" s="110"/>
    </row>
    <row r="4819" spans="1:6" x14ac:dyDescent="0.3">
      <c r="A4819" s="237" t="s">
        <v>354</v>
      </c>
      <c r="B4819" s="266" t="s">
        <v>351</v>
      </c>
      <c r="C4819" s="224"/>
      <c r="D4819" s="141"/>
      <c r="E4819" s="110"/>
      <c r="F4819" s="110"/>
    </row>
    <row r="4820" spans="1:6" x14ac:dyDescent="0.3">
      <c r="A4820" s="321"/>
      <c r="B4820" s="254" t="s">
        <v>1347</v>
      </c>
      <c r="C4820" s="256" t="s">
        <v>27</v>
      </c>
      <c r="D4820" s="141"/>
      <c r="E4820" s="110"/>
      <c r="F4820" s="110"/>
    </row>
    <row r="4821" spans="1:6" x14ac:dyDescent="0.35">
      <c r="A4821" s="111"/>
      <c r="B4821" s="112" t="s">
        <v>802</v>
      </c>
      <c r="C4821" s="118"/>
      <c r="D4821" s="118"/>
      <c r="E4821" s="119"/>
      <c r="F4821" s="119"/>
    </row>
    <row r="4822" spans="1:6" x14ac:dyDescent="0.25">
      <c r="A4822" s="111"/>
      <c r="B4822" s="134" t="s">
        <v>998</v>
      </c>
      <c r="C4822" s="315" t="s">
        <v>27</v>
      </c>
      <c r="D4822" s="316">
        <v>1</v>
      </c>
      <c r="E4822" s="142">
        <v>34174</v>
      </c>
      <c r="F4822" s="119">
        <f>+D4822*E4822</f>
        <v>34174</v>
      </c>
    </row>
    <row r="4823" spans="1:6" x14ac:dyDescent="0.25">
      <c r="A4823" s="111"/>
      <c r="B4823" s="120" t="s">
        <v>993</v>
      </c>
      <c r="C4823" s="315"/>
      <c r="D4823" s="317"/>
      <c r="E4823" s="158"/>
      <c r="F4823" s="119">
        <f>0.1*F4822</f>
        <v>3417.4</v>
      </c>
    </row>
    <row r="4824" spans="1:6" x14ac:dyDescent="0.35">
      <c r="A4824" s="107"/>
      <c r="B4824" s="108" t="s">
        <v>769</v>
      </c>
      <c r="C4824" s="109"/>
      <c r="D4824" s="124"/>
      <c r="E4824" s="117"/>
      <c r="F4824" s="110">
        <f>SUM(F4822:F4823)</f>
        <v>37591.4</v>
      </c>
    </row>
    <row r="4825" spans="1:6" x14ac:dyDescent="0.3">
      <c r="A4825" s="111"/>
      <c r="B4825" s="136" t="s">
        <v>808</v>
      </c>
      <c r="C4825" s="115"/>
      <c r="D4825" s="124"/>
      <c r="E4825" s="117"/>
      <c r="F4825" s="110"/>
    </row>
    <row r="4826" spans="1:6" x14ac:dyDescent="0.25">
      <c r="A4826" s="111"/>
      <c r="B4826" s="134" t="s">
        <v>821</v>
      </c>
      <c r="C4826" s="115" t="s">
        <v>772</v>
      </c>
      <c r="D4826" s="124">
        <v>0.15</v>
      </c>
      <c r="E4826" s="117">
        <v>7500</v>
      </c>
      <c r="F4826" s="110">
        <f>+D4826*E4826</f>
        <v>1125</v>
      </c>
    </row>
    <row r="4827" spans="1:6" x14ac:dyDescent="0.25">
      <c r="A4827" s="111"/>
      <c r="B4827" s="134" t="s">
        <v>794</v>
      </c>
      <c r="C4827" s="115" t="s">
        <v>772</v>
      </c>
      <c r="D4827" s="124">
        <v>0.25</v>
      </c>
      <c r="E4827" s="117">
        <v>15000</v>
      </c>
      <c r="F4827" s="110">
        <f>+D4827*E4827</f>
        <v>3750</v>
      </c>
    </row>
    <row r="4828" spans="1:6" x14ac:dyDescent="0.3">
      <c r="A4828" s="111"/>
      <c r="B4828" s="136" t="s">
        <v>774</v>
      </c>
      <c r="C4828" s="115"/>
      <c r="D4828" s="124"/>
      <c r="E4828" s="117"/>
      <c r="F4828" s="110">
        <f>SUM(F4826:F4827)</f>
        <v>4875</v>
      </c>
    </row>
    <row r="4829" spans="1:6" x14ac:dyDescent="0.3">
      <c r="A4829" s="111"/>
      <c r="B4829" s="136" t="s">
        <v>775</v>
      </c>
      <c r="C4829" s="115"/>
      <c r="D4829" s="109"/>
      <c r="E4829" s="110"/>
      <c r="F4829" s="110">
        <f>+F4828+F4824</f>
        <v>42466.400000000001</v>
      </c>
    </row>
    <row r="4830" spans="1:6" x14ac:dyDescent="0.25">
      <c r="A4830" s="111"/>
      <c r="B4830" s="134" t="s">
        <v>792</v>
      </c>
      <c r="C4830" s="115"/>
      <c r="D4830" s="124">
        <v>1.05</v>
      </c>
      <c r="E4830" s="110"/>
      <c r="F4830" s="110">
        <f>+F4829*D4830</f>
        <v>44589.72</v>
      </c>
    </row>
    <row r="4831" spans="1:6" x14ac:dyDescent="0.25">
      <c r="A4831" s="111"/>
      <c r="B4831" s="134" t="s">
        <v>825</v>
      </c>
      <c r="C4831" s="115"/>
      <c r="D4831" s="124">
        <v>1.1000000000000001</v>
      </c>
      <c r="E4831" s="110"/>
      <c r="F4831" s="110"/>
    </row>
    <row r="4832" spans="1:6" x14ac:dyDescent="0.35">
      <c r="A4832" s="322" t="s">
        <v>354</v>
      </c>
      <c r="B4832" s="242" t="s">
        <v>784</v>
      </c>
      <c r="C4832" s="208" t="s">
        <v>27</v>
      </c>
      <c r="D4832" s="208"/>
      <c r="E4832" s="209"/>
      <c r="F4832" s="209">
        <f>+D4831*F4830</f>
        <v>49048.692000000003</v>
      </c>
    </row>
    <row r="4833" spans="1:6" x14ac:dyDescent="0.35">
      <c r="A4833" s="206"/>
      <c r="B4833" s="207"/>
      <c r="C4833" s="208"/>
      <c r="D4833" s="208"/>
      <c r="E4833" s="210">
        <f>+E4814</f>
        <v>3035.45</v>
      </c>
      <c r="F4833" s="210">
        <f>+F4832/E4833</f>
        <v>16.158622938938215</v>
      </c>
    </row>
    <row r="4834" spans="1:6" x14ac:dyDescent="0.35">
      <c r="A4834" s="185"/>
      <c r="B4834" s="186"/>
      <c r="C4834" s="187"/>
      <c r="D4834" s="104"/>
      <c r="E4834" s="189"/>
      <c r="F4834" s="180"/>
    </row>
    <row r="4835" spans="1:6" x14ac:dyDescent="0.35">
      <c r="A4835" s="190"/>
      <c r="B4835" s="191"/>
      <c r="C4835" s="192"/>
      <c r="D4835" s="188"/>
      <c r="E4835" s="194"/>
      <c r="F4835" s="182"/>
    </row>
    <row r="4836" spans="1:6" x14ac:dyDescent="0.3">
      <c r="A4836" s="257" t="s">
        <v>343</v>
      </c>
      <c r="B4836" s="258" t="s">
        <v>344</v>
      </c>
      <c r="C4836" s="200" t="s">
        <v>2</v>
      </c>
      <c r="D4836" s="202" t="s">
        <v>765</v>
      </c>
      <c r="E4836" s="203" t="s">
        <v>766</v>
      </c>
      <c r="F4836" s="203" t="s">
        <v>767</v>
      </c>
    </row>
    <row r="4837" spans="1:6" x14ac:dyDescent="0.3">
      <c r="A4837" s="237" t="s">
        <v>353</v>
      </c>
      <c r="B4837" s="231" t="s">
        <v>346</v>
      </c>
      <c r="C4837" s="224"/>
      <c r="D4837" s="141"/>
      <c r="E4837" s="110"/>
      <c r="F4837" s="110"/>
    </row>
    <row r="4838" spans="1:6" x14ac:dyDescent="0.3">
      <c r="A4838" s="237" t="s">
        <v>354</v>
      </c>
      <c r="B4838" s="266" t="s">
        <v>351</v>
      </c>
      <c r="C4838" s="224"/>
      <c r="D4838" s="141"/>
      <c r="E4838" s="110"/>
      <c r="F4838" s="110"/>
    </row>
    <row r="4839" spans="1:6" x14ac:dyDescent="0.3">
      <c r="A4839" s="321"/>
      <c r="B4839" s="254" t="s">
        <v>1346</v>
      </c>
      <c r="C4839" s="256" t="s">
        <v>27</v>
      </c>
      <c r="D4839" s="141"/>
      <c r="E4839" s="110"/>
      <c r="F4839" s="110"/>
    </row>
    <row r="4840" spans="1:6" x14ac:dyDescent="0.35">
      <c r="A4840" s="111"/>
      <c r="B4840" s="112" t="s">
        <v>802</v>
      </c>
      <c r="C4840" s="118"/>
      <c r="D4840" s="118"/>
      <c r="E4840" s="119"/>
      <c r="F4840" s="119"/>
    </row>
    <row r="4841" spans="1:6" x14ac:dyDescent="0.25">
      <c r="A4841" s="111"/>
      <c r="B4841" s="134" t="s">
        <v>999</v>
      </c>
      <c r="C4841" s="315" t="s">
        <v>27</v>
      </c>
      <c r="D4841" s="316">
        <v>1</v>
      </c>
      <c r="E4841" s="142">
        <v>35000</v>
      </c>
      <c r="F4841" s="119">
        <f>+D4841*E4841</f>
        <v>35000</v>
      </c>
    </row>
    <row r="4842" spans="1:6" x14ac:dyDescent="0.25">
      <c r="A4842" s="111"/>
      <c r="B4842" s="120" t="s">
        <v>993</v>
      </c>
      <c r="C4842" s="315"/>
      <c r="D4842" s="317"/>
      <c r="E4842" s="158"/>
      <c r="F4842" s="119">
        <f>0.1*F4841</f>
        <v>3500</v>
      </c>
    </row>
    <row r="4843" spans="1:6" x14ac:dyDescent="0.35">
      <c r="A4843" s="107"/>
      <c r="B4843" s="108" t="s">
        <v>769</v>
      </c>
      <c r="C4843" s="109"/>
      <c r="D4843" s="124"/>
      <c r="E4843" s="117"/>
      <c r="F4843" s="110">
        <f>SUM(F4841:F4842)</f>
        <v>38500</v>
      </c>
    </row>
    <row r="4844" spans="1:6" x14ac:dyDescent="0.3">
      <c r="A4844" s="111"/>
      <c r="B4844" s="136" t="s">
        <v>808</v>
      </c>
      <c r="C4844" s="115"/>
      <c r="D4844" s="124"/>
      <c r="E4844" s="117"/>
      <c r="F4844" s="110"/>
    </row>
    <row r="4845" spans="1:6" x14ac:dyDescent="0.25">
      <c r="A4845" s="111"/>
      <c r="B4845" s="134" t="s">
        <v>821</v>
      </c>
      <c r="C4845" s="115" t="s">
        <v>772</v>
      </c>
      <c r="D4845" s="124">
        <v>0.15</v>
      </c>
      <c r="E4845" s="117">
        <v>7500</v>
      </c>
      <c r="F4845" s="110">
        <f>+D4845*E4845</f>
        <v>1125</v>
      </c>
    </row>
    <row r="4846" spans="1:6" x14ac:dyDescent="0.25">
      <c r="A4846" s="111"/>
      <c r="B4846" s="134" t="s">
        <v>794</v>
      </c>
      <c r="C4846" s="115" t="s">
        <v>772</v>
      </c>
      <c r="D4846" s="124">
        <v>0.25</v>
      </c>
      <c r="E4846" s="117">
        <v>15000</v>
      </c>
      <c r="F4846" s="110">
        <f>+D4846*E4846</f>
        <v>3750</v>
      </c>
    </row>
    <row r="4847" spans="1:6" x14ac:dyDescent="0.3">
      <c r="A4847" s="111"/>
      <c r="B4847" s="136" t="s">
        <v>774</v>
      </c>
      <c r="C4847" s="115"/>
      <c r="D4847" s="124"/>
      <c r="E4847" s="117"/>
      <c r="F4847" s="110">
        <f>SUM(F4845:F4846)</f>
        <v>4875</v>
      </c>
    </row>
    <row r="4848" spans="1:6" x14ac:dyDescent="0.3">
      <c r="A4848" s="111"/>
      <c r="B4848" s="136" t="s">
        <v>775</v>
      </c>
      <c r="C4848" s="115"/>
      <c r="D4848" s="109"/>
      <c r="E4848" s="110"/>
      <c r="F4848" s="110">
        <f>+F4847+F4843</f>
        <v>43375</v>
      </c>
    </row>
    <row r="4849" spans="1:8" x14ac:dyDescent="0.25">
      <c r="A4849" s="111"/>
      <c r="B4849" s="134" t="s">
        <v>936</v>
      </c>
      <c r="C4849" s="115"/>
      <c r="D4849" s="124">
        <v>1.2</v>
      </c>
      <c r="E4849" s="110"/>
      <c r="F4849" s="110">
        <f>+F4848*D4849</f>
        <v>52050</v>
      </c>
    </row>
    <row r="4850" spans="1:8" x14ac:dyDescent="0.25">
      <c r="A4850" s="111"/>
      <c r="B4850" s="134" t="s">
        <v>835</v>
      </c>
      <c r="C4850" s="115"/>
      <c r="D4850" s="124">
        <v>1.25</v>
      </c>
      <c r="E4850" s="110"/>
      <c r="F4850" s="110"/>
    </row>
    <row r="4851" spans="1:8" x14ac:dyDescent="0.35">
      <c r="A4851" s="322" t="s">
        <v>354</v>
      </c>
      <c r="B4851" s="242" t="s">
        <v>784</v>
      </c>
      <c r="C4851" s="208" t="s">
        <v>27</v>
      </c>
      <c r="D4851" s="208"/>
      <c r="E4851" s="209"/>
      <c r="F4851" s="209">
        <f>+D4850*F4849</f>
        <v>65062.5</v>
      </c>
    </row>
    <row r="4852" spans="1:8" x14ac:dyDescent="0.35">
      <c r="A4852" s="206"/>
      <c r="B4852" s="207"/>
      <c r="C4852" s="208"/>
      <c r="D4852" s="208"/>
      <c r="E4852" s="210">
        <f>+E4833</f>
        <v>3035.45</v>
      </c>
      <c r="F4852" s="210">
        <f>+F4851/E4852</f>
        <v>21.43421897906406</v>
      </c>
    </row>
    <row r="4853" spans="1:8" x14ac:dyDescent="0.35">
      <c r="A4853" s="185"/>
      <c r="B4853" s="186"/>
      <c r="C4853" s="187"/>
      <c r="D4853" s="181"/>
      <c r="E4853" s="189"/>
      <c r="F4853" s="180"/>
    </row>
    <row r="4854" spans="1:8" x14ac:dyDescent="0.35">
      <c r="A4854" s="190"/>
      <c r="B4854" s="191"/>
      <c r="C4854" s="192"/>
      <c r="D4854" s="193"/>
      <c r="E4854" s="194"/>
      <c r="F4854" s="182"/>
    </row>
    <row r="4855" spans="1:8" x14ac:dyDescent="0.3">
      <c r="A4855" s="311" t="s">
        <v>360</v>
      </c>
      <c r="B4855" s="312" t="s">
        <v>1000</v>
      </c>
      <c r="C4855" s="200" t="s">
        <v>2</v>
      </c>
      <c r="D4855" s="202" t="s">
        <v>765</v>
      </c>
      <c r="E4855" s="203" t="s">
        <v>766</v>
      </c>
      <c r="F4855" s="203" t="s">
        <v>767</v>
      </c>
    </row>
    <row r="4856" spans="1:8" x14ac:dyDescent="0.35">
      <c r="A4856" s="239" t="s">
        <v>362</v>
      </c>
      <c r="B4856" s="323" t="s">
        <v>355</v>
      </c>
      <c r="C4856" s="256" t="s">
        <v>27</v>
      </c>
      <c r="D4856" s="141"/>
      <c r="E4856" s="110"/>
      <c r="F4856" s="110"/>
    </row>
    <row r="4857" spans="1:8" s="139" customFormat="1" x14ac:dyDescent="0.35">
      <c r="A4857" s="109"/>
      <c r="B4857" s="108" t="s">
        <v>802</v>
      </c>
      <c r="C4857" s="156"/>
      <c r="D4857" s="156"/>
      <c r="E4857" s="147"/>
      <c r="F4857" s="147"/>
      <c r="G4857" s="138"/>
      <c r="H4857" s="177"/>
    </row>
    <row r="4858" spans="1:8" s="139" customFormat="1" x14ac:dyDescent="0.25">
      <c r="A4858" s="109"/>
      <c r="B4858" s="324" t="s">
        <v>1001</v>
      </c>
      <c r="C4858" s="325" t="s">
        <v>27</v>
      </c>
      <c r="D4858" s="326">
        <v>1</v>
      </c>
      <c r="E4858" s="150">
        <f>580000/3</f>
        <v>193333.33333333334</v>
      </c>
      <c r="F4858" s="147">
        <f>+D4858*E4858</f>
        <v>193333.33333333334</v>
      </c>
      <c r="G4858" s="138"/>
      <c r="H4858" s="177"/>
    </row>
    <row r="4859" spans="1:8" s="139" customFormat="1" x14ac:dyDescent="0.25">
      <c r="A4859" s="109"/>
      <c r="B4859" s="123" t="s">
        <v>993</v>
      </c>
      <c r="C4859" s="325"/>
      <c r="D4859" s="327"/>
      <c r="E4859" s="160"/>
      <c r="F4859" s="147">
        <f>0.1*F4858</f>
        <v>19333.333333333336</v>
      </c>
      <c r="G4859" s="138"/>
      <c r="H4859" s="177"/>
    </row>
    <row r="4860" spans="1:8" s="139" customFormat="1" x14ac:dyDescent="0.35">
      <c r="A4860" s="107"/>
      <c r="B4860" s="108" t="s">
        <v>769</v>
      </c>
      <c r="C4860" s="109"/>
      <c r="D4860" s="124"/>
      <c r="E4860" s="117"/>
      <c r="F4860" s="110">
        <f>SUM(F4858:F4859)</f>
        <v>212666.66666666669</v>
      </c>
      <c r="G4860" s="138"/>
      <c r="H4860" s="177"/>
    </row>
    <row r="4861" spans="1:8" s="139" customFormat="1" x14ac:dyDescent="0.3">
      <c r="A4861" s="109"/>
      <c r="B4861" s="148" t="s">
        <v>808</v>
      </c>
      <c r="C4861" s="124"/>
      <c r="D4861" s="124"/>
      <c r="E4861" s="117"/>
      <c r="F4861" s="110"/>
      <c r="G4861" s="138"/>
      <c r="H4861" s="177"/>
    </row>
    <row r="4862" spans="1:8" s="139" customFormat="1" x14ac:dyDescent="0.25">
      <c r="A4862" s="109"/>
      <c r="B4862" s="149" t="s">
        <v>821</v>
      </c>
      <c r="C4862" s="124" t="s">
        <v>772</v>
      </c>
      <c r="D4862" s="124">
        <v>0.1</v>
      </c>
      <c r="E4862" s="117">
        <v>7500</v>
      </c>
      <c r="F4862" s="110">
        <f>+D4862*E4862</f>
        <v>750</v>
      </c>
      <c r="G4862" s="138"/>
      <c r="H4862" s="177"/>
    </row>
    <row r="4863" spans="1:8" s="139" customFormat="1" x14ac:dyDescent="0.25">
      <c r="A4863" s="109"/>
      <c r="B4863" s="149" t="s">
        <v>794</v>
      </c>
      <c r="C4863" s="124" t="s">
        <v>772</v>
      </c>
      <c r="D4863" s="124">
        <v>0.15</v>
      </c>
      <c r="E4863" s="117">
        <v>15000</v>
      </c>
      <c r="F4863" s="110">
        <f>+D4863*E4863</f>
        <v>2250</v>
      </c>
      <c r="G4863" s="138"/>
      <c r="H4863" s="177"/>
    </row>
    <row r="4864" spans="1:8" s="139" customFormat="1" x14ac:dyDescent="0.3">
      <c r="A4864" s="109"/>
      <c r="B4864" s="148" t="s">
        <v>774</v>
      </c>
      <c r="C4864" s="124"/>
      <c r="D4864" s="124"/>
      <c r="E4864" s="117"/>
      <c r="F4864" s="110">
        <f>SUM(F4862:F4863)</f>
        <v>3000</v>
      </c>
      <c r="G4864" s="138"/>
      <c r="H4864" s="177"/>
    </row>
    <row r="4865" spans="1:8" s="139" customFormat="1" x14ac:dyDescent="0.3">
      <c r="A4865" s="109"/>
      <c r="B4865" s="148" t="s">
        <v>775</v>
      </c>
      <c r="C4865" s="124"/>
      <c r="D4865" s="109"/>
      <c r="E4865" s="110"/>
      <c r="F4865" s="110">
        <f>+F4864+F4860</f>
        <v>215666.66666666669</v>
      </c>
      <c r="G4865" s="138"/>
      <c r="H4865" s="177"/>
    </row>
    <row r="4866" spans="1:8" x14ac:dyDescent="0.25">
      <c r="A4866" s="111"/>
      <c r="B4866" s="134" t="s">
        <v>792</v>
      </c>
      <c r="C4866" s="115"/>
      <c r="D4866" s="124">
        <v>1.05</v>
      </c>
      <c r="E4866" s="110"/>
      <c r="F4866" s="110">
        <f>+F4865*D4866</f>
        <v>226450.00000000003</v>
      </c>
    </row>
    <row r="4867" spans="1:8" x14ac:dyDescent="0.25">
      <c r="A4867" s="111"/>
      <c r="B4867" s="134" t="s">
        <v>825</v>
      </c>
      <c r="C4867" s="115"/>
      <c r="D4867" s="124">
        <v>1.1000000000000001</v>
      </c>
      <c r="E4867" s="110"/>
      <c r="F4867" s="110"/>
    </row>
    <row r="4868" spans="1:8" x14ac:dyDescent="0.35">
      <c r="A4868" s="261" t="s">
        <v>362</v>
      </c>
      <c r="B4868" s="242" t="s">
        <v>784</v>
      </c>
      <c r="C4868" s="208" t="s">
        <v>27</v>
      </c>
      <c r="D4868" s="208"/>
      <c r="E4868" s="209"/>
      <c r="F4868" s="209">
        <f>+D4867*F4866</f>
        <v>249095.00000000006</v>
      </c>
    </row>
    <row r="4869" spans="1:8" x14ac:dyDescent="0.35">
      <c r="A4869" s="206"/>
      <c r="B4869" s="207"/>
      <c r="C4869" s="208"/>
      <c r="D4869" s="208"/>
      <c r="E4869" s="210">
        <f>+E4852</f>
        <v>3035.45</v>
      </c>
      <c r="F4869" s="210">
        <f>+F4868/E4869</f>
        <v>82.061967747780415</v>
      </c>
    </row>
    <row r="4870" spans="1:8" x14ac:dyDescent="0.35">
      <c r="A4870" s="185"/>
      <c r="B4870" s="186"/>
      <c r="C4870" s="187"/>
      <c r="D4870" s="181"/>
      <c r="E4870" s="189"/>
      <c r="F4870" s="180"/>
    </row>
    <row r="4871" spans="1:8" x14ac:dyDescent="0.35">
      <c r="A4871" s="190"/>
      <c r="B4871" s="191"/>
      <c r="C4871" s="192"/>
      <c r="D4871" s="193"/>
      <c r="E4871" s="194"/>
      <c r="F4871" s="182"/>
    </row>
    <row r="4872" spans="1:8" x14ac:dyDescent="0.3">
      <c r="A4872" s="311" t="s">
        <v>360</v>
      </c>
      <c r="B4872" s="312" t="s">
        <v>1000</v>
      </c>
      <c r="C4872" s="200" t="s">
        <v>2</v>
      </c>
      <c r="D4872" s="202" t="s">
        <v>765</v>
      </c>
      <c r="E4872" s="203" t="s">
        <v>766</v>
      </c>
      <c r="F4872" s="203" t="s">
        <v>767</v>
      </c>
    </row>
    <row r="4873" spans="1:8" x14ac:dyDescent="0.35">
      <c r="A4873" s="239" t="s">
        <v>364</v>
      </c>
      <c r="B4873" s="323" t="s">
        <v>356</v>
      </c>
      <c r="C4873" s="256" t="s">
        <v>27</v>
      </c>
      <c r="D4873" s="141"/>
      <c r="E4873" s="110"/>
      <c r="F4873" s="110"/>
    </row>
    <row r="4874" spans="1:8" x14ac:dyDescent="0.35">
      <c r="A4874" s="109"/>
      <c r="B4874" s="108" t="s">
        <v>802</v>
      </c>
      <c r="C4874" s="156"/>
      <c r="D4874" s="156"/>
      <c r="E4874" s="147"/>
      <c r="F4874" s="147"/>
    </row>
    <row r="4875" spans="1:8" x14ac:dyDescent="0.25">
      <c r="A4875" s="109"/>
      <c r="B4875" s="324" t="s">
        <v>1002</v>
      </c>
      <c r="C4875" s="325" t="s">
        <v>27</v>
      </c>
      <c r="D4875" s="326">
        <v>1</v>
      </c>
      <c r="E4875" s="150">
        <f>380000/3</f>
        <v>126666.66666666667</v>
      </c>
      <c r="F4875" s="147">
        <f>+D4875*E4875</f>
        <v>126666.66666666667</v>
      </c>
    </row>
    <row r="4876" spans="1:8" x14ac:dyDescent="0.25">
      <c r="A4876" s="109"/>
      <c r="B4876" s="123" t="s">
        <v>993</v>
      </c>
      <c r="C4876" s="325"/>
      <c r="D4876" s="327"/>
      <c r="E4876" s="160"/>
      <c r="F4876" s="147">
        <f>0.1*F4875</f>
        <v>12666.666666666668</v>
      </c>
    </row>
    <row r="4877" spans="1:8" x14ac:dyDescent="0.35">
      <c r="A4877" s="107"/>
      <c r="B4877" s="108" t="s">
        <v>769</v>
      </c>
      <c r="C4877" s="109"/>
      <c r="D4877" s="124"/>
      <c r="E4877" s="117"/>
      <c r="F4877" s="110">
        <f>SUM(F4875:F4876)</f>
        <v>139333.33333333334</v>
      </c>
    </row>
    <row r="4878" spans="1:8" x14ac:dyDescent="0.3">
      <c r="A4878" s="109"/>
      <c r="B4878" s="148" t="s">
        <v>808</v>
      </c>
      <c r="C4878" s="124"/>
      <c r="D4878" s="124"/>
      <c r="E4878" s="117"/>
      <c r="F4878" s="110"/>
    </row>
    <row r="4879" spans="1:8" x14ac:dyDescent="0.25">
      <c r="A4879" s="109"/>
      <c r="B4879" s="149" t="s">
        <v>821</v>
      </c>
      <c r="C4879" s="124" t="s">
        <v>772</v>
      </c>
      <c r="D4879" s="124">
        <v>0.1</v>
      </c>
      <c r="E4879" s="117">
        <v>7500</v>
      </c>
      <c r="F4879" s="110">
        <f>+D4879*E4879</f>
        <v>750</v>
      </c>
    </row>
    <row r="4880" spans="1:8" x14ac:dyDescent="0.25">
      <c r="A4880" s="109"/>
      <c r="B4880" s="149" t="s">
        <v>794</v>
      </c>
      <c r="C4880" s="124" t="s">
        <v>772</v>
      </c>
      <c r="D4880" s="124">
        <v>0.15</v>
      </c>
      <c r="E4880" s="117">
        <v>15000</v>
      </c>
      <c r="F4880" s="110">
        <f>+D4880*E4880</f>
        <v>2250</v>
      </c>
    </row>
    <row r="4881" spans="1:8" x14ac:dyDescent="0.3">
      <c r="A4881" s="109"/>
      <c r="B4881" s="148" t="s">
        <v>774</v>
      </c>
      <c r="C4881" s="124"/>
      <c r="D4881" s="124"/>
      <c r="E4881" s="117"/>
      <c r="F4881" s="110">
        <f>SUM(F4879:F4880)</f>
        <v>3000</v>
      </c>
    </row>
    <row r="4882" spans="1:8" x14ac:dyDescent="0.3">
      <c r="A4882" s="109"/>
      <c r="B4882" s="148" t="s">
        <v>775</v>
      </c>
      <c r="C4882" s="124"/>
      <c r="D4882" s="109"/>
      <c r="E4882" s="110"/>
      <c r="F4882" s="110">
        <f>+F4881+F4877</f>
        <v>142333.33333333334</v>
      </c>
    </row>
    <row r="4883" spans="1:8" x14ac:dyDescent="0.25">
      <c r="A4883" s="111"/>
      <c r="B4883" s="134" t="s">
        <v>792</v>
      </c>
      <c r="C4883" s="115"/>
      <c r="D4883" s="124">
        <v>1.05</v>
      </c>
      <c r="E4883" s="110"/>
      <c r="F4883" s="110">
        <f>+F4882*D4883</f>
        <v>149450.00000000003</v>
      </c>
    </row>
    <row r="4884" spans="1:8" x14ac:dyDescent="0.25">
      <c r="A4884" s="111"/>
      <c r="B4884" s="134" t="s">
        <v>825</v>
      </c>
      <c r="C4884" s="115"/>
      <c r="D4884" s="124">
        <v>1.1000000000000001</v>
      </c>
      <c r="E4884" s="110"/>
      <c r="F4884" s="110"/>
    </row>
    <row r="4885" spans="1:8" x14ac:dyDescent="0.35">
      <c r="A4885" s="261" t="s">
        <v>364</v>
      </c>
      <c r="B4885" s="242" t="s">
        <v>784</v>
      </c>
      <c r="C4885" s="208" t="s">
        <v>27</v>
      </c>
      <c r="D4885" s="208"/>
      <c r="E4885" s="209"/>
      <c r="F4885" s="209">
        <f>+D4884*F4883</f>
        <v>164395.00000000006</v>
      </c>
    </row>
    <row r="4886" spans="1:8" x14ac:dyDescent="0.35">
      <c r="A4886" s="206"/>
      <c r="B4886" s="207"/>
      <c r="C4886" s="208"/>
      <c r="D4886" s="208"/>
      <c r="E4886" s="210">
        <f>+E4869</f>
        <v>3035.45</v>
      </c>
      <c r="F4886" s="210">
        <f>+F4885/E4886</f>
        <v>54.158362022105479</v>
      </c>
    </row>
    <row r="4887" spans="1:8" x14ac:dyDescent="0.35">
      <c r="A4887" s="185"/>
      <c r="B4887" s="186"/>
      <c r="C4887" s="187"/>
      <c r="D4887" s="104"/>
      <c r="E4887" s="189"/>
      <c r="F4887" s="180"/>
    </row>
    <row r="4888" spans="1:8" x14ac:dyDescent="0.35">
      <c r="A4888" s="190"/>
      <c r="B4888" s="191"/>
      <c r="C4888" s="192"/>
      <c r="D4888" s="193"/>
      <c r="E4888" s="194"/>
      <c r="F4888" s="182"/>
    </row>
    <row r="4889" spans="1:8" x14ac:dyDescent="0.3">
      <c r="A4889" s="311" t="s">
        <v>360</v>
      </c>
      <c r="B4889" s="312" t="s">
        <v>1000</v>
      </c>
      <c r="C4889" s="200" t="s">
        <v>2</v>
      </c>
      <c r="D4889" s="202" t="s">
        <v>765</v>
      </c>
      <c r="E4889" s="203" t="s">
        <v>766</v>
      </c>
      <c r="F4889" s="203" t="s">
        <v>767</v>
      </c>
    </row>
    <row r="4890" spans="1:8" x14ac:dyDescent="0.35">
      <c r="A4890" s="239" t="s">
        <v>366</v>
      </c>
      <c r="B4890" s="323" t="s">
        <v>357</v>
      </c>
      <c r="C4890" s="256" t="s">
        <v>27</v>
      </c>
      <c r="D4890" s="141"/>
      <c r="E4890" s="110"/>
      <c r="F4890" s="110"/>
    </row>
    <row r="4891" spans="1:8" x14ac:dyDescent="0.35">
      <c r="A4891" s="109"/>
      <c r="B4891" s="108" t="s">
        <v>802</v>
      </c>
      <c r="C4891" s="156"/>
      <c r="D4891" s="156"/>
      <c r="E4891" s="147"/>
      <c r="F4891" s="147"/>
    </row>
    <row r="4892" spans="1:8" s="139" customFormat="1" x14ac:dyDescent="0.25">
      <c r="A4892" s="109"/>
      <c r="B4892" s="324" t="s">
        <v>1003</v>
      </c>
      <c r="C4892" s="325" t="s">
        <v>27</v>
      </c>
      <c r="D4892" s="326">
        <v>1</v>
      </c>
      <c r="E4892" s="150">
        <f>580000/3</f>
        <v>193333.33333333334</v>
      </c>
      <c r="F4892" s="147">
        <f>+D4892*E4892</f>
        <v>193333.33333333334</v>
      </c>
      <c r="G4892" s="138"/>
      <c r="H4892" s="177"/>
    </row>
    <row r="4893" spans="1:8" x14ac:dyDescent="0.25">
      <c r="A4893" s="109"/>
      <c r="B4893" s="123" t="s">
        <v>993</v>
      </c>
      <c r="C4893" s="325"/>
      <c r="D4893" s="327"/>
      <c r="E4893" s="160"/>
      <c r="F4893" s="147">
        <f>0.1*F4892</f>
        <v>19333.333333333336</v>
      </c>
    </row>
    <row r="4894" spans="1:8" x14ac:dyDescent="0.35">
      <c r="A4894" s="107"/>
      <c r="B4894" s="108" t="s">
        <v>769</v>
      </c>
      <c r="C4894" s="109"/>
      <c r="D4894" s="124"/>
      <c r="E4894" s="117"/>
      <c r="F4894" s="110">
        <f>SUM(F4892:F4893)</f>
        <v>212666.66666666669</v>
      </c>
    </row>
    <row r="4895" spans="1:8" x14ac:dyDescent="0.3">
      <c r="A4895" s="109"/>
      <c r="B4895" s="148" t="s">
        <v>808</v>
      </c>
      <c r="C4895" s="124"/>
      <c r="D4895" s="124"/>
      <c r="E4895" s="117"/>
      <c r="F4895" s="110"/>
    </row>
    <row r="4896" spans="1:8" x14ac:dyDescent="0.25">
      <c r="A4896" s="109"/>
      <c r="B4896" s="149" t="s">
        <v>821</v>
      </c>
      <c r="C4896" s="124" t="s">
        <v>772</v>
      </c>
      <c r="D4896" s="124">
        <v>0.1</v>
      </c>
      <c r="E4896" s="117">
        <v>7500</v>
      </c>
      <c r="F4896" s="110">
        <f>+D4896*E4896</f>
        <v>750</v>
      </c>
    </row>
    <row r="4897" spans="1:8" x14ac:dyDescent="0.25">
      <c r="A4897" s="109"/>
      <c r="B4897" s="149" t="s">
        <v>794</v>
      </c>
      <c r="C4897" s="124" t="s">
        <v>772</v>
      </c>
      <c r="D4897" s="124">
        <v>0.15</v>
      </c>
      <c r="E4897" s="117">
        <v>15000</v>
      </c>
      <c r="F4897" s="110">
        <f>+D4897*E4897</f>
        <v>2250</v>
      </c>
    </row>
    <row r="4898" spans="1:8" x14ac:dyDescent="0.3">
      <c r="A4898" s="109"/>
      <c r="B4898" s="148" t="s">
        <v>774</v>
      </c>
      <c r="C4898" s="124"/>
      <c r="D4898" s="124"/>
      <c r="E4898" s="117"/>
      <c r="F4898" s="110">
        <f>SUM(F4896:F4897)</f>
        <v>3000</v>
      </c>
    </row>
    <row r="4899" spans="1:8" x14ac:dyDescent="0.3">
      <c r="A4899" s="109"/>
      <c r="B4899" s="148" t="s">
        <v>775</v>
      </c>
      <c r="C4899" s="124"/>
      <c r="D4899" s="109"/>
      <c r="E4899" s="110"/>
      <c r="F4899" s="110">
        <f>+F4898+F4894</f>
        <v>215666.66666666669</v>
      </c>
    </row>
    <row r="4900" spans="1:8" x14ac:dyDescent="0.25">
      <c r="A4900" s="111"/>
      <c r="B4900" s="134" t="s">
        <v>792</v>
      </c>
      <c r="C4900" s="115"/>
      <c r="D4900" s="124">
        <v>1.05</v>
      </c>
      <c r="E4900" s="110"/>
      <c r="F4900" s="110">
        <f>+F4899*D4900</f>
        <v>226450.00000000003</v>
      </c>
    </row>
    <row r="4901" spans="1:8" x14ac:dyDescent="0.25">
      <c r="A4901" s="111"/>
      <c r="B4901" s="134" t="s">
        <v>825</v>
      </c>
      <c r="C4901" s="115"/>
      <c r="D4901" s="124">
        <v>1.1000000000000001</v>
      </c>
      <c r="E4901" s="110"/>
      <c r="F4901" s="110"/>
    </row>
    <row r="4902" spans="1:8" x14ac:dyDescent="0.35">
      <c r="A4902" s="261" t="s">
        <v>366</v>
      </c>
      <c r="B4902" s="242" t="s">
        <v>784</v>
      </c>
      <c r="C4902" s="208" t="s">
        <v>27</v>
      </c>
      <c r="D4902" s="208"/>
      <c r="E4902" s="209"/>
      <c r="F4902" s="209">
        <f>+D4901*F4900</f>
        <v>249095.00000000006</v>
      </c>
    </row>
    <row r="4903" spans="1:8" x14ac:dyDescent="0.35">
      <c r="A4903" s="206"/>
      <c r="B4903" s="207"/>
      <c r="C4903" s="208"/>
      <c r="D4903" s="245"/>
      <c r="E4903" s="210">
        <f>+E4886</f>
        <v>3035.45</v>
      </c>
      <c r="F4903" s="210">
        <f>+F4902/E4903</f>
        <v>82.061967747780415</v>
      </c>
    </row>
    <row r="4904" spans="1:8" x14ac:dyDescent="0.35">
      <c r="A4904" s="126"/>
      <c r="B4904" s="127"/>
      <c r="C4904" s="128"/>
      <c r="D4904" s="181"/>
      <c r="E4904" s="176"/>
      <c r="F4904" s="176"/>
    </row>
    <row r="4905" spans="1:8" x14ac:dyDescent="0.35">
      <c r="A4905" s="130"/>
      <c r="B4905" s="131"/>
      <c r="C4905" s="132"/>
      <c r="D4905" s="132"/>
      <c r="E4905" s="179"/>
      <c r="F4905" s="179"/>
    </row>
    <row r="4906" spans="1:8" x14ac:dyDescent="0.3">
      <c r="A4906" s="311" t="s">
        <v>360</v>
      </c>
      <c r="B4906" s="312" t="s">
        <v>1000</v>
      </c>
      <c r="C4906" s="200" t="s">
        <v>2</v>
      </c>
      <c r="D4906" s="202" t="s">
        <v>765</v>
      </c>
      <c r="E4906" s="203" t="s">
        <v>766</v>
      </c>
      <c r="F4906" s="203" t="s">
        <v>767</v>
      </c>
    </row>
    <row r="4907" spans="1:8" x14ac:dyDescent="0.35">
      <c r="A4907" s="239" t="s">
        <v>368</v>
      </c>
      <c r="B4907" s="323" t="s">
        <v>358</v>
      </c>
      <c r="C4907" s="256" t="s">
        <v>27</v>
      </c>
      <c r="D4907" s="141"/>
      <c r="E4907" s="110"/>
      <c r="F4907" s="110"/>
    </row>
    <row r="4908" spans="1:8" x14ac:dyDescent="0.35">
      <c r="A4908" s="109"/>
      <c r="B4908" s="108" t="s">
        <v>802</v>
      </c>
      <c r="C4908" s="156"/>
      <c r="D4908" s="156"/>
      <c r="E4908" s="147"/>
      <c r="F4908" s="147"/>
    </row>
    <row r="4909" spans="1:8" s="139" customFormat="1" x14ac:dyDescent="0.25">
      <c r="A4909" s="109"/>
      <c r="B4909" s="324" t="s">
        <v>1004</v>
      </c>
      <c r="C4909" s="325" t="s">
        <v>27</v>
      </c>
      <c r="D4909" s="326">
        <v>1</v>
      </c>
      <c r="E4909" s="150">
        <f>520000/3</f>
        <v>173333.33333333334</v>
      </c>
      <c r="F4909" s="147">
        <f>+D4909*E4909</f>
        <v>173333.33333333334</v>
      </c>
      <c r="G4909" s="138"/>
      <c r="H4909" s="177"/>
    </row>
    <row r="4910" spans="1:8" x14ac:dyDescent="0.25">
      <c r="A4910" s="109"/>
      <c r="B4910" s="123" t="s">
        <v>993</v>
      </c>
      <c r="C4910" s="325"/>
      <c r="D4910" s="327"/>
      <c r="E4910" s="160"/>
      <c r="F4910" s="147">
        <f>0.1*F4909</f>
        <v>17333.333333333336</v>
      </c>
    </row>
    <row r="4911" spans="1:8" x14ac:dyDescent="0.35">
      <c r="A4911" s="107"/>
      <c r="B4911" s="108" t="s">
        <v>769</v>
      </c>
      <c r="C4911" s="109"/>
      <c r="D4911" s="124"/>
      <c r="E4911" s="117"/>
      <c r="F4911" s="110">
        <f>SUM(F4909:F4910)</f>
        <v>190666.66666666669</v>
      </c>
    </row>
    <row r="4912" spans="1:8" x14ac:dyDescent="0.3">
      <c r="A4912" s="109"/>
      <c r="B4912" s="148" t="s">
        <v>808</v>
      </c>
      <c r="C4912" s="124"/>
      <c r="D4912" s="124"/>
      <c r="E4912" s="117"/>
      <c r="F4912" s="110"/>
    </row>
    <row r="4913" spans="1:6" x14ac:dyDescent="0.25">
      <c r="A4913" s="109"/>
      <c r="B4913" s="149" t="s">
        <v>821</v>
      </c>
      <c r="C4913" s="124" t="s">
        <v>772</v>
      </c>
      <c r="D4913" s="124">
        <v>0.1</v>
      </c>
      <c r="E4913" s="117">
        <v>7500</v>
      </c>
      <c r="F4913" s="110">
        <f>+D4913*E4913</f>
        <v>750</v>
      </c>
    </row>
    <row r="4914" spans="1:6" x14ac:dyDescent="0.25">
      <c r="A4914" s="109"/>
      <c r="B4914" s="149" t="s">
        <v>794</v>
      </c>
      <c r="C4914" s="124" t="s">
        <v>772</v>
      </c>
      <c r="D4914" s="124">
        <v>0.15</v>
      </c>
      <c r="E4914" s="117">
        <v>15000</v>
      </c>
      <c r="F4914" s="110">
        <f>+D4914*E4914</f>
        <v>2250</v>
      </c>
    </row>
    <row r="4915" spans="1:6" x14ac:dyDescent="0.3">
      <c r="A4915" s="109"/>
      <c r="B4915" s="148" t="s">
        <v>774</v>
      </c>
      <c r="C4915" s="124"/>
      <c r="D4915" s="124"/>
      <c r="E4915" s="117"/>
      <c r="F4915" s="110">
        <f>SUM(F4913:F4914)</f>
        <v>3000</v>
      </c>
    </row>
    <row r="4916" spans="1:6" x14ac:dyDescent="0.3">
      <c r="A4916" s="109"/>
      <c r="B4916" s="148" t="s">
        <v>775</v>
      </c>
      <c r="C4916" s="124"/>
      <c r="D4916" s="109"/>
      <c r="E4916" s="110"/>
      <c r="F4916" s="110">
        <f>+F4915+F4911</f>
        <v>193666.66666666669</v>
      </c>
    </row>
    <row r="4917" spans="1:6" x14ac:dyDescent="0.25">
      <c r="A4917" s="111"/>
      <c r="B4917" s="134" t="s">
        <v>792</v>
      </c>
      <c r="C4917" s="115"/>
      <c r="D4917" s="124">
        <v>1.05</v>
      </c>
      <c r="E4917" s="110"/>
      <c r="F4917" s="110">
        <f>+F4916*D4917</f>
        <v>203350.00000000003</v>
      </c>
    </row>
    <row r="4918" spans="1:6" x14ac:dyDescent="0.25">
      <c r="A4918" s="111"/>
      <c r="B4918" s="134" t="s">
        <v>825</v>
      </c>
      <c r="C4918" s="115"/>
      <c r="D4918" s="124">
        <v>1.1000000000000001</v>
      </c>
      <c r="E4918" s="110"/>
      <c r="F4918" s="110"/>
    </row>
    <row r="4919" spans="1:6" x14ac:dyDescent="0.35">
      <c r="A4919" s="261" t="s">
        <v>368</v>
      </c>
      <c r="B4919" s="242" t="s">
        <v>784</v>
      </c>
      <c r="C4919" s="208" t="s">
        <v>27</v>
      </c>
      <c r="D4919" s="208"/>
      <c r="E4919" s="209"/>
      <c r="F4919" s="209">
        <f>+D4918*F4917</f>
        <v>223685.00000000006</v>
      </c>
    </row>
    <row r="4920" spans="1:6" x14ac:dyDescent="0.35">
      <c r="A4920" s="206"/>
      <c r="B4920" s="207"/>
      <c r="C4920" s="208"/>
      <c r="D4920" s="245"/>
      <c r="E4920" s="210">
        <f>+E4903</f>
        <v>3035.45</v>
      </c>
      <c r="F4920" s="210">
        <f>+F4919/E4920</f>
        <v>73.690886030077934</v>
      </c>
    </row>
    <row r="4921" spans="1:6" x14ac:dyDescent="0.35">
      <c r="A4921" s="126"/>
      <c r="B4921" s="127"/>
      <c r="C4921" s="128"/>
      <c r="D4921" s="181"/>
      <c r="E4921" s="176"/>
      <c r="F4921" s="176"/>
    </row>
    <row r="4922" spans="1:6" x14ac:dyDescent="0.35">
      <c r="A4922" s="130"/>
      <c r="B4922" s="131"/>
      <c r="C4922" s="132"/>
      <c r="D4922" s="132"/>
      <c r="E4922" s="179"/>
      <c r="F4922" s="179"/>
    </row>
    <row r="4923" spans="1:6" x14ac:dyDescent="0.3">
      <c r="A4923" s="257" t="s">
        <v>343</v>
      </c>
      <c r="B4923" s="258" t="s">
        <v>344</v>
      </c>
      <c r="C4923" s="200" t="s">
        <v>2</v>
      </c>
      <c r="D4923" s="202" t="s">
        <v>765</v>
      </c>
      <c r="E4923" s="203" t="s">
        <v>766</v>
      </c>
      <c r="F4923" s="203" t="s">
        <v>767</v>
      </c>
    </row>
    <row r="4924" spans="1:6" x14ac:dyDescent="0.35">
      <c r="A4924" s="239" t="s">
        <v>1166</v>
      </c>
      <c r="B4924" s="323" t="s">
        <v>359</v>
      </c>
      <c r="C4924" s="256" t="s">
        <v>27</v>
      </c>
      <c r="D4924" s="141"/>
      <c r="E4924" s="110"/>
      <c r="F4924" s="110"/>
    </row>
    <row r="4925" spans="1:6" x14ac:dyDescent="0.35">
      <c r="A4925" s="111"/>
      <c r="B4925" s="112" t="s">
        <v>802</v>
      </c>
      <c r="C4925" s="118"/>
      <c r="D4925" s="118"/>
      <c r="E4925" s="119"/>
      <c r="F4925" s="119"/>
    </row>
    <row r="4926" spans="1:6" x14ac:dyDescent="0.25">
      <c r="A4926" s="111"/>
      <c r="B4926" s="328" t="s">
        <v>1005</v>
      </c>
      <c r="C4926" s="315" t="s">
        <v>27</v>
      </c>
      <c r="D4926" s="316">
        <v>1</v>
      </c>
      <c r="E4926" s="142">
        <v>5500</v>
      </c>
      <c r="F4926" s="119">
        <f>+D4926*E4926</f>
        <v>5500</v>
      </c>
    </row>
    <row r="4927" spans="1:6" x14ac:dyDescent="0.25">
      <c r="A4927" s="111"/>
      <c r="B4927" s="120" t="s">
        <v>993</v>
      </c>
      <c r="C4927" s="315"/>
      <c r="D4927" s="317"/>
      <c r="E4927" s="158"/>
      <c r="F4927" s="119">
        <f>0.1*F4926</f>
        <v>550</v>
      </c>
    </row>
    <row r="4928" spans="1:6" x14ac:dyDescent="0.35">
      <c r="A4928" s="107"/>
      <c r="B4928" s="108" t="s">
        <v>769</v>
      </c>
      <c r="C4928" s="109"/>
      <c r="D4928" s="124"/>
      <c r="E4928" s="117"/>
      <c r="F4928" s="110">
        <f>SUM(F4926:F4927)</f>
        <v>6050</v>
      </c>
    </row>
    <row r="4929" spans="1:6" x14ac:dyDescent="0.3">
      <c r="A4929" s="111"/>
      <c r="B4929" s="136" t="s">
        <v>808</v>
      </c>
      <c r="C4929" s="115"/>
      <c r="D4929" s="124"/>
      <c r="E4929" s="117"/>
      <c r="F4929" s="110"/>
    </row>
    <row r="4930" spans="1:6" x14ac:dyDescent="0.25">
      <c r="A4930" s="111"/>
      <c r="B4930" s="134" t="s">
        <v>821</v>
      </c>
      <c r="C4930" s="115" t="s">
        <v>772</v>
      </c>
      <c r="D4930" s="124">
        <v>0.2</v>
      </c>
      <c r="E4930" s="117">
        <v>7500</v>
      </c>
      <c r="F4930" s="110">
        <f>+D4930*E4930</f>
        <v>1500</v>
      </c>
    </row>
    <row r="4931" spans="1:6" x14ac:dyDescent="0.25">
      <c r="A4931" s="111"/>
      <c r="B4931" s="134" t="s">
        <v>794</v>
      </c>
      <c r="C4931" s="115" t="s">
        <v>772</v>
      </c>
      <c r="D4931" s="124">
        <v>0.25</v>
      </c>
      <c r="E4931" s="117">
        <v>15000</v>
      </c>
      <c r="F4931" s="110">
        <f>+D4931*E4931</f>
        <v>3750</v>
      </c>
    </row>
    <row r="4932" spans="1:6" x14ac:dyDescent="0.3">
      <c r="A4932" s="111"/>
      <c r="B4932" s="136" t="s">
        <v>774</v>
      </c>
      <c r="C4932" s="115"/>
      <c r="D4932" s="124"/>
      <c r="E4932" s="117"/>
      <c r="F4932" s="110">
        <f>SUM(F4930:F4931)</f>
        <v>5250</v>
      </c>
    </row>
    <row r="4933" spans="1:6" x14ac:dyDescent="0.3">
      <c r="A4933" s="111"/>
      <c r="B4933" s="136" t="s">
        <v>775</v>
      </c>
      <c r="C4933" s="115"/>
      <c r="D4933" s="109"/>
      <c r="E4933" s="110"/>
      <c r="F4933" s="110">
        <f>+F4932+F4928</f>
        <v>11300</v>
      </c>
    </row>
    <row r="4934" spans="1:6" x14ac:dyDescent="0.25">
      <c r="A4934" s="111"/>
      <c r="B4934" s="134" t="s">
        <v>812</v>
      </c>
      <c r="C4934" s="115"/>
      <c r="D4934" s="124">
        <v>1.1499999999999999</v>
      </c>
      <c r="E4934" s="110"/>
      <c r="F4934" s="110">
        <f>+F4933*D4934</f>
        <v>12994.999999999998</v>
      </c>
    </row>
    <row r="4935" spans="1:6" x14ac:dyDescent="0.25">
      <c r="A4935" s="111"/>
      <c r="B4935" s="134" t="s">
        <v>826</v>
      </c>
      <c r="C4935" s="115"/>
      <c r="D4935" s="124">
        <v>1.2</v>
      </c>
      <c r="E4935" s="110"/>
      <c r="F4935" s="110"/>
    </row>
    <row r="4936" spans="1:6" x14ac:dyDescent="0.35">
      <c r="A4936" s="261" t="s">
        <v>1166</v>
      </c>
      <c r="B4936" s="242" t="s">
        <v>784</v>
      </c>
      <c r="C4936" s="208" t="s">
        <v>27</v>
      </c>
      <c r="D4936" s="208"/>
      <c r="E4936" s="209"/>
      <c r="F4936" s="209">
        <f>+D4935*F4934</f>
        <v>15593.999999999996</v>
      </c>
    </row>
    <row r="4937" spans="1:6" x14ac:dyDescent="0.35">
      <c r="A4937" s="206"/>
      <c r="B4937" s="207"/>
      <c r="C4937" s="208"/>
      <c r="D4937" s="245"/>
      <c r="E4937" s="210">
        <f>+E4920</f>
        <v>3035.45</v>
      </c>
      <c r="F4937" s="210">
        <f>+F4936/E4937</f>
        <v>5.1372943056219</v>
      </c>
    </row>
    <row r="4938" spans="1:6" x14ac:dyDescent="0.35">
      <c r="A4938" s="185"/>
      <c r="B4938" s="186"/>
      <c r="C4938" s="187"/>
      <c r="D4938" s="181"/>
      <c r="E4938" s="189"/>
      <c r="F4938" s="180"/>
    </row>
    <row r="4939" spans="1:6" x14ac:dyDescent="0.35">
      <c r="A4939" s="190"/>
      <c r="B4939" s="191"/>
      <c r="C4939" s="192"/>
      <c r="D4939" s="193"/>
      <c r="E4939" s="194"/>
      <c r="F4939" s="182"/>
    </row>
    <row r="4940" spans="1:6" x14ac:dyDescent="0.3">
      <c r="A4940" s="257" t="s">
        <v>343</v>
      </c>
      <c r="B4940" s="258" t="s">
        <v>344</v>
      </c>
      <c r="C4940" s="200" t="s">
        <v>2</v>
      </c>
      <c r="D4940" s="202" t="s">
        <v>765</v>
      </c>
      <c r="E4940" s="203" t="s">
        <v>766</v>
      </c>
      <c r="F4940" s="203" t="s">
        <v>767</v>
      </c>
    </row>
    <row r="4941" spans="1:6" x14ac:dyDescent="0.3">
      <c r="A4941" s="237" t="s">
        <v>373</v>
      </c>
      <c r="B4941" s="231" t="s">
        <v>361</v>
      </c>
      <c r="C4941" s="256"/>
      <c r="D4941" s="141"/>
      <c r="E4941" s="110"/>
      <c r="F4941" s="110"/>
    </row>
    <row r="4942" spans="1:6" x14ac:dyDescent="0.35">
      <c r="A4942" s="237"/>
      <c r="B4942" s="227" t="s">
        <v>744</v>
      </c>
      <c r="C4942" s="256"/>
      <c r="D4942" s="141"/>
      <c r="E4942" s="110"/>
      <c r="F4942" s="110"/>
    </row>
    <row r="4943" spans="1:6" x14ac:dyDescent="0.35">
      <c r="A4943" s="237" t="s">
        <v>375</v>
      </c>
      <c r="B4943" s="240" t="s">
        <v>1006</v>
      </c>
      <c r="C4943" s="224" t="s">
        <v>27</v>
      </c>
      <c r="D4943" s="141"/>
      <c r="E4943" s="110"/>
      <c r="F4943" s="110"/>
    </row>
    <row r="4944" spans="1:6" x14ac:dyDescent="0.35">
      <c r="A4944" s="111"/>
      <c r="B4944" s="112" t="s">
        <v>802</v>
      </c>
      <c r="C4944" s="118"/>
      <c r="D4944" s="118"/>
      <c r="E4944" s="119"/>
      <c r="F4944" s="119"/>
    </row>
    <row r="4945" spans="1:6" x14ac:dyDescent="0.25">
      <c r="A4945" s="111"/>
      <c r="B4945" s="328" t="s">
        <v>1007</v>
      </c>
      <c r="C4945" s="315" t="s">
        <v>27</v>
      </c>
      <c r="D4945" s="316">
        <v>1</v>
      </c>
      <c r="E4945" s="142">
        <v>2500</v>
      </c>
      <c r="F4945" s="119">
        <f>+D4945*E4945</f>
        <v>2500</v>
      </c>
    </row>
    <row r="4946" spans="1:6" x14ac:dyDescent="0.25">
      <c r="A4946" s="111"/>
      <c r="B4946" s="120" t="s">
        <v>993</v>
      </c>
      <c r="C4946" s="315"/>
      <c r="D4946" s="317"/>
      <c r="E4946" s="158"/>
      <c r="F4946" s="119">
        <f>0.1*F4945</f>
        <v>250</v>
      </c>
    </row>
    <row r="4947" spans="1:6" x14ac:dyDescent="0.35">
      <c r="A4947" s="107"/>
      <c r="B4947" s="108" t="s">
        <v>769</v>
      </c>
      <c r="C4947" s="109"/>
      <c r="D4947" s="124"/>
      <c r="E4947" s="117"/>
      <c r="F4947" s="110">
        <f>SUM(F4945:F4946)</f>
        <v>2750</v>
      </c>
    </row>
    <row r="4948" spans="1:6" x14ac:dyDescent="0.3">
      <c r="A4948" s="111"/>
      <c r="B4948" s="136" t="s">
        <v>808</v>
      </c>
      <c r="C4948" s="115"/>
      <c r="D4948" s="124"/>
      <c r="E4948" s="117"/>
      <c r="F4948" s="110"/>
    </row>
    <row r="4949" spans="1:6" x14ac:dyDescent="0.25">
      <c r="A4949" s="111"/>
      <c r="B4949" s="134" t="s">
        <v>821</v>
      </c>
      <c r="C4949" s="115" t="s">
        <v>772</v>
      </c>
      <c r="D4949" s="124">
        <v>0.35</v>
      </c>
      <c r="E4949" s="117">
        <v>7500</v>
      </c>
      <c r="F4949" s="110">
        <f>+D4949*E4949</f>
        <v>2625</v>
      </c>
    </row>
    <row r="4950" spans="1:6" x14ac:dyDescent="0.25">
      <c r="A4950" s="111"/>
      <c r="B4950" s="134" t="s">
        <v>794</v>
      </c>
      <c r="C4950" s="115" t="s">
        <v>772</v>
      </c>
      <c r="D4950" s="124">
        <v>0.7</v>
      </c>
      <c r="E4950" s="117">
        <v>15000</v>
      </c>
      <c r="F4950" s="110">
        <f>+D4950*E4950</f>
        <v>10500</v>
      </c>
    </row>
    <row r="4951" spans="1:6" x14ac:dyDescent="0.3">
      <c r="A4951" s="111"/>
      <c r="B4951" s="136" t="s">
        <v>774</v>
      </c>
      <c r="C4951" s="115"/>
      <c r="D4951" s="124"/>
      <c r="E4951" s="117"/>
      <c r="F4951" s="110">
        <f>SUM(F4949:F4950)</f>
        <v>13125</v>
      </c>
    </row>
    <row r="4952" spans="1:6" x14ac:dyDescent="0.3">
      <c r="A4952" s="111"/>
      <c r="B4952" s="136" t="s">
        <v>775</v>
      </c>
      <c r="C4952" s="115"/>
      <c r="D4952" s="109"/>
      <c r="E4952" s="110"/>
      <c r="F4952" s="110">
        <f>+F4951+F4947</f>
        <v>15875</v>
      </c>
    </row>
    <row r="4953" spans="1:6" x14ac:dyDescent="0.25">
      <c r="A4953" s="111"/>
      <c r="B4953" s="134" t="s">
        <v>792</v>
      </c>
      <c r="C4953" s="115"/>
      <c r="D4953" s="124">
        <v>1.05</v>
      </c>
      <c r="E4953" s="110"/>
      <c r="F4953" s="110">
        <f>+F4952*D4953</f>
        <v>16668.75</v>
      </c>
    </row>
    <row r="4954" spans="1:6" x14ac:dyDescent="0.25">
      <c r="A4954" s="111"/>
      <c r="B4954" s="134" t="s">
        <v>848</v>
      </c>
      <c r="C4954" s="115"/>
      <c r="D4954" s="124">
        <v>1.05</v>
      </c>
      <c r="E4954" s="110"/>
      <c r="F4954" s="110"/>
    </row>
    <row r="4955" spans="1:6" x14ac:dyDescent="0.35">
      <c r="A4955" s="322" t="s">
        <v>375</v>
      </c>
      <c r="B4955" s="242" t="s">
        <v>784</v>
      </c>
      <c r="C4955" s="208" t="s">
        <v>27</v>
      </c>
      <c r="D4955" s="208"/>
      <c r="E4955" s="209"/>
      <c r="F4955" s="209">
        <f>+D4954*F4953</f>
        <v>17502.1875</v>
      </c>
    </row>
    <row r="4956" spans="1:6" x14ac:dyDescent="0.35">
      <c r="A4956" s="206"/>
      <c r="B4956" s="207"/>
      <c r="C4956" s="208"/>
      <c r="D4956" s="245"/>
      <c r="E4956" s="210">
        <f>+E4937</f>
        <v>3035.45</v>
      </c>
      <c r="F4956" s="210">
        <f>+F4955/E4956</f>
        <v>5.7659284455352591</v>
      </c>
    </row>
    <row r="4957" spans="1:6" x14ac:dyDescent="0.35">
      <c r="A4957" s="185"/>
      <c r="B4957" s="186"/>
      <c r="C4957" s="187"/>
      <c r="D4957" s="188"/>
      <c r="E4957" s="189"/>
      <c r="F4957" s="180"/>
    </row>
    <row r="4958" spans="1:6" x14ac:dyDescent="0.35">
      <c r="A4958" s="190"/>
      <c r="B4958" s="191"/>
      <c r="C4958" s="192"/>
      <c r="D4958" s="193"/>
      <c r="E4958" s="194"/>
      <c r="F4958" s="182"/>
    </row>
    <row r="4959" spans="1:6" x14ac:dyDescent="0.3">
      <c r="A4959" s="257" t="s">
        <v>343</v>
      </c>
      <c r="B4959" s="258" t="s">
        <v>344</v>
      </c>
      <c r="C4959" s="200" t="s">
        <v>2</v>
      </c>
      <c r="D4959" s="202" t="s">
        <v>765</v>
      </c>
      <c r="E4959" s="203" t="s">
        <v>766</v>
      </c>
      <c r="F4959" s="203" t="s">
        <v>767</v>
      </c>
    </row>
    <row r="4960" spans="1:6" x14ac:dyDescent="0.3">
      <c r="A4960" s="237" t="s">
        <v>373</v>
      </c>
      <c r="B4960" s="231" t="s">
        <v>361</v>
      </c>
      <c r="C4960" s="256"/>
      <c r="D4960" s="141"/>
      <c r="E4960" s="110"/>
      <c r="F4960" s="110"/>
    </row>
    <row r="4961" spans="1:6" x14ac:dyDescent="0.35">
      <c r="A4961" s="237"/>
      <c r="B4961" s="227" t="s">
        <v>744</v>
      </c>
      <c r="C4961" s="256"/>
      <c r="D4961" s="141"/>
      <c r="E4961" s="110"/>
      <c r="F4961" s="110"/>
    </row>
    <row r="4962" spans="1:6" x14ac:dyDescent="0.35">
      <c r="A4962" s="237" t="s">
        <v>377</v>
      </c>
      <c r="B4962" s="240" t="s">
        <v>1008</v>
      </c>
      <c r="C4962" s="224" t="s">
        <v>27</v>
      </c>
      <c r="D4962" s="141"/>
      <c r="E4962" s="110"/>
      <c r="F4962" s="110"/>
    </row>
    <row r="4963" spans="1:6" x14ac:dyDescent="0.35">
      <c r="A4963" s="111"/>
      <c r="B4963" s="112" t="s">
        <v>802</v>
      </c>
      <c r="C4963" s="118"/>
      <c r="D4963" s="118"/>
      <c r="E4963" s="119"/>
      <c r="F4963" s="119"/>
    </row>
    <row r="4964" spans="1:6" x14ac:dyDescent="0.25">
      <c r="A4964" s="111"/>
      <c r="B4964" s="324" t="s">
        <v>1009</v>
      </c>
      <c r="C4964" s="315" t="s">
        <v>27</v>
      </c>
      <c r="D4964" s="316">
        <v>1</v>
      </c>
      <c r="E4964" s="142">
        <v>3500</v>
      </c>
      <c r="F4964" s="119">
        <f>+D4964*E4964</f>
        <v>3500</v>
      </c>
    </row>
    <row r="4965" spans="1:6" x14ac:dyDescent="0.25">
      <c r="A4965" s="111"/>
      <c r="B4965" s="120" t="s">
        <v>993</v>
      </c>
      <c r="C4965" s="315"/>
      <c r="D4965" s="317"/>
      <c r="E4965" s="158"/>
      <c r="F4965" s="119">
        <f>0.1*F4964</f>
        <v>350</v>
      </c>
    </row>
    <row r="4966" spans="1:6" x14ac:dyDescent="0.35">
      <c r="A4966" s="107"/>
      <c r="B4966" s="108" t="s">
        <v>769</v>
      </c>
      <c r="C4966" s="109"/>
      <c r="D4966" s="124"/>
      <c r="E4966" s="117"/>
      <c r="F4966" s="110">
        <f>SUM(F4964:F4965)</f>
        <v>3850</v>
      </c>
    </row>
    <row r="4967" spans="1:6" x14ac:dyDescent="0.3">
      <c r="A4967" s="111"/>
      <c r="B4967" s="136" t="s">
        <v>808</v>
      </c>
      <c r="C4967" s="115"/>
      <c r="D4967" s="124"/>
      <c r="E4967" s="117"/>
      <c r="F4967" s="110"/>
    </row>
    <row r="4968" spans="1:6" x14ac:dyDescent="0.25">
      <c r="A4968" s="111"/>
      <c r="B4968" s="134" t="s">
        <v>821</v>
      </c>
      <c r="C4968" s="115" t="s">
        <v>772</v>
      </c>
      <c r="D4968" s="124">
        <v>0.35</v>
      </c>
      <c r="E4968" s="117">
        <v>7500</v>
      </c>
      <c r="F4968" s="110">
        <f>+D4968*E4968</f>
        <v>2625</v>
      </c>
    </row>
    <row r="4969" spans="1:6" x14ac:dyDescent="0.25">
      <c r="A4969" s="111"/>
      <c r="B4969" s="134" t="s">
        <v>794</v>
      </c>
      <c r="C4969" s="115" t="s">
        <v>772</v>
      </c>
      <c r="D4969" s="124">
        <v>0.7</v>
      </c>
      <c r="E4969" s="117">
        <v>15000</v>
      </c>
      <c r="F4969" s="110">
        <f>+D4969*E4969</f>
        <v>10500</v>
      </c>
    </row>
    <row r="4970" spans="1:6" x14ac:dyDescent="0.3">
      <c r="A4970" s="111"/>
      <c r="B4970" s="136" t="s">
        <v>774</v>
      </c>
      <c r="C4970" s="115"/>
      <c r="D4970" s="124"/>
      <c r="E4970" s="117"/>
      <c r="F4970" s="110">
        <f>SUM(F4968:F4969)</f>
        <v>13125</v>
      </c>
    </row>
    <row r="4971" spans="1:6" x14ac:dyDescent="0.3">
      <c r="A4971" s="111"/>
      <c r="B4971" s="136" t="s">
        <v>775</v>
      </c>
      <c r="C4971" s="115"/>
      <c r="D4971" s="109"/>
      <c r="E4971" s="110"/>
      <c r="F4971" s="110">
        <f>+F4970+F4966</f>
        <v>16975</v>
      </c>
    </row>
    <row r="4972" spans="1:6" x14ac:dyDescent="0.25">
      <c r="A4972" s="111"/>
      <c r="B4972" s="134" t="s">
        <v>812</v>
      </c>
      <c r="C4972" s="115"/>
      <c r="D4972" s="124">
        <v>1.1499999999999999</v>
      </c>
      <c r="E4972" s="110"/>
      <c r="F4972" s="110">
        <f>+F4971*D4972</f>
        <v>19521.25</v>
      </c>
    </row>
    <row r="4973" spans="1:6" x14ac:dyDescent="0.25">
      <c r="A4973" s="111"/>
      <c r="B4973" s="134" t="s">
        <v>813</v>
      </c>
      <c r="C4973" s="115"/>
      <c r="D4973" s="124">
        <v>1.1499999999999999</v>
      </c>
      <c r="E4973" s="110"/>
      <c r="F4973" s="110"/>
    </row>
    <row r="4974" spans="1:6" x14ac:dyDescent="0.35">
      <c r="A4974" s="322" t="s">
        <v>377</v>
      </c>
      <c r="B4974" s="242" t="s">
        <v>784</v>
      </c>
      <c r="C4974" s="208" t="s">
        <v>27</v>
      </c>
      <c r="D4974" s="208"/>
      <c r="E4974" s="209"/>
      <c r="F4974" s="209">
        <f>+D4973*F4972</f>
        <v>22449.4375</v>
      </c>
    </row>
    <row r="4975" spans="1:6" x14ac:dyDescent="0.35">
      <c r="A4975" s="206"/>
      <c r="B4975" s="207"/>
      <c r="C4975" s="208"/>
      <c r="D4975" s="245"/>
      <c r="E4975" s="210">
        <f>+E4956</f>
        <v>3035.45</v>
      </c>
      <c r="F4975" s="210">
        <f>+F4974/E4975</f>
        <v>7.3957526890576357</v>
      </c>
    </row>
    <row r="4976" spans="1:6" x14ac:dyDescent="0.35">
      <c r="A4976" s="185"/>
      <c r="B4976" s="186"/>
      <c r="C4976" s="187"/>
      <c r="D4976" s="188"/>
      <c r="E4976" s="189"/>
      <c r="F4976" s="180"/>
    </row>
    <row r="4977" spans="1:6" x14ac:dyDescent="0.35">
      <c r="A4977" s="190"/>
      <c r="B4977" s="191"/>
      <c r="C4977" s="192"/>
      <c r="D4977" s="193"/>
      <c r="E4977" s="194"/>
      <c r="F4977" s="182"/>
    </row>
    <row r="4978" spans="1:6" x14ac:dyDescent="0.3">
      <c r="A4978" s="257" t="s">
        <v>343</v>
      </c>
      <c r="B4978" s="258" t="s">
        <v>344</v>
      </c>
      <c r="C4978" s="200" t="s">
        <v>2</v>
      </c>
      <c r="D4978" s="202" t="s">
        <v>765</v>
      </c>
      <c r="E4978" s="203" t="s">
        <v>766</v>
      </c>
      <c r="F4978" s="203" t="s">
        <v>767</v>
      </c>
    </row>
    <row r="4979" spans="1:6" x14ac:dyDescent="0.3">
      <c r="A4979" s="237" t="s">
        <v>373</v>
      </c>
      <c r="B4979" s="231" t="s">
        <v>361</v>
      </c>
      <c r="C4979" s="256"/>
      <c r="D4979" s="141"/>
      <c r="E4979" s="110"/>
      <c r="F4979" s="110"/>
    </row>
    <row r="4980" spans="1:6" x14ac:dyDescent="0.35">
      <c r="A4980" s="237"/>
      <c r="B4980" s="227" t="s">
        <v>744</v>
      </c>
      <c r="C4980" s="256"/>
      <c r="D4980" s="141"/>
      <c r="E4980" s="110"/>
      <c r="F4980" s="110"/>
    </row>
    <row r="4981" spans="1:6" x14ac:dyDescent="0.35">
      <c r="A4981" s="237" t="s">
        <v>725</v>
      </c>
      <c r="B4981" s="240" t="s">
        <v>1010</v>
      </c>
      <c r="C4981" s="224" t="s">
        <v>27</v>
      </c>
      <c r="D4981" s="141"/>
      <c r="E4981" s="110"/>
      <c r="F4981" s="110"/>
    </row>
    <row r="4982" spans="1:6" x14ac:dyDescent="0.35">
      <c r="A4982" s="111"/>
      <c r="B4982" s="112" t="s">
        <v>802</v>
      </c>
      <c r="C4982" s="118"/>
      <c r="D4982" s="118"/>
      <c r="E4982" s="119"/>
      <c r="F4982" s="119"/>
    </row>
    <row r="4983" spans="1:6" x14ac:dyDescent="0.25">
      <c r="A4983" s="111"/>
      <c r="B4983" s="324" t="s">
        <v>1011</v>
      </c>
      <c r="C4983" s="315" t="s">
        <v>27</v>
      </c>
      <c r="D4983" s="316">
        <v>1</v>
      </c>
      <c r="E4983" s="142">
        <f>35000/6</f>
        <v>5833.333333333333</v>
      </c>
      <c r="F4983" s="119">
        <f>+D4983*E4983</f>
        <v>5833.333333333333</v>
      </c>
    </row>
    <row r="4984" spans="1:6" x14ac:dyDescent="0.25">
      <c r="A4984" s="111"/>
      <c r="B4984" s="120" t="s">
        <v>993</v>
      </c>
      <c r="C4984" s="315"/>
      <c r="D4984" s="317"/>
      <c r="E4984" s="158"/>
      <c r="F4984" s="119">
        <f>0.1*F4983</f>
        <v>583.33333333333337</v>
      </c>
    </row>
    <row r="4985" spans="1:6" x14ac:dyDescent="0.35">
      <c r="A4985" s="107"/>
      <c r="B4985" s="108" t="s">
        <v>769</v>
      </c>
      <c r="C4985" s="109"/>
      <c r="D4985" s="124"/>
      <c r="E4985" s="117"/>
      <c r="F4985" s="110">
        <f>SUM(F4983:F4984)</f>
        <v>6416.6666666666661</v>
      </c>
    </row>
    <row r="4986" spans="1:6" x14ac:dyDescent="0.3">
      <c r="A4986" s="111"/>
      <c r="B4986" s="136" t="s">
        <v>808</v>
      </c>
      <c r="C4986" s="115"/>
      <c r="D4986" s="124"/>
      <c r="E4986" s="117"/>
      <c r="F4986" s="110"/>
    </row>
    <row r="4987" spans="1:6" x14ac:dyDescent="0.25">
      <c r="A4987" s="111"/>
      <c r="B4987" s="134" t="s">
        <v>821</v>
      </c>
      <c r="C4987" s="115" t="s">
        <v>772</v>
      </c>
      <c r="D4987" s="124">
        <v>0.35</v>
      </c>
      <c r="E4987" s="117">
        <v>7500</v>
      </c>
      <c r="F4987" s="110">
        <f>+D4987*E4987</f>
        <v>2625</v>
      </c>
    </row>
    <row r="4988" spans="1:6" x14ac:dyDescent="0.25">
      <c r="A4988" s="111"/>
      <c r="B4988" s="134" t="s">
        <v>794</v>
      </c>
      <c r="C4988" s="115" t="s">
        <v>772</v>
      </c>
      <c r="D4988" s="124">
        <v>0.7</v>
      </c>
      <c r="E4988" s="117">
        <v>15000</v>
      </c>
      <c r="F4988" s="110">
        <f>+D4988*E4988</f>
        <v>10500</v>
      </c>
    </row>
    <row r="4989" spans="1:6" x14ac:dyDescent="0.3">
      <c r="A4989" s="111"/>
      <c r="B4989" s="136" t="s">
        <v>774</v>
      </c>
      <c r="C4989" s="115"/>
      <c r="D4989" s="124"/>
      <c r="E4989" s="117"/>
      <c r="F4989" s="110">
        <f>SUM(F4987:F4988)</f>
        <v>13125</v>
      </c>
    </row>
    <row r="4990" spans="1:6" x14ac:dyDescent="0.3">
      <c r="A4990" s="111"/>
      <c r="B4990" s="136" t="s">
        <v>775</v>
      </c>
      <c r="C4990" s="115"/>
      <c r="D4990" s="109"/>
      <c r="E4990" s="110"/>
      <c r="F4990" s="110">
        <f>+F4989+F4985</f>
        <v>19541.666666666664</v>
      </c>
    </row>
    <row r="4991" spans="1:6" x14ac:dyDescent="0.25">
      <c r="A4991" s="111"/>
      <c r="B4991" s="134" t="s">
        <v>812</v>
      </c>
      <c r="C4991" s="115"/>
      <c r="D4991" s="124">
        <v>1.1499999999999999</v>
      </c>
      <c r="E4991" s="110"/>
      <c r="F4991" s="110">
        <f>+F4990*D4991</f>
        <v>22472.916666666661</v>
      </c>
    </row>
    <row r="4992" spans="1:6" x14ac:dyDescent="0.25">
      <c r="A4992" s="111"/>
      <c r="B4992" s="134" t="s">
        <v>813</v>
      </c>
      <c r="C4992" s="115"/>
      <c r="D4992" s="124">
        <v>1.1499999999999999</v>
      </c>
      <c r="E4992" s="110"/>
      <c r="F4992" s="110"/>
    </row>
    <row r="4993" spans="1:6" x14ac:dyDescent="0.35">
      <c r="A4993" s="322" t="s">
        <v>1167</v>
      </c>
      <c r="B4993" s="242" t="s">
        <v>784</v>
      </c>
      <c r="C4993" s="208" t="s">
        <v>27</v>
      </c>
      <c r="D4993" s="208"/>
      <c r="E4993" s="209"/>
      <c r="F4993" s="209">
        <f>+D4992*F4991</f>
        <v>25843.854166666657</v>
      </c>
    </row>
    <row r="4994" spans="1:6" x14ac:dyDescent="0.35">
      <c r="A4994" s="206"/>
      <c r="B4994" s="207"/>
      <c r="C4994" s="208"/>
      <c r="D4994" s="245"/>
      <c r="E4994" s="210">
        <f>+E4975</f>
        <v>3035.45</v>
      </c>
      <c r="F4994" s="210">
        <f>+F4993/E4994</f>
        <v>8.5140108276093027</v>
      </c>
    </row>
    <row r="4995" spans="1:6" x14ac:dyDescent="0.35">
      <c r="A4995" s="185"/>
      <c r="B4995" s="186"/>
      <c r="C4995" s="187"/>
      <c r="D4995" s="188"/>
      <c r="E4995" s="189"/>
      <c r="F4995" s="180"/>
    </row>
    <row r="4996" spans="1:6" x14ac:dyDescent="0.35">
      <c r="A4996" s="190"/>
      <c r="B4996" s="191"/>
      <c r="C4996" s="192"/>
      <c r="D4996" s="193"/>
      <c r="E4996" s="194"/>
      <c r="F4996" s="182"/>
    </row>
    <row r="4997" spans="1:6" x14ac:dyDescent="0.3">
      <c r="A4997" s="257" t="s">
        <v>343</v>
      </c>
      <c r="B4997" s="258" t="s">
        <v>344</v>
      </c>
      <c r="C4997" s="200" t="s">
        <v>2</v>
      </c>
      <c r="D4997" s="202" t="s">
        <v>765</v>
      </c>
      <c r="E4997" s="203" t="s">
        <v>766</v>
      </c>
      <c r="F4997" s="203" t="s">
        <v>767</v>
      </c>
    </row>
    <row r="4998" spans="1:6" x14ac:dyDescent="0.35">
      <c r="A4998" s="237" t="s">
        <v>380</v>
      </c>
      <c r="B4998" s="240" t="s">
        <v>1012</v>
      </c>
      <c r="C4998" s="256" t="s">
        <v>27</v>
      </c>
      <c r="D4998" s="141"/>
      <c r="E4998" s="110"/>
      <c r="F4998" s="110"/>
    </row>
    <row r="4999" spans="1:6" x14ac:dyDescent="0.35">
      <c r="A4999" s="111"/>
      <c r="B4999" s="112" t="s">
        <v>802</v>
      </c>
      <c r="C4999" s="118"/>
      <c r="D4999" s="118"/>
      <c r="E4999" s="119"/>
      <c r="F4999" s="119"/>
    </row>
    <row r="5000" spans="1:6" x14ac:dyDescent="0.25">
      <c r="A5000" s="111"/>
      <c r="B5000" s="324" t="s">
        <v>1013</v>
      </c>
      <c r="C5000" s="315" t="s">
        <v>27</v>
      </c>
      <c r="D5000" s="316">
        <v>1</v>
      </c>
      <c r="E5000" s="142">
        <f>110000/6</f>
        <v>18333.333333333332</v>
      </c>
      <c r="F5000" s="119">
        <f>+D5000*E5000</f>
        <v>18333.333333333332</v>
      </c>
    </row>
    <row r="5001" spans="1:6" x14ac:dyDescent="0.25">
      <c r="A5001" s="111"/>
      <c r="B5001" s="120" t="s">
        <v>993</v>
      </c>
      <c r="C5001" s="315"/>
      <c r="D5001" s="317"/>
      <c r="E5001" s="158"/>
      <c r="F5001" s="119">
        <f>0.1*F5000</f>
        <v>1833.3333333333333</v>
      </c>
    </row>
    <row r="5002" spans="1:6" x14ac:dyDescent="0.35">
      <c r="A5002" s="107"/>
      <c r="B5002" s="108" t="s">
        <v>769</v>
      </c>
      <c r="C5002" s="109"/>
      <c r="D5002" s="124"/>
      <c r="E5002" s="117"/>
      <c r="F5002" s="110">
        <f>SUM(F5000:F5001)</f>
        <v>20166.666666666664</v>
      </c>
    </row>
    <row r="5003" spans="1:6" x14ac:dyDescent="0.3">
      <c r="A5003" s="111"/>
      <c r="B5003" s="136" t="s">
        <v>808</v>
      </c>
      <c r="C5003" s="115"/>
      <c r="D5003" s="124"/>
      <c r="E5003" s="117"/>
      <c r="F5003" s="110"/>
    </row>
    <row r="5004" spans="1:6" x14ac:dyDescent="0.25">
      <c r="A5004" s="111"/>
      <c r="B5004" s="134" t="s">
        <v>821</v>
      </c>
      <c r="C5004" s="115" t="s">
        <v>772</v>
      </c>
      <c r="D5004" s="124">
        <v>0.5</v>
      </c>
      <c r="E5004" s="117">
        <v>7500</v>
      </c>
      <c r="F5004" s="110">
        <f>+D5004*E5004</f>
        <v>3750</v>
      </c>
    </row>
    <row r="5005" spans="1:6" x14ac:dyDescent="0.25">
      <c r="A5005" s="111"/>
      <c r="B5005" s="134" t="s">
        <v>794</v>
      </c>
      <c r="C5005" s="115" t="s">
        <v>772</v>
      </c>
      <c r="D5005" s="124">
        <v>1</v>
      </c>
      <c r="E5005" s="117">
        <v>15000</v>
      </c>
      <c r="F5005" s="110">
        <f>+D5005*E5005</f>
        <v>15000</v>
      </c>
    </row>
    <row r="5006" spans="1:6" x14ac:dyDescent="0.3">
      <c r="A5006" s="111"/>
      <c r="B5006" s="136" t="s">
        <v>774</v>
      </c>
      <c r="C5006" s="115"/>
      <c r="D5006" s="124"/>
      <c r="E5006" s="117"/>
      <c r="F5006" s="110">
        <f>SUM(F5004:F5005)</f>
        <v>18750</v>
      </c>
    </row>
    <row r="5007" spans="1:6" x14ac:dyDescent="0.3">
      <c r="A5007" s="111"/>
      <c r="B5007" s="136" t="s">
        <v>775</v>
      </c>
      <c r="C5007" s="115"/>
      <c r="D5007" s="109"/>
      <c r="E5007" s="110"/>
      <c r="F5007" s="110">
        <f>+F5006+F5002</f>
        <v>38916.666666666664</v>
      </c>
    </row>
    <row r="5008" spans="1:6" x14ac:dyDescent="0.25">
      <c r="A5008" s="111"/>
      <c r="B5008" s="134" t="s">
        <v>812</v>
      </c>
      <c r="C5008" s="115"/>
      <c r="D5008" s="124">
        <v>1.1499999999999999</v>
      </c>
      <c r="E5008" s="110"/>
      <c r="F5008" s="110">
        <f>+F5007*D5008</f>
        <v>44754.166666666657</v>
      </c>
    </row>
    <row r="5009" spans="1:6" x14ac:dyDescent="0.25">
      <c r="A5009" s="111"/>
      <c r="B5009" s="134" t="s">
        <v>813</v>
      </c>
      <c r="C5009" s="115"/>
      <c r="D5009" s="124">
        <v>1.1499999999999999</v>
      </c>
      <c r="E5009" s="110"/>
      <c r="F5009" s="110"/>
    </row>
    <row r="5010" spans="1:6" x14ac:dyDescent="0.35">
      <c r="A5010" s="322" t="s">
        <v>380</v>
      </c>
      <c r="B5010" s="242" t="s">
        <v>784</v>
      </c>
      <c r="C5010" s="208" t="s">
        <v>27</v>
      </c>
      <c r="D5010" s="208"/>
      <c r="E5010" s="209"/>
      <c r="F5010" s="209">
        <f>+D5009*F5008</f>
        <v>51467.29166666665</v>
      </c>
    </row>
    <row r="5011" spans="1:6" x14ac:dyDescent="0.35">
      <c r="A5011" s="206"/>
      <c r="B5011" s="207"/>
      <c r="C5011" s="208"/>
      <c r="D5011" s="245"/>
      <c r="E5011" s="210">
        <f>+E4994</f>
        <v>3035.45</v>
      </c>
      <c r="F5011" s="210">
        <f>+F5010/E5011</f>
        <v>16.955407490377588</v>
      </c>
    </row>
    <row r="5012" spans="1:6" x14ac:dyDescent="0.35">
      <c r="A5012" s="185"/>
      <c r="B5012" s="186"/>
      <c r="C5012" s="187"/>
      <c r="D5012" s="188"/>
      <c r="E5012" s="189"/>
      <c r="F5012" s="180"/>
    </row>
    <row r="5013" spans="1:6" x14ac:dyDescent="0.35">
      <c r="A5013" s="190"/>
      <c r="B5013" s="191"/>
      <c r="C5013" s="192"/>
      <c r="D5013" s="193"/>
      <c r="E5013" s="194"/>
      <c r="F5013" s="182"/>
    </row>
    <row r="5014" spans="1:6" x14ac:dyDescent="0.3">
      <c r="A5014" s="257" t="s">
        <v>343</v>
      </c>
      <c r="B5014" s="258" t="s">
        <v>344</v>
      </c>
      <c r="C5014" s="200" t="s">
        <v>2</v>
      </c>
      <c r="D5014" s="202" t="s">
        <v>765</v>
      </c>
      <c r="E5014" s="203" t="s">
        <v>766</v>
      </c>
      <c r="F5014" s="203" t="s">
        <v>767</v>
      </c>
    </row>
    <row r="5015" spans="1:6" x14ac:dyDescent="0.35">
      <c r="A5015" s="237" t="s">
        <v>384</v>
      </c>
      <c r="B5015" s="240" t="s">
        <v>1014</v>
      </c>
      <c r="C5015" s="256" t="s">
        <v>27</v>
      </c>
      <c r="D5015" s="141"/>
      <c r="E5015" s="110"/>
      <c r="F5015" s="110"/>
    </row>
    <row r="5016" spans="1:6" x14ac:dyDescent="0.35">
      <c r="A5016" s="111"/>
      <c r="B5016" s="112" t="s">
        <v>802</v>
      </c>
      <c r="C5016" s="118"/>
      <c r="D5016" s="118"/>
      <c r="E5016" s="119"/>
      <c r="F5016" s="119"/>
    </row>
    <row r="5017" spans="1:6" x14ac:dyDescent="0.25">
      <c r="A5017" s="111"/>
      <c r="B5017" s="324" t="s">
        <v>1015</v>
      </c>
      <c r="C5017" s="315" t="s">
        <v>27</v>
      </c>
      <c r="D5017" s="316">
        <v>1</v>
      </c>
      <c r="E5017" s="142">
        <f>155000/6</f>
        <v>25833.333333333332</v>
      </c>
      <c r="F5017" s="119">
        <f>+D5017*E5017</f>
        <v>25833.333333333332</v>
      </c>
    </row>
    <row r="5018" spans="1:6" x14ac:dyDescent="0.25">
      <c r="A5018" s="111"/>
      <c r="B5018" s="120" t="s">
        <v>993</v>
      </c>
      <c r="C5018" s="315"/>
      <c r="D5018" s="317"/>
      <c r="E5018" s="158"/>
      <c r="F5018" s="119">
        <f>0.1*F5017</f>
        <v>2583.3333333333335</v>
      </c>
    </row>
    <row r="5019" spans="1:6" x14ac:dyDescent="0.35">
      <c r="A5019" s="107"/>
      <c r="B5019" s="108" t="s">
        <v>769</v>
      </c>
      <c r="C5019" s="109"/>
      <c r="D5019" s="124"/>
      <c r="E5019" s="117"/>
      <c r="F5019" s="110">
        <f>SUM(F5017:F5018)</f>
        <v>28416.666666666664</v>
      </c>
    </row>
    <row r="5020" spans="1:6" x14ac:dyDescent="0.3">
      <c r="A5020" s="111"/>
      <c r="B5020" s="136" t="s">
        <v>808</v>
      </c>
      <c r="C5020" s="115"/>
      <c r="D5020" s="124"/>
      <c r="E5020" s="117"/>
      <c r="F5020" s="110"/>
    </row>
    <row r="5021" spans="1:6" x14ac:dyDescent="0.25">
      <c r="A5021" s="111"/>
      <c r="B5021" s="134" t="s">
        <v>821</v>
      </c>
      <c r="C5021" s="115" t="s">
        <v>772</v>
      </c>
      <c r="D5021" s="124">
        <v>0.75</v>
      </c>
      <c r="E5021" s="117">
        <v>7500</v>
      </c>
      <c r="F5021" s="110">
        <f>+D5021*E5021</f>
        <v>5625</v>
      </c>
    </row>
    <row r="5022" spans="1:6" x14ac:dyDescent="0.25">
      <c r="A5022" s="111"/>
      <c r="B5022" s="134" t="s">
        <v>794</v>
      </c>
      <c r="C5022" s="115" t="s">
        <v>772</v>
      </c>
      <c r="D5022" s="124">
        <v>1.5</v>
      </c>
      <c r="E5022" s="117">
        <v>15000</v>
      </c>
      <c r="F5022" s="110">
        <f>+D5022*E5022</f>
        <v>22500</v>
      </c>
    </row>
    <row r="5023" spans="1:6" x14ac:dyDescent="0.3">
      <c r="A5023" s="111"/>
      <c r="B5023" s="136" t="s">
        <v>774</v>
      </c>
      <c r="C5023" s="115"/>
      <c r="D5023" s="124"/>
      <c r="E5023" s="117"/>
      <c r="F5023" s="110">
        <f>SUM(F5021:F5022)</f>
        <v>28125</v>
      </c>
    </row>
    <row r="5024" spans="1:6" x14ac:dyDescent="0.3">
      <c r="A5024" s="111"/>
      <c r="B5024" s="136" t="s">
        <v>775</v>
      </c>
      <c r="C5024" s="115"/>
      <c r="D5024" s="109"/>
      <c r="E5024" s="110"/>
      <c r="F5024" s="110">
        <f>+F5023+F5019</f>
        <v>56541.666666666664</v>
      </c>
    </row>
    <row r="5025" spans="1:6" x14ac:dyDescent="0.25">
      <c r="A5025" s="111"/>
      <c r="B5025" s="134" t="s">
        <v>812</v>
      </c>
      <c r="C5025" s="115"/>
      <c r="D5025" s="124">
        <v>1.1499999999999999</v>
      </c>
      <c r="E5025" s="110"/>
      <c r="F5025" s="110">
        <f>+F5024*D5025</f>
        <v>65022.916666666657</v>
      </c>
    </row>
    <row r="5026" spans="1:6" x14ac:dyDescent="0.25">
      <c r="A5026" s="111"/>
      <c r="B5026" s="134" t="s">
        <v>813</v>
      </c>
      <c r="C5026" s="115"/>
      <c r="D5026" s="124">
        <v>1.1499999999999999</v>
      </c>
      <c r="E5026" s="110"/>
      <c r="F5026" s="110"/>
    </row>
    <row r="5027" spans="1:6" x14ac:dyDescent="0.35">
      <c r="A5027" s="322" t="s">
        <v>384</v>
      </c>
      <c r="B5027" s="242" t="s">
        <v>784</v>
      </c>
      <c r="C5027" s="208" t="s">
        <v>27</v>
      </c>
      <c r="D5027" s="208"/>
      <c r="E5027" s="209"/>
      <c r="F5027" s="209">
        <f>+D5026*F5025</f>
        <v>74776.354166666657</v>
      </c>
    </row>
    <row r="5028" spans="1:6" x14ac:dyDescent="0.35">
      <c r="A5028" s="206"/>
      <c r="B5028" s="207"/>
      <c r="C5028" s="208"/>
      <c r="D5028" s="245"/>
      <c r="E5028" s="210">
        <f>+E5011</f>
        <v>3035.45</v>
      </c>
      <c r="F5028" s="210">
        <f>+F5027/E5028</f>
        <v>24.634355422315195</v>
      </c>
    </row>
    <row r="5029" spans="1:6" x14ac:dyDescent="0.35">
      <c r="A5029" s="185"/>
      <c r="B5029" s="186"/>
      <c r="C5029" s="187"/>
      <c r="D5029" s="188"/>
      <c r="E5029" s="189"/>
      <c r="F5029" s="180"/>
    </row>
    <row r="5030" spans="1:6" x14ac:dyDescent="0.35">
      <c r="A5030" s="190"/>
      <c r="B5030" s="191"/>
      <c r="C5030" s="192"/>
      <c r="D5030" s="193"/>
      <c r="E5030" s="194"/>
      <c r="F5030" s="182"/>
    </row>
    <row r="5031" spans="1:6" x14ac:dyDescent="0.3">
      <c r="A5031" s="257" t="s">
        <v>343</v>
      </c>
      <c r="B5031" s="258" t="s">
        <v>344</v>
      </c>
      <c r="C5031" s="200" t="s">
        <v>2</v>
      </c>
      <c r="D5031" s="202" t="s">
        <v>765</v>
      </c>
      <c r="E5031" s="203" t="s">
        <v>766</v>
      </c>
      <c r="F5031" s="203" t="s">
        <v>767</v>
      </c>
    </row>
    <row r="5032" spans="1:6" x14ac:dyDescent="0.35">
      <c r="A5032" s="237" t="s">
        <v>388</v>
      </c>
      <c r="B5032" s="240" t="s">
        <v>1016</v>
      </c>
      <c r="C5032" s="256" t="s">
        <v>27</v>
      </c>
      <c r="D5032" s="141"/>
      <c r="E5032" s="110"/>
      <c r="F5032" s="110"/>
    </row>
    <row r="5033" spans="1:6" x14ac:dyDescent="0.35">
      <c r="A5033" s="111"/>
      <c r="B5033" s="112" t="s">
        <v>802</v>
      </c>
      <c r="C5033" s="118"/>
      <c r="D5033" s="118"/>
      <c r="E5033" s="119"/>
      <c r="F5033" s="119"/>
    </row>
    <row r="5034" spans="1:6" x14ac:dyDescent="0.25">
      <c r="A5034" s="111"/>
      <c r="B5034" s="324" t="s">
        <v>1017</v>
      </c>
      <c r="C5034" s="315" t="s">
        <v>27</v>
      </c>
      <c r="D5034" s="316">
        <v>1</v>
      </c>
      <c r="E5034" s="142">
        <f>450000/6</f>
        <v>75000</v>
      </c>
      <c r="F5034" s="119">
        <f>+D5034*E5034</f>
        <v>75000</v>
      </c>
    </row>
    <row r="5035" spans="1:6" x14ac:dyDescent="0.25">
      <c r="A5035" s="111"/>
      <c r="B5035" s="120" t="s">
        <v>993</v>
      </c>
      <c r="C5035" s="315"/>
      <c r="D5035" s="317"/>
      <c r="E5035" s="158"/>
      <c r="F5035" s="119">
        <f>0.1*F5034</f>
        <v>7500</v>
      </c>
    </row>
    <row r="5036" spans="1:6" x14ac:dyDescent="0.35">
      <c r="A5036" s="107"/>
      <c r="B5036" s="108" t="s">
        <v>769</v>
      </c>
      <c r="C5036" s="109"/>
      <c r="D5036" s="124"/>
      <c r="E5036" s="117"/>
      <c r="F5036" s="110">
        <f>SUM(F5034:F5035)</f>
        <v>82500</v>
      </c>
    </row>
    <row r="5037" spans="1:6" x14ac:dyDescent="0.3">
      <c r="A5037" s="111"/>
      <c r="B5037" s="136" t="s">
        <v>808</v>
      </c>
      <c r="C5037" s="115"/>
      <c r="D5037" s="124"/>
      <c r="E5037" s="117"/>
      <c r="F5037" s="110"/>
    </row>
    <row r="5038" spans="1:6" x14ac:dyDescent="0.25">
      <c r="A5038" s="111"/>
      <c r="B5038" s="134" t="s">
        <v>821</v>
      </c>
      <c r="C5038" s="115" t="s">
        <v>772</v>
      </c>
      <c r="D5038" s="124">
        <v>0.75</v>
      </c>
      <c r="E5038" s="117">
        <v>7500</v>
      </c>
      <c r="F5038" s="110">
        <f>+D5038*E5038</f>
        <v>5625</v>
      </c>
    </row>
    <row r="5039" spans="1:6" x14ac:dyDescent="0.25">
      <c r="A5039" s="111"/>
      <c r="B5039" s="134" t="s">
        <v>794</v>
      </c>
      <c r="C5039" s="115" t="s">
        <v>772</v>
      </c>
      <c r="D5039" s="124">
        <v>1.5</v>
      </c>
      <c r="E5039" s="117">
        <v>15000</v>
      </c>
      <c r="F5039" s="110">
        <f>+D5039*E5039</f>
        <v>22500</v>
      </c>
    </row>
    <row r="5040" spans="1:6" x14ac:dyDescent="0.3">
      <c r="A5040" s="111"/>
      <c r="B5040" s="136" t="s">
        <v>774</v>
      </c>
      <c r="C5040" s="115"/>
      <c r="D5040" s="124"/>
      <c r="E5040" s="117"/>
      <c r="F5040" s="110">
        <f>SUM(F5038:F5039)</f>
        <v>28125</v>
      </c>
    </row>
    <row r="5041" spans="1:6" x14ac:dyDescent="0.3">
      <c r="A5041" s="111"/>
      <c r="B5041" s="136" t="s">
        <v>775</v>
      </c>
      <c r="C5041" s="115"/>
      <c r="D5041" s="109"/>
      <c r="E5041" s="110"/>
      <c r="F5041" s="110">
        <f>+F5040+F5036</f>
        <v>110625</v>
      </c>
    </row>
    <row r="5042" spans="1:6" x14ac:dyDescent="0.25">
      <c r="A5042" s="111"/>
      <c r="B5042" s="134" t="s">
        <v>812</v>
      </c>
      <c r="C5042" s="115"/>
      <c r="D5042" s="124">
        <v>1.1499999999999999</v>
      </c>
      <c r="E5042" s="110"/>
      <c r="F5042" s="110">
        <f>+F5041*D5042</f>
        <v>127218.74999999999</v>
      </c>
    </row>
    <row r="5043" spans="1:6" x14ac:dyDescent="0.25">
      <c r="A5043" s="111"/>
      <c r="B5043" s="134" t="s">
        <v>813</v>
      </c>
      <c r="C5043" s="115"/>
      <c r="D5043" s="124">
        <v>1.1499999999999999</v>
      </c>
      <c r="E5043" s="110"/>
      <c r="F5043" s="110"/>
    </row>
    <row r="5044" spans="1:6" x14ac:dyDescent="0.35">
      <c r="A5044" s="322" t="s">
        <v>388</v>
      </c>
      <c r="B5044" s="242" t="s">
        <v>784</v>
      </c>
      <c r="C5044" s="208" t="s">
        <v>27</v>
      </c>
      <c r="D5044" s="208"/>
      <c r="E5044" s="209"/>
      <c r="F5044" s="209">
        <f>+D5043*F5042</f>
        <v>146301.56249999997</v>
      </c>
    </row>
    <row r="5045" spans="1:6" x14ac:dyDescent="0.35">
      <c r="A5045" s="206"/>
      <c r="B5045" s="207"/>
      <c r="C5045" s="208"/>
      <c r="D5045" s="245"/>
      <c r="E5045" s="210">
        <f>+E5028</f>
        <v>3035.45</v>
      </c>
      <c r="F5045" s="210">
        <f>+F5044/E5045</f>
        <v>48.197651913225378</v>
      </c>
    </row>
    <row r="5046" spans="1:6" x14ac:dyDescent="0.35">
      <c r="A5046" s="185"/>
      <c r="B5046" s="186"/>
      <c r="C5046" s="187"/>
      <c r="D5046" s="188"/>
      <c r="E5046" s="189"/>
      <c r="F5046" s="180"/>
    </row>
    <row r="5047" spans="1:6" x14ac:dyDescent="0.35">
      <c r="A5047" s="190"/>
      <c r="B5047" s="191"/>
      <c r="C5047" s="192"/>
      <c r="D5047" s="193"/>
      <c r="E5047" s="194"/>
      <c r="F5047" s="182"/>
    </row>
    <row r="5048" spans="1:6" x14ac:dyDescent="0.3">
      <c r="A5048" s="257" t="s">
        <v>343</v>
      </c>
      <c r="B5048" s="258" t="s">
        <v>344</v>
      </c>
      <c r="C5048" s="200" t="s">
        <v>2</v>
      </c>
      <c r="D5048" s="202" t="s">
        <v>765</v>
      </c>
      <c r="E5048" s="203" t="s">
        <v>766</v>
      </c>
      <c r="F5048" s="203" t="s">
        <v>767</v>
      </c>
    </row>
    <row r="5049" spans="1:6" ht="26" x14ac:dyDescent="0.35">
      <c r="A5049" s="237" t="s">
        <v>1028</v>
      </c>
      <c r="B5049" s="214" t="s">
        <v>1018</v>
      </c>
      <c r="C5049" s="256" t="s">
        <v>7</v>
      </c>
      <c r="D5049" s="141"/>
      <c r="E5049" s="110"/>
      <c r="F5049" s="110"/>
    </row>
    <row r="5050" spans="1:6" x14ac:dyDescent="0.35">
      <c r="A5050" s="111"/>
      <c r="B5050" s="112" t="s">
        <v>802</v>
      </c>
      <c r="C5050" s="118"/>
      <c r="D5050" s="118"/>
      <c r="E5050" s="119"/>
      <c r="F5050" s="119"/>
    </row>
    <row r="5051" spans="1:6" x14ac:dyDescent="0.25">
      <c r="A5051" s="111"/>
      <c r="B5051" s="324" t="s">
        <v>1019</v>
      </c>
      <c r="C5051" s="315" t="s">
        <v>27</v>
      </c>
      <c r="D5051" s="316">
        <v>1</v>
      </c>
      <c r="E5051" s="142">
        <v>6000000</v>
      </c>
      <c r="F5051" s="119">
        <f>+D5051*E5051</f>
        <v>6000000</v>
      </c>
    </row>
    <row r="5052" spans="1:6" x14ac:dyDescent="0.25">
      <c r="A5052" s="111"/>
      <c r="B5052" s="120" t="s">
        <v>1020</v>
      </c>
      <c r="C5052" s="315"/>
      <c r="D5052" s="317"/>
      <c r="E5052" s="158"/>
      <c r="F5052" s="119">
        <f>0.1*F5051</f>
        <v>600000</v>
      </c>
    </row>
    <row r="5053" spans="1:6" x14ac:dyDescent="0.35">
      <c r="A5053" s="107"/>
      <c r="B5053" s="108" t="s">
        <v>769</v>
      </c>
      <c r="C5053" s="109"/>
      <c r="D5053" s="124"/>
      <c r="E5053" s="117"/>
      <c r="F5053" s="110">
        <f>SUM(F5051:F5052)</f>
        <v>6600000</v>
      </c>
    </row>
    <row r="5054" spans="1:6" x14ac:dyDescent="0.3">
      <c r="A5054" s="111"/>
      <c r="B5054" s="136" t="s">
        <v>808</v>
      </c>
      <c r="C5054" s="115"/>
      <c r="D5054" s="124"/>
      <c r="E5054" s="117"/>
      <c r="F5054" s="110"/>
    </row>
    <row r="5055" spans="1:6" x14ac:dyDescent="0.25">
      <c r="A5055" s="111"/>
      <c r="B5055" s="134" t="s">
        <v>821</v>
      </c>
      <c r="C5055" s="115" t="s">
        <v>772</v>
      </c>
      <c r="D5055" s="124">
        <v>0.75</v>
      </c>
      <c r="E5055" s="117">
        <v>7500</v>
      </c>
      <c r="F5055" s="110">
        <f>+D5055*E5055</f>
        <v>5625</v>
      </c>
    </row>
    <row r="5056" spans="1:6" x14ac:dyDescent="0.25">
      <c r="A5056" s="111"/>
      <c r="B5056" s="134" t="s">
        <v>794</v>
      </c>
      <c r="C5056" s="115" t="s">
        <v>772</v>
      </c>
      <c r="D5056" s="124">
        <v>1.5</v>
      </c>
      <c r="E5056" s="117">
        <v>15000</v>
      </c>
      <c r="F5056" s="110">
        <f>+D5056*E5056</f>
        <v>22500</v>
      </c>
    </row>
    <row r="5057" spans="1:6" x14ac:dyDescent="0.3">
      <c r="A5057" s="111"/>
      <c r="B5057" s="136" t="s">
        <v>774</v>
      </c>
      <c r="C5057" s="115"/>
      <c r="D5057" s="124"/>
      <c r="E5057" s="117"/>
      <c r="F5057" s="110">
        <f>SUM(F5055:F5056)</f>
        <v>28125</v>
      </c>
    </row>
    <row r="5058" spans="1:6" x14ac:dyDescent="0.3">
      <c r="A5058" s="111"/>
      <c r="B5058" s="136" t="s">
        <v>775</v>
      </c>
      <c r="C5058" s="115"/>
      <c r="D5058" s="109"/>
      <c r="E5058" s="110"/>
      <c r="F5058" s="110">
        <f>+F5057+F5053</f>
        <v>6628125</v>
      </c>
    </row>
    <row r="5059" spans="1:6" x14ac:dyDescent="0.25">
      <c r="A5059" s="111"/>
      <c r="B5059" s="134" t="s">
        <v>776</v>
      </c>
      <c r="C5059" s="115"/>
      <c r="D5059" s="124">
        <v>1.25</v>
      </c>
      <c r="E5059" s="110"/>
      <c r="F5059" s="110">
        <f>+F5058*D5059</f>
        <v>8285156.25</v>
      </c>
    </row>
    <row r="5060" spans="1:6" x14ac:dyDescent="0.25">
      <c r="A5060" s="111"/>
      <c r="B5060" s="134" t="s">
        <v>835</v>
      </c>
      <c r="C5060" s="115"/>
      <c r="D5060" s="124">
        <v>1.25</v>
      </c>
      <c r="E5060" s="110"/>
      <c r="F5060" s="110"/>
    </row>
    <row r="5061" spans="1:6" x14ac:dyDescent="0.35">
      <c r="A5061" s="322" t="s">
        <v>1028</v>
      </c>
      <c r="B5061" s="242" t="s">
        <v>784</v>
      </c>
      <c r="C5061" s="208" t="s">
        <v>27</v>
      </c>
      <c r="D5061" s="208"/>
      <c r="E5061" s="209"/>
      <c r="F5061" s="209">
        <f>+D5060*F5059</f>
        <v>10356445.3125</v>
      </c>
    </row>
    <row r="5062" spans="1:6" x14ac:dyDescent="0.35">
      <c r="A5062" s="206"/>
      <c r="B5062" s="207"/>
      <c r="C5062" s="208"/>
      <c r="D5062" s="245"/>
      <c r="E5062" s="210">
        <f>+E5045</f>
        <v>3035.45</v>
      </c>
      <c r="F5062" s="210">
        <f>+F5061/E5062</f>
        <v>3411.8319565468055</v>
      </c>
    </row>
    <row r="5063" spans="1:6" x14ac:dyDescent="0.35">
      <c r="A5063" s="185"/>
      <c r="B5063" s="186"/>
      <c r="C5063" s="187"/>
      <c r="D5063" s="188"/>
      <c r="E5063" s="189"/>
      <c r="F5063" s="180"/>
    </row>
    <row r="5064" spans="1:6" x14ac:dyDescent="0.35">
      <c r="D5064" s="193"/>
    </row>
    <row r="5065" spans="1:6" x14ac:dyDescent="0.3">
      <c r="A5065" s="257" t="s">
        <v>343</v>
      </c>
      <c r="B5065" s="258" t="s">
        <v>344</v>
      </c>
      <c r="C5065" s="200" t="s">
        <v>2</v>
      </c>
      <c r="D5065" s="202" t="s">
        <v>765</v>
      </c>
      <c r="E5065" s="203" t="s">
        <v>766</v>
      </c>
      <c r="F5065" s="203" t="s">
        <v>767</v>
      </c>
    </row>
    <row r="5066" spans="1:6" x14ac:dyDescent="0.35">
      <c r="A5066" s="237" t="s">
        <v>1030</v>
      </c>
      <c r="B5066" s="329" t="s">
        <v>369</v>
      </c>
      <c r="C5066" s="330" t="s">
        <v>13</v>
      </c>
      <c r="D5066" s="141"/>
      <c r="E5066" s="110"/>
      <c r="F5066" s="110"/>
    </row>
    <row r="5067" spans="1:6" x14ac:dyDescent="0.35">
      <c r="A5067" s="111"/>
      <c r="B5067" s="112" t="s">
        <v>802</v>
      </c>
      <c r="C5067" s="118"/>
      <c r="D5067" s="118"/>
      <c r="E5067" s="119"/>
      <c r="F5067" s="119"/>
    </row>
    <row r="5068" spans="1:6" x14ac:dyDescent="0.25">
      <c r="A5068" s="111"/>
      <c r="B5068" s="324" t="s">
        <v>369</v>
      </c>
      <c r="C5068" s="315" t="s">
        <v>27</v>
      </c>
      <c r="D5068" s="316">
        <v>1</v>
      </c>
      <c r="E5068" s="142">
        <v>200000</v>
      </c>
      <c r="F5068" s="119">
        <f>+D5068*E5068</f>
        <v>200000</v>
      </c>
    </row>
    <row r="5069" spans="1:6" x14ac:dyDescent="0.25">
      <c r="A5069" s="111"/>
      <c r="B5069" s="120" t="s">
        <v>993</v>
      </c>
      <c r="C5069" s="315"/>
      <c r="D5069" s="317"/>
      <c r="E5069" s="158"/>
      <c r="F5069" s="119">
        <f>0.1*F5068</f>
        <v>20000</v>
      </c>
    </row>
    <row r="5070" spans="1:6" x14ac:dyDescent="0.35">
      <c r="A5070" s="107"/>
      <c r="B5070" s="108" t="s">
        <v>769</v>
      </c>
      <c r="C5070" s="109"/>
      <c r="D5070" s="124"/>
      <c r="E5070" s="117"/>
      <c r="F5070" s="110">
        <f>SUM(F5068:F5069)</f>
        <v>220000</v>
      </c>
    </row>
    <row r="5071" spans="1:6" x14ac:dyDescent="0.3">
      <c r="A5071" s="111"/>
      <c r="B5071" s="136" t="s">
        <v>808</v>
      </c>
      <c r="C5071" s="115"/>
      <c r="D5071" s="124"/>
      <c r="E5071" s="117"/>
      <c r="F5071" s="110"/>
    </row>
    <row r="5072" spans="1:6" x14ac:dyDescent="0.25">
      <c r="A5072" s="111"/>
      <c r="B5072" s="134" t="s">
        <v>821</v>
      </c>
      <c r="C5072" s="115" t="s">
        <v>772</v>
      </c>
      <c r="D5072" s="124">
        <v>0.75</v>
      </c>
      <c r="E5072" s="117">
        <v>7500</v>
      </c>
      <c r="F5072" s="110">
        <f>+D5072*E5072</f>
        <v>5625</v>
      </c>
    </row>
    <row r="5073" spans="1:6" x14ac:dyDescent="0.25">
      <c r="A5073" s="111"/>
      <c r="B5073" s="134" t="s">
        <v>794</v>
      </c>
      <c r="C5073" s="115" t="s">
        <v>772</v>
      </c>
      <c r="D5073" s="124">
        <v>1.5</v>
      </c>
      <c r="E5073" s="117">
        <v>15000</v>
      </c>
      <c r="F5073" s="110">
        <f>+D5073*E5073</f>
        <v>22500</v>
      </c>
    </row>
    <row r="5074" spans="1:6" x14ac:dyDescent="0.3">
      <c r="A5074" s="111"/>
      <c r="B5074" s="136" t="s">
        <v>774</v>
      </c>
      <c r="C5074" s="115"/>
      <c r="D5074" s="124"/>
      <c r="E5074" s="117"/>
      <c r="F5074" s="110">
        <f>SUM(F5072:F5073)</f>
        <v>28125</v>
      </c>
    </row>
    <row r="5075" spans="1:6" x14ac:dyDescent="0.3">
      <c r="A5075" s="111"/>
      <c r="B5075" s="136" t="s">
        <v>775</v>
      </c>
      <c r="C5075" s="115"/>
      <c r="D5075" s="109"/>
      <c r="E5075" s="110"/>
      <c r="F5075" s="110">
        <f>+F5074+F5070</f>
        <v>248125</v>
      </c>
    </row>
    <row r="5076" spans="1:6" x14ac:dyDescent="0.25">
      <c r="A5076" s="111"/>
      <c r="B5076" s="134" t="s">
        <v>812</v>
      </c>
      <c r="C5076" s="115"/>
      <c r="D5076" s="124">
        <v>1.1499999999999999</v>
      </c>
      <c r="E5076" s="110"/>
      <c r="F5076" s="110">
        <f>+F5075*D5076</f>
        <v>285343.75</v>
      </c>
    </row>
    <row r="5077" spans="1:6" x14ac:dyDescent="0.25">
      <c r="A5077" s="111"/>
      <c r="B5077" s="134" t="s">
        <v>813</v>
      </c>
      <c r="C5077" s="115"/>
      <c r="D5077" s="124">
        <v>1.1499999999999999</v>
      </c>
      <c r="E5077" s="110"/>
      <c r="F5077" s="110"/>
    </row>
    <row r="5078" spans="1:6" x14ac:dyDescent="0.35">
      <c r="A5078" s="322" t="s">
        <v>1030</v>
      </c>
      <c r="B5078" s="242" t="s">
        <v>784</v>
      </c>
      <c r="C5078" s="208" t="s">
        <v>27</v>
      </c>
      <c r="D5078" s="208"/>
      <c r="E5078" s="209"/>
      <c r="F5078" s="209">
        <f>+D5077*F5076</f>
        <v>328145.3125</v>
      </c>
    </row>
    <row r="5079" spans="1:6" x14ac:dyDescent="0.35">
      <c r="A5079" s="206"/>
      <c r="B5079" s="207"/>
      <c r="C5079" s="208"/>
      <c r="D5079" s="208"/>
      <c r="E5079" s="210">
        <f>+E5062</f>
        <v>3035.45</v>
      </c>
      <c r="F5079" s="210">
        <f>+F5078/E5079</f>
        <v>108.10433790706486</v>
      </c>
    </row>
    <row r="5082" spans="1:6" x14ac:dyDescent="0.3">
      <c r="A5082" s="257" t="s">
        <v>343</v>
      </c>
      <c r="B5082" s="258" t="s">
        <v>344</v>
      </c>
      <c r="C5082" s="200" t="s">
        <v>2</v>
      </c>
      <c r="D5082" s="202" t="s">
        <v>765</v>
      </c>
      <c r="E5082" s="203" t="s">
        <v>766</v>
      </c>
      <c r="F5082" s="203" t="s">
        <v>767</v>
      </c>
    </row>
    <row r="5083" spans="1:6" x14ac:dyDescent="0.3">
      <c r="A5083" s="237" t="s">
        <v>1031</v>
      </c>
      <c r="B5083" s="254" t="s">
        <v>1168</v>
      </c>
      <c r="C5083" s="256" t="s">
        <v>59</v>
      </c>
      <c r="D5083" s="141"/>
      <c r="E5083" s="110"/>
      <c r="F5083" s="110"/>
    </row>
    <row r="5084" spans="1:6" x14ac:dyDescent="0.35">
      <c r="A5084" s="111"/>
      <c r="B5084" s="112" t="s">
        <v>802</v>
      </c>
      <c r="C5084" s="118"/>
      <c r="D5084" s="118"/>
      <c r="E5084" s="119"/>
      <c r="F5084" s="119"/>
    </row>
    <row r="5085" spans="1:6" x14ac:dyDescent="0.25">
      <c r="A5085" s="111"/>
      <c r="B5085" s="324" t="s">
        <v>1021</v>
      </c>
      <c r="C5085" s="315" t="s">
        <v>59</v>
      </c>
      <c r="D5085" s="316">
        <v>1</v>
      </c>
      <c r="E5085" s="142">
        <v>15000000</v>
      </c>
      <c r="F5085" s="119">
        <f>+D5085*E5085</f>
        <v>15000000</v>
      </c>
    </row>
    <row r="5086" spans="1:6" x14ac:dyDescent="0.25">
      <c r="A5086" s="111"/>
      <c r="B5086" s="120" t="s">
        <v>1022</v>
      </c>
      <c r="C5086" s="315"/>
      <c r="D5086" s="317"/>
      <c r="E5086" s="158"/>
      <c r="F5086" s="119">
        <f>0.1*F5085</f>
        <v>1500000</v>
      </c>
    </row>
    <row r="5087" spans="1:6" x14ac:dyDescent="0.35">
      <c r="A5087" s="107"/>
      <c r="B5087" s="108" t="s">
        <v>769</v>
      </c>
      <c r="C5087" s="109"/>
      <c r="D5087" s="124"/>
      <c r="E5087" s="117"/>
      <c r="F5087" s="110">
        <f>SUM(F5085:F5086)</f>
        <v>16500000</v>
      </c>
    </row>
    <row r="5088" spans="1:6" x14ac:dyDescent="0.3">
      <c r="A5088" s="111"/>
      <c r="B5088" s="136" t="s">
        <v>808</v>
      </c>
      <c r="C5088" s="115"/>
      <c r="D5088" s="124"/>
      <c r="E5088" s="117"/>
      <c r="F5088" s="110"/>
    </row>
    <row r="5089" spans="1:6" x14ac:dyDescent="0.25">
      <c r="A5089" s="111"/>
      <c r="B5089" s="134" t="s">
        <v>821</v>
      </c>
      <c r="C5089" s="115" t="s">
        <v>772</v>
      </c>
      <c r="D5089" s="124">
        <v>0.75</v>
      </c>
      <c r="E5089" s="117">
        <v>7500</v>
      </c>
      <c r="F5089" s="110">
        <f>+D5089*E5089</f>
        <v>5625</v>
      </c>
    </row>
    <row r="5090" spans="1:6" x14ac:dyDescent="0.25">
      <c r="A5090" s="111"/>
      <c r="B5090" s="134" t="s">
        <v>794</v>
      </c>
      <c r="C5090" s="115" t="s">
        <v>772</v>
      </c>
      <c r="D5090" s="124">
        <v>1.5</v>
      </c>
      <c r="E5090" s="117">
        <v>15000</v>
      </c>
      <c r="F5090" s="110">
        <f>+D5090*E5090</f>
        <v>22500</v>
      </c>
    </row>
    <row r="5091" spans="1:6" x14ac:dyDescent="0.3">
      <c r="A5091" s="111"/>
      <c r="B5091" s="136" t="s">
        <v>774</v>
      </c>
      <c r="C5091" s="115"/>
      <c r="D5091" s="124"/>
      <c r="E5091" s="117"/>
      <c r="F5091" s="110">
        <f>SUM(F5089:F5090)</f>
        <v>28125</v>
      </c>
    </row>
    <row r="5092" spans="1:6" x14ac:dyDescent="0.3">
      <c r="A5092" s="111"/>
      <c r="B5092" s="136" t="s">
        <v>775</v>
      </c>
      <c r="C5092" s="115"/>
      <c r="D5092" s="109"/>
      <c r="E5092" s="110"/>
      <c r="F5092" s="110">
        <f>+F5091+F5087</f>
        <v>16528125</v>
      </c>
    </row>
    <row r="5093" spans="1:6" x14ac:dyDescent="0.25">
      <c r="A5093" s="111"/>
      <c r="B5093" s="134" t="s">
        <v>776</v>
      </c>
      <c r="C5093" s="115"/>
      <c r="D5093" s="124">
        <v>1.25</v>
      </c>
      <c r="E5093" s="110"/>
      <c r="F5093" s="110">
        <f>+F5092*D5093</f>
        <v>20660156.25</v>
      </c>
    </row>
    <row r="5094" spans="1:6" x14ac:dyDescent="0.25">
      <c r="A5094" s="111"/>
      <c r="B5094" s="134" t="s">
        <v>835</v>
      </c>
      <c r="C5094" s="115"/>
      <c r="D5094" s="124">
        <v>1.25</v>
      </c>
      <c r="E5094" s="110"/>
      <c r="F5094" s="110"/>
    </row>
    <row r="5095" spans="1:6" x14ac:dyDescent="0.35">
      <c r="A5095" s="322" t="s">
        <v>1031</v>
      </c>
      <c r="B5095" s="242" t="s">
        <v>785</v>
      </c>
      <c r="C5095" s="208" t="s">
        <v>59</v>
      </c>
      <c r="D5095" s="208"/>
      <c r="E5095" s="209"/>
      <c r="F5095" s="209">
        <f>+D5094*F5093</f>
        <v>25825195.3125</v>
      </c>
    </row>
    <row r="5096" spans="1:6" x14ac:dyDescent="0.35">
      <c r="A5096" s="206"/>
      <c r="B5096" s="207"/>
      <c r="C5096" s="208"/>
      <c r="D5096" s="245"/>
      <c r="E5096" s="210">
        <f>+E5079</f>
        <v>3035.45</v>
      </c>
      <c r="F5096" s="210">
        <f>+F5095/E5096</f>
        <v>8507.8638463819207</v>
      </c>
    </row>
    <row r="5097" spans="1:6" x14ac:dyDescent="0.35">
      <c r="A5097" s="185"/>
      <c r="B5097" s="186"/>
      <c r="C5097" s="187"/>
      <c r="D5097" s="188"/>
      <c r="E5097" s="189"/>
      <c r="F5097" s="180"/>
    </row>
    <row r="5098" spans="1:6" x14ac:dyDescent="0.35">
      <c r="D5098" s="193"/>
    </row>
    <row r="5099" spans="1:6" x14ac:dyDescent="0.3">
      <c r="A5099" s="257" t="s">
        <v>343</v>
      </c>
      <c r="B5099" s="258" t="s">
        <v>344</v>
      </c>
      <c r="C5099" s="200" t="s">
        <v>2</v>
      </c>
      <c r="D5099" s="202" t="s">
        <v>765</v>
      </c>
      <c r="E5099" s="203" t="s">
        <v>766</v>
      </c>
      <c r="F5099" s="203" t="s">
        <v>767</v>
      </c>
    </row>
    <row r="5100" spans="1:6" x14ac:dyDescent="0.3">
      <c r="A5100" s="237" t="s">
        <v>1035</v>
      </c>
      <c r="B5100" s="254" t="s">
        <v>1023</v>
      </c>
      <c r="C5100" s="256" t="s">
        <v>59</v>
      </c>
      <c r="D5100" s="141"/>
      <c r="E5100" s="110"/>
      <c r="F5100" s="110"/>
    </row>
    <row r="5101" spans="1:6" x14ac:dyDescent="0.35">
      <c r="A5101" s="111"/>
      <c r="B5101" s="112" t="s">
        <v>802</v>
      </c>
      <c r="C5101" s="118"/>
      <c r="D5101" s="118"/>
      <c r="E5101" s="119"/>
      <c r="F5101" s="119"/>
    </row>
    <row r="5102" spans="1:6" x14ac:dyDescent="0.25">
      <c r="A5102" s="111"/>
      <c r="B5102" s="324" t="s">
        <v>370</v>
      </c>
      <c r="C5102" s="315" t="s">
        <v>59</v>
      </c>
      <c r="D5102" s="316">
        <v>1</v>
      </c>
      <c r="E5102" s="142">
        <v>7500000</v>
      </c>
      <c r="F5102" s="119">
        <f>+D5102*E5102</f>
        <v>7500000</v>
      </c>
    </row>
    <row r="5103" spans="1:6" x14ac:dyDescent="0.25">
      <c r="A5103" s="111"/>
      <c r="B5103" s="120" t="s">
        <v>1024</v>
      </c>
      <c r="C5103" s="315"/>
      <c r="D5103" s="317"/>
      <c r="E5103" s="158"/>
      <c r="F5103" s="119">
        <f>0.1*F5102</f>
        <v>750000</v>
      </c>
    </row>
    <row r="5104" spans="1:6" x14ac:dyDescent="0.35">
      <c r="A5104" s="107"/>
      <c r="B5104" s="108" t="s">
        <v>769</v>
      </c>
      <c r="C5104" s="109"/>
      <c r="D5104" s="124"/>
      <c r="E5104" s="117"/>
      <c r="F5104" s="110">
        <f>SUM(F5102:F5103)</f>
        <v>8250000</v>
      </c>
    </row>
    <row r="5105" spans="1:6" x14ac:dyDescent="0.3">
      <c r="A5105" s="111"/>
      <c r="B5105" s="136" t="s">
        <v>808</v>
      </c>
      <c r="C5105" s="115"/>
      <c r="D5105" s="124"/>
      <c r="E5105" s="117"/>
      <c r="F5105" s="110"/>
    </row>
    <row r="5106" spans="1:6" x14ac:dyDescent="0.25">
      <c r="A5106" s="111"/>
      <c r="B5106" s="134" t="s">
        <v>821</v>
      </c>
      <c r="C5106" s="115" t="s">
        <v>772</v>
      </c>
      <c r="D5106" s="124">
        <v>0.75</v>
      </c>
      <c r="E5106" s="117">
        <v>7500</v>
      </c>
      <c r="F5106" s="110">
        <f>+D5106*E5106</f>
        <v>5625</v>
      </c>
    </row>
    <row r="5107" spans="1:6" x14ac:dyDescent="0.25">
      <c r="A5107" s="111"/>
      <c r="B5107" s="134" t="s">
        <v>794</v>
      </c>
      <c r="C5107" s="115" t="s">
        <v>772</v>
      </c>
      <c r="D5107" s="124">
        <v>1.5</v>
      </c>
      <c r="E5107" s="117">
        <v>15000</v>
      </c>
      <c r="F5107" s="110">
        <f>+D5107*E5107</f>
        <v>22500</v>
      </c>
    </row>
    <row r="5108" spans="1:6" x14ac:dyDescent="0.3">
      <c r="A5108" s="111"/>
      <c r="B5108" s="136" t="s">
        <v>774</v>
      </c>
      <c r="C5108" s="115"/>
      <c r="D5108" s="124"/>
      <c r="E5108" s="117"/>
      <c r="F5108" s="110">
        <f>SUM(F5106:F5107)</f>
        <v>28125</v>
      </c>
    </row>
    <row r="5109" spans="1:6" x14ac:dyDescent="0.3">
      <c r="A5109" s="111"/>
      <c r="B5109" s="136" t="s">
        <v>775</v>
      </c>
      <c r="C5109" s="115"/>
      <c r="D5109" s="109"/>
      <c r="E5109" s="110"/>
      <c r="F5109" s="110">
        <f>+F5108+F5104</f>
        <v>8278125</v>
      </c>
    </row>
    <row r="5110" spans="1:6" x14ac:dyDescent="0.25">
      <c r="A5110" s="111"/>
      <c r="B5110" s="134" t="s">
        <v>776</v>
      </c>
      <c r="C5110" s="115"/>
      <c r="D5110" s="124">
        <v>1.25</v>
      </c>
      <c r="E5110" s="110"/>
      <c r="F5110" s="110">
        <f>+F5109*D5110</f>
        <v>10347656.25</v>
      </c>
    </row>
    <row r="5111" spans="1:6" x14ac:dyDescent="0.25">
      <c r="A5111" s="111"/>
      <c r="B5111" s="134" t="s">
        <v>835</v>
      </c>
      <c r="C5111" s="115"/>
      <c r="D5111" s="124">
        <v>1.25</v>
      </c>
      <c r="E5111" s="110"/>
      <c r="F5111" s="110"/>
    </row>
    <row r="5112" spans="1:6" x14ac:dyDescent="0.35">
      <c r="A5112" s="322" t="s">
        <v>1035</v>
      </c>
      <c r="B5112" s="242" t="s">
        <v>785</v>
      </c>
      <c r="C5112" s="208" t="s">
        <v>59</v>
      </c>
      <c r="D5112" s="208"/>
      <c r="E5112" s="209"/>
      <c r="F5112" s="209">
        <f>+D5111*F5110</f>
        <v>12934570.3125</v>
      </c>
    </row>
    <row r="5113" spans="1:6" x14ac:dyDescent="0.35">
      <c r="A5113" s="206"/>
      <c r="B5113" s="207"/>
      <c r="C5113" s="208"/>
      <c r="D5113" s="245"/>
      <c r="E5113" s="210">
        <f>+E5096</f>
        <v>3035.45</v>
      </c>
      <c r="F5113" s="210">
        <f>+F5112/E5113</f>
        <v>4261.1706048526576</v>
      </c>
    </row>
    <row r="5114" spans="1:6" x14ac:dyDescent="0.35">
      <c r="A5114" s="185"/>
      <c r="B5114" s="186"/>
      <c r="C5114" s="187"/>
      <c r="D5114" s="188"/>
      <c r="E5114" s="189"/>
      <c r="F5114" s="180"/>
    </row>
    <row r="5115" spans="1:6" x14ac:dyDescent="0.35">
      <c r="A5115" s="190"/>
      <c r="B5115" s="191"/>
      <c r="C5115" s="192"/>
      <c r="D5115" s="193"/>
      <c r="E5115" s="194"/>
      <c r="F5115" s="182"/>
    </row>
    <row r="5116" spans="1:6" x14ac:dyDescent="0.3">
      <c r="A5116" s="257" t="s">
        <v>343</v>
      </c>
      <c r="B5116" s="258" t="s">
        <v>344</v>
      </c>
      <c r="C5116" s="200" t="s">
        <v>2</v>
      </c>
      <c r="D5116" s="202" t="s">
        <v>765</v>
      </c>
      <c r="E5116" s="203" t="s">
        <v>766</v>
      </c>
      <c r="F5116" s="203" t="s">
        <v>767</v>
      </c>
    </row>
    <row r="5117" spans="1:6" x14ac:dyDescent="0.3">
      <c r="A5117" s="237" t="s">
        <v>1169</v>
      </c>
      <c r="B5117" s="254" t="s">
        <v>219</v>
      </c>
      <c r="C5117" s="256" t="s">
        <v>59</v>
      </c>
      <c r="D5117" s="141"/>
      <c r="E5117" s="110"/>
      <c r="F5117" s="110"/>
    </row>
    <row r="5118" spans="1:6" x14ac:dyDescent="0.35">
      <c r="A5118" s="111"/>
      <c r="B5118" s="112" t="s">
        <v>802</v>
      </c>
      <c r="C5118" s="118"/>
      <c r="D5118" s="118"/>
      <c r="E5118" s="119"/>
      <c r="F5118" s="119"/>
    </row>
    <row r="5119" spans="1:6" x14ac:dyDescent="0.25">
      <c r="A5119" s="111"/>
      <c r="B5119" s="324" t="s">
        <v>370</v>
      </c>
      <c r="C5119" s="315" t="s">
        <v>59</v>
      </c>
      <c r="D5119" s="316">
        <v>1</v>
      </c>
      <c r="E5119" s="142">
        <v>1000000</v>
      </c>
      <c r="F5119" s="119">
        <f>+D5119*E5119</f>
        <v>1000000</v>
      </c>
    </row>
    <row r="5120" spans="1:6" x14ac:dyDescent="0.25">
      <c r="A5120" s="111"/>
      <c r="B5120" s="120" t="s">
        <v>1024</v>
      </c>
      <c r="C5120" s="315"/>
      <c r="D5120" s="317"/>
      <c r="E5120" s="158"/>
      <c r="F5120" s="119">
        <f>0.1*F5119</f>
        <v>100000</v>
      </c>
    </row>
    <row r="5121" spans="1:6" x14ac:dyDescent="0.35">
      <c r="A5121" s="107"/>
      <c r="B5121" s="108" t="s">
        <v>769</v>
      </c>
      <c r="C5121" s="109"/>
      <c r="D5121" s="124"/>
      <c r="E5121" s="117"/>
      <c r="F5121" s="110">
        <f>SUM(F5119:F5120)</f>
        <v>1100000</v>
      </c>
    </row>
    <row r="5122" spans="1:6" x14ac:dyDescent="0.3">
      <c r="A5122" s="111"/>
      <c r="B5122" s="136" t="s">
        <v>808</v>
      </c>
      <c r="C5122" s="115"/>
      <c r="D5122" s="124"/>
      <c r="E5122" s="117"/>
      <c r="F5122" s="110"/>
    </row>
    <row r="5123" spans="1:6" x14ac:dyDescent="0.25">
      <c r="A5123" s="111"/>
      <c r="B5123" s="134" t="s">
        <v>821</v>
      </c>
      <c r="C5123" s="115" t="s">
        <v>772</v>
      </c>
      <c r="D5123" s="124">
        <v>0.75</v>
      </c>
      <c r="E5123" s="117">
        <v>7500</v>
      </c>
      <c r="F5123" s="110">
        <f>+D5123*E5123</f>
        <v>5625</v>
      </c>
    </row>
    <row r="5124" spans="1:6" x14ac:dyDescent="0.25">
      <c r="A5124" s="111"/>
      <c r="B5124" s="134" t="s">
        <v>794</v>
      </c>
      <c r="C5124" s="115" t="s">
        <v>772</v>
      </c>
      <c r="D5124" s="124">
        <v>1.5</v>
      </c>
      <c r="E5124" s="117">
        <v>15000</v>
      </c>
      <c r="F5124" s="110">
        <f>+D5124*E5124</f>
        <v>22500</v>
      </c>
    </row>
    <row r="5125" spans="1:6" x14ac:dyDescent="0.3">
      <c r="A5125" s="111"/>
      <c r="B5125" s="136" t="s">
        <v>774</v>
      </c>
      <c r="C5125" s="115"/>
      <c r="D5125" s="124"/>
      <c r="E5125" s="117"/>
      <c r="F5125" s="110">
        <f>SUM(F5123:F5124)</f>
        <v>28125</v>
      </c>
    </row>
    <row r="5126" spans="1:6" x14ac:dyDescent="0.3">
      <c r="A5126" s="111"/>
      <c r="B5126" s="136" t="s">
        <v>775</v>
      </c>
      <c r="C5126" s="115"/>
      <c r="D5126" s="109"/>
      <c r="E5126" s="110"/>
      <c r="F5126" s="110">
        <f>+F5125+F5121</f>
        <v>1128125</v>
      </c>
    </row>
    <row r="5127" spans="1:6" x14ac:dyDescent="0.25">
      <c r="A5127" s="111"/>
      <c r="B5127" s="134" t="s">
        <v>776</v>
      </c>
      <c r="C5127" s="115"/>
      <c r="D5127" s="124">
        <v>1.25</v>
      </c>
      <c r="E5127" s="110"/>
      <c r="F5127" s="110">
        <f>+F5126*D5127</f>
        <v>1410156.25</v>
      </c>
    </row>
    <row r="5128" spans="1:6" x14ac:dyDescent="0.25">
      <c r="A5128" s="111"/>
      <c r="B5128" s="134" t="s">
        <v>835</v>
      </c>
      <c r="C5128" s="115"/>
      <c r="D5128" s="124">
        <v>1.25</v>
      </c>
      <c r="E5128" s="110"/>
      <c r="F5128" s="110"/>
    </row>
    <row r="5129" spans="1:6" x14ac:dyDescent="0.35">
      <c r="A5129" s="322" t="s">
        <v>1169</v>
      </c>
      <c r="B5129" s="242" t="s">
        <v>785</v>
      </c>
      <c r="C5129" s="208" t="s">
        <v>59</v>
      </c>
      <c r="D5129" s="208"/>
      <c r="E5129" s="209"/>
      <c r="F5129" s="209">
        <f>+D5128*F5127</f>
        <v>1762695.3125</v>
      </c>
    </row>
    <row r="5130" spans="1:6" x14ac:dyDescent="0.35">
      <c r="A5130" s="243"/>
      <c r="B5130" s="244"/>
      <c r="C5130" s="245"/>
      <c r="D5130" s="245"/>
      <c r="E5130" s="246">
        <f>+E5113</f>
        <v>3035.45</v>
      </c>
      <c r="F5130" s="246">
        <f>+F5129/E5130</f>
        <v>580.70312886063027</v>
      </c>
    </row>
    <row r="5131" spans="1:6" x14ac:dyDescent="0.35">
      <c r="A5131" s="185"/>
      <c r="B5131" s="186"/>
      <c r="C5131" s="187"/>
      <c r="D5131" s="188"/>
      <c r="E5131" s="189"/>
      <c r="F5131" s="180"/>
    </row>
    <row r="5132" spans="1:6" x14ac:dyDescent="0.35">
      <c r="A5132" s="190"/>
      <c r="B5132" s="191"/>
      <c r="C5132" s="192"/>
      <c r="D5132" s="193"/>
      <c r="E5132" s="194"/>
      <c r="F5132" s="182"/>
    </row>
    <row r="5133" spans="1:6" x14ac:dyDescent="0.3">
      <c r="A5133" s="257" t="s">
        <v>343</v>
      </c>
      <c r="B5133" s="258" t="s">
        <v>344</v>
      </c>
      <c r="C5133" s="200" t="s">
        <v>2</v>
      </c>
      <c r="D5133" s="202" t="s">
        <v>765</v>
      </c>
      <c r="E5133" s="203" t="s">
        <v>766</v>
      </c>
      <c r="F5133" s="203" t="s">
        <v>767</v>
      </c>
    </row>
    <row r="5134" spans="1:6" x14ac:dyDescent="0.3">
      <c r="A5134" s="237" t="s">
        <v>1170</v>
      </c>
      <c r="B5134" s="254" t="s">
        <v>221</v>
      </c>
      <c r="C5134" s="256" t="s">
        <v>59</v>
      </c>
      <c r="D5134" s="141"/>
      <c r="E5134" s="110"/>
      <c r="F5134" s="110"/>
    </row>
    <row r="5135" spans="1:6" x14ac:dyDescent="0.35">
      <c r="A5135" s="111"/>
      <c r="B5135" s="112" t="s">
        <v>802</v>
      </c>
      <c r="C5135" s="118"/>
      <c r="D5135" s="118"/>
      <c r="E5135" s="119"/>
      <c r="F5135" s="119"/>
    </row>
    <row r="5136" spans="1:6" x14ac:dyDescent="0.25">
      <c r="A5136" s="111"/>
      <c r="B5136" s="263" t="s">
        <v>221</v>
      </c>
      <c r="C5136" s="315" t="s">
        <v>59</v>
      </c>
      <c r="D5136" s="316">
        <v>1</v>
      </c>
      <c r="E5136" s="142">
        <v>7250000</v>
      </c>
      <c r="F5136" s="119">
        <f>+D5136*E5136</f>
        <v>7250000</v>
      </c>
    </row>
    <row r="5137" spans="1:6" x14ac:dyDescent="0.25">
      <c r="A5137" s="111"/>
      <c r="B5137" s="120" t="s">
        <v>1024</v>
      </c>
      <c r="C5137" s="315"/>
      <c r="D5137" s="317"/>
      <c r="E5137" s="158"/>
      <c r="F5137" s="119">
        <f>0.1*F5136</f>
        <v>725000</v>
      </c>
    </row>
    <row r="5138" spans="1:6" x14ac:dyDescent="0.35">
      <c r="A5138" s="107"/>
      <c r="B5138" s="108" t="s">
        <v>769</v>
      </c>
      <c r="C5138" s="109"/>
      <c r="D5138" s="124"/>
      <c r="E5138" s="117"/>
      <c r="F5138" s="110">
        <f>SUM(F5136:F5137)</f>
        <v>7975000</v>
      </c>
    </row>
    <row r="5139" spans="1:6" x14ac:dyDescent="0.3">
      <c r="A5139" s="111"/>
      <c r="B5139" s="136" t="s">
        <v>808</v>
      </c>
      <c r="C5139" s="115"/>
      <c r="D5139" s="124"/>
      <c r="E5139" s="117"/>
      <c r="F5139" s="110"/>
    </row>
    <row r="5140" spans="1:6" x14ac:dyDescent="0.25">
      <c r="A5140" s="111"/>
      <c r="B5140" s="134" t="s">
        <v>821</v>
      </c>
      <c r="C5140" s="115" t="s">
        <v>772</v>
      </c>
      <c r="D5140" s="124">
        <v>0.75</v>
      </c>
      <c r="E5140" s="117">
        <v>7500</v>
      </c>
      <c r="F5140" s="110">
        <f>+D5140*E5140</f>
        <v>5625</v>
      </c>
    </row>
    <row r="5141" spans="1:6" x14ac:dyDescent="0.25">
      <c r="A5141" s="111"/>
      <c r="B5141" s="134" t="s">
        <v>794</v>
      </c>
      <c r="C5141" s="115" t="s">
        <v>772</v>
      </c>
      <c r="D5141" s="124">
        <v>1.5</v>
      </c>
      <c r="E5141" s="117">
        <v>15000</v>
      </c>
      <c r="F5141" s="110">
        <f>+D5141*E5141</f>
        <v>22500</v>
      </c>
    </row>
    <row r="5142" spans="1:6" x14ac:dyDescent="0.3">
      <c r="A5142" s="111"/>
      <c r="B5142" s="136" t="s">
        <v>774</v>
      </c>
      <c r="C5142" s="115"/>
      <c r="D5142" s="124"/>
      <c r="E5142" s="117"/>
      <c r="F5142" s="110">
        <f>SUM(F5140:F5141)</f>
        <v>28125</v>
      </c>
    </row>
    <row r="5143" spans="1:6" x14ac:dyDescent="0.3">
      <c r="A5143" s="111"/>
      <c r="B5143" s="136" t="s">
        <v>775</v>
      </c>
      <c r="C5143" s="115"/>
      <c r="D5143" s="109"/>
      <c r="E5143" s="110"/>
      <c r="F5143" s="110">
        <f>+F5142+F5138</f>
        <v>8003125</v>
      </c>
    </row>
    <row r="5144" spans="1:6" x14ac:dyDescent="0.25">
      <c r="A5144" s="111"/>
      <c r="B5144" s="134" t="s">
        <v>776</v>
      </c>
      <c r="C5144" s="115"/>
      <c r="D5144" s="124">
        <v>1.25</v>
      </c>
      <c r="E5144" s="110"/>
      <c r="F5144" s="110">
        <f>+F5143*D5144</f>
        <v>10003906.25</v>
      </c>
    </row>
    <row r="5145" spans="1:6" x14ac:dyDescent="0.25">
      <c r="A5145" s="111"/>
      <c r="B5145" s="134" t="s">
        <v>835</v>
      </c>
      <c r="C5145" s="115"/>
      <c r="D5145" s="124">
        <v>1.25</v>
      </c>
      <c r="E5145" s="110"/>
      <c r="F5145" s="110"/>
    </row>
    <row r="5146" spans="1:6" x14ac:dyDescent="0.35">
      <c r="A5146" s="322" t="s">
        <v>1170</v>
      </c>
      <c r="B5146" s="242" t="s">
        <v>785</v>
      </c>
      <c r="C5146" s="208" t="s">
        <v>59</v>
      </c>
      <c r="D5146" s="208"/>
      <c r="E5146" s="209"/>
      <c r="F5146" s="209">
        <f>+D5145*F5144</f>
        <v>12504882.8125</v>
      </c>
    </row>
    <row r="5147" spans="1:6" x14ac:dyDescent="0.35">
      <c r="A5147" s="206"/>
      <c r="B5147" s="207"/>
      <c r="C5147" s="208"/>
      <c r="D5147" s="245"/>
      <c r="E5147" s="210">
        <f>+E5130</f>
        <v>3035.45</v>
      </c>
      <c r="F5147" s="210">
        <f>+F5146/E5147</f>
        <v>4119.614163468349</v>
      </c>
    </row>
    <row r="5148" spans="1:6" x14ac:dyDescent="0.35">
      <c r="A5148" s="185"/>
      <c r="B5148" s="186"/>
      <c r="C5148" s="187"/>
      <c r="D5148" s="188"/>
      <c r="E5148" s="189"/>
      <c r="F5148" s="180"/>
    </row>
    <row r="5149" spans="1:6" x14ac:dyDescent="0.35">
      <c r="A5149" s="190"/>
      <c r="B5149" s="191"/>
      <c r="C5149" s="192"/>
      <c r="D5149" s="193"/>
      <c r="E5149" s="194"/>
      <c r="F5149" s="182"/>
    </row>
    <row r="5150" spans="1:6" x14ac:dyDescent="0.3">
      <c r="A5150" s="257" t="s">
        <v>343</v>
      </c>
      <c r="B5150" s="258" t="s">
        <v>344</v>
      </c>
      <c r="C5150" s="200" t="s">
        <v>2</v>
      </c>
      <c r="D5150" s="202" t="s">
        <v>765</v>
      </c>
      <c r="E5150" s="203" t="s">
        <v>766</v>
      </c>
      <c r="F5150" s="203" t="s">
        <v>767</v>
      </c>
    </row>
    <row r="5151" spans="1:6" x14ac:dyDescent="0.3">
      <c r="A5151" s="237" t="s">
        <v>1171</v>
      </c>
      <c r="B5151" s="254" t="s">
        <v>371</v>
      </c>
      <c r="C5151" s="256" t="s">
        <v>59</v>
      </c>
      <c r="D5151" s="141"/>
      <c r="E5151" s="110"/>
      <c r="F5151" s="110"/>
    </row>
    <row r="5152" spans="1:6" x14ac:dyDescent="0.35">
      <c r="A5152" s="111"/>
      <c r="B5152" s="112" t="s">
        <v>802</v>
      </c>
      <c r="C5152" s="118"/>
      <c r="D5152" s="118"/>
      <c r="E5152" s="119"/>
      <c r="F5152" s="119"/>
    </row>
    <row r="5153" spans="1:6" x14ac:dyDescent="0.25">
      <c r="A5153" s="111"/>
      <c r="B5153" s="263" t="s">
        <v>371</v>
      </c>
      <c r="C5153" s="315" t="s">
        <v>59</v>
      </c>
      <c r="D5153" s="316">
        <v>1</v>
      </c>
      <c r="E5153" s="142">
        <v>7850000</v>
      </c>
      <c r="F5153" s="119">
        <f>+D5153*E5153</f>
        <v>7850000</v>
      </c>
    </row>
    <row r="5154" spans="1:6" x14ac:dyDescent="0.25">
      <c r="A5154" s="111"/>
      <c r="B5154" s="120" t="s">
        <v>1024</v>
      </c>
      <c r="C5154" s="315"/>
      <c r="D5154" s="317"/>
      <c r="E5154" s="158"/>
      <c r="F5154" s="119">
        <f>0.1*F5153</f>
        <v>785000</v>
      </c>
    </row>
    <row r="5155" spans="1:6" x14ac:dyDescent="0.35">
      <c r="A5155" s="107"/>
      <c r="B5155" s="108" t="s">
        <v>769</v>
      </c>
      <c r="C5155" s="109"/>
      <c r="D5155" s="124"/>
      <c r="E5155" s="117"/>
      <c r="F5155" s="110">
        <f>SUM(F5153:F5154)</f>
        <v>8635000</v>
      </c>
    </row>
    <row r="5156" spans="1:6" x14ac:dyDescent="0.3">
      <c r="A5156" s="111"/>
      <c r="B5156" s="136" t="s">
        <v>808</v>
      </c>
      <c r="C5156" s="115"/>
      <c r="D5156" s="124"/>
      <c r="E5156" s="117"/>
      <c r="F5156" s="110"/>
    </row>
    <row r="5157" spans="1:6" x14ac:dyDescent="0.25">
      <c r="A5157" s="111"/>
      <c r="B5157" s="134" t="s">
        <v>821</v>
      </c>
      <c r="C5157" s="115" t="s">
        <v>772</v>
      </c>
      <c r="D5157" s="124">
        <v>0.75</v>
      </c>
      <c r="E5157" s="117">
        <v>7500</v>
      </c>
      <c r="F5157" s="110">
        <f>+D5157*E5157</f>
        <v>5625</v>
      </c>
    </row>
    <row r="5158" spans="1:6" x14ac:dyDescent="0.25">
      <c r="A5158" s="111"/>
      <c r="B5158" s="134" t="s">
        <v>794</v>
      </c>
      <c r="C5158" s="115" t="s">
        <v>772</v>
      </c>
      <c r="D5158" s="124">
        <v>1.5</v>
      </c>
      <c r="E5158" s="117">
        <v>15000</v>
      </c>
      <c r="F5158" s="110">
        <f>+D5158*E5158</f>
        <v>22500</v>
      </c>
    </row>
    <row r="5159" spans="1:6" x14ac:dyDescent="0.3">
      <c r="A5159" s="111"/>
      <c r="B5159" s="136" t="s">
        <v>774</v>
      </c>
      <c r="C5159" s="115"/>
      <c r="D5159" s="124"/>
      <c r="E5159" s="117"/>
      <c r="F5159" s="110">
        <f>SUM(F5157:F5158)</f>
        <v>28125</v>
      </c>
    </row>
    <row r="5160" spans="1:6" x14ac:dyDescent="0.3">
      <c r="A5160" s="111"/>
      <c r="B5160" s="136" t="s">
        <v>775</v>
      </c>
      <c r="C5160" s="115"/>
      <c r="D5160" s="109"/>
      <c r="E5160" s="110"/>
      <c r="F5160" s="110">
        <f>+F5159+F5155</f>
        <v>8663125</v>
      </c>
    </row>
    <row r="5161" spans="1:6" x14ac:dyDescent="0.25">
      <c r="A5161" s="111"/>
      <c r="B5161" s="134" t="s">
        <v>776</v>
      </c>
      <c r="C5161" s="115"/>
      <c r="D5161" s="124">
        <v>1.25</v>
      </c>
      <c r="E5161" s="110"/>
      <c r="F5161" s="110">
        <f>+F5160*D5161</f>
        <v>10828906.25</v>
      </c>
    </row>
    <row r="5162" spans="1:6" x14ac:dyDescent="0.25">
      <c r="A5162" s="111"/>
      <c r="B5162" s="134" t="s">
        <v>835</v>
      </c>
      <c r="C5162" s="115"/>
      <c r="D5162" s="124">
        <v>1.25</v>
      </c>
      <c r="E5162" s="110"/>
      <c r="F5162" s="110"/>
    </row>
    <row r="5163" spans="1:6" x14ac:dyDescent="0.35">
      <c r="A5163" s="322" t="s">
        <v>1171</v>
      </c>
      <c r="B5163" s="242" t="s">
        <v>785</v>
      </c>
      <c r="C5163" s="208" t="s">
        <v>59</v>
      </c>
      <c r="D5163" s="208"/>
      <c r="E5163" s="209"/>
      <c r="F5163" s="209">
        <f>+D5162*F5161</f>
        <v>13536132.8125</v>
      </c>
    </row>
    <row r="5164" spans="1:6" x14ac:dyDescent="0.35">
      <c r="A5164" s="206"/>
      <c r="B5164" s="207"/>
      <c r="C5164" s="208"/>
      <c r="D5164" s="245"/>
      <c r="E5164" s="210">
        <f>+E5147</f>
        <v>3035.45</v>
      </c>
      <c r="F5164" s="210">
        <f>+F5163/E5164</f>
        <v>4459.3496227906899</v>
      </c>
    </row>
    <row r="5165" spans="1:6" x14ac:dyDescent="0.35">
      <c r="A5165" s="185"/>
      <c r="B5165" s="186"/>
      <c r="C5165" s="187"/>
      <c r="D5165" s="188"/>
      <c r="E5165" s="189"/>
      <c r="F5165" s="180"/>
    </row>
    <row r="5166" spans="1:6" x14ac:dyDescent="0.35">
      <c r="A5166" s="190"/>
      <c r="B5166" s="191"/>
      <c r="C5166" s="192"/>
      <c r="D5166" s="193"/>
      <c r="E5166" s="194"/>
      <c r="F5166" s="182"/>
    </row>
    <row r="5167" spans="1:6" x14ac:dyDescent="0.3">
      <c r="A5167" s="257" t="s">
        <v>343</v>
      </c>
      <c r="B5167" s="258" t="s">
        <v>344</v>
      </c>
      <c r="C5167" s="200" t="s">
        <v>2</v>
      </c>
      <c r="D5167" s="202" t="s">
        <v>765</v>
      </c>
      <c r="E5167" s="203" t="s">
        <v>766</v>
      </c>
      <c r="F5167" s="203" t="s">
        <v>767</v>
      </c>
    </row>
    <row r="5168" spans="1:6" x14ac:dyDescent="0.3">
      <c r="A5168" s="237" t="s">
        <v>1172</v>
      </c>
      <c r="B5168" s="254" t="s">
        <v>372</v>
      </c>
      <c r="C5168" s="256" t="s">
        <v>59</v>
      </c>
      <c r="D5168" s="141"/>
      <c r="E5168" s="110"/>
      <c r="F5168" s="110"/>
    </row>
    <row r="5169" spans="1:6" x14ac:dyDescent="0.35">
      <c r="A5169" s="111"/>
      <c r="B5169" s="112" t="s">
        <v>802</v>
      </c>
      <c r="C5169" s="118"/>
      <c r="D5169" s="118"/>
      <c r="E5169" s="119"/>
      <c r="F5169" s="119"/>
    </row>
    <row r="5170" spans="1:6" x14ac:dyDescent="0.25">
      <c r="A5170" s="111"/>
      <c r="B5170" s="263" t="s">
        <v>372</v>
      </c>
      <c r="C5170" s="315" t="s">
        <v>59</v>
      </c>
      <c r="D5170" s="316">
        <v>1</v>
      </c>
      <c r="E5170" s="142">
        <v>4925000</v>
      </c>
      <c r="F5170" s="119">
        <f>+D5170*E5170</f>
        <v>4925000</v>
      </c>
    </row>
    <row r="5171" spans="1:6" x14ac:dyDescent="0.25">
      <c r="A5171" s="111"/>
      <c r="B5171" s="120" t="s">
        <v>1024</v>
      </c>
      <c r="C5171" s="315"/>
      <c r="D5171" s="317"/>
      <c r="E5171" s="158"/>
      <c r="F5171" s="119">
        <f>0.1*F5170</f>
        <v>492500</v>
      </c>
    </row>
    <row r="5172" spans="1:6" x14ac:dyDescent="0.35">
      <c r="A5172" s="107"/>
      <c r="B5172" s="108" t="s">
        <v>769</v>
      </c>
      <c r="C5172" s="109"/>
      <c r="D5172" s="124"/>
      <c r="E5172" s="117"/>
      <c r="F5172" s="110">
        <f>SUM(F5170:F5171)</f>
        <v>5417500</v>
      </c>
    </row>
    <row r="5173" spans="1:6" x14ac:dyDescent="0.3">
      <c r="A5173" s="111"/>
      <c r="B5173" s="136" t="s">
        <v>808</v>
      </c>
      <c r="C5173" s="115"/>
      <c r="D5173" s="124"/>
      <c r="E5173" s="117"/>
      <c r="F5173" s="110"/>
    </row>
    <row r="5174" spans="1:6" x14ac:dyDescent="0.25">
      <c r="A5174" s="111"/>
      <c r="B5174" s="134" t="s">
        <v>821</v>
      </c>
      <c r="C5174" s="115" t="s">
        <v>772</v>
      </c>
      <c r="D5174" s="124">
        <v>0.75</v>
      </c>
      <c r="E5174" s="117">
        <v>7500</v>
      </c>
      <c r="F5174" s="110">
        <f>+D5174*E5174</f>
        <v>5625</v>
      </c>
    </row>
    <row r="5175" spans="1:6" x14ac:dyDescent="0.25">
      <c r="A5175" s="111"/>
      <c r="B5175" s="134" t="s">
        <v>794</v>
      </c>
      <c r="C5175" s="115" t="s">
        <v>772</v>
      </c>
      <c r="D5175" s="124">
        <v>1.5</v>
      </c>
      <c r="E5175" s="117">
        <v>15000</v>
      </c>
      <c r="F5175" s="110">
        <f>+D5175*E5175</f>
        <v>22500</v>
      </c>
    </row>
    <row r="5176" spans="1:6" x14ac:dyDescent="0.3">
      <c r="A5176" s="111"/>
      <c r="B5176" s="136" t="s">
        <v>774</v>
      </c>
      <c r="C5176" s="115"/>
      <c r="D5176" s="124"/>
      <c r="E5176" s="117"/>
      <c r="F5176" s="110">
        <f>SUM(F5174:F5175)</f>
        <v>28125</v>
      </c>
    </row>
    <row r="5177" spans="1:6" x14ac:dyDescent="0.3">
      <c r="A5177" s="111"/>
      <c r="B5177" s="136" t="s">
        <v>775</v>
      </c>
      <c r="C5177" s="115"/>
      <c r="D5177" s="109"/>
      <c r="E5177" s="110"/>
      <c r="F5177" s="110">
        <f>+F5176+F5172</f>
        <v>5445625</v>
      </c>
    </row>
    <row r="5178" spans="1:6" x14ac:dyDescent="0.25">
      <c r="A5178" s="111"/>
      <c r="B5178" s="134" t="s">
        <v>776</v>
      </c>
      <c r="C5178" s="115"/>
      <c r="D5178" s="124">
        <v>1.25</v>
      </c>
      <c r="E5178" s="110"/>
      <c r="F5178" s="110">
        <f>+F5177*D5178</f>
        <v>6807031.25</v>
      </c>
    </row>
    <row r="5179" spans="1:6" x14ac:dyDescent="0.25">
      <c r="A5179" s="111"/>
      <c r="B5179" s="134" t="s">
        <v>835</v>
      </c>
      <c r="C5179" s="115"/>
      <c r="D5179" s="124">
        <v>1.25</v>
      </c>
      <c r="E5179" s="110"/>
      <c r="F5179" s="110"/>
    </row>
    <row r="5180" spans="1:6" x14ac:dyDescent="0.35">
      <c r="A5180" s="322" t="s">
        <v>1172</v>
      </c>
      <c r="B5180" s="242" t="s">
        <v>785</v>
      </c>
      <c r="C5180" s="208" t="s">
        <v>59</v>
      </c>
      <c r="D5180" s="208"/>
      <c r="E5180" s="209"/>
      <c r="F5180" s="209">
        <f>+D5179*F5178</f>
        <v>8508789.0625</v>
      </c>
    </row>
    <row r="5181" spans="1:6" x14ac:dyDescent="0.35">
      <c r="A5181" s="206"/>
      <c r="B5181" s="207"/>
      <c r="C5181" s="208"/>
      <c r="D5181" s="208"/>
      <c r="E5181" s="210">
        <f>+E5164</f>
        <v>3035.45</v>
      </c>
      <c r="F5181" s="210">
        <f>+F5180/E5181</f>
        <v>2803.1392585942776</v>
      </c>
    </row>
    <row r="5182" spans="1:6" x14ac:dyDescent="0.35">
      <c r="A5182" s="185"/>
      <c r="B5182" s="186"/>
      <c r="C5182" s="187"/>
      <c r="D5182" s="188"/>
      <c r="E5182" s="189"/>
      <c r="F5182" s="180"/>
    </row>
    <row r="5183" spans="1:6" x14ac:dyDescent="0.35">
      <c r="A5183" s="190"/>
      <c r="B5183" s="191"/>
      <c r="C5183" s="192"/>
      <c r="D5183" s="193"/>
      <c r="E5183" s="194"/>
      <c r="F5183" s="182"/>
    </row>
    <row r="5184" spans="1:6" x14ac:dyDescent="0.3">
      <c r="A5184" s="257" t="s">
        <v>343</v>
      </c>
      <c r="B5184" s="258" t="s">
        <v>344</v>
      </c>
      <c r="C5184" s="200" t="s">
        <v>2</v>
      </c>
      <c r="D5184" s="202" t="s">
        <v>765</v>
      </c>
      <c r="E5184" s="203" t="s">
        <v>766</v>
      </c>
      <c r="F5184" s="203" t="s">
        <v>767</v>
      </c>
    </row>
    <row r="5185" spans="1:6" x14ac:dyDescent="0.3">
      <c r="A5185" s="237" t="s">
        <v>1173</v>
      </c>
      <c r="B5185" s="234" t="s">
        <v>374</v>
      </c>
      <c r="C5185" s="256"/>
      <c r="D5185" s="141"/>
      <c r="E5185" s="110"/>
      <c r="F5185" s="110"/>
    </row>
    <row r="5186" spans="1:6" x14ac:dyDescent="0.3">
      <c r="A5186" s="239" t="s">
        <v>1174</v>
      </c>
      <c r="B5186" s="254" t="s">
        <v>376</v>
      </c>
      <c r="C5186" s="256" t="s">
        <v>59</v>
      </c>
      <c r="D5186" s="141"/>
      <c r="E5186" s="110"/>
      <c r="F5186" s="110"/>
    </row>
    <row r="5187" spans="1:6" x14ac:dyDescent="0.35">
      <c r="A5187" s="111"/>
      <c r="B5187" s="112" t="s">
        <v>802</v>
      </c>
      <c r="C5187" s="118"/>
      <c r="D5187" s="118"/>
      <c r="E5187" s="119"/>
      <c r="F5187" s="119"/>
    </row>
    <row r="5188" spans="1:6" x14ac:dyDescent="0.25">
      <c r="A5188" s="111"/>
      <c r="B5188" s="263" t="s">
        <v>376</v>
      </c>
      <c r="C5188" s="315" t="s">
        <v>59</v>
      </c>
      <c r="D5188" s="316">
        <v>1</v>
      </c>
      <c r="E5188" s="142">
        <v>450000</v>
      </c>
      <c r="F5188" s="119">
        <f>+D5188*E5188</f>
        <v>450000</v>
      </c>
    </row>
    <row r="5189" spans="1:6" x14ac:dyDescent="0.25">
      <c r="A5189" s="111"/>
      <c r="B5189" s="120" t="s">
        <v>1025</v>
      </c>
      <c r="C5189" s="315"/>
      <c r="D5189" s="317"/>
      <c r="E5189" s="158"/>
      <c r="F5189" s="119">
        <f>0.1*F5188</f>
        <v>45000</v>
      </c>
    </row>
    <row r="5190" spans="1:6" x14ac:dyDescent="0.35">
      <c r="A5190" s="107"/>
      <c r="B5190" s="108" t="s">
        <v>769</v>
      </c>
      <c r="C5190" s="109"/>
      <c r="D5190" s="124"/>
      <c r="E5190" s="117"/>
      <c r="F5190" s="110">
        <f>SUM(F5188:F5189)</f>
        <v>495000</v>
      </c>
    </row>
    <row r="5191" spans="1:6" x14ac:dyDescent="0.3">
      <c r="A5191" s="111"/>
      <c r="B5191" s="136" t="s">
        <v>808</v>
      </c>
      <c r="C5191" s="115"/>
      <c r="D5191" s="124"/>
      <c r="E5191" s="117"/>
      <c r="F5191" s="110"/>
    </row>
    <row r="5192" spans="1:6" x14ac:dyDescent="0.25">
      <c r="A5192" s="111"/>
      <c r="B5192" s="134" t="s">
        <v>821</v>
      </c>
      <c r="C5192" s="115" t="s">
        <v>772</v>
      </c>
      <c r="D5192" s="124">
        <v>0.75</v>
      </c>
      <c r="E5192" s="117">
        <v>7500</v>
      </c>
      <c r="F5192" s="110">
        <f>+D5192*E5192</f>
        <v>5625</v>
      </c>
    </row>
    <row r="5193" spans="1:6" x14ac:dyDescent="0.25">
      <c r="A5193" s="111"/>
      <c r="B5193" s="134" t="s">
        <v>794</v>
      </c>
      <c r="C5193" s="115" t="s">
        <v>772</v>
      </c>
      <c r="D5193" s="124">
        <v>1.5</v>
      </c>
      <c r="E5193" s="117">
        <v>15000</v>
      </c>
      <c r="F5193" s="110">
        <f>+D5193*E5193</f>
        <v>22500</v>
      </c>
    </row>
    <row r="5194" spans="1:6" x14ac:dyDescent="0.3">
      <c r="A5194" s="111"/>
      <c r="B5194" s="136" t="s">
        <v>774</v>
      </c>
      <c r="C5194" s="115"/>
      <c r="D5194" s="124"/>
      <c r="E5194" s="117"/>
      <c r="F5194" s="110">
        <f>SUM(F5192:F5193)</f>
        <v>28125</v>
      </c>
    </row>
    <row r="5195" spans="1:6" x14ac:dyDescent="0.3">
      <c r="A5195" s="111"/>
      <c r="B5195" s="136" t="s">
        <v>775</v>
      </c>
      <c r="C5195" s="115"/>
      <c r="D5195" s="109"/>
      <c r="E5195" s="110"/>
      <c r="F5195" s="110">
        <f>+F5194+F5190</f>
        <v>523125</v>
      </c>
    </row>
    <row r="5196" spans="1:6" x14ac:dyDescent="0.25">
      <c r="A5196" s="111"/>
      <c r="B5196" s="134" t="s">
        <v>776</v>
      </c>
      <c r="C5196" s="115"/>
      <c r="D5196" s="124">
        <v>1.25</v>
      </c>
      <c r="E5196" s="110"/>
      <c r="F5196" s="110">
        <f>+F5195*D5196</f>
        <v>653906.25</v>
      </c>
    </row>
    <row r="5197" spans="1:6" x14ac:dyDescent="0.25">
      <c r="A5197" s="111"/>
      <c r="B5197" s="134" t="s">
        <v>835</v>
      </c>
      <c r="C5197" s="115"/>
      <c r="D5197" s="124">
        <v>1.25</v>
      </c>
      <c r="E5197" s="110"/>
      <c r="F5197" s="110"/>
    </row>
    <row r="5198" spans="1:6" x14ac:dyDescent="0.35">
      <c r="A5198" s="261" t="s">
        <v>1174</v>
      </c>
      <c r="B5198" s="242" t="s">
        <v>785</v>
      </c>
      <c r="C5198" s="208" t="s">
        <v>59</v>
      </c>
      <c r="D5198" s="208"/>
      <c r="E5198" s="209"/>
      <c r="F5198" s="209">
        <f>+D5197*F5196</f>
        <v>817382.8125</v>
      </c>
    </row>
    <row r="5199" spans="1:6" x14ac:dyDescent="0.35">
      <c r="A5199" s="206"/>
      <c r="B5199" s="207"/>
      <c r="C5199" s="208"/>
      <c r="D5199" s="208"/>
      <c r="E5199" s="210">
        <f>+E5181</f>
        <v>3035.45</v>
      </c>
      <c r="F5199" s="210">
        <f>+F5198/E5199</f>
        <v>269.27895781515099</v>
      </c>
    </row>
    <row r="5200" spans="1:6" x14ac:dyDescent="0.35">
      <c r="A5200" s="185"/>
      <c r="B5200" s="186"/>
      <c r="C5200" s="187"/>
      <c r="D5200" s="188"/>
      <c r="E5200" s="189"/>
      <c r="F5200" s="180"/>
    </row>
    <row r="5201" spans="1:6" x14ac:dyDescent="0.35">
      <c r="D5201" s="193"/>
    </row>
    <row r="5202" spans="1:6" x14ac:dyDescent="0.3">
      <c r="A5202" s="257" t="s">
        <v>343</v>
      </c>
      <c r="B5202" s="258" t="s">
        <v>344</v>
      </c>
      <c r="C5202" s="200" t="s">
        <v>2</v>
      </c>
      <c r="D5202" s="202" t="s">
        <v>765</v>
      </c>
      <c r="E5202" s="203" t="s">
        <v>766</v>
      </c>
      <c r="F5202" s="203" t="s">
        <v>767</v>
      </c>
    </row>
    <row r="5203" spans="1:6" x14ac:dyDescent="0.3">
      <c r="A5203" s="237" t="s">
        <v>1173</v>
      </c>
      <c r="B5203" s="234" t="s">
        <v>374</v>
      </c>
      <c r="C5203" s="256"/>
      <c r="D5203" s="141"/>
      <c r="E5203" s="110"/>
      <c r="F5203" s="110"/>
    </row>
    <row r="5204" spans="1:6" x14ac:dyDescent="0.3">
      <c r="A5204" s="239" t="s">
        <v>1175</v>
      </c>
      <c r="B5204" s="254" t="s">
        <v>378</v>
      </c>
      <c r="C5204" s="256" t="s">
        <v>59</v>
      </c>
      <c r="D5204" s="141"/>
      <c r="E5204" s="110"/>
      <c r="F5204" s="110"/>
    </row>
    <row r="5205" spans="1:6" x14ac:dyDescent="0.35">
      <c r="A5205" s="111"/>
      <c r="B5205" s="112" t="s">
        <v>802</v>
      </c>
      <c r="C5205" s="118"/>
      <c r="D5205" s="118"/>
      <c r="E5205" s="119"/>
      <c r="F5205" s="119"/>
    </row>
    <row r="5206" spans="1:6" x14ac:dyDescent="0.25">
      <c r="A5206" s="111"/>
      <c r="B5206" s="263" t="s">
        <v>1176</v>
      </c>
      <c r="C5206" s="315" t="s">
        <v>59</v>
      </c>
      <c r="D5206" s="316">
        <v>1</v>
      </c>
      <c r="E5206" s="142">
        <v>350000</v>
      </c>
      <c r="F5206" s="119">
        <f>+D5206*E5206</f>
        <v>350000</v>
      </c>
    </row>
    <row r="5207" spans="1:6" x14ac:dyDescent="0.25">
      <c r="A5207" s="111"/>
      <c r="B5207" s="120" t="s">
        <v>1025</v>
      </c>
      <c r="C5207" s="315"/>
      <c r="D5207" s="317"/>
      <c r="E5207" s="158"/>
      <c r="F5207" s="119">
        <f>0.1*F5206</f>
        <v>35000</v>
      </c>
    </row>
    <row r="5208" spans="1:6" x14ac:dyDescent="0.35">
      <c r="A5208" s="107"/>
      <c r="B5208" s="108" t="s">
        <v>769</v>
      </c>
      <c r="C5208" s="109"/>
      <c r="D5208" s="124"/>
      <c r="E5208" s="117"/>
      <c r="F5208" s="110">
        <f>SUM(F5206:F5207)</f>
        <v>385000</v>
      </c>
    </row>
    <row r="5209" spans="1:6" x14ac:dyDescent="0.3">
      <c r="A5209" s="111"/>
      <c r="B5209" s="136" t="s">
        <v>808</v>
      </c>
      <c r="C5209" s="115"/>
      <c r="D5209" s="124"/>
      <c r="E5209" s="117"/>
      <c r="F5209" s="110"/>
    </row>
    <row r="5210" spans="1:6" x14ac:dyDescent="0.25">
      <c r="A5210" s="111"/>
      <c r="B5210" s="134" t="s">
        <v>821</v>
      </c>
      <c r="C5210" s="115" t="s">
        <v>772</v>
      </c>
      <c r="D5210" s="124">
        <v>0.75</v>
      </c>
      <c r="E5210" s="117">
        <v>7500</v>
      </c>
      <c r="F5210" s="110">
        <f>+D5210*E5210</f>
        <v>5625</v>
      </c>
    </row>
    <row r="5211" spans="1:6" x14ac:dyDescent="0.25">
      <c r="A5211" s="111"/>
      <c r="B5211" s="134" t="s">
        <v>794</v>
      </c>
      <c r="C5211" s="115" t="s">
        <v>772</v>
      </c>
      <c r="D5211" s="124">
        <v>1.5</v>
      </c>
      <c r="E5211" s="117">
        <v>15000</v>
      </c>
      <c r="F5211" s="110">
        <f>+D5211*E5211</f>
        <v>22500</v>
      </c>
    </row>
    <row r="5212" spans="1:6" x14ac:dyDescent="0.3">
      <c r="A5212" s="111"/>
      <c r="B5212" s="136" t="s">
        <v>774</v>
      </c>
      <c r="C5212" s="115"/>
      <c r="D5212" s="124"/>
      <c r="E5212" s="117"/>
      <c r="F5212" s="110">
        <f>SUM(F5210:F5211)</f>
        <v>28125</v>
      </c>
    </row>
    <row r="5213" spans="1:6" x14ac:dyDescent="0.3">
      <c r="A5213" s="111"/>
      <c r="B5213" s="136" t="s">
        <v>775</v>
      </c>
      <c r="C5213" s="115"/>
      <c r="D5213" s="109"/>
      <c r="E5213" s="110"/>
      <c r="F5213" s="110">
        <f>+F5212+F5208</f>
        <v>413125</v>
      </c>
    </row>
    <row r="5214" spans="1:6" x14ac:dyDescent="0.25">
      <c r="A5214" s="111"/>
      <c r="B5214" s="134" t="s">
        <v>776</v>
      </c>
      <c r="C5214" s="115"/>
      <c r="D5214" s="124">
        <v>1.25</v>
      </c>
      <c r="E5214" s="110"/>
      <c r="F5214" s="110">
        <f>+F5213*D5214</f>
        <v>516406.25</v>
      </c>
    </row>
    <row r="5215" spans="1:6" x14ac:dyDescent="0.25">
      <c r="A5215" s="111"/>
      <c r="B5215" s="134" t="s">
        <v>835</v>
      </c>
      <c r="C5215" s="115"/>
      <c r="D5215" s="124">
        <v>1.25</v>
      </c>
      <c r="E5215" s="110"/>
      <c r="F5215" s="110"/>
    </row>
    <row r="5216" spans="1:6" x14ac:dyDescent="0.35">
      <c r="A5216" s="261" t="s">
        <v>1175</v>
      </c>
      <c r="B5216" s="242" t="s">
        <v>785</v>
      </c>
      <c r="C5216" s="208" t="s">
        <v>59</v>
      </c>
      <c r="D5216" s="208"/>
      <c r="E5216" s="209"/>
      <c r="F5216" s="209">
        <f>+D5215*F5214</f>
        <v>645507.8125</v>
      </c>
    </row>
    <row r="5217" spans="1:6" x14ac:dyDescent="0.35">
      <c r="A5217" s="206"/>
      <c r="B5217" s="207"/>
      <c r="C5217" s="208"/>
      <c r="D5217" s="208"/>
      <c r="E5217" s="210">
        <f>+E5199</f>
        <v>3035.45</v>
      </c>
      <c r="F5217" s="210">
        <f>+F5216/E5217</f>
        <v>212.65638126142747</v>
      </c>
    </row>
    <row r="5220" spans="1:6" x14ac:dyDescent="0.3">
      <c r="A5220" s="257" t="s">
        <v>343</v>
      </c>
      <c r="B5220" s="258" t="s">
        <v>344</v>
      </c>
      <c r="C5220" s="200" t="s">
        <v>2</v>
      </c>
      <c r="D5220" s="202" t="s">
        <v>765</v>
      </c>
      <c r="E5220" s="203" t="s">
        <v>766</v>
      </c>
      <c r="F5220" s="203" t="s">
        <v>767</v>
      </c>
    </row>
    <row r="5221" spans="1:6" x14ac:dyDescent="0.3">
      <c r="A5221" s="237" t="s">
        <v>1173</v>
      </c>
      <c r="B5221" s="234" t="s">
        <v>374</v>
      </c>
      <c r="C5221" s="256"/>
      <c r="D5221" s="141"/>
      <c r="E5221" s="110"/>
      <c r="F5221" s="110"/>
    </row>
    <row r="5222" spans="1:6" x14ac:dyDescent="0.3">
      <c r="A5222" s="239" t="s">
        <v>1177</v>
      </c>
      <c r="B5222" s="254" t="s">
        <v>1178</v>
      </c>
      <c r="C5222" s="256" t="s">
        <v>59</v>
      </c>
      <c r="D5222" s="141"/>
      <c r="E5222" s="110"/>
      <c r="F5222" s="110"/>
    </row>
    <row r="5223" spans="1:6" x14ac:dyDescent="0.35">
      <c r="A5223" s="111"/>
      <c r="B5223" s="112" t="s">
        <v>802</v>
      </c>
      <c r="C5223" s="118"/>
      <c r="D5223" s="118"/>
      <c r="E5223" s="119"/>
      <c r="F5223" s="119"/>
    </row>
    <row r="5224" spans="1:6" x14ac:dyDescent="0.25">
      <c r="A5224" s="111"/>
      <c r="B5224" s="263" t="s">
        <v>1178</v>
      </c>
      <c r="C5224" s="315" t="s">
        <v>59</v>
      </c>
      <c r="D5224" s="316">
        <v>1</v>
      </c>
      <c r="E5224" s="142">
        <v>150000</v>
      </c>
      <c r="F5224" s="119">
        <f>+D5224*E5224</f>
        <v>150000</v>
      </c>
    </row>
    <row r="5225" spans="1:6" x14ac:dyDescent="0.25">
      <c r="A5225" s="111"/>
      <c r="B5225" s="120" t="s">
        <v>1025</v>
      </c>
      <c r="C5225" s="315"/>
      <c r="D5225" s="317"/>
      <c r="E5225" s="158"/>
      <c r="F5225" s="119">
        <f>0.1*F5224</f>
        <v>15000</v>
      </c>
    </row>
    <row r="5226" spans="1:6" x14ac:dyDescent="0.35">
      <c r="A5226" s="107"/>
      <c r="B5226" s="108" t="s">
        <v>769</v>
      </c>
      <c r="C5226" s="109"/>
      <c r="D5226" s="124"/>
      <c r="E5226" s="117"/>
      <c r="F5226" s="110">
        <f>SUM(F5224:F5225)</f>
        <v>165000</v>
      </c>
    </row>
    <row r="5227" spans="1:6" x14ac:dyDescent="0.3">
      <c r="A5227" s="111"/>
      <c r="B5227" s="136" t="s">
        <v>808</v>
      </c>
      <c r="C5227" s="115"/>
      <c r="D5227" s="124"/>
      <c r="E5227" s="117"/>
      <c r="F5227" s="110"/>
    </row>
    <row r="5228" spans="1:6" x14ac:dyDescent="0.25">
      <c r="A5228" s="111"/>
      <c r="B5228" s="134" t="s">
        <v>821</v>
      </c>
      <c r="C5228" s="115" t="s">
        <v>772</v>
      </c>
      <c r="D5228" s="124">
        <v>0.75</v>
      </c>
      <c r="E5228" s="117">
        <v>7500</v>
      </c>
      <c r="F5228" s="110">
        <f>+D5228*E5228</f>
        <v>5625</v>
      </c>
    </row>
    <row r="5229" spans="1:6" x14ac:dyDescent="0.25">
      <c r="A5229" s="111"/>
      <c r="B5229" s="134" t="s">
        <v>794</v>
      </c>
      <c r="C5229" s="115" t="s">
        <v>772</v>
      </c>
      <c r="D5229" s="124">
        <v>1.5</v>
      </c>
      <c r="E5229" s="117">
        <v>15000</v>
      </c>
      <c r="F5229" s="110">
        <f>+D5229*E5229</f>
        <v>22500</v>
      </c>
    </row>
    <row r="5230" spans="1:6" x14ac:dyDescent="0.3">
      <c r="A5230" s="111"/>
      <c r="B5230" s="136" t="s">
        <v>774</v>
      </c>
      <c r="C5230" s="115"/>
      <c r="D5230" s="124"/>
      <c r="E5230" s="117"/>
      <c r="F5230" s="110">
        <f>SUM(F5228:F5229)</f>
        <v>28125</v>
      </c>
    </row>
    <row r="5231" spans="1:6" x14ac:dyDescent="0.3">
      <c r="A5231" s="111"/>
      <c r="B5231" s="136" t="s">
        <v>775</v>
      </c>
      <c r="C5231" s="115"/>
      <c r="D5231" s="109"/>
      <c r="E5231" s="110"/>
      <c r="F5231" s="110">
        <f>+F5230+F5226</f>
        <v>193125</v>
      </c>
    </row>
    <row r="5232" spans="1:6" x14ac:dyDescent="0.25">
      <c r="A5232" s="111"/>
      <c r="B5232" s="134" t="s">
        <v>776</v>
      </c>
      <c r="C5232" s="115"/>
      <c r="D5232" s="124">
        <v>1.25</v>
      </c>
      <c r="E5232" s="110"/>
      <c r="F5232" s="110">
        <f>+F5231*D5232</f>
        <v>241406.25</v>
      </c>
    </row>
    <row r="5233" spans="1:6" x14ac:dyDescent="0.25">
      <c r="A5233" s="111"/>
      <c r="B5233" s="134" t="s">
        <v>835</v>
      </c>
      <c r="C5233" s="115"/>
      <c r="D5233" s="124">
        <v>1.25</v>
      </c>
      <c r="E5233" s="110"/>
      <c r="F5233" s="110"/>
    </row>
    <row r="5234" spans="1:6" x14ac:dyDescent="0.35">
      <c r="A5234" s="261" t="s">
        <v>1177</v>
      </c>
      <c r="B5234" s="242" t="s">
        <v>785</v>
      </c>
      <c r="C5234" s="208" t="s">
        <v>59</v>
      </c>
      <c r="D5234" s="208"/>
      <c r="E5234" s="209"/>
      <c r="F5234" s="209">
        <f>+D5233*F5232</f>
        <v>301757.8125</v>
      </c>
    </row>
    <row r="5235" spans="1:6" x14ac:dyDescent="0.35">
      <c r="A5235" s="206"/>
      <c r="B5235" s="207"/>
      <c r="C5235" s="208"/>
      <c r="D5235" s="208"/>
      <c r="E5235" s="210">
        <f>+E5217</f>
        <v>3035.45</v>
      </c>
      <c r="F5235" s="210">
        <f>+F5234/E5235</f>
        <v>99.411228153980474</v>
      </c>
    </row>
    <row r="5238" spans="1:6" x14ac:dyDescent="0.3">
      <c r="A5238" s="257" t="s">
        <v>343</v>
      </c>
      <c r="B5238" s="258" t="s">
        <v>344</v>
      </c>
      <c r="C5238" s="200" t="s">
        <v>2</v>
      </c>
      <c r="D5238" s="202" t="s">
        <v>765</v>
      </c>
      <c r="E5238" s="203" t="s">
        <v>766</v>
      </c>
      <c r="F5238" s="203" t="s">
        <v>767</v>
      </c>
    </row>
    <row r="5239" spans="1:6" x14ac:dyDescent="0.3">
      <c r="A5239" s="237" t="s">
        <v>1173</v>
      </c>
      <c r="B5239" s="234" t="s">
        <v>374</v>
      </c>
      <c r="C5239" s="256"/>
      <c r="D5239" s="141"/>
      <c r="E5239" s="110"/>
      <c r="F5239" s="110"/>
    </row>
    <row r="5240" spans="1:6" x14ac:dyDescent="0.3">
      <c r="A5240" s="239" t="s">
        <v>1179</v>
      </c>
      <c r="B5240" s="254" t="s">
        <v>379</v>
      </c>
      <c r="C5240" s="256" t="s">
        <v>59</v>
      </c>
      <c r="D5240" s="141"/>
      <c r="E5240" s="110"/>
      <c r="F5240" s="110"/>
    </row>
    <row r="5241" spans="1:6" x14ac:dyDescent="0.35">
      <c r="A5241" s="111"/>
      <c r="B5241" s="112" t="s">
        <v>802</v>
      </c>
      <c r="C5241" s="118"/>
      <c r="D5241" s="118"/>
      <c r="E5241" s="119"/>
      <c r="F5241" s="119"/>
    </row>
    <row r="5242" spans="1:6" x14ac:dyDescent="0.25">
      <c r="A5242" s="111"/>
      <c r="B5242" s="263" t="s">
        <v>379</v>
      </c>
      <c r="C5242" s="315" t="s">
        <v>59</v>
      </c>
      <c r="D5242" s="316">
        <v>1</v>
      </c>
      <c r="E5242" s="142">
        <v>65000</v>
      </c>
      <c r="F5242" s="119">
        <f>+D5242*E5242</f>
        <v>65000</v>
      </c>
    </row>
    <row r="5243" spans="1:6" x14ac:dyDescent="0.25">
      <c r="A5243" s="111"/>
      <c r="B5243" s="120" t="s">
        <v>1025</v>
      </c>
      <c r="C5243" s="315"/>
      <c r="D5243" s="317"/>
      <c r="E5243" s="158"/>
      <c r="F5243" s="119">
        <f>0.1*F5242</f>
        <v>6500</v>
      </c>
    </row>
    <row r="5244" spans="1:6" x14ac:dyDescent="0.35">
      <c r="A5244" s="107"/>
      <c r="B5244" s="108" t="s">
        <v>769</v>
      </c>
      <c r="C5244" s="109"/>
      <c r="D5244" s="124"/>
      <c r="E5244" s="117"/>
      <c r="F5244" s="110">
        <f>SUM(F5242:F5243)</f>
        <v>71500</v>
      </c>
    </row>
    <row r="5245" spans="1:6" x14ac:dyDescent="0.3">
      <c r="A5245" s="111"/>
      <c r="B5245" s="136" t="s">
        <v>808</v>
      </c>
      <c r="C5245" s="115"/>
      <c r="D5245" s="124"/>
      <c r="E5245" s="117"/>
      <c r="F5245" s="110"/>
    </row>
    <row r="5246" spans="1:6" x14ac:dyDescent="0.25">
      <c r="A5246" s="111"/>
      <c r="B5246" s="134" t="s">
        <v>821</v>
      </c>
      <c r="C5246" s="115" t="s">
        <v>772</v>
      </c>
      <c r="D5246" s="124">
        <v>0.75</v>
      </c>
      <c r="E5246" s="117">
        <v>7500</v>
      </c>
      <c r="F5246" s="110">
        <f>+D5246*E5246</f>
        <v>5625</v>
      </c>
    </row>
    <row r="5247" spans="1:6" x14ac:dyDescent="0.25">
      <c r="A5247" s="111"/>
      <c r="B5247" s="134" t="s">
        <v>794</v>
      </c>
      <c r="C5247" s="115" t="s">
        <v>772</v>
      </c>
      <c r="D5247" s="124">
        <v>1.5</v>
      </c>
      <c r="E5247" s="117">
        <v>15000</v>
      </c>
      <c r="F5247" s="110">
        <f>+D5247*E5247</f>
        <v>22500</v>
      </c>
    </row>
    <row r="5248" spans="1:6" x14ac:dyDescent="0.3">
      <c r="A5248" s="111"/>
      <c r="B5248" s="136" t="s">
        <v>774</v>
      </c>
      <c r="C5248" s="115"/>
      <c r="D5248" s="124"/>
      <c r="E5248" s="117"/>
      <c r="F5248" s="110">
        <f>SUM(F5246:F5247)</f>
        <v>28125</v>
      </c>
    </row>
    <row r="5249" spans="1:6" x14ac:dyDescent="0.3">
      <c r="A5249" s="111"/>
      <c r="B5249" s="136" t="s">
        <v>775</v>
      </c>
      <c r="C5249" s="115"/>
      <c r="D5249" s="109"/>
      <c r="E5249" s="110"/>
      <c r="F5249" s="110">
        <f>+F5248+F5244</f>
        <v>99625</v>
      </c>
    </row>
    <row r="5250" spans="1:6" x14ac:dyDescent="0.25">
      <c r="A5250" s="111"/>
      <c r="B5250" s="134" t="s">
        <v>776</v>
      </c>
      <c r="C5250" s="115"/>
      <c r="D5250" s="124">
        <v>1.25</v>
      </c>
      <c r="E5250" s="110"/>
      <c r="F5250" s="110">
        <f>+F5249*D5250</f>
        <v>124531.25</v>
      </c>
    </row>
    <row r="5251" spans="1:6" x14ac:dyDescent="0.25">
      <c r="A5251" s="111"/>
      <c r="B5251" s="134" t="s">
        <v>835</v>
      </c>
      <c r="C5251" s="115"/>
      <c r="D5251" s="124">
        <v>1.25</v>
      </c>
      <c r="E5251" s="110"/>
      <c r="F5251" s="110"/>
    </row>
    <row r="5252" spans="1:6" x14ac:dyDescent="0.35">
      <c r="A5252" s="261" t="s">
        <v>1179</v>
      </c>
      <c r="B5252" s="242" t="s">
        <v>785</v>
      </c>
      <c r="C5252" s="208" t="s">
        <v>59</v>
      </c>
      <c r="D5252" s="208"/>
      <c r="E5252" s="209"/>
      <c r="F5252" s="209">
        <f>+D5251*F5250</f>
        <v>155664.0625</v>
      </c>
    </row>
    <row r="5253" spans="1:6" x14ac:dyDescent="0.35">
      <c r="A5253" s="206"/>
      <c r="B5253" s="207"/>
      <c r="C5253" s="208"/>
      <c r="D5253" s="208"/>
      <c r="E5253" s="210">
        <f>+E5235</f>
        <v>3035.45</v>
      </c>
      <c r="F5253" s="210">
        <f>+F5252/E5253</f>
        <v>51.282038083315491</v>
      </c>
    </row>
    <row r="5256" spans="1:6" x14ac:dyDescent="0.3">
      <c r="A5256" s="257" t="s">
        <v>343</v>
      </c>
      <c r="B5256" s="258" t="s">
        <v>344</v>
      </c>
      <c r="C5256" s="200" t="s">
        <v>2</v>
      </c>
      <c r="D5256" s="202" t="s">
        <v>765</v>
      </c>
      <c r="E5256" s="203" t="s">
        <v>766</v>
      </c>
      <c r="F5256" s="203" t="s">
        <v>767</v>
      </c>
    </row>
    <row r="5257" spans="1:6" x14ac:dyDescent="0.3">
      <c r="A5257" s="237" t="s">
        <v>1180</v>
      </c>
      <c r="B5257" s="231" t="s">
        <v>381</v>
      </c>
      <c r="C5257" s="256"/>
      <c r="D5257" s="141"/>
      <c r="E5257" s="110"/>
      <c r="F5257" s="110"/>
    </row>
    <row r="5258" spans="1:6" x14ac:dyDescent="0.3">
      <c r="A5258" s="239" t="s">
        <v>1181</v>
      </c>
      <c r="B5258" s="254" t="s">
        <v>382</v>
      </c>
      <c r="C5258" s="256" t="s">
        <v>59</v>
      </c>
      <c r="D5258" s="141"/>
      <c r="E5258" s="110"/>
      <c r="F5258" s="110"/>
    </row>
    <row r="5259" spans="1:6" x14ac:dyDescent="0.35">
      <c r="A5259" s="111"/>
      <c r="B5259" s="112" t="s">
        <v>802</v>
      </c>
      <c r="C5259" s="118"/>
      <c r="D5259" s="118"/>
      <c r="E5259" s="119"/>
      <c r="F5259" s="119"/>
    </row>
    <row r="5260" spans="1:6" x14ac:dyDescent="0.25">
      <c r="A5260" s="111"/>
      <c r="B5260" s="263" t="s">
        <v>382</v>
      </c>
      <c r="C5260" s="315" t="s">
        <v>59</v>
      </c>
      <c r="D5260" s="316">
        <v>1</v>
      </c>
      <c r="E5260" s="142">
        <v>180000</v>
      </c>
      <c r="F5260" s="119">
        <f>+D5260*E5260</f>
        <v>180000</v>
      </c>
    </row>
    <row r="5261" spans="1:6" x14ac:dyDescent="0.25">
      <c r="A5261" s="111"/>
      <c r="B5261" s="120" t="s">
        <v>1025</v>
      </c>
      <c r="C5261" s="315"/>
      <c r="D5261" s="317"/>
      <c r="E5261" s="158"/>
      <c r="F5261" s="119">
        <f>0.1*F5260</f>
        <v>18000</v>
      </c>
    </row>
    <row r="5262" spans="1:6" x14ac:dyDescent="0.35">
      <c r="A5262" s="107"/>
      <c r="B5262" s="108" t="s">
        <v>769</v>
      </c>
      <c r="C5262" s="109"/>
      <c r="D5262" s="124"/>
      <c r="E5262" s="117"/>
      <c r="F5262" s="110">
        <f>SUM(F5260:F5261)</f>
        <v>198000</v>
      </c>
    </row>
    <row r="5263" spans="1:6" x14ac:dyDescent="0.3">
      <c r="A5263" s="111"/>
      <c r="B5263" s="136" t="s">
        <v>808</v>
      </c>
      <c r="C5263" s="115"/>
      <c r="D5263" s="124"/>
      <c r="E5263" s="117"/>
      <c r="F5263" s="110"/>
    </row>
    <row r="5264" spans="1:6" x14ac:dyDescent="0.25">
      <c r="A5264" s="111"/>
      <c r="B5264" s="134" t="s">
        <v>821</v>
      </c>
      <c r="C5264" s="115" t="s">
        <v>772</v>
      </c>
      <c r="D5264" s="124">
        <v>0.75</v>
      </c>
      <c r="E5264" s="117">
        <v>7500</v>
      </c>
      <c r="F5264" s="110">
        <f>+D5264*E5264</f>
        <v>5625</v>
      </c>
    </row>
    <row r="5265" spans="1:6" x14ac:dyDescent="0.25">
      <c r="A5265" s="111"/>
      <c r="B5265" s="134" t="s">
        <v>794</v>
      </c>
      <c r="C5265" s="115" t="s">
        <v>772</v>
      </c>
      <c r="D5265" s="124">
        <v>1.5</v>
      </c>
      <c r="E5265" s="117">
        <v>15000</v>
      </c>
      <c r="F5265" s="110">
        <f>+D5265*E5265</f>
        <v>22500</v>
      </c>
    </row>
    <row r="5266" spans="1:6" x14ac:dyDescent="0.3">
      <c r="A5266" s="111"/>
      <c r="B5266" s="136" t="s">
        <v>774</v>
      </c>
      <c r="C5266" s="115"/>
      <c r="D5266" s="124"/>
      <c r="E5266" s="117"/>
      <c r="F5266" s="110">
        <f>SUM(F5264:F5265)</f>
        <v>28125</v>
      </c>
    </row>
    <row r="5267" spans="1:6" x14ac:dyDescent="0.3">
      <c r="A5267" s="111"/>
      <c r="B5267" s="136" t="s">
        <v>775</v>
      </c>
      <c r="C5267" s="115"/>
      <c r="D5267" s="109"/>
      <c r="E5267" s="110"/>
      <c r="F5267" s="110">
        <f>+F5266+F5262</f>
        <v>226125</v>
      </c>
    </row>
    <row r="5268" spans="1:6" x14ac:dyDescent="0.25">
      <c r="A5268" s="111"/>
      <c r="B5268" s="134" t="s">
        <v>776</v>
      </c>
      <c r="C5268" s="115"/>
      <c r="D5268" s="124">
        <v>1.25</v>
      </c>
      <c r="E5268" s="110"/>
      <c r="F5268" s="110">
        <f>+F5267*D5268</f>
        <v>282656.25</v>
      </c>
    </row>
    <row r="5269" spans="1:6" x14ac:dyDescent="0.25">
      <c r="A5269" s="111"/>
      <c r="B5269" s="134" t="s">
        <v>835</v>
      </c>
      <c r="C5269" s="115"/>
      <c r="D5269" s="124">
        <v>1.25</v>
      </c>
      <c r="E5269" s="110"/>
      <c r="F5269" s="110"/>
    </row>
    <row r="5270" spans="1:6" x14ac:dyDescent="0.35">
      <c r="A5270" s="261" t="s">
        <v>1181</v>
      </c>
      <c r="B5270" s="242" t="s">
        <v>785</v>
      </c>
      <c r="C5270" s="208" t="s">
        <v>59</v>
      </c>
      <c r="D5270" s="208"/>
      <c r="E5270" s="209"/>
      <c r="F5270" s="209">
        <f>+D5269*F5268</f>
        <v>353320.3125</v>
      </c>
    </row>
    <row r="5271" spans="1:6" x14ac:dyDescent="0.35">
      <c r="A5271" s="243"/>
      <c r="B5271" s="244"/>
      <c r="C5271" s="245"/>
      <c r="D5271" s="245"/>
      <c r="E5271" s="246">
        <f>+E5253</f>
        <v>3035.45</v>
      </c>
      <c r="F5271" s="246">
        <f>+F5270/E5271</f>
        <v>116.39800112009752</v>
      </c>
    </row>
    <row r="5272" spans="1:6" x14ac:dyDescent="0.35">
      <c r="A5272" s="185"/>
      <c r="B5272" s="186"/>
      <c r="C5272" s="187"/>
      <c r="D5272" s="188"/>
      <c r="E5272" s="189"/>
      <c r="F5272" s="180"/>
    </row>
    <row r="5273" spans="1:6" x14ac:dyDescent="0.35">
      <c r="D5273" s="193"/>
    </row>
    <row r="5274" spans="1:6" x14ac:dyDescent="0.3">
      <c r="A5274" s="257" t="s">
        <v>343</v>
      </c>
      <c r="B5274" s="258" t="s">
        <v>344</v>
      </c>
      <c r="C5274" s="200" t="s">
        <v>2</v>
      </c>
      <c r="D5274" s="202" t="s">
        <v>765</v>
      </c>
      <c r="E5274" s="203" t="s">
        <v>766</v>
      </c>
      <c r="F5274" s="203" t="s">
        <v>767</v>
      </c>
    </row>
    <row r="5275" spans="1:6" x14ac:dyDescent="0.3">
      <c r="A5275" s="237" t="s">
        <v>1180</v>
      </c>
      <c r="B5275" s="231" t="s">
        <v>381</v>
      </c>
      <c r="C5275" s="256"/>
      <c r="D5275" s="141"/>
      <c r="E5275" s="110"/>
      <c r="F5275" s="110"/>
    </row>
    <row r="5276" spans="1:6" x14ac:dyDescent="0.3">
      <c r="A5276" s="239" t="s">
        <v>1182</v>
      </c>
      <c r="B5276" s="254" t="s">
        <v>717</v>
      </c>
      <c r="C5276" s="256" t="s">
        <v>59</v>
      </c>
      <c r="D5276" s="141"/>
      <c r="E5276" s="110"/>
      <c r="F5276" s="110"/>
    </row>
    <row r="5277" spans="1:6" x14ac:dyDescent="0.35">
      <c r="A5277" s="111"/>
      <c r="B5277" s="112" t="s">
        <v>802</v>
      </c>
      <c r="C5277" s="118"/>
      <c r="D5277" s="118"/>
      <c r="E5277" s="119"/>
      <c r="F5277" s="119"/>
    </row>
    <row r="5278" spans="1:6" x14ac:dyDescent="0.25">
      <c r="A5278" s="111"/>
      <c r="B5278" s="263" t="s">
        <v>717</v>
      </c>
      <c r="C5278" s="315" t="s">
        <v>59</v>
      </c>
      <c r="D5278" s="316">
        <v>1</v>
      </c>
      <c r="E5278" s="142">
        <v>353000</v>
      </c>
      <c r="F5278" s="119">
        <f>+D5278*E5278</f>
        <v>353000</v>
      </c>
    </row>
    <row r="5279" spans="1:6" x14ac:dyDescent="0.25">
      <c r="A5279" s="111"/>
      <c r="B5279" s="120" t="s">
        <v>1025</v>
      </c>
      <c r="C5279" s="315"/>
      <c r="D5279" s="317"/>
      <c r="E5279" s="158"/>
      <c r="F5279" s="119">
        <f>0.1*F5278</f>
        <v>35300</v>
      </c>
    </row>
    <row r="5280" spans="1:6" x14ac:dyDescent="0.35">
      <c r="A5280" s="107"/>
      <c r="B5280" s="108" t="s">
        <v>769</v>
      </c>
      <c r="C5280" s="109"/>
      <c r="D5280" s="124"/>
      <c r="E5280" s="117"/>
      <c r="F5280" s="110">
        <f>SUM(F5278:F5279)</f>
        <v>388300</v>
      </c>
    </row>
    <row r="5281" spans="1:6" x14ac:dyDescent="0.3">
      <c r="A5281" s="111"/>
      <c r="B5281" s="136" t="s">
        <v>808</v>
      </c>
      <c r="C5281" s="115"/>
      <c r="D5281" s="124"/>
      <c r="E5281" s="117"/>
      <c r="F5281" s="110"/>
    </row>
    <row r="5282" spans="1:6" x14ac:dyDescent="0.25">
      <c r="A5282" s="111"/>
      <c r="B5282" s="134" t="s">
        <v>821</v>
      </c>
      <c r="C5282" s="115" t="s">
        <v>772</v>
      </c>
      <c r="D5282" s="124">
        <v>0.75</v>
      </c>
      <c r="E5282" s="117">
        <v>7500</v>
      </c>
      <c r="F5282" s="110">
        <f>+D5282*E5282</f>
        <v>5625</v>
      </c>
    </row>
    <row r="5283" spans="1:6" x14ac:dyDescent="0.25">
      <c r="A5283" s="111"/>
      <c r="B5283" s="134" t="s">
        <v>794</v>
      </c>
      <c r="C5283" s="115" t="s">
        <v>772</v>
      </c>
      <c r="D5283" s="124">
        <v>1.5</v>
      </c>
      <c r="E5283" s="117">
        <v>15000</v>
      </c>
      <c r="F5283" s="110">
        <f>+D5283*E5283</f>
        <v>22500</v>
      </c>
    </row>
    <row r="5284" spans="1:6" x14ac:dyDescent="0.3">
      <c r="A5284" s="111"/>
      <c r="B5284" s="136" t="s">
        <v>774</v>
      </c>
      <c r="C5284" s="115"/>
      <c r="D5284" s="124"/>
      <c r="E5284" s="117"/>
      <c r="F5284" s="110">
        <f>SUM(F5282:F5283)</f>
        <v>28125</v>
      </c>
    </row>
    <row r="5285" spans="1:6" x14ac:dyDescent="0.3">
      <c r="A5285" s="111"/>
      <c r="B5285" s="136" t="s">
        <v>775</v>
      </c>
      <c r="C5285" s="115"/>
      <c r="D5285" s="109"/>
      <c r="E5285" s="110"/>
      <c r="F5285" s="110">
        <f>+F5284+F5280</f>
        <v>416425</v>
      </c>
    </row>
    <row r="5286" spans="1:6" x14ac:dyDescent="0.25">
      <c r="A5286" s="111"/>
      <c r="B5286" s="134" t="s">
        <v>776</v>
      </c>
      <c r="C5286" s="115"/>
      <c r="D5286" s="124">
        <v>1.25</v>
      </c>
      <c r="E5286" s="110"/>
      <c r="F5286" s="110">
        <f>+F5285*D5286</f>
        <v>520531.25</v>
      </c>
    </row>
    <row r="5287" spans="1:6" x14ac:dyDescent="0.25">
      <c r="A5287" s="111"/>
      <c r="B5287" s="134" t="s">
        <v>835</v>
      </c>
      <c r="C5287" s="115"/>
      <c r="D5287" s="124">
        <v>1.25</v>
      </c>
      <c r="E5287" s="110"/>
      <c r="F5287" s="110"/>
    </row>
    <row r="5288" spans="1:6" x14ac:dyDescent="0.35">
      <c r="A5288" s="261" t="s">
        <v>1182</v>
      </c>
      <c r="B5288" s="242" t="s">
        <v>785</v>
      </c>
      <c r="C5288" s="208" t="s">
        <v>59</v>
      </c>
      <c r="D5288" s="208"/>
      <c r="E5288" s="209"/>
      <c r="F5288" s="209">
        <f>+D5287*F5286</f>
        <v>650664.0625</v>
      </c>
    </row>
    <row r="5289" spans="1:6" x14ac:dyDescent="0.35">
      <c r="A5289" s="206"/>
      <c r="B5289" s="207"/>
      <c r="C5289" s="208"/>
      <c r="D5289" s="245"/>
      <c r="E5289" s="210">
        <f>+E5271</f>
        <v>3035.45</v>
      </c>
      <c r="F5289" s="210">
        <f>+F5288/E5289</f>
        <v>214.35505855803919</v>
      </c>
    </row>
    <row r="5290" spans="1:6" x14ac:dyDescent="0.35">
      <c r="A5290" s="185"/>
      <c r="B5290" s="186"/>
      <c r="C5290" s="187"/>
      <c r="D5290" s="188"/>
      <c r="E5290" s="189"/>
      <c r="F5290" s="180"/>
    </row>
    <row r="5291" spans="1:6" x14ac:dyDescent="0.35">
      <c r="D5291" s="193"/>
    </row>
    <row r="5292" spans="1:6" x14ac:dyDescent="0.3">
      <c r="A5292" s="257" t="s">
        <v>343</v>
      </c>
      <c r="B5292" s="258" t="s">
        <v>344</v>
      </c>
      <c r="C5292" s="200" t="s">
        <v>2</v>
      </c>
      <c r="D5292" s="202" t="s">
        <v>765</v>
      </c>
      <c r="E5292" s="203" t="s">
        <v>766</v>
      </c>
      <c r="F5292" s="203" t="s">
        <v>767</v>
      </c>
    </row>
    <row r="5293" spans="1:6" x14ac:dyDescent="0.3">
      <c r="A5293" s="237" t="s">
        <v>1180</v>
      </c>
      <c r="B5293" s="231" t="s">
        <v>381</v>
      </c>
      <c r="C5293" s="256"/>
      <c r="D5293" s="141"/>
      <c r="E5293" s="110"/>
      <c r="F5293" s="110"/>
    </row>
    <row r="5294" spans="1:6" x14ac:dyDescent="0.3">
      <c r="A5294" s="239" t="s">
        <v>1183</v>
      </c>
      <c r="B5294" s="254" t="s">
        <v>1184</v>
      </c>
      <c r="C5294" s="256" t="s">
        <v>59</v>
      </c>
      <c r="D5294" s="141"/>
      <c r="E5294" s="110"/>
      <c r="F5294" s="110"/>
    </row>
    <row r="5295" spans="1:6" x14ac:dyDescent="0.35">
      <c r="A5295" s="111"/>
      <c r="B5295" s="112" t="s">
        <v>802</v>
      </c>
      <c r="C5295" s="118"/>
      <c r="D5295" s="118"/>
      <c r="E5295" s="119"/>
      <c r="F5295" s="119"/>
    </row>
    <row r="5296" spans="1:6" x14ac:dyDescent="0.25">
      <c r="A5296" s="111"/>
      <c r="B5296" s="263" t="s">
        <v>717</v>
      </c>
      <c r="C5296" s="315" t="s">
        <v>59</v>
      </c>
      <c r="D5296" s="316">
        <v>1</v>
      </c>
      <c r="E5296" s="142">
        <v>385000</v>
      </c>
      <c r="F5296" s="119">
        <f>+D5296*E5296</f>
        <v>385000</v>
      </c>
    </row>
    <row r="5297" spans="1:6" x14ac:dyDescent="0.25">
      <c r="A5297" s="111"/>
      <c r="B5297" s="120" t="s">
        <v>1025</v>
      </c>
      <c r="C5297" s="315"/>
      <c r="D5297" s="317"/>
      <c r="E5297" s="158"/>
      <c r="F5297" s="119">
        <f>0.1*F5296</f>
        <v>38500</v>
      </c>
    </row>
    <row r="5298" spans="1:6" x14ac:dyDescent="0.35">
      <c r="A5298" s="107"/>
      <c r="B5298" s="108" t="s">
        <v>769</v>
      </c>
      <c r="C5298" s="109"/>
      <c r="D5298" s="124"/>
      <c r="E5298" s="117"/>
      <c r="F5298" s="110">
        <f>SUM(F5296:F5297)</f>
        <v>423500</v>
      </c>
    </row>
    <row r="5299" spans="1:6" x14ac:dyDescent="0.3">
      <c r="A5299" s="111"/>
      <c r="B5299" s="136" t="s">
        <v>808</v>
      </c>
      <c r="C5299" s="115"/>
      <c r="D5299" s="124"/>
      <c r="E5299" s="117"/>
      <c r="F5299" s="110"/>
    </row>
    <row r="5300" spans="1:6" x14ac:dyDescent="0.25">
      <c r="A5300" s="111"/>
      <c r="B5300" s="134" t="s">
        <v>821</v>
      </c>
      <c r="C5300" s="115" t="s">
        <v>772</v>
      </c>
      <c r="D5300" s="124">
        <v>0.75</v>
      </c>
      <c r="E5300" s="117">
        <v>7500</v>
      </c>
      <c r="F5300" s="110">
        <f>+D5300*E5300</f>
        <v>5625</v>
      </c>
    </row>
    <row r="5301" spans="1:6" x14ac:dyDescent="0.25">
      <c r="A5301" s="111"/>
      <c r="B5301" s="134" t="s">
        <v>794</v>
      </c>
      <c r="C5301" s="115" t="s">
        <v>772</v>
      </c>
      <c r="D5301" s="124">
        <v>1.5</v>
      </c>
      <c r="E5301" s="117">
        <v>15000</v>
      </c>
      <c r="F5301" s="110">
        <f>+D5301*E5301</f>
        <v>22500</v>
      </c>
    </row>
    <row r="5302" spans="1:6" x14ac:dyDescent="0.3">
      <c r="A5302" s="111"/>
      <c r="B5302" s="136" t="s">
        <v>774</v>
      </c>
      <c r="C5302" s="115"/>
      <c r="D5302" s="124"/>
      <c r="E5302" s="117"/>
      <c r="F5302" s="110">
        <f>SUM(F5300:F5301)</f>
        <v>28125</v>
      </c>
    </row>
    <row r="5303" spans="1:6" x14ac:dyDescent="0.3">
      <c r="A5303" s="111"/>
      <c r="B5303" s="136" t="s">
        <v>775</v>
      </c>
      <c r="C5303" s="115"/>
      <c r="D5303" s="109"/>
      <c r="E5303" s="110"/>
      <c r="F5303" s="110">
        <f>+F5302+F5298</f>
        <v>451625</v>
      </c>
    </row>
    <row r="5304" spans="1:6" x14ac:dyDescent="0.25">
      <c r="A5304" s="111"/>
      <c r="B5304" s="134" t="s">
        <v>776</v>
      </c>
      <c r="C5304" s="115"/>
      <c r="D5304" s="124">
        <v>1.25</v>
      </c>
      <c r="E5304" s="110"/>
      <c r="F5304" s="110">
        <f>+F5303*D5304</f>
        <v>564531.25</v>
      </c>
    </row>
    <row r="5305" spans="1:6" x14ac:dyDescent="0.25">
      <c r="A5305" s="111"/>
      <c r="B5305" s="134" t="s">
        <v>835</v>
      </c>
      <c r="C5305" s="115"/>
      <c r="D5305" s="124">
        <v>1.25</v>
      </c>
      <c r="E5305" s="110"/>
      <c r="F5305" s="110"/>
    </row>
    <row r="5306" spans="1:6" x14ac:dyDescent="0.35">
      <c r="A5306" s="261" t="s">
        <v>1183</v>
      </c>
      <c r="B5306" s="242" t="s">
        <v>785</v>
      </c>
      <c r="C5306" s="208" t="s">
        <v>59</v>
      </c>
      <c r="D5306" s="208"/>
      <c r="E5306" s="209"/>
      <c r="F5306" s="209">
        <f>+D5305*F5304</f>
        <v>705664.0625</v>
      </c>
    </row>
    <row r="5307" spans="1:6" x14ac:dyDescent="0.35">
      <c r="A5307" s="206"/>
      <c r="B5307" s="207"/>
      <c r="C5307" s="208"/>
      <c r="D5307" s="208"/>
      <c r="E5307" s="210">
        <f>+E5289</f>
        <v>3035.45</v>
      </c>
      <c r="F5307" s="210">
        <f>+F5306/E5307</f>
        <v>232.4742830552307</v>
      </c>
    </row>
    <row r="5310" spans="1:6" x14ac:dyDescent="0.3">
      <c r="A5310" s="257" t="s">
        <v>343</v>
      </c>
      <c r="B5310" s="258" t="s">
        <v>344</v>
      </c>
      <c r="C5310" s="200" t="s">
        <v>2</v>
      </c>
      <c r="D5310" s="202" t="s">
        <v>765</v>
      </c>
      <c r="E5310" s="203" t="s">
        <v>766</v>
      </c>
      <c r="F5310" s="203" t="s">
        <v>767</v>
      </c>
    </row>
    <row r="5311" spans="1:6" x14ac:dyDescent="0.3">
      <c r="A5311" s="239" t="s">
        <v>1185</v>
      </c>
      <c r="B5311" s="231" t="s">
        <v>385</v>
      </c>
      <c r="C5311" s="256"/>
      <c r="D5311" s="141"/>
      <c r="E5311" s="110"/>
      <c r="F5311" s="110"/>
    </row>
    <row r="5312" spans="1:6" x14ac:dyDescent="0.3">
      <c r="A5312" s="239" t="s">
        <v>1186</v>
      </c>
      <c r="B5312" s="254" t="s">
        <v>1187</v>
      </c>
      <c r="C5312" s="256" t="s">
        <v>59</v>
      </c>
      <c r="D5312" s="141"/>
      <c r="E5312" s="110"/>
      <c r="F5312" s="110"/>
    </row>
    <row r="5313" spans="1:6" x14ac:dyDescent="0.35">
      <c r="A5313" s="111"/>
      <c r="B5313" s="112" t="s">
        <v>802</v>
      </c>
      <c r="C5313" s="118"/>
      <c r="D5313" s="118"/>
      <c r="E5313" s="119"/>
      <c r="F5313" s="119"/>
    </row>
    <row r="5314" spans="1:6" x14ac:dyDescent="0.25">
      <c r="A5314" s="111"/>
      <c r="B5314" s="263" t="s">
        <v>711</v>
      </c>
      <c r="C5314" s="315" t="s">
        <v>59</v>
      </c>
      <c r="D5314" s="316">
        <v>1</v>
      </c>
      <c r="E5314" s="142">
        <v>237000</v>
      </c>
      <c r="F5314" s="119">
        <f>+D5314*E5314</f>
        <v>237000</v>
      </c>
    </row>
    <row r="5315" spans="1:6" x14ac:dyDescent="0.25">
      <c r="A5315" s="111"/>
      <c r="B5315" s="120" t="s">
        <v>1025</v>
      </c>
      <c r="C5315" s="315"/>
      <c r="D5315" s="317"/>
      <c r="E5315" s="158"/>
      <c r="F5315" s="119">
        <f>0.1*F5314</f>
        <v>23700</v>
      </c>
    </row>
    <row r="5316" spans="1:6" x14ac:dyDescent="0.35">
      <c r="A5316" s="107"/>
      <c r="B5316" s="108" t="s">
        <v>769</v>
      </c>
      <c r="C5316" s="109"/>
      <c r="D5316" s="124"/>
      <c r="E5316" s="117"/>
      <c r="F5316" s="110">
        <f>SUM(F5314:F5315)</f>
        <v>260700</v>
      </c>
    </row>
    <row r="5317" spans="1:6" x14ac:dyDescent="0.3">
      <c r="A5317" s="111"/>
      <c r="B5317" s="136" t="s">
        <v>808</v>
      </c>
      <c r="C5317" s="115"/>
      <c r="D5317" s="124"/>
      <c r="E5317" s="117"/>
      <c r="F5317" s="110"/>
    </row>
    <row r="5318" spans="1:6" x14ac:dyDescent="0.25">
      <c r="A5318" s="111"/>
      <c r="B5318" s="134" t="s">
        <v>821</v>
      </c>
      <c r="C5318" s="115" t="s">
        <v>772</v>
      </c>
      <c r="D5318" s="124">
        <v>0.75</v>
      </c>
      <c r="E5318" s="117">
        <v>7500</v>
      </c>
      <c r="F5318" s="110">
        <f>+D5318*E5318</f>
        <v>5625</v>
      </c>
    </row>
    <row r="5319" spans="1:6" x14ac:dyDescent="0.25">
      <c r="A5319" s="111"/>
      <c r="B5319" s="134" t="s">
        <v>794</v>
      </c>
      <c r="C5319" s="115" t="s">
        <v>772</v>
      </c>
      <c r="D5319" s="124">
        <v>1.5</v>
      </c>
      <c r="E5319" s="117">
        <v>15000</v>
      </c>
      <c r="F5319" s="110">
        <f>+D5319*E5319</f>
        <v>22500</v>
      </c>
    </row>
    <row r="5320" spans="1:6" x14ac:dyDescent="0.3">
      <c r="A5320" s="111"/>
      <c r="B5320" s="136" t="s">
        <v>774</v>
      </c>
      <c r="C5320" s="115"/>
      <c r="D5320" s="124"/>
      <c r="E5320" s="117"/>
      <c r="F5320" s="110">
        <f>SUM(F5318:F5319)</f>
        <v>28125</v>
      </c>
    </row>
    <row r="5321" spans="1:6" x14ac:dyDescent="0.3">
      <c r="A5321" s="111"/>
      <c r="B5321" s="136" t="s">
        <v>775</v>
      </c>
      <c r="C5321" s="115"/>
      <c r="D5321" s="109"/>
      <c r="E5321" s="110"/>
      <c r="F5321" s="110">
        <f>+F5320+F5316</f>
        <v>288825</v>
      </c>
    </row>
    <row r="5322" spans="1:6" x14ac:dyDescent="0.25">
      <c r="A5322" s="111"/>
      <c r="B5322" s="134" t="s">
        <v>776</v>
      </c>
      <c r="C5322" s="115"/>
      <c r="D5322" s="124">
        <v>1.25</v>
      </c>
      <c r="E5322" s="110"/>
      <c r="F5322" s="110">
        <f>+F5321*D5322</f>
        <v>361031.25</v>
      </c>
    </row>
    <row r="5323" spans="1:6" x14ac:dyDescent="0.25">
      <c r="A5323" s="111"/>
      <c r="B5323" s="134" t="s">
        <v>835</v>
      </c>
      <c r="C5323" s="115"/>
      <c r="D5323" s="124">
        <v>1.25</v>
      </c>
      <c r="E5323" s="110"/>
      <c r="F5323" s="110"/>
    </row>
    <row r="5324" spans="1:6" x14ac:dyDescent="0.35">
      <c r="A5324" s="261" t="s">
        <v>1186</v>
      </c>
      <c r="B5324" s="242" t="s">
        <v>785</v>
      </c>
      <c r="C5324" s="208" t="s">
        <v>59</v>
      </c>
      <c r="D5324" s="208"/>
      <c r="E5324" s="209"/>
      <c r="F5324" s="209">
        <f>+D5323*F5322</f>
        <v>451289.0625</v>
      </c>
    </row>
    <row r="5325" spans="1:6" x14ac:dyDescent="0.35">
      <c r="A5325" s="206"/>
      <c r="B5325" s="207"/>
      <c r="C5325" s="208"/>
      <c r="D5325" s="208"/>
      <c r="E5325" s="210">
        <f>+E5307</f>
        <v>3035.45</v>
      </c>
      <c r="F5325" s="210">
        <f>+F5324/E5325</f>
        <v>148.67286975571992</v>
      </c>
    </row>
    <row r="5328" spans="1:6" x14ac:dyDescent="0.3">
      <c r="A5328" s="257" t="s">
        <v>343</v>
      </c>
      <c r="B5328" s="258" t="s">
        <v>344</v>
      </c>
      <c r="C5328" s="200" t="s">
        <v>2</v>
      </c>
      <c r="D5328" s="202" t="s">
        <v>765</v>
      </c>
      <c r="E5328" s="203" t="s">
        <v>766</v>
      </c>
      <c r="F5328" s="203" t="s">
        <v>767</v>
      </c>
    </row>
    <row r="5329" spans="1:6" x14ac:dyDescent="0.3">
      <c r="A5329" s="239" t="s">
        <v>1185</v>
      </c>
      <c r="B5329" s="231" t="s">
        <v>385</v>
      </c>
      <c r="C5329" s="256"/>
      <c r="D5329" s="141"/>
      <c r="E5329" s="110"/>
      <c r="F5329" s="110"/>
    </row>
    <row r="5330" spans="1:6" x14ac:dyDescent="0.3">
      <c r="A5330" s="239" t="s">
        <v>1188</v>
      </c>
      <c r="B5330" s="254" t="s">
        <v>386</v>
      </c>
      <c r="C5330" s="256" t="s">
        <v>59</v>
      </c>
      <c r="D5330" s="141"/>
      <c r="E5330" s="110"/>
      <c r="F5330" s="110"/>
    </row>
    <row r="5331" spans="1:6" x14ac:dyDescent="0.35">
      <c r="A5331" s="111"/>
      <c r="B5331" s="112" t="s">
        <v>802</v>
      </c>
      <c r="C5331" s="118"/>
      <c r="D5331" s="118"/>
      <c r="E5331" s="119"/>
      <c r="F5331" s="119"/>
    </row>
    <row r="5332" spans="1:6" x14ac:dyDescent="0.25">
      <c r="A5332" s="111"/>
      <c r="B5332" s="263" t="s">
        <v>386</v>
      </c>
      <c r="C5332" s="315" t="s">
        <v>59</v>
      </c>
      <c r="D5332" s="316">
        <v>1</v>
      </c>
      <c r="E5332" s="142">
        <v>470000</v>
      </c>
      <c r="F5332" s="119">
        <f>+D5332*E5332</f>
        <v>470000</v>
      </c>
    </row>
    <row r="5333" spans="1:6" x14ac:dyDescent="0.25">
      <c r="A5333" s="111"/>
      <c r="B5333" s="120" t="s">
        <v>1025</v>
      </c>
      <c r="C5333" s="315"/>
      <c r="D5333" s="317"/>
      <c r="E5333" s="158"/>
      <c r="F5333" s="119">
        <f>0.1*F5332</f>
        <v>47000</v>
      </c>
    </row>
    <row r="5334" spans="1:6" x14ac:dyDescent="0.35">
      <c r="A5334" s="107"/>
      <c r="B5334" s="108" t="s">
        <v>769</v>
      </c>
      <c r="C5334" s="109"/>
      <c r="D5334" s="124"/>
      <c r="E5334" s="117"/>
      <c r="F5334" s="110">
        <f>SUM(F5332:F5333)</f>
        <v>517000</v>
      </c>
    </row>
    <row r="5335" spans="1:6" x14ac:dyDescent="0.3">
      <c r="A5335" s="111"/>
      <c r="B5335" s="136" t="s">
        <v>808</v>
      </c>
      <c r="C5335" s="115"/>
      <c r="D5335" s="124"/>
      <c r="E5335" s="117"/>
      <c r="F5335" s="110"/>
    </row>
    <row r="5336" spans="1:6" x14ac:dyDescent="0.25">
      <c r="A5336" s="111"/>
      <c r="B5336" s="134" t="s">
        <v>821</v>
      </c>
      <c r="C5336" s="115" t="s">
        <v>772</v>
      </c>
      <c r="D5336" s="124">
        <v>0.75</v>
      </c>
      <c r="E5336" s="117">
        <v>7500</v>
      </c>
      <c r="F5336" s="110">
        <f>+D5336*E5336</f>
        <v>5625</v>
      </c>
    </row>
    <row r="5337" spans="1:6" x14ac:dyDescent="0.25">
      <c r="A5337" s="111"/>
      <c r="B5337" s="134" t="s">
        <v>794</v>
      </c>
      <c r="C5337" s="115" t="s">
        <v>772</v>
      </c>
      <c r="D5337" s="124">
        <v>1.5</v>
      </c>
      <c r="E5337" s="117">
        <v>15000</v>
      </c>
      <c r="F5337" s="110">
        <f>+D5337*E5337</f>
        <v>22500</v>
      </c>
    </row>
    <row r="5338" spans="1:6" x14ac:dyDescent="0.3">
      <c r="A5338" s="111"/>
      <c r="B5338" s="136" t="s">
        <v>774</v>
      </c>
      <c r="C5338" s="115"/>
      <c r="D5338" s="124"/>
      <c r="E5338" s="117"/>
      <c r="F5338" s="110">
        <f>SUM(F5336:F5337)</f>
        <v>28125</v>
      </c>
    </row>
    <row r="5339" spans="1:6" x14ac:dyDescent="0.3">
      <c r="A5339" s="111"/>
      <c r="B5339" s="136" t="s">
        <v>775</v>
      </c>
      <c r="C5339" s="115"/>
      <c r="D5339" s="109"/>
      <c r="E5339" s="110"/>
      <c r="F5339" s="110">
        <f>+F5338+F5334</f>
        <v>545125</v>
      </c>
    </row>
    <row r="5340" spans="1:6" x14ac:dyDescent="0.25">
      <c r="A5340" s="111"/>
      <c r="B5340" s="134" t="s">
        <v>776</v>
      </c>
      <c r="C5340" s="115"/>
      <c r="D5340" s="124">
        <v>1.25</v>
      </c>
      <c r="E5340" s="110"/>
      <c r="F5340" s="110">
        <f>+F5339*D5340</f>
        <v>681406.25</v>
      </c>
    </row>
    <row r="5341" spans="1:6" x14ac:dyDescent="0.25">
      <c r="A5341" s="111"/>
      <c r="B5341" s="134" t="s">
        <v>835</v>
      </c>
      <c r="C5341" s="115"/>
      <c r="D5341" s="124">
        <v>1.25</v>
      </c>
      <c r="E5341" s="110"/>
      <c r="F5341" s="110"/>
    </row>
    <row r="5342" spans="1:6" x14ac:dyDescent="0.35">
      <c r="A5342" s="261" t="s">
        <v>1188</v>
      </c>
      <c r="B5342" s="242" t="s">
        <v>785</v>
      </c>
      <c r="C5342" s="208" t="s">
        <v>59</v>
      </c>
      <c r="D5342" s="208"/>
      <c r="E5342" s="209"/>
      <c r="F5342" s="209">
        <f>+D5341*F5340</f>
        <v>851757.8125</v>
      </c>
    </row>
    <row r="5343" spans="1:6" x14ac:dyDescent="0.35">
      <c r="A5343" s="206"/>
      <c r="B5343" s="207"/>
      <c r="C5343" s="208"/>
      <c r="D5343" s="208"/>
      <c r="E5343" s="210">
        <f>+E5325</f>
        <v>3035.45</v>
      </c>
      <c r="F5343" s="210">
        <f>+F5342/E5343</f>
        <v>280.60347312589568</v>
      </c>
    </row>
    <row r="5344" spans="1:6" ht="12.5" x14ac:dyDescent="0.35">
      <c r="A5344" s="178"/>
      <c r="B5344" s="104"/>
      <c r="C5344" s="104"/>
      <c r="E5344" s="104"/>
      <c r="F5344" s="104"/>
    </row>
    <row r="5345" spans="1:6" ht="12.5" x14ac:dyDescent="0.35">
      <c r="A5345" s="178"/>
      <c r="B5345" s="104"/>
      <c r="C5345" s="104"/>
      <c r="D5345" s="104"/>
      <c r="E5345" s="104"/>
      <c r="F5345" s="104"/>
    </row>
    <row r="5346" spans="1:6" x14ac:dyDescent="0.3">
      <c r="A5346" s="257" t="s">
        <v>343</v>
      </c>
      <c r="B5346" s="258" t="s">
        <v>344</v>
      </c>
      <c r="C5346" s="200" t="s">
        <v>2</v>
      </c>
      <c r="D5346" s="202" t="s">
        <v>765</v>
      </c>
      <c r="E5346" s="203" t="s">
        <v>766</v>
      </c>
      <c r="F5346" s="203" t="s">
        <v>767</v>
      </c>
    </row>
    <row r="5347" spans="1:6" x14ac:dyDescent="0.3">
      <c r="A5347" s="239" t="s">
        <v>1185</v>
      </c>
      <c r="B5347" s="231" t="s">
        <v>385</v>
      </c>
      <c r="C5347" s="256"/>
      <c r="D5347" s="141"/>
      <c r="E5347" s="110"/>
      <c r="F5347" s="110"/>
    </row>
    <row r="5348" spans="1:6" x14ac:dyDescent="0.3">
      <c r="A5348" s="239" t="s">
        <v>1188</v>
      </c>
      <c r="B5348" s="254" t="s">
        <v>387</v>
      </c>
      <c r="C5348" s="256" t="s">
        <v>59</v>
      </c>
      <c r="D5348" s="141"/>
      <c r="E5348" s="110"/>
      <c r="F5348" s="110"/>
    </row>
    <row r="5349" spans="1:6" x14ac:dyDescent="0.35">
      <c r="A5349" s="111"/>
      <c r="B5349" s="112" t="s">
        <v>802</v>
      </c>
      <c r="C5349" s="118"/>
      <c r="D5349" s="118"/>
      <c r="E5349" s="119"/>
      <c r="F5349" s="119"/>
    </row>
    <row r="5350" spans="1:6" x14ac:dyDescent="0.25">
      <c r="A5350" s="111"/>
      <c r="B5350" s="263" t="s">
        <v>1328</v>
      </c>
      <c r="C5350" s="315" t="s">
        <v>59</v>
      </c>
      <c r="D5350" s="316">
        <v>1</v>
      </c>
      <c r="E5350" s="142">
        <v>236300</v>
      </c>
      <c r="F5350" s="119">
        <f>+D5350*E5350</f>
        <v>236300</v>
      </c>
    </row>
    <row r="5351" spans="1:6" x14ac:dyDescent="0.25">
      <c r="A5351" s="111"/>
      <c r="B5351" s="120" t="s">
        <v>1025</v>
      </c>
      <c r="C5351" s="315"/>
      <c r="D5351" s="317"/>
      <c r="E5351" s="158"/>
      <c r="F5351" s="119">
        <f>0.1*F5350</f>
        <v>23630</v>
      </c>
    </row>
    <row r="5352" spans="1:6" x14ac:dyDescent="0.35">
      <c r="A5352" s="107"/>
      <c r="B5352" s="108" t="s">
        <v>769</v>
      </c>
      <c r="C5352" s="109"/>
      <c r="D5352" s="124"/>
      <c r="E5352" s="117"/>
      <c r="F5352" s="110">
        <f>SUM(F5350:F5351)</f>
        <v>259930</v>
      </c>
    </row>
    <row r="5353" spans="1:6" x14ac:dyDescent="0.3">
      <c r="A5353" s="111"/>
      <c r="B5353" s="136" t="s">
        <v>808</v>
      </c>
      <c r="C5353" s="115"/>
      <c r="D5353" s="124"/>
      <c r="E5353" s="117"/>
      <c r="F5353" s="110"/>
    </row>
    <row r="5354" spans="1:6" x14ac:dyDescent="0.25">
      <c r="A5354" s="111"/>
      <c r="B5354" s="134" t="s">
        <v>821</v>
      </c>
      <c r="C5354" s="115" t="s">
        <v>772</v>
      </c>
      <c r="D5354" s="124">
        <v>0.75</v>
      </c>
      <c r="E5354" s="117">
        <v>7500</v>
      </c>
      <c r="F5354" s="110">
        <f>+D5354*E5354</f>
        <v>5625</v>
      </c>
    </row>
    <row r="5355" spans="1:6" x14ac:dyDescent="0.25">
      <c r="A5355" s="111"/>
      <c r="B5355" s="134" t="s">
        <v>794</v>
      </c>
      <c r="C5355" s="115" t="s">
        <v>772</v>
      </c>
      <c r="D5355" s="124">
        <v>1.5</v>
      </c>
      <c r="E5355" s="117">
        <v>15000</v>
      </c>
      <c r="F5355" s="110">
        <f>+D5355*E5355</f>
        <v>22500</v>
      </c>
    </row>
    <row r="5356" spans="1:6" x14ac:dyDescent="0.3">
      <c r="A5356" s="111"/>
      <c r="B5356" s="136" t="s">
        <v>774</v>
      </c>
      <c r="C5356" s="115"/>
      <c r="D5356" s="124"/>
      <c r="E5356" s="117"/>
      <c r="F5356" s="110">
        <f>SUM(F5354:F5355)</f>
        <v>28125</v>
      </c>
    </row>
    <row r="5357" spans="1:6" x14ac:dyDescent="0.3">
      <c r="A5357" s="111"/>
      <c r="B5357" s="136" t="s">
        <v>775</v>
      </c>
      <c r="C5357" s="115"/>
      <c r="D5357" s="109"/>
      <c r="E5357" s="110"/>
      <c r="F5357" s="110">
        <f>+F5356+F5352</f>
        <v>288055</v>
      </c>
    </row>
    <row r="5358" spans="1:6" x14ac:dyDescent="0.25">
      <c r="A5358" s="111"/>
      <c r="B5358" s="134" t="s">
        <v>776</v>
      </c>
      <c r="C5358" s="115"/>
      <c r="D5358" s="124">
        <v>1.25</v>
      </c>
      <c r="E5358" s="110"/>
      <c r="F5358" s="110">
        <f>+F5357*D5358</f>
        <v>360068.75</v>
      </c>
    </row>
    <row r="5359" spans="1:6" x14ac:dyDescent="0.25">
      <c r="A5359" s="111"/>
      <c r="B5359" s="134" t="s">
        <v>835</v>
      </c>
      <c r="C5359" s="115"/>
      <c r="D5359" s="124">
        <v>1.25</v>
      </c>
      <c r="E5359" s="110"/>
      <c r="F5359" s="110"/>
    </row>
    <row r="5360" spans="1:6" x14ac:dyDescent="0.35">
      <c r="A5360" s="261" t="s">
        <v>1188</v>
      </c>
      <c r="B5360" s="242" t="s">
        <v>785</v>
      </c>
      <c r="C5360" s="208" t="s">
        <v>59</v>
      </c>
      <c r="D5360" s="208"/>
      <c r="E5360" s="209"/>
      <c r="F5360" s="209">
        <f>+D5359*F5358</f>
        <v>450085.9375</v>
      </c>
    </row>
    <row r="5361" spans="1:6" x14ac:dyDescent="0.35">
      <c r="A5361" s="206"/>
      <c r="B5361" s="207"/>
      <c r="C5361" s="200"/>
      <c r="D5361" s="208"/>
      <c r="E5361" s="210">
        <f>+E5343</f>
        <v>3035.45</v>
      </c>
      <c r="F5361" s="210">
        <f>+F5360/E5361</f>
        <v>148.27651171984385</v>
      </c>
    </row>
    <row r="5362" spans="1:6" ht="12.5" x14ac:dyDescent="0.35">
      <c r="A5362" s="178"/>
      <c r="B5362" s="104"/>
      <c r="C5362" s="104"/>
      <c r="E5362" s="104"/>
      <c r="F5362" s="104"/>
    </row>
    <row r="5363" spans="1:6" ht="12.5" x14ac:dyDescent="0.35">
      <c r="A5363" s="178"/>
      <c r="B5363" s="104"/>
      <c r="C5363" s="104"/>
      <c r="D5363" s="104"/>
      <c r="E5363" s="104"/>
      <c r="F5363" s="104"/>
    </row>
    <row r="5364" spans="1:6" x14ac:dyDescent="0.3">
      <c r="A5364" s="257" t="s">
        <v>343</v>
      </c>
      <c r="B5364" s="258" t="s">
        <v>344</v>
      </c>
      <c r="C5364" s="200" t="s">
        <v>2</v>
      </c>
      <c r="D5364" s="202" t="s">
        <v>765</v>
      </c>
      <c r="E5364" s="203" t="s">
        <v>766</v>
      </c>
      <c r="F5364" s="203" t="s">
        <v>767</v>
      </c>
    </row>
    <row r="5365" spans="1:6" x14ac:dyDescent="0.3">
      <c r="A5365" s="262" t="s">
        <v>1189</v>
      </c>
      <c r="B5365" s="255" t="s">
        <v>1190</v>
      </c>
      <c r="C5365" s="256"/>
      <c r="D5365" s="141"/>
      <c r="E5365" s="110"/>
      <c r="F5365" s="110"/>
    </row>
    <row r="5366" spans="1:6" x14ac:dyDescent="0.3">
      <c r="A5366" s="239" t="s">
        <v>1191</v>
      </c>
      <c r="B5366" s="254" t="s">
        <v>1192</v>
      </c>
      <c r="C5366" s="256" t="s">
        <v>59</v>
      </c>
      <c r="D5366" s="141"/>
      <c r="E5366" s="110"/>
      <c r="F5366" s="110"/>
    </row>
    <row r="5367" spans="1:6" x14ac:dyDescent="0.35">
      <c r="A5367" s="111"/>
      <c r="B5367" s="112" t="s">
        <v>802</v>
      </c>
      <c r="C5367" s="118"/>
      <c r="D5367" s="118"/>
      <c r="E5367" s="119"/>
      <c r="F5367" s="119"/>
    </row>
    <row r="5368" spans="1:6" x14ac:dyDescent="0.25">
      <c r="A5368" s="109"/>
      <c r="B5368" s="263" t="s">
        <v>1033</v>
      </c>
      <c r="C5368" s="325" t="s">
        <v>59</v>
      </c>
      <c r="D5368" s="326">
        <v>1</v>
      </c>
      <c r="E5368" s="150">
        <v>200000</v>
      </c>
      <c r="F5368" s="147">
        <f>+D5368*E5368</f>
        <v>200000</v>
      </c>
    </row>
    <row r="5369" spans="1:6" x14ac:dyDescent="0.25">
      <c r="A5369" s="109"/>
      <c r="B5369" s="123" t="s">
        <v>1027</v>
      </c>
      <c r="C5369" s="325"/>
      <c r="D5369" s="327"/>
      <c r="E5369" s="160"/>
      <c r="F5369" s="147">
        <f>0.1*F5368</f>
        <v>20000</v>
      </c>
    </row>
    <row r="5370" spans="1:6" x14ac:dyDescent="0.35">
      <c r="A5370" s="107"/>
      <c r="B5370" s="108" t="s">
        <v>769</v>
      </c>
      <c r="C5370" s="109"/>
      <c r="D5370" s="124"/>
      <c r="E5370" s="117"/>
      <c r="F5370" s="110">
        <f>SUM(F5368:F5369)</f>
        <v>220000</v>
      </c>
    </row>
    <row r="5371" spans="1:6" x14ac:dyDescent="0.3">
      <c r="A5371" s="109"/>
      <c r="B5371" s="148" t="s">
        <v>808</v>
      </c>
      <c r="C5371" s="124"/>
      <c r="D5371" s="124"/>
      <c r="E5371" s="117"/>
      <c r="F5371" s="110"/>
    </row>
    <row r="5372" spans="1:6" x14ac:dyDescent="0.25">
      <c r="A5372" s="109"/>
      <c r="B5372" s="149" t="s">
        <v>821</v>
      </c>
      <c r="C5372" s="124" t="s">
        <v>772</v>
      </c>
      <c r="D5372" s="124">
        <v>0.1</v>
      </c>
      <c r="E5372" s="117">
        <v>7500</v>
      </c>
      <c r="F5372" s="117">
        <f>+D5372*E5372</f>
        <v>750</v>
      </c>
    </row>
    <row r="5373" spans="1:6" x14ac:dyDescent="0.25">
      <c r="A5373" s="109"/>
      <c r="B5373" s="134" t="s">
        <v>851</v>
      </c>
      <c r="C5373" s="115" t="s">
        <v>772</v>
      </c>
      <c r="D5373" s="124">
        <v>1.25</v>
      </c>
      <c r="E5373" s="117">
        <v>15000</v>
      </c>
      <c r="F5373" s="117">
        <f>+D5373*E5373</f>
        <v>18750</v>
      </c>
    </row>
    <row r="5374" spans="1:6" x14ac:dyDescent="0.25">
      <c r="A5374" s="109"/>
      <c r="B5374" s="149" t="s">
        <v>794</v>
      </c>
      <c r="C5374" s="124" t="s">
        <v>772</v>
      </c>
      <c r="D5374" s="124">
        <v>0.15</v>
      </c>
      <c r="E5374" s="117">
        <v>15000</v>
      </c>
      <c r="F5374" s="117">
        <f>+D5374*E5374</f>
        <v>2250</v>
      </c>
    </row>
    <row r="5375" spans="1:6" x14ac:dyDescent="0.25">
      <c r="A5375" s="109"/>
      <c r="B5375" s="149" t="s">
        <v>1034</v>
      </c>
      <c r="C5375" s="124" t="s">
        <v>772</v>
      </c>
      <c r="D5375" s="124">
        <v>1.5</v>
      </c>
      <c r="E5375" s="117">
        <v>15000</v>
      </c>
      <c r="F5375" s="117">
        <f>+D5375*E5375</f>
        <v>22500</v>
      </c>
    </row>
    <row r="5376" spans="1:6" x14ac:dyDescent="0.3">
      <c r="A5376" s="109"/>
      <c r="B5376" s="148" t="s">
        <v>774</v>
      </c>
      <c r="C5376" s="124"/>
      <c r="D5376" s="124"/>
      <c r="E5376" s="117"/>
      <c r="F5376" s="110">
        <f>SUM(F5372:F5375)</f>
        <v>44250</v>
      </c>
    </row>
    <row r="5377" spans="1:6" x14ac:dyDescent="0.3">
      <c r="A5377" s="109"/>
      <c r="B5377" s="148" t="s">
        <v>775</v>
      </c>
      <c r="C5377" s="124"/>
      <c r="D5377" s="109"/>
      <c r="E5377" s="110"/>
      <c r="F5377" s="110">
        <f>+F5376+F5370</f>
        <v>264250</v>
      </c>
    </row>
    <row r="5378" spans="1:6" x14ac:dyDescent="0.25">
      <c r="A5378" s="111"/>
      <c r="B5378" s="134" t="s">
        <v>792</v>
      </c>
      <c r="C5378" s="115"/>
      <c r="D5378" s="124">
        <v>1.05</v>
      </c>
      <c r="E5378" s="110"/>
      <c r="F5378" s="110">
        <f>+F5377*D5378</f>
        <v>277462.5</v>
      </c>
    </row>
    <row r="5379" spans="1:6" x14ac:dyDescent="0.25">
      <c r="A5379" s="111"/>
      <c r="B5379" s="134" t="s">
        <v>813</v>
      </c>
      <c r="C5379" s="115"/>
      <c r="D5379" s="124">
        <v>1.1499999999999999</v>
      </c>
      <c r="E5379" s="110"/>
      <c r="F5379" s="110"/>
    </row>
    <row r="5380" spans="1:6" x14ac:dyDescent="0.35">
      <c r="A5380" s="261" t="s">
        <v>1191</v>
      </c>
      <c r="B5380" s="242" t="s">
        <v>785</v>
      </c>
      <c r="C5380" s="208" t="s">
        <v>59</v>
      </c>
      <c r="D5380" s="208"/>
      <c r="E5380" s="209"/>
      <c r="F5380" s="209">
        <f>+D5379*F5378</f>
        <v>319081.875</v>
      </c>
    </row>
    <row r="5381" spans="1:6" x14ac:dyDescent="0.35">
      <c r="A5381" s="206"/>
      <c r="B5381" s="207"/>
      <c r="C5381" s="208"/>
      <c r="D5381" s="208"/>
      <c r="E5381" s="210">
        <f>+E5361</f>
        <v>3035.45</v>
      </c>
      <c r="F5381" s="210">
        <f>+F5380/E5381</f>
        <v>105.11847502017824</v>
      </c>
    </row>
    <row r="5382" spans="1:6" ht="12.5" x14ac:dyDescent="0.35">
      <c r="A5382" s="178"/>
      <c r="B5382" s="104"/>
      <c r="C5382" s="104"/>
      <c r="E5382" s="104"/>
      <c r="F5382" s="104"/>
    </row>
    <row r="5383" spans="1:6" ht="12.5" x14ac:dyDescent="0.35">
      <c r="A5383" s="178"/>
      <c r="B5383" s="104"/>
      <c r="C5383" s="104"/>
      <c r="D5383" s="104"/>
      <c r="E5383" s="104"/>
      <c r="F5383" s="104"/>
    </row>
    <row r="5384" spans="1:6" x14ac:dyDescent="0.3">
      <c r="A5384" s="257" t="s">
        <v>343</v>
      </c>
      <c r="B5384" s="258" t="s">
        <v>344</v>
      </c>
      <c r="C5384" s="200" t="s">
        <v>2</v>
      </c>
      <c r="D5384" s="202" t="s">
        <v>765</v>
      </c>
      <c r="E5384" s="203" t="s">
        <v>766</v>
      </c>
      <c r="F5384" s="203" t="s">
        <v>767</v>
      </c>
    </row>
    <row r="5385" spans="1:6" x14ac:dyDescent="0.3">
      <c r="A5385" s="262" t="s">
        <v>1189</v>
      </c>
      <c r="B5385" s="255" t="s">
        <v>1190</v>
      </c>
      <c r="C5385" s="256"/>
      <c r="D5385" s="141"/>
      <c r="E5385" s="110"/>
      <c r="F5385" s="110"/>
    </row>
    <row r="5386" spans="1:6" x14ac:dyDescent="0.3">
      <c r="A5386" s="239" t="s">
        <v>1193</v>
      </c>
      <c r="B5386" s="254" t="s">
        <v>1032</v>
      </c>
      <c r="C5386" s="256" t="s">
        <v>59</v>
      </c>
      <c r="D5386" s="141"/>
      <c r="E5386" s="110"/>
      <c r="F5386" s="110"/>
    </row>
    <row r="5387" spans="1:6" x14ac:dyDescent="0.35">
      <c r="A5387" s="111"/>
      <c r="B5387" s="112" t="s">
        <v>802</v>
      </c>
      <c r="C5387" s="118"/>
      <c r="D5387" s="118"/>
      <c r="E5387" s="119"/>
      <c r="F5387" s="119"/>
    </row>
    <row r="5388" spans="1:6" x14ac:dyDescent="0.25">
      <c r="A5388" s="109"/>
      <c r="B5388" s="263" t="s">
        <v>1033</v>
      </c>
      <c r="C5388" s="325" t="s">
        <v>59</v>
      </c>
      <c r="D5388" s="326">
        <v>1</v>
      </c>
      <c r="E5388" s="150">
        <v>375000</v>
      </c>
      <c r="F5388" s="147">
        <f>+D5388*E5388</f>
        <v>375000</v>
      </c>
    </row>
    <row r="5389" spans="1:6" x14ac:dyDescent="0.25">
      <c r="A5389" s="109"/>
      <c r="B5389" s="123" t="s">
        <v>1027</v>
      </c>
      <c r="C5389" s="325"/>
      <c r="D5389" s="327"/>
      <c r="E5389" s="160"/>
      <c r="F5389" s="147">
        <f>0.1*F5388</f>
        <v>37500</v>
      </c>
    </row>
    <row r="5390" spans="1:6" x14ac:dyDescent="0.35">
      <c r="A5390" s="107"/>
      <c r="B5390" s="108" t="s">
        <v>769</v>
      </c>
      <c r="C5390" s="109"/>
      <c r="D5390" s="124"/>
      <c r="E5390" s="117"/>
      <c r="F5390" s="110">
        <f>SUM(F5388:F5389)</f>
        <v>412500</v>
      </c>
    </row>
    <row r="5391" spans="1:6" x14ac:dyDescent="0.3">
      <c r="A5391" s="109"/>
      <c r="B5391" s="148" t="s">
        <v>808</v>
      </c>
      <c r="C5391" s="124"/>
      <c r="D5391" s="124"/>
      <c r="E5391" s="117"/>
      <c r="F5391" s="110"/>
    </row>
    <row r="5392" spans="1:6" x14ac:dyDescent="0.25">
      <c r="A5392" s="109"/>
      <c r="B5392" s="149" t="s">
        <v>821</v>
      </c>
      <c r="C5392" s="124" t="s">
        <v>772</v>
      </c>
      <c r="D5392" s="124">
        <v>0.1</v>
      </c>
      <c r="E5392" s="117">
        <v>7500</v>
      </c>
      <c r="F5392" s="117">
        <f>+D5392*E5392</f>
        <v>750</v>
      </c>
    </row>
    <row r="5393" spans="1:6" x14ac:dyDescent="0.25">
      <c r="A5393" s="109"/>
      <c r="B5393" s="134" t="s">
        <v>851</v>
      </c>
      <c r="C5393" s="115" t="s">
        <v>772</v>
      </c>
      <c r="D5393" s="124">
        <v>1.25</v>
      </c>
      <c r="E5393" s="117">
        <v>15000</v>
      </c>
      <c r="F5393" s="117">
        <f>+D5393*E5393</f>
        <v>18750</v>
      </c>
    </row>
    <row r="5394" spans="1:6" x14ac:dyDescent="0.25">
      <c r="A5394" s="109"/>
      <c r="B5394" s="149" t="s">
        <v>794</v>
      </c>
      <c r="C5394" s="124" t="s">
        <v>772</v>
      </c>
      <c r="D5394" s="124">
        <v>0.15</v>
      </c>
      <c r="E5394" s="117">
        <v>15000</v>
      </c>
      <c r="F5394" s="117">
        <f>+D5394*E5394</f>
        <v>2250</v>
      </c>
    </row>
    <row r="5395" spans="1:6" x14ac:dyDescent="0.25">
      <c r="A5395" s="109"/>
      <c r="B5395" s="149" t="s">
        <v>1034</v>
      </c>
      <c r="C5395" s="124" t="s">
        <v>772</v>
      </c>
      <c r="D5395" s="124">
        <v>1.5</v>
      </c>
      <c r="E5395" s="117">
        <v>15000</v>
      </c>
      <c r="F5395" s="117">
        <f>+D5395*E5395</f>
        <v>22500</v>
      </c>
    </row>
    <row r="5396" spans="1:6" x14ac:dyDescent="0.3">
      <c r="A5396" s="109"/>
      <c r="B5396" s="148" t="s">
        <v>774</v>
      </c>
      <c r="C5396" s="124"/>
      <c r="D5396" s="124"/>
      <c r="E5396" s="117"/>
      <c r="F5396" s="110">
        <f>SUM(F5392:F5395)</f>
        <v>44250</v>
      </c>
    </row>
    <row r="5397" spans="1:6" x14ac:dyDescent="0.3">
      <c r="A5397" s="109"/>
      <c r="B5397" s="148" t="s">
        <v>775</v>
      </c>
      <c r="C5397" s="124"/>
      <c r="D5397" s="109"/>
      <c r="E5397" s="110"/>
      <c r="F5397" s="110">
        <f>+F5396+F5390</f>
        <v>456750</v>
      </c>
    </row>
    <row r="5398" spans="1:6" x14ac:dyDescent="0.25">
      <c r="A5398" s="111"/>
      <c r="B5398" s="134" t="s">
        <v>792</v>
      </c>
      <c r="C5398" s="115"/>
      <c r="D5398" s="124">
        <v>1.05</v>
      </c>
      <c r="E5398" s="110"/>
      <c r="F5398" s="110">
        <f>+F5397*D5398</f>
        <v>479587.5</v>
      </c>
    </row>
    <row r="5399" spans="1:6" x14ac:dyDescent="0.25">
      <c r="A5399" s="111"/>
      <c r="B5399" s="134" t="s">
        <v>813</v>
      </c>
      <c r="C5399" s="115"/>
      <c r="D5399" s="124">
        <v>1.1499999999999999</v>
      </c>
      <c r="E5399" s="110"/>
      <c r="F5399" s="110"/>
    </row>
    <row r="5400" spans="1:6" x14ac:dyDescent="0.35">
      <c r="A5400" s="261" t="s">
        <v>1193</v>
      </c>
      <c r="B5400" s="242" t="s">
        <v>785</v>
      </c>
      <c r="C5400" s="208" t="s">
        <v>59</v>
      </c>
      <c r="D5400" s="208"/>
      <c r="E5400" s="209"/>
      <c r="F5400" s="209">
        <f>+D5399*F5398</f>
        <v>551525.625</v>
      </c>
    </row>
    <row r="5401" spans="1:6" x14ac:dyDescent="0.35">
      <c r="A5401" s="206"/>
      <c r="B5401" s="207"/>
      <c r="C5401" s="208"/>
      <c r="D5401" s="208"/>
      <c r="E5401" s="210">
        <f>+E5381</f>
        <v>3035.45</v>
      </c>
      <c r="F5401" s="210">
        <f>+F5400/E5401</f>
        <v>181.6948475514339</v>
      </c>
    </row>
    <row r="5402" spans="1:6" ht="12.5" x14ac:dyDescent="0.35">
      <c r="A5402" s="178"/>
      <c r="B5402" s="104"/>
      <c r="C5402" s="104"/>
      <c r="E5402" s="104"/>
      <c r="F5402" s="104"/>
    </row>
    <row r="5403" spans="1:6" ht="12.5" x14ac:dyDescent="0.35">
      <c r="A5403" s="178"/>
      <c r="B5403" s="104"/>
      <c r="C5403" s="104"/>
      <c r="D5403" s="104"/>
      <c r="E5403" s="104"/>
      <c r="F5403" s="104"/>
    </row>
    <row r="5404" spans="1:6" x14ac:dyDescent="0.3">
      <c r="A5404" s="257" t="s">
        <v>343</v>
      </c>
      <c r="B5404" s="258" t="s">
        <v>344</v>
      </c>
      <c r="C5404" s="291" t="s">
        <v>611</v>
      </c>
      <c r="D5404" s="202" t="s">
        <v>765</v>
      </c>
      <c r="E5404" s="203" t="s">
        <v>766</v>
      </c>
      <c r="F5404" s="203" t="s">
        <v>767</v>
      </c>
    </row>
    <row r="5405" spans="1:6" x14ac:dyDescent="0.3">
      <c r="A5405" s="262" t="s">
        <v>1189</v>
      </c>
      <c r="B5405" s="255" t="s">
        <v>1190</v>
      </c>
      <c r="C5405" s="256"/>
      <c r="D5405" s="141"/>
      <c r="E5405" s="110"/>
      <c r="F5405" s="110"/>
    </row>
    <row r="5406" spans="1:6" x14ac:dyDescent="0.3">
      <c r="A5406" s="239" t="s">
        <v>1194</v>
      </c>
      <c r="B5406" s="254" t="s">
        <v>1036</v>
      </c>
      <c r="C5406" s="256" t="s">
        <v>59</v>
      </c>
      <c r="D5406" s="141"/>
      <c r="E5406" s="110"/>
      <c r="F5406" s="110"/>
    </row>
    <row r="5407" spans="1:6" x14ac:dyDescent="0.35">
      <c r="A5407" s="111"/>
      <c r="B5407" s="112" t="s">
        <v>802</v>
      </c>
      <c r="C5407" s="118"/>
      <c r="D5407" s="118"/>
      <c r="E5407" s="119"/>
      <c r="F5407" s="119"/>
    </row>
    <row r="5408" spans="1:6" x14ac:dyDescent="0.25">
      <c r="A5408" s="109"/>
      <c r="B5408" s="263" t="s">
        <v>1037</v>
      </c>
      <c r="C5408" s="325" t="s">
        <v>59</v>
      </c>
      <c r="D5408" s="326">
        <v>1</v>
      </c>
      <c r="E5408" s="150">
        <v>10000</v>
      </c>
      <c r="F5408" s="147">
        <f>+D5408*E5408</f>
        <v>10000</v>
      </c>
    </row>
    <row r="5409" spans="1:6" x14ac:dyDescent="0.25">
      <c r="A5409" s="109"/>
      <c r="B5409" s="123" t="s">
        <v>1027</v>
      </c>
      <c r="C5409" s="325"/>
      <c r="D5409" s="327"/>
      <c r="E5409" s="160"/>
      <c r="F5409" s="147">
        <f>0.1*F5408</f>
        <v>1000</v>
      </c>
    </row>
    <row r="5410" spans="1:6" x14ac:dyDescent="0.35">
      <c r="A5410" s="107"/>
      <c r="B5410" s="108" t="s">
        <v>769</v>
      </c>
      <c r="C5410" s="109"/>
      <c r="D5410" s="124"/>
      <c r="E5410" s="117"/>
      <c r="F5410" s="110">
        <f>SUM(F5408:F5409)</f>
        <v>11000</v>
      </c>
    </row>
    <row r="5411" spans="1:6" x14ac:dyDescent="0.3">
      <c r="A5411" s="109"/>
      <c r="B5411" s="148" t="s">
        <v>808</v>
      </c>
      <c r="C5411" s="124"/>
      <c r="D5411" s="124"/>
      <c r="E5411" s="117"/>
      <c r="F5411" s="110"/>
    </row>
    <row r="5412" spans="1:6" x14ac:dyDescent="0.25">
      <c r="A5412" s="109"/>
      <c r="B5412" s="149" t="s">
        <v>794</v>
      </c>
      <c r="C5412" s="124" t="s">
        <v>772</v>
      </c>
      <c r="D5412" s="124">
        <v>0.25</v>
      </c>
      <c r="E5412" s="117">
        <v>15000</v>
      </c>
      <c r="F5412" s="117">
        <f>+D5412*E5412</f>
        <v>3750</v>
      </c>
    </row>
    <row r="5413" spans="1:6" x14ac:dyDescent="0.3">
      <c r="A5413" s="109"/>
      <c r="B5413" s="148" t="s">
        <v>774</v>
      </c>
      <c r="C5413" s="124"/>
      <c r="D5413" s="124"/>
      <c r="E5413" s="117"/>
      <c r="F5413" s="110">
        <f>SUM(F5412:F5412)</f>
        <v>3750</v>
      </c>
    </row>
    <row r="5414" spans="1:6" x14ac:dyDescent="0.3">
      <c r="A5414" s="109"/>
      <c r="B5414" s="148" t="s">
        <v>775</v>
      </c>
      <c r="C5414" s="124"/>
      <c r="D5414" s="109"/>
      <c r="E5414" s="110"/>
      <c r="F5414" s="110">
        <f>+F5413+F5410</f>
        <v>14750</v>
      </c>
    </row>
    <row r="5415" spans="1:6" x14ac:dyDescent="0.25">
      <c r="A5415" s="111"/>
      <c r="B5415" s="134" t="s">
        <v>792</v>
      </c>
      <c r="C5415" s="115"/>
      <c r="D5415" s="124">
        <v>1.05</v>
      </c>
      <c r="E5415" s="110"/>
      <c r="F5415" s="110">
        <f>+F5414*D5415</f>
        <v>15487.5</v>
      </c>
    </row>
    <row r="5416" spans="1:6" x14ac:dyDescent="0.25">
      <c r="A5416" s="111"/>
      <c r="B5416" s="134" t="s">
        <v>813</v>
      </c>
      <c r="C5416" s="115"/>
      <c r="D5416" s="124">
        <v>1.05</v>
      </c>
      <c r="E5416" s="110"/>
      <c r="F5416" s="110"/>
    </row>
    <row r="5417" spans="1:6" x14ac:dyDescent="0.35">
      <c r="A5417" s="261" t="s">
        <v>1194</v>
      </c>
      <c r="B5417" s="242" t="s">
        <v>785</v>
      </c>
      <c r="C5417" s="208" t="s">
        <v>59</v>
      </c>
      <c r="D5417" s="208"/>
      <c r="E5417" s="209"/>
      <c r="F5417" s="209">
        <f>+D5416*F5415</f>
        <v>16261.875</v>
      </c>
    </row>
    <row r="5418" spans="1:6" x14ac:dyDescent="0.35">
      <c r="A5418" s="206"/>
      <c r="B5418" s="207"/>
      <c r="C5418" s="208"/>
      <c r="D5418" s="208"/>
      <c r="E5418" s="210">
        <f>+E5401</f>
        <v>3035.45</v>
      </c>
      <c r="F5418" s="210">
        <f>+F5417/E5418</f>
        <v>5.3573193430957522</v>
      </c>
    </row>
    <row r="5419" spans="1:6" ht="12.5" x14ac:dyDescent="0.35">
      <c r="A5419" s="178"/>
      <c r="B5419" s="104"/>
      <c r="C5419" s="104"/>
      <c r="E5419" s="104"/>
      <c r="F5419" s="104"/>
    </row>
    <row r="5420" spans="1:6" ht="12.5" x14ac:dyDescent="0.35">
      <c r="A5420" s="178"/>
      <c r="B5420" s="104"/>
      <c r="C5420" s="104"/>
      <c r="D5420" s="104"/>
      <c r="E5420" s="104"/>
      <c r="F5420" s="104"/>
    </row>
    <row r="5421" spans="1:6" x14ac:dyDescent="0.3">
      <c r="A5421" s="257" t="s">
        <v>343</v>
      </c>
      <c r="B5421" s="258" t="s">
        <v>344</v>
      </c>
      <c r="C5421" s="291"/>
      <c r="D5421" s="202" t="s">
        <v>765</v>
      </c>
      <c r="E5421" s="203" t="s">
        <v>766</v>
      </c>
      <c r="F5421" s="203" t="s">
        <v>767</v>
      </c>
    </row>
    <row r="5422" spans="1:6" x14ac:dyDescent="0.3">
      <c r="A5422" s="262" t="s">
        <v>1195</v>
      </c>
      <c r="B5422" s="255" t="s">
        <v>389</v>
      </c>
      <c r="C5422" s="256"/>
      <c r="D5422" s="141"/>
      <c r="E5422" s="110"/>
      <c r="F5422" s="110"/>
    </row>
    <row r="5423" spans="1:6" x14ac:dyDescent="0.3">
      <c r="A5423" s="239" t="s">
        <v>1196</v>
      </c>
      <c r="B5423" s="254" t="s">
        <v>390</v>
      </c>
      <c r="C5423" s="256" t="s">
        <v>59</v>
      </c>
      <c r="D5423" s="141"/>
      <c r="E5423" s="110"/>
      <c r="F5423" s="110"/>
    </row>
    <row r="5424" spans="1:6" x14ac:dyDescent="0.35">
      <c r="A5424" s="111"/>
      <c r="B5424" s="112" t="s">
        <v>802</v>
      </c>
      <c r="C5424" s="118"/>
      <c r="D5424" s="118"/>
      <c r="E5424" s="119"/>
      <c r="F5424" s="119"/>
    </row>
    <row r="5425" spans="1:6" x14ac:dyDescent="0.25">
      <c r="A5425" s="111"/>
      <c r="B5425" s="263" t="s">
        <v>389</v>
      </c>
      <c r="C5425" s="315" t="s">
        <v>59</v>
      </c>
      <c r="D5425" s="316">
        <v>1</v>
      </c>
      <c r="E5425" s="142">
        <v>295000</v>
      </c>
      <c r="F5425" s="119">
        <f>+D5425*E5425</f>
        <v>295000</v>
      </c>
    </row>
    <row r="5426" spans="1:6" x14ac:dyDescent="0.25">
      <c r="A5426" s="111"/>
      <c r="B5426" s="120" t="s">
        <v>1025</v>
      </c>
      <c r="C5426" s="315"/>
      <c r="D5426" s="317"/>
      <c r="E5426" s="158"/>
      <c r="F5426" s="119">
        <f>0.1*F5425</f>
        <v>29500</v>
      </c>
    </row>
    <row r="5427" spans="1:6" x14ac:dyDescent="0.35">
      <c r="A5427" s="107"/>
      <c r="B5427" s="108" t="s">
        <v>769</v>
      </c>
      <c r="C5427" s="109"/>
      <c r="D5427" s="124"/>
      <c r="E5427" s="117"/>
      <c r="F5427" s="110">
        <f>SUM(F5425:F5426)</f>
        <v>324500</v>
      </c>
    </row>
    <row r="5428" spans="1:6" x14ac:dyDescent="0.3">
      <c r="A5428" s="111"/>
      <c r="B5428" s="136" t="s">
        <v>808</v>
      </c>
      <c r="C5428" s="115"/>
      <c r="D5428" s="124"/>
      <c r="E5428" s="117"/>
      <c r="F5428" s="110"/>
    </row>
    <row r="5429" spans="1:6" x14ac:dyDescent="0.25">
      <c r="A5429" s="111"/>
      <c r="B5429" s="134" t="s">
        <v>821</v>
      </c>
      <c r="C5429" s="115" t="s">
        <v>772</v>
      </c>
      <c r="D5429" s="124">
        <v>0.75</v>
      </c>
      <c r="E5429" s="117">
        <v>7500</v>
      </c>
      <c r="F5429" s="117">
        <f>+D5429*E5429</f>
        <v>5625</v>
      </c>
    </row>
    <row r="5430" spans="1:6" x14ac:dyDescent="0.25">
      <c r="A5430" s="111"/>
      <c r="B5430" s="134" t="s">
        <v>851</v>
      </c>
      <c r="C5430" s="115" t="s">
        <v>772</v>
      </c>
      <c r="D5430" s="124">
        <v>3.5</v>
      </c>
      <c r="E5430" s="117">
        <v>15000</v>
      </c>
      <c r="F5430" s="117">
        <f>+D5430*E5430</f>
        <v>52500</v>
      </c>
    </row>
    <row r="5431" spans="1:6" x14ac:dyDescent="0.25">
      <c r="A5431" s="111"/>
      <c r="B5431" s="134" t="s">
        <v>794</v>
      </c>
      <c r="C5431" s="115" t="s">
        <v>772</v>
      </c>
      <c r="D5431" s="124">
        <v>2.5</v>
      </c>
      <c r="E5431" s="117">
        <v>15000</v>
      </c>
      <c r="F5431" s="117">
        <f>+D5431*E5431</f>
        <v>37500</v>
      </c>
    </row>
    <row r="5432" spans="1:6" x14ac:dyDescent="0.3">
      <c r="A5432" s="111"/>
      <c r="B5432" s="136" t="s">
        <v>774</v>
      </c>
      <c r="C5432" s="115"/>
      <c r="D5432" s="124"/>
      <c r="E5432" s="117"/>
      <c r="F5432" s="110">
        <f>SUM(F5429:F5431)</f>
        <v>95625</v>
      </c>
    </row>
    <row r="5433" spans="1:6" x14ac:dyDescent="0.3">
      <c r="A5433" s="111"/>
      <c r="B5433" s="136" t="s">
        <v>775</v>
      </c>
      <c r="C5433" s="115"/>
      <c r="D5433" s="109"/>
      <c r="E5433" s="110"/>
      <c r="F5433" s="110">
        <f>+F5432+F5427</f>
        <v>420125</v>
      </c>
    </row>
    <row r="5434" spans="1:6" x14ac:dyDescent="0.25">
      <c r="A5434" s="111"/>
      <c r="B5434" s="134" t="s">
        <v>824</v>
      </c>
      <c r="C5434" s="115"/>
      <c r="D5434" s="124">
        <v>1.1000000000000001</v>
      </c>
      <c r="E5434" s="110"/>
      <c r="F5434" s="110">
        <f>+F5433*D5434</f>
        <v>462137.50000000006</v>
      </c>
    </row>
    <row r="5435" spans="1:6" x14ac:dyDescent="0.25">
      <c r="A5435" s="111"/>
      <c r="B5435" s="134" t="s">
        <v>826</v>
      </c>
      <c r="C5435" s="115"/>
      <c r="D5435" s="124">
        <v>1.2</v>
      </c>
      <c r="E5435" s="110"/>
      <c r="F5435" s="110"/>
    </row>
    <row r="5436" spans="1:6" x14ac:dyDescent="0.35">
      <c r="A5436" s="261" t="s">
        <v>1196</v>
      </c>
      <c r="B5436" s="242" t="s">
        <v>785</v>
      </c>
      <c r="C5436" s="208" t="s">
        <v>59</v>
      </c>
      <c r="D5436" s="208"/>
      <c r="E5436" s="209"/>
      <c r="F5436" s="209">
        <f>+D5435*F5434</f>
        <v>554565</v>
      </c>
    </row>
    <row r="5437" spans="1:6" x14ac:dyDescent="0.35">
      <c r="A5437" s="206"/>
      <c r="B5437" s="207"/>
      <c r="C5437" s="208"/>
      <c r="D5437" s="208"/>
      <c r="E5437" s="210">
        <f>+E5418</f>
        <v>3035.45</v>
      </c>
      <c r="F5437" s="210">
        <f>+F5436/E5437</f>
        <v>182.69614060518211</v>
      </c>
    </row>
    <row r="5438" spans="1:6" ht="12.5" x14ac:dyDescent="0.35">
      <c r="A5438" s="178"/>
      <c r="B5438" s="104"/>
      <c r="C5438" s="104"/>
      <c r="E5438" s="104"/>
      <c r="F5438" s="104"/>
    </row>
    <row r="5439" spans="1:6" ht="12.5" x14ac:dyDescent="0.35">
      <c r="A5439" s="178"/>
      <c r="B5439" s="104"/>
      <c r="C5439" s="104"/>
      <c r="D5439" s="104"/>
      <c r="E5439" s="104"/>
      <c r="F5439" s="104"/>
    </row>
    <row r="5440" spans="1:6" x14ac:dyDescent="0.3">
      <c r="A5440" s="257" t="s">
        <v>343</v>
      </c>
      <c r="B5440" s="258" t="s">
        <v>344</v>
      </c>
      <c r="C5440" s="291"/>
      <c r="D5440" s="202" t="s">
        <v>765</v>
      </c>
      <c r="E5440" s="203" t="s">
        <v>766</v>
      </c>
      <c r="F5440" s="203" t="s">
        <v>767</v>
      </c>
    </row>
    <row r="5441" spans="1:6" x14ac:dyDescent="0.3">
      <c r="A5441" s="239" t="s">
        <v>1197</v>
      </c>
      <c r="B5441" s="294" t="s">
        <v>391</v>
      </c>
      <c r="C5441" s="256" t="s">
        <v>59</v>
      </c>
      <c r="D5441" s="141"/>
      <c r="E5441" s="110"/>
      <c r="F5441" s="110"/>
    </row>
    <row r="5442" spans="1:6" x14ac:dyDescent="0.35">
      <c r="A5442" s="111"/>
      <c r="B5442" s="112" t="s">
        <v>802</v>
      </c>
      <c r="C5442" s="118"/>
      <c r="D5442" s="118"/>
      <c r="E5442" s="119"/>
      <c r="F5442" s="119"/>
    </row>
    <row r="5443" spans="1:6" x14ac:dyDescent="0.25">
      <c r="A5443" s="109"/>
      <c r="B5443" s="263" t="s">
        <v>1026</v>
      </c>
      <c r="C5443" s="325" t="s">
        <v>59</v>
      </c>
      <c r="D5443" s="326">
        <v>1</v>
      </c>
      <c r="E5443" s="150">
        <v>275000</v>
      </c>
      <c r="F5443" s="147">
        <f>+D5443*E5443</f>
        <v>275000</v>
      </c>
    </row>
    <row r="5444" spans="1:6" x14ac:dyDescent="0.25">
      <c r="A5444" s="109"/>
      <c r="B5444" s="123" t="s">
        <v>1027</v>
      </c>
      <c r="C5444" s="325"/>
      <c r="D5444" s="327"/>
      <c r="E5444" s="160"/>
      <c r="F5444" s="147">
        <f>0.1*F5443</f>
        <v>27500</v>
      </c>
    </row>
    <row r="5445" spans="1:6" x14ac:dyDescent="0.35">
      <c r="A5445" s="107"/>
      <c r="B5445" s="108" t="s">
        <v>769</v>
      </c>
      <c r="C5445" s="109"/>
      <c r="D5445" s="124"/>
      <c r="E5445" s="117"/>
      <c r="F5445" s="110">
        <f>SUM(F5443:F5444)</f>
        <v>302500</v>
      </c>
    </row>
    <row r="5446" spans="1:6" x14ac:dyDescent="0.3">
      <c r="A5446" s="109"/>
      <c r="B5446" s="148" t="s">
        <v>808</v>
      </c>
      <c r="C5446" s="124"/>
      <c r="D5446" s="124"/>
      <c r="E5446" s="117"/>
      <c r="F5446" s="110"/>
    </row>
    <row r="5447" spans="1:6" x14ac:dyDescent="0.25">
      <c r="A5447" s="109"/>
      <c r="B5447" s="149" t="s">
        <v>821</v>
      </c>
      <c r="C5447" s="124" t="s">
        <v>772</v>
      </c>
      <c r="D5447" s="124">
        <v>0.75</v>
      </c>
      <c r="E5447" s="117">
        <v>7500</v>
      </c>
      <c r="F5447" s="117">
        <f>+D5447*E5447</f>
        <v>5625</v>
      </c>
    </row>
    <row r="5448" spans="1:6" x14ac:dyDescent="0.25">
      <c r="A5448" s="109"/>
      <c r="B5448" s="134" t="s">
        <v>851</v>
      </c>
      <c r="C5448" s="115" t="s">
        <v>772</v>
      </c>
      <c r="D5448" s="124">
        <v>3.5</v>
      </c>
      <c r="E5448" s="117">
        <v>15000</v>
      </c>
      <c r="F5448" s="117">
        <f>+D5448*E5448</f>
        <v>52500</v>
      </c>
    </row>
    <row r="5449" spans="1:6" x14ac:dyDescent="0.25">
      <c r="A5449" s="109"/>
      <c r="B5449" s="149" t="s">
        <v>794</v>
      </c>
      <c r="C5449" s="124" t="s">
        <v>772</v>
      </c>
      <c r="D5449" s="124">
        <v>1.5</v>
      </c>
      <c r="E5449" s="117">
        <v>15000</v>
      </c>
      <c r="F5449" s="117">
        <f>+D5449*E5449</f>
        <v>22500</v>
      </c>
    </row>
    <row r="5450" spans="1:6" x14ac:dyDescent="0.3">
      <c r="A5450" s="109"/>
      <c r="B5450" s="148" t="s">
        <v>774</v>
      </c>
      <c r="C5450" s="124"/>
      <c r="D5450" s="124"/>
      <c r="E5450" s="117"/>
      <c r="F5450" s="110">
        <f>SUM(F5447:F5449)</f>
        <v>80625</v>
      </c>
    </row>
    <row r="5451" spans="1:6" x14ac:dyDescent="0.3">
      <c r="A5451" s="109"/>
      <c r="B5451" s="148" t="s">
        <v>775</v>
      </c>
      <c r="C5451" s="124"/>
      <c r="D5451" s="109"/>
      <c r="E5451" s="110"/>
      <c r="F5451" s="110">
        <f>+F5450+F5445</f>
        <v>383125</v>
      </c>
    </row>
    <row r="5452" spans="1:6" x14ac:dyDescent="0.25">
      <c r="A5452" s="111"/>
      <c r="B5452" s="134" t="s">
        <v>792</v>
      </c>
      <c r="C5452" s="115"/>
      <c r="D5452" s="124">
        <v>1.05</v>
      </c>
      <c r="E5452" s="110"/>
      <c r="F5452" s="110">
        <f>+F5451*D5452</f>
        <v>402281.25</v>
      </c>
    </row>
    <row r="5453" spans="1:6" x14ac:dyDescent="0.25">
      <c r="A5453" s="111"/>
      <c r="B5453" s="134" t="s">
        <v>813</v>
      </c>
      <c r="C5453" s="115"/>
      <c r="D5453" s="124">
        <v>1.1499999999999999</v>
      </c>
      <c r="E5453" s="110"/>
      <c r="F5453" s="110"/>
    </row>
    <row r="5454" spans="1:6" x14ac:dyDescent="0.35">
      <c r="A5454" s="261" t="s">
        <v>1197</v>
      </c>
      <c r="B5454" s="242" t="s">
        <v>785</v>
      </c>
      <c r="C5454" s="208" t="s">
        <v>59</v>
      </c>
      <c r="D5454" s="208"/>
      <c r="E5454" s="209"/>
      <c r="F5454" s="209">
        <f>+D5453*F5452</f>
        <v>462623.43749999994</v>
      </c>
    </row>
    <row r="5455" spans="1:6" x14ac:dyDescent="0.35">
      <c r="A5455" s="206"/>
      <c r="B5455" s="207"/>
      <c r="C5455" s="208"/>
      <c r="D5455" s="208"/>
      <c r="E5455" s="210">
        <f>+E5437</f>
        <v>3035.45</v>
      </c>
      <c r="F5455" s="210">
        <f>+F5454/E5455</f>
        <v>152.40687130409</v>
      </c>
    </row>
    <row r="5456" spans="1:6" ht="12.5" x14ac:dyDescent="0.35">
      <c r="A5456" s="178"/>
      <c r="B5456" s="104"/>
      <c r="C5456" s="104"/>
      <c r="E5456" s="104"/>
      <c r="F5456" s="104"/>
    </row>
    <row r="5457" spans="1:6" ht="12.5" x14ac:dyDescent="0.35">
      <c r="A5457" s="178"/>
      <c r="B5457" s="104"/>
      <c r="C5457" s="104"/>
      <c r="D5457" s="104"/>
      <c r="E5457" s="104"/>
      <c r="F5457" s="104"/>
    </row>
    <row r="5458" spans="1:6" x14ac:dyDescent="0.3">
      <c r="A5458" s="257" t="s">
        <v>343</v>
      </c>
      <c r="B5458" s="258" t="s">
        <v>344</v>
      </c>
      <c r="C5458" s="291"/>
      <c r="D5458" s="202" t="s">
        <v>765</v>
      </c>
      <c r="E5458" s="203" t="s">
        <v>766</v>
      </c>
      <c r="F5458" s="203" t="s">
        <v>767</v>
      </c>
    </row>
    <row r="5459" spans="1:6" x14ac:dyDescent="0.3">
      <c r="A5459" s="239" t="s">
        <v>1198</v>
      </c>
      <c r="B5459" s="294" t="s">
        <v>1199</v>
      </c>
      <c r="C5459" s="256" t="s">
        <v>59</v>
      </c>
      <c r="D5459" s="141"/>
      <c r="E5459" s="110"/>
      <c r="F5459" s="110"/>
    </row>
    <row r="5460" spans="1:6" x14ac:dyDescent="0.35">
      <c r="A5460" s="239" t="s">
        <v>1200</v>
      </c>
      <c r="B5460" s="219" t="s">
        <v>1201</v>
      </c>
      <c r="C5460" s="256" t="s">
        <v>59</v>
      </c>
      <c r="D5460" s="141"/>
      <c r="E5460" s="110"/>
      <c r="F5460" s="110"/>
    </row>
    <row r="5461" spans="1:6" x14ac:dyDescent="0.35">
      <c r="A5461" s="111"/>
      <c r="B5461" s="112" t="s">
        <v>802</v>
      </c>
      <c r="C5461" s="118"/>
      <c r="D5461" s="118"/>
      <c r="E5461" s="119"/>
      <c r="F5461" s="119"/>
    </row>
    <row r="5462" spans="1:6" x14ac:dyDescent="0.25">
      <c r="A5462" s="109"/>
      <c r="B5462" s="263" t="s">
        <v>1026</v>
      </c>
      <c r="C5462" s="325" t="s">
        <v>59</v>
      </c>
      <c r="D5462" s="326">
        <v>1</v>
      </c>
      <c r="E5462" s="150">
        <v>420000</v>
      </c>
      <c r="F5462" s="147">
        <f>+D5462*E5462</f>
        <v>420000</v>
      </c>
    </row>
    <row r="5463" spans="1:6" x14ac:dyDescent="0.25">
      <c r="A5463" s="109"/>
      <c r="B5463" s="123" t="s">
        <v>1027</v>
      </c>
      <c r="C5463" s="325"/>
      <c r="D5463" s="327"/>
      <c r="E5463" s="160"/>
      <c r="F5463" s="147">
        <f>0.1*F5462</f>
        <v>42000</v>
      </c>
    </row>
    <row r="5464" spans="1:6" x14ac:dyDescent="0.35">
      <c r="A5464" s="107"/>
      <c r="B5464" s="108" t="s">
        <v>769</v>
      </c>
      <c r="C5464" s="109"/>
      <c r="D5464" s="124"/>
      <c r="E5464" s="117"/>
      <c r="F5464" s="110">
        <f>SUM(F5462:F5463)</f>
        <v>462000</v>
      </c>
    </row>
    <row r="5465" spans="1:6" x14ac:dyDescent="0.3">
      <c r="A5465" s="109"/>
      <c r="B5465" s="148" t="s">
        <v>808</v>
      </c>
      <c r="C5465" s="124"/>
      <c r="D5465" s="124"/>
      <c r="E5465" s="117"/>
      <c r="F5465" s="110"/>
    </row>
    <row r="5466" spans="1:6" x14ac:dyDescent="0.25">
      <c r="A5466" s="109"/>
      <c r="B5466" s="149" t="s">
        <v>821</v>
      </c>
      <c r="C5466" s="124" t="s">
        <v>772</v>
      </c>
      <c r="D5466" s="124">
        <v>0.75</v>
      </c>
      <c r="E5466" s="117">
        <v>7500</v>
      </c>
      <c r="F5466" s="117">
        <f>+D5466*E5466</f>
        <v>5625</v>
      </c>
    </row>
    <row r="5467" spans="1:6" x14ac:dyDescent="0.25">
      <c r="A5467" s="109"/>
      <c r="B5467" s="134" t="s">
        <v>851</v>
      </c>
      <c r="C5467" s="115" t="s">
        <v>772</v>
      </c>
      <c r="D5467" s="124">
        <v>3.5</v>
      </c>
      <c r="E5467" s="117">
        <v>15000</v>
      </c>
      <c r="F5467" s="117">
        <f>+D5467*E5467</f>
        <v>52500</v>
      </c>
    </row>
    <row r="5468" spans="1:6" x14ac:dyDescent="0.25">
      <c r="A5468" s="109"/>
      <c r="B5468" s="149" t="s">
        <v>794</v>
      </c>
      <c r="C5468" s="124" t="s">
        <v>772</v>
      </c>
      <c r="D5468" s="124">
        <v>1.5</v>
      </c>
      <c r="E5468" s="117">
        <v>15000</v>
      </c>
      <c r="F5468" s="117">
        <f>+D5468*E5468</f>
        <v>22500</v>
      </c>
    </row>
    <row r="5469" spans="1:6" x14ac:dyDescent="0.3">
      <c r="A5469" s="109"/>
      <c r="B5469" s="148" t="s">
        <v>774</v>
      </c>
      <c r="C5469" s="124"/>
      <c r="D5469" s="124"/>
      <c r="E5469" s="117"/>
      <c r="F5469" s="110">
        <f>SUM(F5466:F5468)</f>
        <v>80625</v>
      </c>
    </row>
    <row r="5470" spans="1:6" x14ac:dyDescent="0.3">
      <c r="A5470" s="109"/>
      <c r="B5470" s="148" t="s">
        <v>775</v>
      </c>
      <c r="C5470" s="124"/>
      <c r="D5470" s="109"/>
      <c r="E5470" s="110"/>
      <c r="F5470" s="110">
        <f>+F5469+F5464</f>
        <v>542625</v>
      </c>
    </row>
    <row r="5471" spans="1:6" x14ac:dyDescent="0.25">
      <c r="A5471" s="111"/>
      <c r="B5471" s="134" t="s">
        <v>792</v>
      </c>
      <c r="C5471" s="115"/>
      <c r="D5471" s="124">
        <v>1.05</v>
      </c>
      <c r="E5471" s="110"/>
      <c r="F5471" s="110">
        <f>+F5470*D5471</f>
        <v>569756.25</v>
      </c>
    </row>
    <row r="5472" spans="1:6" x14ac:dyDescent="0.25">
      <c r="A5472" s="111"/>
      <c r="B5472" s="134" t="s">
        <v>813</v>
      </c>
      <c r="C5472" s="115"/>
      <c r="D5472" s="124">
        <v>1.1499999999999999</v>
      </c>
      <c r="E5472" s="110"/>
      <c r="F5472" s="110"/>
    </row>
    <row r="5473" spans="1:6" ht="26" x14ac:dyDescent="0.35">
      <c r="A5473" s="264" t="s">
        <v>1202</v>
      </c>
      <c r="B5473" s="242" t="s">
        <v>785</v>
      </c>
      <c r="C5473" s="208" t="s">
        <v>59</v>
      </c>
      <c r="D5473" s="208"/>
      <c r="E5473" s="209"/>
      <c r="F5473" s="209">
        <f>+D5472*F5471</f>
        <v>655219.6875</v>
      </c>
    </row>
    <row r="5474" spans="1:6" x14ac:dyDescent="0.35">
      <c r="A5474" s="206"/>
      <c r="B5474" s="207"/>
      <c r="C5474" s="208"/>
      <c r="D5474" s="208"/>
      <c r="E5474" s="210">
        <f>+E5455</f>
        <v>3035.45</v>
      </c>
      <c r="F5474" s="210">
        <f>+F5473/E5474</f>
        <v>215.85586568713043</v>
      </c>
    </row>
    <row r="5475" spans="1:6" ht="12.5" x14ac:dyDescent="0.35">
      <c r="A5475" s="178"/>
      <c r="B5475" s="104"/>
      <c r="C5475" s="104"/>
      <c r="E5475" s="104"/>
      <c r="F5475" s="104"/>
    </row>
    <row r="5476" spans="1:6" ht="12.5" x14ac:dyDescent="0.35">
      <c r="A5476" s="178"/>
      <c r="B5476" s="104"/>
      <c r="C5476" s="104"/>
      <c r="D5476" s="104"/>
      <c r="E5476" s="104"/>
      <c r="F5476" s="104"/>
    </row>
    <row r="5477" spans="1:6" x14ac:dyDescent="0.3">
      <c r="A5477" s="257" t="s">
        <v>343</v>
      </c>
      <c r="B5477" s="258" t="s">
        <v>344</v>
      </c>
      <c r="C5477" s="291"/>
      <c r="D5477" s="202" t="s">
        <v>765</v>
      </c>
      <c r="E5477" s="203" t="s">
        <v>766</v>
      </c>
      <c r="F5477" s="203" t="s">
        <v>767</v>
      </c>
    </row>
    <row r="5478" spans="1:6" x14ac:dyDescent="0.35">
      <c r="A5478" s="239" t="s">
        <v>1203</v>
      </c>
      <c r="B5478" s="219" t="s">
        <v>1029</v>
      </c>
      <c r="C5478" s="256" t="s">
        <v>59</v>
      </c>
      <c r="D5478" s="141"/>
      <c r="E5478" s="110"/>
      <c r="F5478" s="110"/>
    </row>
    <row r="5479" spans="1:6" x14ac:dyDescent="0.35">
      <c r="A5479" s="111"/>
      <c r="B5479" s="112" t="s">
        <v>802</v>
      </c>
      <c r="C5479" s="118"/>
      <c r="D5479" s="118"/>
      <c r="E5479" s="119"/>
      <c r="F5479" s="119"/>
    </row>
    <row r="5480" spans="1:6" x14ac:dyDescent="0.25">
      <c r="A5480" s="109"/>
      <c r="B5480" s="263" t="s">
        <v>389</v>
      </c>
      <c r="C5480" s="325" t="s">
        <v>59</v>
      </c>
      <c r="D5480" s="326">
        <v>1</v>
      </c>
      <c r="E5480" s="150">
        <v>250000</v>
      </c>
      <c r="F5480" s="147">
        <f>+D5480*E5480</f>
        <v>250000</v>
      </c>
    </row>
    <row r="5481" spans="1:6" x14ac:dyDescent="0.25">
      <c r="A5481" s="109"/>
      <c r="B5481" s="123" t="s">
        <v>1027</v>
      </c>
      <c r="C5481" s="325"/>
      <c r="D5481" s="327"/>
      <c r="E5481" s="160"/>
      <c r="F5481" s="147">
        <f>0.1*F5480</f>
        <v>25000</v>
      </c>
    </row>
    <row r="5482" spans="1:6" x14ac:dyDescent="0.35">
      <c r="A5482" s="107"/>
      <c r="B5482" s="108" t="s">
        <v>769</v>
      </c>
      <c r="C5482" s="109"/>
      <c r="D5482" s="124"/>
      <c r="E5482" s="117"/>
      <c r="F5482" s="110">
        <f>SUM(F5480:F5481)</f>
        <v>275000</v>
      </c>
    </row>
    <row r="5483" spans="1:6" x14ac:dyDescent="0.3">
      <c r="A5483" s="109"/>
      <c r="B5483" s="148" t="s">
        <v>808</v>
      </c>
      <c r="C5483" s="124"/>
      <c r="D5483" s="124"/>
      <c r="E5483" s="117"/>
      <c r="F5483" s="110"/>
    </row>
    <row r="5484" spans="1:6" x14ac:dyDescent="0.25">
      <c r="A5484" s="109"/>
      <c r="B5484" s="149" t="s">
        <v>821</v>
      </c>
      <c r="C5484" s="124" t="s">
        <v>772</v>
      </c>
      <c r="D5484" s="124">
        <v>0.5</v>
      </c>
      <c r="E5484" s="117">
        <v>7500</v>
      </c>
      <c r="F5484" s="117">
        <f>+D5484*E5484</f>
        <v>3750</v>
      </c>
    </row>
    <row r="5485" spans="1:6" x14ac:dyDescent="0.25">
      <c r="A5485" s="109"/>
      <c r="B5485" s="134" t="s">
        <v>851</v>
      </c>
      <c r="C5485" s="115" t="s">
        <v>772</v>
      </c>
      <c r="D5485" s="124">
        <v>1.5</v>
      </c>
      <c r="E5485" s="117">
        <v>15000</v>
      </c>
      <c r="F5485" s="117">
        <f>+D5485*E5485</f>
        <v>22500</v>
      </c>
    </row>
    <row r="5486" spans="1:6" x14ac:dyDescent="0.25">
      <c r="A5486" s="109"/>
      <c r="B5486" s="149" t="s">
        <v>794</v>
      </c>
      <c r="C5486" s="124" t="s">
        <v>772</v>
      </c>
      <c r="D5486" s="124">
        <v>0.5</v>
      </c>
      <c r="E5486" s="117">
        <v>15000</v>
      </c>
      <c r="F5486" s="117">
        <f>+D5486*E5486</f>
        <v>7500</v>
      </c>
    </row>
    <row r="5487" spans="1:6" x14ac:dyDescent="0.3">
      <c r="A5487" s="109"/>
      <c r="B5487" s="148" t="s">
        <v>774</v>
      </c>
      <c r="C5487" s="124"/>
      <c r="D5487" s="124"/>
      <c r="E5487" s="117"/>
      <c r="F5487" s="110">
        <f>SUM(F5484:F5486)</f>
        <v>33750</v>
      </c>
    </row>
    <row r="5488" spans="1:6" x14ac:dyDescent="0.3">
      <c r="A5488" s="109"/>
      <c r="B5488" s="148" t="s">
        <v>775</v>
      </c>
      <c r="C5488" s="124"/>
      <c r="D5488" s="109"/>
      <c r="E5488" s="110"/>
      <c r="F5488" s="110">
        <f>+F5487+F5482</f>
        <v>308750</v>
      </c>
    </row>
    <row r="5489" spans="1:8" x14ac:dyDescent="0.25">
      <c r="A5489" s="111"/>
      <c r="B5489" s="134" t="s">
        <v>792</v>
      </c>
      <c r="C5489" s="115"/>
      <c r="D5489" s="124">
        <v>1.05</v>
      </c>
      <c r="E5489" s="110"/>
      <c r="F5489" s="110">
        <f>+F5488*D5489</f>
        <v>324187.5</v>
      </c>
    </row>
    <row r="5490" spans="1:8" x14ac:dyDescent="0.25">
      <c r="A5490" s="111"/>
      <c r="B5490" s="134" t="s">
        <v>825</v>
      </c>
      <c r="C5490" s="115"/>
      <c r="D5490" s="124">
        <v>1.1000000000000001</v>
      </c>
      <c r="E5490" s="110"/>
      <c r="F5490" s="110"/>
    </row>
    <row r="5491" spans="1:8" x14ac:dyDescent="0.35">
      <c r="A5491" s="261" t="s">
        <v>1203</v>
      </c>
      <c r="B5491" s="242" t="s">
        <v>785</v>
      </c>
      <c r="C5491" s="208" t="s">
        <v>59</v>
      </c>
      <c r="D5491" s="208"/>
      <c r="E5491" s="209"/>
      <c r="F5491" s="209">
        <f>+D5490*F5489</f>
        <v>356606.25</v>
      </c>
    </row>
    <row r="5492" spans="1:8" x14ac:dyDescent="0.35">
      <c r="A5492" s="206"/>
      <c r="B5492" s="207"/>
      <c r="C5492" s="208"/>
      <c r="D5492" s="208"/>
      <c r="E5492" s="210">
        <f>+E5474</f>
        <v>3035.45</v>
      </c>
      <c r="F5492" s="210">
        <f>+F5491/E5492</f>
        <v>117.48052183366552</v>
      </c>
    </row>
    <row r="5493" spans="1:8" ht="12.5" x14ac:dyDescent="0.35">
      <c r="A5493" s="178"/>
      <c r="B5493" s="104"/>
      <c r="C5493" s="104"/>
      <c r="E5493" s="104"/>
      <c r="F5493" s="104"/>
    </row>
    <row r="5494" spans="1:8" ht="12.5" x14ac:dyDescent="0.35">
      <c r="A5494" s="178"/>
      <c r="B5494" s="104"/>
      <c r="C5494" s="104"/>
      <c r="D5494" s="104"/>
      <c r="E5494" s="104"/>
      <c r="F5494" s="104"/>
    </row>
    <row r="5495" spans="1:8" x14ac:dyDescent="0.3">
      <c r="A5495" s="257" t="s">
        <v>343</v>
      </c>
      <c r="B5495" s="258" t="s">
        <v>344</v>
      </c>
      <c r="C5495" s="291"/>
      <c r="D5495" s="202" t="s">
        <v>765</v>
      </c>
      <c r="E5495" s="203" t="s">
        <v>766</v>
      </c>
      <c r="F5495" s="203" t="s">
        <v>767</v>
      </c>
    </row>
    <row r="5496" spans="1:8" x14ac:dyDescent="0.35">
      <c r="A5496" s="239" t="s">
        <v>1204</v>
      </c>
      <c r="B5496" s="219" t="s">
        <v>731</v>
      </c>
      <c r="C5496" s="256" t="s">
        <v>59</v>
      </c>
      <c r="D5496" s="141"/>
      <c r="E5496" s="110"/>
      <c r="F5496" s="110"/>
    </row>
    <row r="5497" spans="1:8" x14ac:dyDescent="0.35">
      <c r="A5497" s="111"/>
      <c r="B5497" s="112" t="s">
        <v>802</v>
      </c>
      <c r="C5497" s="118"/>
      <c r="D5497" s="118"/>
      <c r="E5497" s="119"/>
      <c r="F5497" s="119"/>
    </row>
    <row r="5498" spans="1:8" s="139" customFormat="1" x14ac:dyDescent="0.25">
      <c r="A5498" s="109"/>
      <c r="B5498" s="263" t="s">
        <v>1026</v>
      </c>
      <c r="C5498" s="325" t="s">
        <v>59</v>
      </c>
      <c r="D5498" s="326">
        <v>1</v>
      </c>
      <c r="E5498" s="150">
        <v>2750000</v>
      </c>
      <c r="F5498" s="147">
        <f>+D5498*E5498</f>
        <v>2750000</v>
      </c>
      <c r="G5498" s="138"/>
      <c r="H5498" s="177"/>
    </row>
    <row r="5499" spans="1:8" s="139" customFormat="1" x14ac:dyDescent="0.25">
      <c r="A5499" s="109"/>
      <c r="B5499" s="123" t="s">
        <v>1027</v>
      </c>
      <c r="C5499" s="325"/>
      <c r="D5499" s="327"/>
      <c r="E5499" s="160"/>
      <c r="F5499" s="147">
        <f>0.1*F5498</f>
        <v>275000</v>
      </c>
      <c r="G5499" s="138"/>
      <c r="H5499" s="177"/>
    </row>
    <row r="5500" spans="1:8" s="139" customFormat="1" x14ac:dyDescent="0.35">
      <c r="A5500" s="107"/>
      <c r="B5500" s="108" t="s">
        <v>769</v>
      </c>
      <c r="C5500" s="109"/>
      <c r="D5500" s="124"/>
      <c r="E5500" s="117"/>
      <c r="F5500" s="110">
        <f>SUM(F5498:F5499)</f>
        <v>3025000</v>
      </c>
      <c r="G5500" s="138"/>
      <c r="H5500" s="177"/>
    </row>
    <row r="5501" spans="1:8" s="139" customFormat="1" x14ac:dyDescent="0.3">
      <c r="A5501" s="109"/>
      <c r="B5501" s="148" t="s">
        <v>808</v>
      </c>
      <c r="C5501" s="124"/>
      <c r="D5501" s="124"/>
      <c r="E5501" s="117"/>
      <c r="F5501" s="110"/>
      <c r="G5501" s="138"/>
      <c r="H5501" s="177"/>
    </row>
    <row r="5502" spans="1:8" s="139" customFormat="1" x14ac:dyDescent="0.25">
      <c r="A5502" s="109"/>
      <c r="B5502" s="149" t="s">
        <v>821</v>
      </c>
      <c r="C5502" s="124" t="s">
        <v>772</v>
      </c>
      <c r="D5502" s="124">
        <v>0.75</v>
      </c>
      <c r="E5502" s="117">
        <v>7500</v>
      </c>
      <c r="F5502" s="117">
        <f>+D5502*E5502</f>
        <v>5625</v>
      </c>
      <c r="G5502" s="138"/>
      <c r="H5502" s="177"/>
    </row>
    <row r="5503" spans="1:8" s="139" customFormat="1" x14ac:dyDescent="0.25">
      <c r="A5503" s="109"/>
      <c r="B5503" s="134" t="s">
        <v>851</v>
      </c>
      <c r="C5503" s="115" t="s">
        <v>772</v>
      </c>
      <c r="D5503" s="124">
        <v>3.5</v>
      </c>
      <c r="E5503" s="117">
        <v>15000</v>
      </c>
      <c r="F5503" s="117">
        <f>+D5503*E5503</f>
        <v>52500</v>
      </c>
      <c r="G5503" s="138"/>
      <c r="H5503" s="177"/>
    </row>
    <row r="5504" spans="1:8" s="139" customFormat="1" x14ac:dyDescent="0.25">
      <c r="A5504" s="109"/>
      <c r="B5504" s="149" t="s">
        <v>794</v>
      </c>
      <c r="C5504" s="124" t="s">
        <v>772</v>
      </c>
      <c r="D5504" s="124">
        <v>1.5</v>
      </c>
      <c r="E5504" s="117">
        <v>15000</v>
      </c>
      <c r="F5504" s="117">
        <f>+D5504*E5504</f>
        <v>22500</v>
      </c>
      <c r="G5504" s="138"/>
      <c r="H5504" s="177"/>
    </row>
    <row r="5505" spans="1:8" s="139" customFormat="1" x14ac:dyDescent="0.3">
      <c r="A5505" s="109"/>
      <c r="B5505" s="148" t="s">
        <v>774</v>
      </c>
      <c r="C5505" s="124"/>
      <c r="D5505" s="124"/>
      <c r="E5505" s="117"/>
      <c r="F5505" s="110">
        <f>SUM(F5502:F5504)</f>
        <v>80625</v>
      </c>
      <c r="G5505" s="138"/>
      <c r="H5505" s="177"/>
    </row>
    <row r="5506" spans="1:8" s="139" customFormat="1" x14ac:dyDescent="0.3">
      <c r="A5506" s="109"/>
      <c r="B5506" s="148" t="s">
        <v>775</v>
      </c>
      <c r="C5506" s="124"/>
      <c r="D5506" s="109"/>
      <c r="E5506" s="110"/>
      <c r="F5506" s="110">
        <f>+F5505+F5500</f>
        <v>3105625</v>
      </c>
      <c r="G5506" s="138"/>
      <c r="H5506" s="177"/>
    </row>
    <row r="5507" spans="1:8" x14ac:dyDescent="0.25">
      <c r="A5507" s="111"/>
      <c r="B5507" s="134" t="s">
        <v>792</v>
      </c>
      <c r="C5507" s="115"/>
      <c r="D5507" s="124">
        <v>1.05</v>
      </c>
      <c r="E5507" s="110"/>
      <c r="F5507" s="110">
        <f>+F5506*D5507</f>
        <v>3260906.25</v>
      </c>
    </row>
    <row r="5508" spans="1:8" x14ac:dyDescent="0.25">
      <c r="A5508" s="111"/>
      <c r="B5508" s="134" t="s">
        <v>813</v>
      </c>
      <c r="C5508" s="115"/>
      <c r="D5508" s="124">
        <v>1.1499999999999999</v>
      </c>
      <c r="E5508" s="110"/>
      <c r="F5508" s="110"/>
    </row>
    <row r="5509" spans="1:8" x14ac:dyDescent="0.35">
      <c r="A5509" s="261" t="s">
        <v>1204</v>
      </c>
      <c r="B5509" s="242" t="s">
        <v>785</v>
      </c>
      <c r="C5509" s="208" t="s">
        <v>59</v>
      </c>
      <c r="D5509" s="208"/>
      <c r="E5509" s="209"/>
      <c r="F5509" s="209">
        <f>+D5508*F5507</f>
        <v>3750042.1874999995</v>
      </c>
    </row>
    <row r="5510" spans="1:8" x14ac:dyDescent="0.35">
      <c r="A5510" s="206"/>
      <c r="B5510" s="207"/>
      <c r="C5510" s="208"/>
      <c r="D5510" s="208"/>
      <c r="E5510" s="210">
        <f>+E5492</f>
        <v>3035.45</v>
      </c>
      <c r="F5510" s="210">
        <f>+F5509/E5510</f>
        <v>1235.4155685318485</v>
      </c>
    </row>
    <row r="5511" spans="1:8" ht="12.5" x14ac:dyDescent="0.35">
      <c r="A5511" s="178"/>
      <c r="B5511" s="104"/>
      <c r="C5511" s="104"/>
      <c r="E5511" s="104"/>
      <c r="F5511" s="104"/>
    </row>
    <row r="5512" spans="1:8" ht="12.5" x14ac:dyDescent="0.35">
      <c r="A5512" s="178"/>
      <c r="B5512" s="104"/>
      <c r="C5512" s="104"/>
      <c r="D5512" s="104"/>
      <c r="E5512" s="104"/>
      <c r="F5512" s="104"/>
    </row>
    <row r="5513" spans="1:8" x14ac:dyDescent="0.3">
      <c r="A5513" s="257" t="s">
        <v>392</v>
      </c>
      <c r="B5513" s="331" t="s">
        <v>393</v>
      </c>
      <c r="C5513" s="332" t="s">
        <v>611</v>
      </c>
      <c r="D5513" s="333" t="s">
        <v>765</v>
      </c>
      <c r="E5513" s="334" t="s">
        <v>766</v>
      </c>
      <c r="F5513" s="334" t="s">
        <v>767</v>
      </c>
    </row>
    <row r="5514" spans="1:8" x14ac:dyDescent="0.35">
      <c r="A5514" s="230" t="s">
        <v>1038</v>
      </c>
      <c r="B5514" s="240" t="s">
        <v>1039</v>
      </c>
      <c r="C5514" s="256"/>
      <c r="D5514" s="146"/>
      <c r="E5514" s="117"/>
      <c r="F5514" s="117"/>
    </row>
    <row r="5515" spans="1:8" s="139" customFormat="1" ht="42" customHeight="1" x14ac:dyDescent="0.35">
      <c r="A5515" s="232" t="s">
        <v>1040</v>
      </c>
      <c r="B5515" s="214" t="s">
        <v>396</v>
      </c>
      <c r="C5515" s="224" t="s">
        <v>7</v>
      </c>
      <c r="D5515" s="146"/>
      <c r="E5515" s="117"/>
      <c r="F5515" s="117"/>
      <c r="G5515" s="138"/>
      <c r="H5515" s="177"/>
    </row>
    <row r="5516" spans="1:8" s="139" customFormat="1" x14ac:dyDescent="0.35">
      <c r="A5516" s="146"/>
      <c r="B5516" s="112" t="s">
        <v>802</v>
      </c>
      <c r="C5516" s="124"/>
      <c r="D5516" s="146"/>
      <c r="E5516" s="117"/>
      <c r="F5516" s="117"/>
      <c r="G5516" s="138"/>
      <c r="H5516" s="177"/>
    </row>
    <row r="5517" spans="1:8" s="139" customFormat="1" ht="12.5" x14ac:dyDescent="0.35">
      <c r="A5517" s="146"/>
      <c r="B5517" s="162" t="s">
        <v>1041</v>
      </c>
      <c r="C5517" s="124" t="s">
        <v>59</v>
      </c>
      <c r="D5517" s="146">
        <v>1</v>
      </c>
      <c r="E5517" s="117">
        <v>57228000</v>
      </c>
      <c r="F5517" s="117">
        <f>D5517*E5517</f>
        <v>57228000</v>
      </c>
      <c r="G5517" s="138"/>
      <c r="H5517" s="177"/>
    </row>
    <row r="5518" spans="1:8" s="139" customFormat="1" ht="12.5" x14ac:dyDescent="0.35">
      <c r="A5518" s="146"/>
      <c r="B5518" s="162" t="s">
        <v>1042</v>
      </c>
      <c r="C5518" s="124"/>
      <c r="D5518" s="146"/>
      <c r="E5518" s="117"/>
      <c r="F5518" s="117">
        <f>0.1*F5517</f>
        <v>5722800</v>
      </c>
      <c r="G5518" s="138"/>
      <c r="H5518" s="177"/>
    </row>
    <row r="5519" spans="1:8" s="139" customFormat="1" x14ac:dyDescent="0.35">
      <c r="A5519" s="146"/>
      <c r="B5519" s="108" t="s">
        <v>769</v>
      </c>
      <c r="C5519" s="124"/>
      <c r="D5519" s="146"/>
      <c r="E5519" s="117"/>
      <c r="F5519" s="110">
        <f>SUM(F5517:F5518)</f>
        <v>62950800</v>
      </c>
      <c r="G5519" s="138"/>
      <c r="H5519" s="177"/>
    </row>
    <row r="5520" spans="1:8" s="139" customFormat="1" x14ac:dyDescent="0.3">
      <c r="A5520" s="146"/>
      <c r="B5520" s="148" t="s">
        <v>808</v>
      </c>
      <c r="C5520" s="124"/>
      <c r="D5520" s="146"/>
      <c r="E5520" s="117"/>
      <c r="F5520" s="117"/>
      <c r="G5520" s="138"/>
      <c r="H5520" s="177"/>
    </row>
    <row r="5521" spans="1:8" s="139" customFormat="1" ht="12.5" x14ac:dyDescent="0.25">
      <c r="A5521" s="146"/>
      <c r="B5521" s="149" t="s">
        <v>787</v>
      </c>
      <c r="C5521" s="124" t="s">
        <v>1043</v>
      </c>
      <c r="D5521" s="146">
        <v>6</v>
      </c>
      <c r="E5521" s="117">
        <v>15000</v>
      </c>
      <c r="F5521" s="117">
        <f>+D5521*E5521</f>
        <v>90000</v>
      </c>
      <c r="G5521" s="138"/>
      <c r="H5521" s="177"/>
    </row>
    <row r="5522" spans="1:8" s="139" customFormat="1" x14ac:dyDescent="0.3">
      <c r="A5522" s="146"/>
      <c r="B5522" s="148" t="s">
        <v>774</v>
      </c>
      <c r="C5522" s="124"/>
      <c r="D5522" s="146"/>
      <c r="E5522" s="117"/>
      <c r="F5522" s="110">
        <f>SUM(F5521)</f>
        <v>90000</v>
      </c>
      <c r="G5522" s="138"/>
      <c r="H5522" s="177"/>
    </row>
    <row r="5523" spans="1:8" s="139" customFormat="1" x14ac:dyDescent="0.3">
      <c r="A5523" s="146"/>
      <c r="B5523" s="148" t="s">
        <v>775</v>
      </c>
      <c r="C5523" s="124"/>
      <c r="D5523" s="146"/>
      <c r="E5523" s="117"/>
      <c r="F5523" s="110">
        <f>+F5519+F5522</f>
        <v>63040800</v>
      </c>
      <c r="G5523" s="138"/>
      <c r="H5523" s="177"/>
    </row>
    <row r="5524" spans="1:8" s="139" customFormat="1" x14ac:dyDescent="0.25">
      <c r="A5524" s="146"/>
      <c r="B5524" s="134" t="s">
        <v>776</v>
      </c>
      <c r="C5524" s="124"/>
      <c r="D5524" s="146">
        <v>1.25</v>
      </c>
      <c r="E5524" s="117"/>
      <c r="F5524" s="110">
        <f>+F5523*D5524</f>
        <v>78801000</v>
      </c>
      <c r="G5524" s="138"/>
      <c r="H5524" s="177"/>
    </row>
    <row r="5525" spans="1:8" s="139" customFormat="1" x14ac:dyDescent="0.25">
      <c r="A5525" s="146"/>
      <c r="B5525" s="134" t="s">
        <v>835</v>
      </c>
      <c r="C5525" s="124"/>
      <c r="D5525" s="146">
        <v>1.25</v>
      </c>
      <c r="E5525" s="117"/>
      <c r="F5525" s="110"/>
      <c r="G5525" s="138"/>
      <c r="H5525" s="177"/>
    </row>
    <row r="5526" spans="1:8" s="139" customFormat="1" x14ac:dyDescent="0.35">
      <c r="A5526" s="233" t="s">
        <v>1040</v>
      </c>
      <c r="B5526" s="242" t="s">
        <v>778</v>
      </c>
      <c r="C5526" s="208" t="s">
        <v>7</v>
      </c>
      <c r="D5526" s="335"/>
      <c r="E5526" s="336"/>
      <c r="F5526" s="209">
        <f>+D5525*F5524</f>
        <v>98501250</v>
      </c>
      <c r="G5526" s="138"/>
      <c r="H5526" s="177"/>
    </row>
    <row r="5527" spans="1:8" s="139" customFormat="1" x14ac:dyDescent="0.35">
      <c r="A5527" s="335"/>
      <c r="B5527" s="207"/>
      <c r="C5527" s="337"/>
      <c r="D5527" s="335"/>
      <c r="E5527" s="210">
        <f>+E5510</f>
        <v>3035.45</v>
      </c>
      <c r="F5527" s="338">
        <f>+F5526/E5527</f>
        <v>32450.295672799752</v>
      </c>
      <c r="G5527" s="138"/>
      <c r="H5527" s="177"/>
    </row>
    <row r="5528" spans="1:8" s="139" customFormat="1" ht="12.5" x14ac:dyDescent="0.35">
      <c r="A5528" s="163"/>
      <c r="B5528" s="164"/>
      <c r="C5528" s="165"/>
      <c r="E5528" s="166"/>
      <c r="F5528" s="166"/>
      <c r="G5528" s="138"/>
      <c r="H5528" s="177"/>
    </row>
    <row r="5529" spans="1:8" s="139" customFormat="1" ht="12.5" x14ac:dyDescent="0.35">
      <c r="A5529" s="163"/>
      <c r="B5529" s="164"/>
      <c r="C5529" s="165"/>
      <c r="D5529" s="163"/>
      <c r="E5529" s="166"/>
      <c r="F5529" s="166"/>
      <c r="G5529" s="138"/>
      <c r="H5529" s="177"/>
    </row>
    <row r="5530" spans="1:8" s="139" customFormat="1" x14ac:dyDescent="0.3">
      <c r="A5530" s="257" t="s">
        <v>392</v>
      </c>
      <c r="B5530" s="331" t="s">
        <v>393</v>
      </c>
      <c r="C5530" s="332" t="s">
        <v>611</v>
      </c>
      <c r="D5530" s="333" t="s">
        <v>765</v>
      </c>
      <c r="E5530" s="334" t="s">
        <v>766</v>
      </c>
      <c r="F5530" s="334" t="s">
        <v>767</v>
      </c>
      <c r="G5530" s="138"/>
      <c r="H5530" s="177"/>
    </row>
    <row r="5531" spans="1:8" s="139" customFormat="1" x14ac:dyDescent="0.35">
      <c r="A5531" s="230" t="s">
        <v>1038</v>
      </c>
      <c r="B5531" s="240" t="s">
        <v>1039</v>
      </c>
      <c r="C5531" s="256"/>
      <c r="D5531" s="146"/>
      <c r="E5531" s="117"/>
      <c r="F5531" s="117"/>
      <c r="G5531" s="138"/>
      <c r="H5531" s="177"/>
    </row>
    <row r="5532" spans="1:8" s="139" customFormat="1" ht="26" x14ac:dyDescent="0.35">
      <c r="A5532" s="232" t="s">
        <v>1044</v>
      </c>
      <c r="B5532" s="339" t="s">
        <v>398</v>
      </c>
      <c r="C5532" s="224" t="s">
        <v>7</v>
      </c>
      <c r="D5532" s="146"/>
      <c r="E5532" s="117"/>
      <c r="F5532" s="117"/>
      <c r="G5532" s="138"/>
      <c r="H5532" s="177"/>
    </row>
    <row r="5533" spans="1:8" s="139" customFormat="1" x14ac:dyDescent="0.35">
      <c r="A5533" s="146"/>
      <c r="B5533" s="112" t="s">
        <v>802</v>
      </c>
      <c r="C5533" s="124"/>
      <c r="D5533" s="146"/>
      <c r="E5533" s="117"/>
      <c r="F5533" s="117"/>
      <c r="G5533" s="138"/>
      <c r="H5533" s="177"/>
    </row>
    <row r="5534" spans="1:8" s="139" customFormat="1" ht="12.5" x14ac:dyDescent="0.35">
      <c r="A5534" s="146"/>
      <c r="B5534" s="120" t="s">
        <v>1045</v>
      </c>
      <c r="C5534" s="124" t="s">
        <v>7</v>
      </c>
      <c r="D5534" s="146">
        <v>1</v>
      </c>
      <c r="E5534" s="117">
        <v>10000000</v>
      </c>
      <c r="F5534" s="117">
        <f>D5534*E5534</f>
        <v>10000000</v>
      </c>
      <c r="G5534" s="138"/>
      <c r="H5534" s="177"/>
    </row>
    <row r="5535" spans="1:8" s="139" customFormat="1" ht="12.5" x14ac:dyDescent="0.35">
      <c r="A5535" s="146"/>
      <c r="B5535" s="120" t="s">
        <v>1046</v>
      </c>
      <c r="C5535" s="124" t="s">
        <v>59</v>
      </c>
      <c r="D5535" s="146">
        <v>1</v>
      </c>
      <c r="E5535" s="117">
        <v>1500000</v>
      </c>
      <c r="F5535" s="117">
        <f>D5535*E5535</f>
        <v>1500000</v>
      </c>
      <c r="G5535" s="138"/>
      <c r="H5535" s="177"/>
    </row>
    <row r="5536" spans="1:8" s="139" customFormat="1" ht="12.5" x14ac:dyDescent="0.35">
      <c r="A5536" s="146"/>
      <c r="B5536" s="162" t="s">
        <v>1047</v>
      </c>
      <c r="C5536" s="124"/>
      <c r="D5536" s="146"/>
      <c r="E5536" s="117"/>
      <c r="F5536" s="117">
        <f>0.1*(F5534+F5535)</f>
        <v>1150000</v>
      </c>
      <c r="G5536" s="138"/>
      <c r="H5536" s="177"/>
    </row>
    <row r="5537" spans="1:8" s="139" customFormat="1" x14ac:dyDescent="0.35">
      <c r="A5537" s="146"/>
      <c r="B5537" s="108" t="s">
        <v>769</v>
      </c>
      <c r="C5537" s="124"/>
      <c r="D5537" s="146"/>
      <c r="E5537" s="117"/>
      <c r="F5537" s="110">
        <f>SUM(F5534:F5536)</f>
        <v>12650000</v>
      </c>
      <c r="G5537" s="138"/>
      <c r="H5537" s="177"/>
    </row>
    <row r="5538" spans="1:8" s="139" customFormat="1" x14ac:dyDescent="0.3">
      <c r="A5538" s="146"/>
      <c r="B5538" s="148" t="s">
        <v>808</v>
      </c>
      <c r="C5538" s="124"/>
      <c r="D5538" s="146"/>
      <c r="E5538" s="117"/>
      <c r="F5538" s="117"/>
      <c r="G5538" s="138"/>
      <c r="H5538" s="177"/>
    </row>
    <row r="5539" spans="1:8" s="139" customFormat="1" ht="12.5" x14ac:dyDescent="0.25">
      <c r="A5539" s="146"/>
      <c r="B5539" s="149" t="s">
        <v>787</v>
      </c>
      <c r="C5539" s="124" t="s">
        <v>1043</v>
      </c>
      <c r="D5539" s="146">
        <v>3.65</v>
      </c>
      <c r="E5539" s="117">
        <v>15000</v>
      </c>
      <c r="F5539" s="117">
        <f>+D5539*E5539</f>
        <v>54750</v>
      </c>
      <c r="G5539" s="138"/>
      <c r="H5539" s="177"/>
    </row>
    <row r="5540" spans="1:8" s="139" customFormat="1" x14ac:dyDescent="0.3">
      <c r="A5540" s="146"/>
      <c r="B5540" s="148" t="s">
        <v>774</v>
      </c>
      <c r="C5540" s="124"/>
      <c r="D5540" s="146"/>
      <c r="E5540" s="117"/>
      <c r="F5540" s="110">
        <f>SUM(F5539)</f>
        <v>54750</v>
      </c>
      <c r="G5540" s="138"/>
      <c r="H5540" s="177"/>
    </row>
    <row r="5541" spans="1:8" s="139" customFormat="1" x14ac:dyDescent="0.3">
      <c r="A5541" s="146"/>
      <c r="B5541" s="148" t="s">
        <v>775</v>
      </c>
      <c r="C5541" s="124"/>
      <c r="D5541" s="146"/>
      <c r="E5541" s="117"/>
      <c r="F5541" s="110">
        <f>+F5537+F5540</f>
        <v>12704750</v>
      </c>
      <c r="G5541" s="138"/>
      <c r="H5541" s="177"/>
    </row>
    <row r="5542" spans="1:8" s="139" customFormat="1" x14ac:dyDescent="0.25">
      <c r="A5542" s="146"/>
      <c r="B5542" s="134" t="s">
        <v>776</v>
      </c>
      <c r="C5542" s="124"/>
      <c r="D5542" s="146">
        <v>1.25</v>
      </c>
      <c r="E5542" s="117"/>
      <c r="F5542" s="110">
        <f>+F5541*D5542</f>
        <v>15880937.5</v>
      </c>
      <c r="G5542" s="138"/>
      <c r="H5542" s="177"/>
    </row>
    <row r="5543" spans="1:8" s="139" customFormat="1" x14ac:dyDescent="0.25">
      <c r="A5543" s="146"/>
      <c r="B5543" s="134" t="s">
        <v>835</v>
      </c>
      <c r="C5543" s="124"/>
      <c r="D5543" s="146">
        <v>1.25</v>
      </c>
      <c r="E5543" s="117"/>
      <c r="F5543" s="110"/>
      <c r="G5543" s="138"/>
      <c r="H5543" s="177"/>
    </row>
    <row r="5544" spans="1:8" s="139" customFormat="1" x14ac:dyDescent="0.35">
      <c r="A5544" s="233" t="s">
        <v>1044</v>
      </c>
      <c r="B5544" s="242" t="s">
        <v>778</v>
      </c>
      <c r="C5544" s="208" t="s">
        <v>7</v>
      </c>
      <c r="D5544" s="335"/>
      <c r="E5544" s="336"/>
      <c r="F5544" s="209">
        <f>+D5543*F5542</f>
        <v>19851171.875</v>
      </c>
      <c r="G5544" s="138"/>
      <c r="H5544" s="177"/>
    </row>
    <row r="5545" spans="1:8" s="139" customFormat="1" x14ac:dyDescent="0.35">
      <c r="A5545" s="335"/>
      <c r="B5545" s="207"/>
      <c r="C5545" s="337"/>
      <c r="D5545" s="335"/>
      <c r="E5545" s="210">
        <f>+E5527</f>
        <v>3035.45</v>
      </c>
      <c r="F5545" s="209">
        <f>+F5544/E5545</f>
        <v>6539.7789042810791</v>
      </c>
      <c r="G5545" s="138"/>
      <c r="H5545" s="177"/>
    </row>
    <row r="5546" spans="1:8" s="139" customFormat="1" ht="10.5" customHeight="1" x14ac:dyDescent="0.35">
      <c r="A5546" s="163"/>
      <c r="B5546" s="164"/>
      <c r="C5546" s="165"/>
      <c r="E5546" s="166"/>
      <c r="F5546" s="166"/>
      <c r="G5546" s="138"/>
      <c r="H5546" s="177"/>
    </row>
    <row r="5547" spans="1:8" s="139" customFormat="1" ht="10.5" customHeight="1" x14ac:dyDescent="0.35">
      <c r="A5547" s="163"/>
      <c r="B5547" s="164"/>
      <c r="C5547" s="165"/>
      <c r="D5547" s="163"/>
      <c r="E5547" s="166"/>
      <c r="F5547" s="166"/>
      <c r="G5547" s="138"/>
      <c r="H5547" s="177"/>
    </row>
    <row r="5548" spans="1:8" s="139" customFormat="1" ht="10.5" customHeight="1" x14ac:dyDescent="0.3">
      <c r="A5548" s="257" t="s">
        <v>392</v>
      </c>
      <c r="B5548" s="331" t="s">
        <v>393</v>
      </c>
      <c r="C5548" s="332" t="s">
        <v>611</v>
      </c>
      <c r="D5548" s="333" t="s">
        <v>765</v>
      </c>
      <c r="E5548" s="334" t="s">
        <v>766</v>
      </c>
      <c r="F5548" s="334" t="s">
        <v>767</v>
      </c>
      <c r="G5548" s="138"/>
      <c r="H5548" s="177"/>
    </row>
    <row r="5549" spans="1:8" s="139" customFormat="1" ht="15" customHeight="1" x14ac:dyDescent="0.35">
      <c r="A5549" s="230" t="s">
        <v>1038</v>
      </c>
      <c r="B5549" s="240" t="s">
        <v>1039</v>
      </c>
      <c r="C5549" s="256"/>
      <c r="D5549" s="146"/>
      <c r="E5549" s="117"/>
      <c r="F5549" s="117"/>
      <c r="G5549" s="138"/>
      <c r="H5549" s="177"/>
    </row>
    <row r="5550" spans="1:8" s="139" customFormat="1" ht="29.25" customHeight="1" x14ac:dyDescent="0.35">
      <c r="A5550" s="232" t="s">
        <v>1048</v>
      </c>
      <c r="B5550" s="339" t="s">
        <v>399</v>
      </c>
      <c r="C5550" s="256" t="s">
        <v>7</v>
      </c>
      <c r="D5550" s="146"/>
      <c r="E5550" s="117"/>
      <c r="F5550" s="117"/>
      <c r="G5550" s="138"/>
      <c r="H5550" s="177"/>
    </row>
    <row r="5551" spans="1:8" s="139" customFormat="1" ht="16.5" customHeight="1" x14ac:dyDescent="0.35">
      <c r="A5551" s="146"/>
      <c r="B5551" s="112" t="s">
        <v>802</v>
      </c>
      <c r="C5551" s="124"/>
      <c r="D5551" s="146"/>
      <c r="E5551" s="117"/>
      <c r="F5551" s="117"/>
      <c r="G5551" s="138"/>
      <c r="H5551" s="177"/>
    </row>
    <row r="5552" spans="1:8" s="139" customFormat="1" ht="15.75" customHeight="1" x14ac:dyDescent="0.35">
      <c r="A5552" s="146"/>
      <c r="B5552" s="120" t="s">
        <v>1049</v>
      </c>
      <c r="C5552" s="124" t="s">
        <v>59</v>
      </c>
      <c r="D5552" s="146">
        <v>1</v>
      </c>
      <c r="E5552" s="117">
        <v>6069000</v>
      </c>
      <c r="F5552" s="117">
        <f>D5552*E5552</f>
        <v>6069000</v>
      </c>
      <c r="G5552" s="138"/>
      <c r="H5552" s="177"/>
    </row>
    <row r="5553" spans="1:8" s="139" customFormat="1" ht="15.75" customHeight="1" x14ac:dyDescent="0.35">
      <c r="A5553" s="146"/>
      <c r="B5553" s="120" t="s">
        <v>1042</v>
      </c>
      <c r="C5553" s="124"/>
      <c r="D5553" s="146"/>
      <c r="E5553" s="117"/>
      <c r="F5553" s="117">
        <f>0.1*(F5552)</f>
        <v>606900</v>
      </c>
      <c r="G5553" s="138"/>
      <c r="H5553" s="177"/>
    </row>
    <row r="5554" spans="1:8" s="168" customFormat="1" x14ac:dyDescent="0.35">
      <c r="A5554" s="141"/>
      <c r="B5554" s="112" t="s">
        <v>769</v>
      </c>
      <c r="C5554" s="109"/>
      <c r="D5554" s="141"/>
      <c r="E5554" s="110"/>
      <c r="F5554" s="110">
        <f>SUM(F5552:F5553)</f>
        <v>6675900</v>
      </c>
      <c r="G5554" s="167"/>
      <c r="H5554" s="195"/>
    </row>
    <row r="5555" spans="1:8" s="139" customFormat="1" x14ac:dyDescent="0.35">
      <c r="A5555" s="146"/>
      <c r="B5555" s="112" t="s">
        <v>808</v>
      </c>
      <c r="C5555" s="124"/>
      <c r="D5555" s="146"/>
      <c r="E5555" s="117"/>
      <c r="F5555" s="117"/>
      <c r="G5555" s="138"/>
      <c r="H5555" s="177"/>
    </row>
    <row r="5556" spans="1:8" s="139" customFormat="1" ht="12.5" x14ac:dyDescent="0.35">
      <c r="A5556" s="146"/>
      <c r="B5556" s="120" t="s">
        <v>787</v>
      </c>
      <c r="C5556" s="124" t="s">
        <v>1043</v>
      </c>
      <c r="D5556" s="146">
        <v>3</v>
      </c>
      <c r="E5556" s="117">
        <v>15000</v>
      </c>
      <c r="F5556" s="117">
        <f>+D5556*E5556</f>
        <v>45000</v>
      </c>
      <c r="G5556" s="138"/>
      <c r="H5556" s="177"/>
    </row>
    <row r="5557" spans="1:8" s="139" customFormat="1" x14ac:dyDescent="0.35">
      <c r="A5557" s="146"/>
      <c r="B5557" s="112" t="s">
        <v>774</v>
      </c>
      <c r="C5557" s="124"/>
      <c r="D5557" s="146"/>
      <c r="E5557" s="117"/>
      <c r="F5557" s="117">
        <f>SUM(F5556)</f>
        <v>45000</v>
      </c>
      <c r="G5557" s="138"/>
      <c r="H5557" s="177"/>
    </row>
    <row r="5558" spans="1:8" s="139" customFormat="1" x14ac:dyDescent="0.35">
      <c r="A5558" s="146"/>
      <c r="B5558" s="112" t="s">
        <v>775</v>
      </c>
      <c r="C5558" s="124"/>
      <c r="D5558" s="146"/>
      <c r="E5558" s="117"/>
      <c r="F5558" s="117">
        <f>+F5554+F5557</f>
        <v>6720900</v>
      </c>
      <c r="G5558" s="138"/>
      <c r="H5558" s="177"/>
    </row>
    <row r="5559" spans="1:8" s="139" customFormat="1" ht="12.5" x14ac:dyDescent="0.35">
      <c r="A5559" s="146"/>
      <c r="B5559" s="120" t="s">
        <v>776</v>
      </c>
      <c r="C5559" s="124"/>
      <c r="D5559" s="146">
        <v>1.25</v>
      </c>
      <c r="E5559" s="117"/>
      <c r="F5559" s="117">
        <f>+F5558*D5559</f>
        <v>8401125</v>
      </c>
      <c r="G5559" s="138"/>
      <c r="H5559" s="177"/>
    </row>
    <row r="5560" spans="1:8" s="139" customFormat="1" ht="12.5" x14ac:dyDescent="0.35">
      <c r="A5560" s="146"/>
      <c r="B5560" s="120" t="s">
        <v>835</v>
      </c>
      <c r="C5560" s="124"/>
      <c r="D5560" s="146">
        <v>1.25</v>
      </c>
      <c r="E5560" s="117"/>
      <c r="F5560" s="117"/>
      <c r="G5560" s="138"/>
      <c r="H5560" s="177"/>
    </row>
    <row r="5561" spans="1:8" s="139" customFormat="1" x14ac:dyDescent="0.35">
      <c r="A5561" s="233" t="s">
        <v>1048</v>
      </c>
      <c r="B5561" s="207" t="s">
        <v>778</v>
      </c>
      <c r="C5561" s="208" t="s">
        <v>7</v>
      </c>
      <c r="D5561" s="340"/>
      <c r="E5561" s="209"/>
      <c r="F5561" s="209">
        <f>+D5560*F5559</f>
        <v>10501406.25</v>
      </c>
      <c r="G5561" s="138"/>
      <c r="H5561" s="177"/>
    </row>
    <row r="5562" spans="1:8" s="139" customFormat="1" x14ac:dyDescent="0.35">
      <c r="A5562" s="340"/>
      <c r="B5562" s="207"/>
      <c r="C5562" s="208"/>
      <c r="D5562" s="340"/>
      <c r="E5562" s="210">
        <f>+E5545</f>
        <v>3035.45</v>
      </c>
      <c r="F5562" s="210">
        <f>+F5561/E5562</f>
        <v>3459.5879523629119</v>
      </c>
      <c r="G5562" s="138"/>
      <c r="H5562" s="177"/>
    </row>
    <row r="5563" spans="1:8" s="139" customFormat="1" ht="10.5" customHeight="1" x14ac:dyDescent="0.35">
      <c r="A5563" s="163"/>
      <c r="B5563" s="164"/>
      <c r="C5563" s="165"/>
      <c r="E5563" s="166"/>
      <c r="F5563" s="166"/>
      <c r="G5563" s="138"/>
      <c r="H5563" s="177"/>
    </row>
    <row r="5564" spans="1:8" s="139" customFormat="1" ht="10.5" customHeight="1" x14ac:dyDescent="0.35">
      <c r="A5564" s="163"/>
      <c r="B5564" s="164"/>
      <c r="C5564" s="165"/>
      <c r="D5564" s="163"/>
      <c r="E5564" s="166"/>
      <c r="F5564" s="166"/>
      <c r="G5564" s="138"/>
      <c r="H5564" s="177"/>
    </row>
    <row r="5565" spans="1:8" s="139" customFormat="1" ht="10.5" customHeight="1" x14ac:dyDescent="0.3">
      <c r="A5565" s="169" t="s">
        <v>392</v>
      </c>
      <c r="B5565" s="331" t="s">
        <v>393</v>
      </c>
      <c r="C5565" s="332" t="s">
        <v>611</v>
      </c>
      <c r="D5565" s="333" t="s">
        <v>765</v>
      </c>
      <c r="E5565" s="334" t="s">
        <v>766</v>
      </c>
      <c r="F5565" s="334" t="s">
        <v>767</v>
      </c>
      <c r="G5565" s="138"/>
      <c r="H5565" s="177"/>
    </row>
    <row r="5566" spans="1:8" s="139" customFormat="1" x14ac:dyDescent="0.35">
      <c r="A5566" s="230" t="s">
        <v>1038</v>
      </c>
      <c r="B5566" s="240" t="s">
        <v>1039</v>
      </c>
      <c r="C5566" s="256"/>
      <c r="D5566" s="146"/>
      <c r="E5566" s="117"/>
      <c r="F5566" s="117"/>
      <c r="G5566" s="138"/>
      <c r="H5566" s="177"/>
    </row>
    <row r="5567" spans="1:8" s="139" customFormat="1" x14ac:dyDescent="0.35">
      <c r="A5567" s="230" t="s">
        <v>1050</v>
      </c>
      <c r="B5567" s="240" t="s">
        <v>400</v>
      </c>
      <c r="C5567" s="256" t="s">
        <v>59</v>
      </c>
      <c r="D5567" s="146"/>
      <c r="E5567" s="117"/>
      <c r="F5567" s="117"/>
      <c r="G5567" s="138"/>
      <c r="H5567" s="177"/>
    </row>
    <row r="5568" spans="1:8" s="139" customFormat="1" ht="16.5" customHeight="1" x14ac:dyDescent="0.35">
      <c r="A5568" s="146"/>
      <c r="B5568" s="112" t="s">
        <v>802</v>
      </c>
      <c r="C5568" s="124"/>
      <c r="D5568" s="146"/>
      <c r="E5568" s="117"/>
      <c r="F5568" s="117"/>
      <c r="G5568" s="138"/>
      <c r="H5568" s="177"/>
    </row>
    <row r="5569" spans="1:8" s="139" customFormat="1" ht="15.75" customHeight="1" x14ac:dyDescent="0.35">
      <c r="A5569" s="146"/>
      <c r="B5569" s="120" t="s">
        <v>1051</v>
      </c>
      <c r="C5569" s="124" t="s">
        <v>59</v>
      </c>
      <c r="D5569" s="146">
        <v>1</v>
      </c>
      <c r="E5569" s="117">
        <v>87235000</v>
      </c>
      <c r="F5569" s="117">
        <f>D5569*E5569</f>
        <v>87235000</v>
      </c>
      <c r="G5569" s="138"/>
      <c r="H5569" s="177"/>
    </row>
    <row r="5570" spans="1:8" s="139" customFormat="1" ht="15.75" customHeight="1" x14ac:dyDescent="0.35">
      <c r="A5570" s="146"/>
      <c r="B5570" s="120" t="s">
        <v>1042</v>
      </c>
      <c r="C5570" s="124"/>
      <c r="D5570" s="146"/>
      <c r="E5570" s="117"/>
      <c r="F5570" s="117">
        <f>0.1*(F5569)</f>
        <v>8723500</v>
      </c>
      <c r="G5570" s="138"/>
      <c r="H5570" s="177"/>
    </row>
    <row r="5571" spans="1:8" s="139" customFormat="1" ht="16.5" customHeight="1" x14ac:dyDescent="0.35">
      <c r="A5571" s="146"/>
      <c r="B5571" s="112" t="s">
        <v>769</v>
      </c>
      <c r="C5571" s="124"/>
      <c r="D5571" s="146"/>
      <c r="E5571" s="117"/>
      <c r="F5571" s="110">
        <f>SUM(F5569:F5570)</f>
        <v>95958500</v>
      </c>
      <c r="G5571" s="138"/>
      <c r="H5571" s="177"/>
    </row>
    <row r="5572" spans="1:8" s="139" customFormat="1" ht="16.5" customHeight="1" x14ac:dyDescent="0.35">
      <c r="A5572" s="146"/>
      <c r="B5572" s="112" t="s">
        <v>808</v>
      </c>
      <c r="C5572" s="124"/>
      <c r="D5572" s="146"/>
      <c r="E5572" s="117"/>
      <c r="F5572" s="117"/>
      <c r="G5572" s="138"/>
      <c r="H5572" s="177"/>
    </row>
    <row r="5573" spans="1:8" s="139" customFormat="1" ht="15.75" customHeight="1" x14ac:dyDescent="0.35">
      <c r="A5573" s="146"/>
      <c r="B5573" s="120" t="s">
        <v>787</v>
      </c>
      <c r="C5573" s="124" t="s">
        <v>1043</v>
      </c>
      <c r="D5573" s="146">
        <v>3</v>
      </c>
      <c r="E5573" s="117">
        <v>15000</v>
      </c>
      <c r="F5573" s="117">
        <f>+D5573*E5573</f>
        <v>45000</v>
      </c>
      <c r="G5573" s="138"/>
      <c r="H5573" s="177"/>
    </row>
    <row r="5574" spans="1:8" s="139" customFormat="1" ht="10.5" customHeight="1" x14ac:dyDescent="0.35">
      <c r="A5574" s="146"/>
      <c r="B5574" s="112" t="s">
        <v>774</v>
      </c>
      <c r="C5574" s="124"/>
      <c r="D5574" s="146"/>
      <c r="E5574" s="117"/>
      <c r="F5574" s="117">
        <f>SUM(F5573)</f>
        <v>45000</v>
      </c>
      <c r="G5574" s="138"/>
      <c r="H5574" s="177"/>
    </row>
    <row r="5575" spans="1:8" s="139" customFormat="1" ht="10.5" customHeight="1" x14ac:dyDescent="0.35">
      <c r="A5575" s="146"/>
      <c r="B5575" s="112" t="s">
        <v>775</v>
      </c>
      <c r="C5575" s="124"/>
      <c r="D5575" s="146"/>
      <c r="E5575" s="117"/>
      <c r="F5575" s="117">
        <f>+F5571+F5574</f>
        <v>96003500</v>
      </c>
      <c r="G5575" s="138"/>
      <c r="H5575" s="177"/>
    </row>
    <row r="5576" spans="1:8" s="139" customFormat="1" ht="15.75" customHeight="1" x14ac:dyDescent="0.35">
      <c r="A5576" s="146"/>
      <c r="B5576" s="120" t="s">
        <v>776</v>
      </c>
      <c r="C5576" s="124"/>
      <c r="D5576" s="146">
        <v>1.25</v>
      </c>
      <c r="E5576" s="117"/>
      <c r="F5576" s="117">
        <f>+F5575*D5576</f>
        <v>120004375</v>
      </c>
      <c r="G5576" s="138"/>
      <c r="H5576" s="177"/>
    </row>
    <row r="5577" spans="1:8" s="139" customFormat="1" ht="15.75" customHeight="1" x14ac:dyDescent="0.35">
      <c r="A5577" s="146"/>
      <c r="B5577" s="120" t="s">
        <v>835</v>
      </c>
      <c r="C5577" s="124"/>
      <c r="D5577" s="146">
        <v>1.25</v>
      </c>
      <c r="E5577" s="117"/>
      <c r="F5577" s="117"/>
      <c r="G5577" s="138"/>
      <c r="H5577" s="177"/>
    </row>
    <row r="5578" spans="1:8" s="139" customFormat="1" x14ac:dyDescent="0.35">
      <c r="A5578" s="233" t="s">
        <v>1050</v>
      </c>
      <c r="B5578" s="207" t="s">
        <v>785</v>
      </c>
      <c r="C5578" s="208" t="s">
        <v>59</v>
      </c>
      <c r="D5578" s="340"/>
      <c r="E5578" s="209"/>
      <c r="F5578" s="209">
        <f>+D5577*F5576</f>
        <v>150005468.75</v>
      </c>
      <c r="G5578" s="138"/>
      <c r="H5578" s="177"/>
    </row>
    <row r="5579" spans="1:8" s="139" customFormat="1" ht="10.5" customHeight="1" x14ac:dyDescent="0.35">
      <c r="A5579" s="340"/>
      <c r="B5579" s="207"/>
      <c r="C5579" s="208"/>
      <c r="D5579" s="340"/>
      <c r="E5579" s="210">
        <f>+E5562</f>
        <v>3035.45</v>
      </c>
      <c r="F5579" s="210">
        <f>+F5578/E5579</f>
        <v>49417.868437958132</v>
      </c>
      <c r="G5579" s="138"/>
      <c r="H5579" s="177"/>
    </row>
    <row r="5580" spans="1:8" s="139" customFormat="1" ht="10.5" customHeight="1" x14ac:dyDescent="0.35">
      <c r="A5580" s="163"/>
      <c r="B5580" s="164"/>
      <c r="C5580" s="165"/>
      <c r="E5580" s="166"/>
      <c r="F5580" s="166"/>
      <c r="G5580" s="138"/>
      <c r="H5580" s="177"/>
    </row>
    <row r="5581" spans="1:8" s="139" customFormat="1" ht="10.5" customHeight="1" x14ac:dyDescent="0.35">
      <c r="A5581" s="163"/>
      <c r="B5581" s="164"/>
      <c r="C5581" s="165"/>
      <c r="D5581" s="163"/>
      <c r="E5581" s="166"/>
      <c r="F5581" s="166"/>
      <c r="G5581" s="138"/>
      <c r="H5581" s="177"/>
    </row>
    <row r="5582" spans="1:8" s="139" customFormat="1" ht="17.25" customHeight="1" x14ac:dyDescent="0.3">
      <c r="A5582" s="341" t="s">
        <v>392</v>
      </c>
      <c r="B5582" s="331" t="s">
        <v>393</v>
      </c>
      <c r="C5582" s="332" t="s">
        <v>611</v>
      </c>
      <c r="D5582" s="333" t="s">
        <v>765</v>
      </c>
      <c r="E5582" s="334" t="s">
        <v>766</v>
      </c>
      <c r="F5582" s="334" t="s">
        <v>767</v>
      </c>
      <c r="G5582" s="138"/>
      <c r="H5582" s="177"/>
    </row>
    <row r="5583" spans="1:8" s="139" customFormat="1" ht="15" customHeight="1" x14ac:dyDescent="0.35">
      <c r="A5583" s="230" t="s">
        <v>1053</v>
      </c>
      <c r="B5583" s="342" t="s">
        <v>1054</v>
      </c>
      <c r="C5583" s="256"/>
      <c r="D5583" s="146"/>
      <c r="E5583" s="117"/>
      <c r="F5583" s="117"/>
      <c r="G5583" s="138"/>
      <c r="H5583" s="177"/>
    </row>
    <row r="5584" spans="1:8" s="139" customFormat="1" ht="13.5" customHeight="1" x14ac:dyDescent="0.35">
      <c r="A5584" s="232" t="s">
        <v>402</v>
      </c>
      <c r="B5584" s="339" t="s">
        <v>403</v>
      </c>
      <c r="C5584" s="256" t="s">
        <v>7</v>
      </c>
      <c r="D5584" s="146"/>
      <c r="E5584" s="117"/>
      <c r="F5584" s="117"/>
      <c r="G5584" s="138"/>
      <c r="H5584" s="177"/>
    </row>
    <row r="5585" spans="1:8" s="139" customFormat="1" ht="13.5" customHeight="1" x14ac:dyDescent="0.35">
      <c r="A5585" s="146"/>
      <c r="B5585" s="112" t="s">
        <v>802</v>
      </c>
      <c r="C5585" s="124"/>
      <c r="D5585" s="146"/>
      <c r="E5585" s="117"/>
      <c r="F5585" s="117"/>
      <c r="G5585" s="138"/>
      <c r="H5585" s="177"/>
    </row>
    <row r="5586" spans="1:8" s="139" customFormat="1" ht="12.75" customHeight="1" x14ac:dyDescent="0.35">
      <c r="A5586" s="146"/>
      <c r="B5586" s="120" t="s">
        <v>1055</v>
      </c>
      <c r="C5586" s="124" t="s">
        <v>59</v>
      </c>
      <c r="D5586" s="146">
        <v>1</v>
      </c>
      <c r="E5586" s="117">
        <v>5778000</v>
      </c>
      <c r="F5586" s="117">
        <f>D5586*E5586</f>
        <v>5778000</v>
      </c>
      <c r="G5586" s="138"/>
      <c r="H5586" s="177"/>
    </row>
    <row r="5587" spans="1:8" s="139" customFormat="1" ht="15" customHeight="1" x14ac:dyDescent="0.35">
      <c r="A5587" s="146"/>
      <c r="B5587" s="120" t="s">
        <v>1042</v>
      </c>
      <c r="C5587" s="124"/>
      <c r="D5587" s="146"/>
      <c r="E5587" s="117"/>
      <c r="F5587" s="117">
        <f>0.1*(F5586)</f>
        <v>577800</v>
      </c>
      <c r="G5587" s="138"/>
      <c r="H5587" s="177"/>
    </row>
    <row r="5588" spans="1:8" s="139" customFormat="1" ht="17.25" customHeight="1" x14ac:dyDescent="0.35">
      <c r="A5588" s="146"/>
      <c r="B5588" s="112" t="s">
        <v>769</v>
      </c>
      <c r="C5588" s="124"/>
      <c r="D5588" s="146"/>
      <c r="E5588" s="117"/>
      <c r="F5588" s="110">
        <f>SUM(F5586:F5587)</f>
        <v>6355800</v>
      </c>
      <c r="G5588" s="138"/>
      <c r="H5588" s="177"/>
    </row>
    <row r="5589" spans="1:8" s="139" customFormat="1" ht="17.25" customHeight="1" x14ac:dyDescent="0.35">
      <c r="A5589" s="146"/>
      <c r="B5589" s="112" t="s">
        <v>808</v>
      </c>
      <c r="C5589" s="124"/>
      <c r="D5589" s="146"/>
      <c r="E5589" s="117"/>
      <c r="F5589" s="117"/>
      <c r="G5589" s="138"/>
      <c r="H5589" s="177"/>
    </row>
    <row r="5590" spans="1:8" s="139" customFormat="1" ht="13.5" customHeight="1" x14ac:dyDescent="0.35">
      <c r="A5590" s="146"/>
      <c r="B5590" s="120" t="s">
        <v>787</v>
      </c>
      <c r="C5590" s="124" t="s">
        <v>1043</v>
      </c>
      <c r="D5590" s="146">
        <v>3</v>
      </c>
      <c r="E5590" s="117">
        <v>15000</v>
      </c>
      <c r="F5590" s="117">
        <f>+D5590*E5590</f>
        <v>45000</v>
      </c>
      <c r="G5590" s="138"/>
      <c r="H5590" s="177"/>
    </row>
    <row r="5591" spans="1:8" s="139" customFormat="1" ht="13.5" customHeight="1" x14ac:dyDescent="0.35">
      <c r="A5591" s="146"/>
      <c r="B5591" s="112" t="s">
        <v>774</v>
      </c>
      <c r="C5591" s="124"/>
      <c r="D5591" s="146"/>
      <c r="E5591" s="117"/>
      <c r="F5591" s="117">
        <f>SUM(F5590)</f>
        <v>45000</v>
      </c>
      <c r="G5591" s="138"/>
      <c r="H5591" s="177"/>
    </row>
    <row r="5592" spans="1:8" s="139" customFormat="1" x14ac:dyDescent="0.35">
      <c r="A5592" s="146"/>
      <c r="B5592" s="112" t="s">
        <v>775</v>
      </c>
      <c r="C5592" s="124"/>
      <c r="D5592" s="146"/>
      <c r="E5592" s="117"/>
      <c r="F5592" s="117">
        <f>+F5588+F5591</f>
        <v>6400800</v>
      </c>
      <c r="G5592" s="138"/>
      <c r="H5592" s="177"/>
    </row>
    <row r="5593" spans="1:8" s="139" customFormat="1" ht="13.5" customHeight="1" x14ac:dyDescent="0.35">
      <c r="A5593" s="146"/>
      <c r="B5593" s="120" t="s">
        <v>776</v>
      </c>
      <c r="C5593" s="124"/>
      <c r="D5593" s="146">
        <v>1.25</v>
      </c>
      <c r="E5593" s="117"/>
      <c r="F5593" s="117">
        <f>+F5592*D5593</f>
        <v>8001000</v>
      </c>
      <c r="G5593" s="138"/>
      <c r="H5593" s="177"/>
    </row>
    <row r="5594" spans="1:8" s="139" customFormat="1" ht="14.25" customHeight="1" x14ac:dyDescent="0.35">
      <c r="A5594" s="146"/>
      <c r="B5594" s="120" t="s">
        <v>835</v>
      </c>
      <c r="C5594" s="124"/>
      <c r="D5594" s="146">
        <v>1.25</v>
      </c>
      <c r="E5594" s="117"/>
      <c r="F5594" s="117"/>
      <c r="G5594" s="138"/>
      <c r="H5594" s="177"/>
    </row>
    <row r="5595" spans="1:8" s="139" customFormat="1" ht="17.25" customHeight="1" x14ac:dyDescent="0.35">
      <c r="A5595" s="233" t="s">
        <v>402</v>
      </c>
      <c r="B5595" s="207" t="s">
        <v>778</v>
      </c>
      <c r="C5595" s="233" t="s">
        <v>7</v>
      </c>
      <c r="D5595" s="340"/>
      <c r="E5595" s="209"/>
      <c r="F5595" s="209">
        <f>+D5594*F5593</f>
        <v>10001250</v>
      </c>
      <c r="G5595" s="138"/>
      <c r="H5595" s="177"/>
    </row>
    <row r="5596" spans="1:8" s="139" customFormat="1" ht="17.25" customHeight="1" x14ac:dyDescent="0.35">
      <c r="A5596" s="340"/>
      <c r="B5596" s="207"/>
      <c r="C5596" s="208"/>
      <c r="D5596" s="340"/>
      <c r="E5596" s="210">
        <f>+E5579</f>
        <v>3035.45</v>
      </c>
      <c r="F5596" s="210">
        <f>+F5595/E5596</f>
        <v>3294.8162545915766</v>
      </c>
      <c r="G5596" s="138"/>
      <c r="H5596" s="177"/>
    </row>
    <row r="5597" spans="1:8" s="139" customFormat="1" ht="13.5" customHeight="1" x14ac:dyDescent="0.35">
      <c r="A5597" s="163"/>
      <c r="B5597" s="164"/>
      <c r="C5597" s="165"/>
      <c r="E5597" s="166"/>
      <c r="F5597" s="166"/>
      <c r="G5597" s="138"/>
      <c r="H5597" s="177"/>
    </row>
    <row r="5598" spans="1:8" s="139" customFormat="1" ht="13.5" customHeight="1" x14ac:dyDescent="0.35">
      <c r="A5598" s="163"/>
      <c r="B5598" s="164"/>
      <c r="C5598" s="165"/>
      <c r="D5598" s="163"/>
      <c r="E5598" s="166"/>
      <c r="F5598" s="166"/>
      <c r="G5598" s="138"/>
      <c r="H5598" s="177"/>
    </row>
    <row r="5599" spans="1:8" s="139" customFormat="1" ht="13.5" customHeight="1" x14ac:dyDescent="0.3">
      <c r="A5599" s="341" t="s">
        <v>392</v>
      </c>
      <c r="B5599" s="331" t="s">
        <v>393</v>
      </c>
      <c r="C5599" s="332" t="s">
        <v>611</v>
      </c>
      <c r="D5599" s="333" t="s">
        <v>765</v>
      </c>
      <c r="E5599" s="334" t="s">
        <v>766</v>
      </c>
      <c r="F5599" s="334" t="s">
        <v>767</v>
      </c>
      <c r="G5599" s="138"/>
      <c r="H5599" s="177"/>
    </row>
    <row r="5600" spans="1:8" s="139" customFormat="1" ht="13.5" customHeight="1" x14ac:dyDescent="0.35">
      <c r="A5600" s="262" t="s">
        <v>404</v>
      </c>
      <c r="B5600" s="343" t="s">
        <v>405</v>
      </c>
      <c r="C5600" s="330"/>
      <c r="D5600" s="146"/>
      <c r="E5600" s="117"/>
      <c r="F5600" s="117"/>
      <c r="G5600" s="138"/>
      <c r="H5600" s="177"/>
    </row>
    <row r="5601" spans="1:8" s="139" customFormat="1" ht="13.5" customHeight="1" x14ac:dyDescent="0.35">
      <c r="A5601" s="262" t="s">
        <v>406</v>
      </c>
      <c r="B5601" s="344" t="s">
        <v>407</v>
      </c>
      <c r="C5601" s="330" t="s">
        <v>7</v>
      </c>
      <c r="D5601" s="146"/>
      <c r="E5601" s="117"/>
      <c r="F5601" s="117"/>
      <c r="G5601" s="138"/>
      <c r="H5601" s="177"/>
    </row>
    <row r="5602" spans="1:8" s="139" customFormat="1" ht="13.5" customHeight="1" x14ac:dyDescent="0.35">
      <c r="A5602" s="146"/>
      <c r="B5602" s="112" t="s">
        <v>802</v>
      </c>
      <c r="C5602" s="124"/>
      <c r="D5602" s="146"/>
      <c r="E5602" s="117"/>
      <c r="F5602" s="117"/>
      <c r="G5602" s="138"/>
      <c r="H5602" s="177"/>
    </row>
    <row r="5603" spans="1:8" s="139" customFormat="1" ht="13.5" customHeight="1" x14ac:dyDescent="0.35">
      <c r="A5603" s="146"/>
      <c r="B5603" s="120" t="s">
        <v>1055</v>
      </c>
      <c r="C5603" s="124" t="s">
        <v>59</v>
      </c>
      <c r="D5603" s="146">
        <v>1</v>
      </c>
      <c r="E5603" s="117">
        <v>2000000</v>
      </c>
      <c r="F5603" s="117">
        <f>D5603*E5603</f>
        <v>2000000</v>
      </c>
      <c r="G5603" s="138"/>
      <c r="H5603" s="177"/>
    </row>
    <row r="5604" spans="1:8" s="139" customFormat="1" ht="13.5" customHeight="1" x14ac:dyDescent="0.35">
      <c r="A5604" s="146"/>
      <c r="B5604" s="120" t="s">
        <v>1042</v>
      </c>
      <c r="C5604" s="124"/>
      <c r="D5604" s="146"/>
      <c r="E5604" s="117"/>
      <c r="F5604" s="117">
        <f>0.1*(F5603)</f>
        <v>200000</v>
      </c>
      <c r="G5604" s="138"/>
      <c r="H5604" s="177"/>
    </row>
    <row r="5605" spans="1:8" s="139" customFormat="1" ht="13.5" customHeight="1" x14ac:dyDescent="0.35">
      <c r="A5605" s="146"/>
      <c r="B5605" s="112" t="s">
        <v>769</v>
      </c>
      <c r="C5605" s="124"/>
      <c r="D5605" s="146"/>
      <c r="E5605" s="117"/>
      <c r="F5605" s="110">
        <f>SUM(F5603:F5604)</f>
        <v>2200000</v>
      </c>
      <c r="G5605" s="138"/>
      <c r="H5605" s="177"/>
    </row>
    <row r="5606" spans="1:8" s="139" customFormat="1" ht="13.5" customHeight="1" x14ac:dyDescent="0.35">
      <c r="A5606" s="146"/>
      <c r="B5606" s="112" t="s">
        <v>808</v>
      </c>
      <c r="C5606" s="124"/>
      <c r="D5606" s="146"/>
      <c r="E5606" s="117"/>
      <c r="F5606" s="117"/>
      <c r="G5606" s="138"/>
      <c r="H5606" s="177"/>
    </row>
    <row r="5607" spans="1:8" s="139" customFormat="1" ht="13.5" customHeight="1" x14ac:dyDescent="0.35">
      <c r="A5607" s="146"/>
      <c r="B5607" s="120" t="s">
        <v>787</v>
      </c>
      <c r="C5607" s="124" t="s">
        <v>1043</v>
      </c>
      <c r="D5607" s="146">
        <v>3</v>
      </c>
      <c r="E5607" s="117">
        <v>15000</v>
      </c>
      <c r="F5607" s="117">
        <f>+D5607*E5607</f>
        <v>45000</v>
      </c>
      <c r="G5607" s="138"/>
      <c r="H5607" s="177"/>
    </row>
    <row r="5608" spans="1:8" s="139" customFormat="1" ht="13.5" customHeight="1" x14ac:dyDescent="0.35">
      <c r="A5608" s="146"/>
      <c r="B5608" s="112" t="s">
        <v>774</v>
      </c>
      <c r="C5608" s="124"/>
      <c r="D5608" s="146"/>
      <c r="E5608" s="117"/>
      <c r="F5608" s="117">
        <f>SUM(F5607)</f>
        <v>45000</v>
      </c>
      <c r="G5608" s="138"/>
      <c r="H5608" s="177"/>
    </row>
    <row r="5609" spans="1:8" s="139" customFormat="1" ht="13.5" customHeight="1" x14ac:dyDescent="0.35">
      <c r="A5609" s="146"/>
      <c r="B5609" s="112" t="s">
        <v>775</v>
      </c>
      <c r="C5609" s="124"/>
      <c r="D5609" s="146"/>
      <c r="E5609" s="117"/>
      <c r="F5609" s="117">
        <f>+F5605+F5608</f>
        <v>2245000</v>
      </c>
      <c r="G5609" s="138"/>
      <c r="H5609" s="177"/>
    </row>
    <row r="5610" spans="1:8" s="139" customFormat="1" ht="13.5" customHeight="1" x14ac:dyDescent="0.35">
      <c r="A5610" s="146"/>
      <c r="B5610" s="120" t="s">
        <v>776</v>
      </c>
      <c r="C5610" s="124"/>
      <c r="D5610" s="146">
        <v>1.25</v>
      </c>
      <c r="E5610" s="117"/>
      <c r="F5610" s="117">
        <f>+F5609*D5610</f>
        <v>2806250</v>
      </c>
      <c r="G5610" s="138"/>
      <c r="H5610" s="177"/>
    </row>
    <row r="5611" spans="1:8" s="139" customFormat="1" ht="13.5" customHeight="1" x14ac:dyDescent="0.35">
      <c r="A5611" s="146"/>
      <c r="B5611" s="120" t="s">
        <v>835</v>
      </c>
      <c r="C5611" s="124"/>
      <c r="D5611" s="146">
        <v>1.25</v>
      </c>
      <c r="E5611" s="117"/>
      <c r="F5611" s="117"/>
      <c r="G5611" s="138"/>
      <c r="H5611" s="177"/>
    </row>
    <row r="5612" spans="1:8" s="139" customFormat="1" ht="13.5" customHeight="1" x14ac:dyDescent="0.35">
      <c r="A5612" s="233" t="s">
        <v>406</v>
      </c>
      <c r="B5612" s="207" t="s">
        <v>778</v>
      </c>
      <c r="C5612" s="233" t="s">
        <v>7</v>
      </c>
      <c r="D5612" s="340"/>
      <c r="E5612" s="209"/>
      <c r="F5612" s="209">
        <f>+D5611*F5610</f>
        <v>3507812.5</v>
      </c>
      <c r="G5612" s="138"/>
      <c r="H5612" s="177"/>
    </row>
    <row r="5613" spans="1:8" s="139" customFormat="1" ht="13.5" customHeight="1" x14ac:dyDescent="0.35">
      <c r="A5613" s="340"/>
      <c r="B5613" s="207"/>
      <c r="C5613" s="208"/>
      <c r="D5613" s="340"/>
      <c r="E5613" s="210">
        <f>+E5596</f>
        <v>3035.45</v>
      </c>
      <c r="F5613" s="210">
        <f>+F5612/E5613</f>
        <v>1155.6153123919025</v>
      </c>
      <c r="G5613" s="138"/>
      <c r="H5613" s="177"/>
    </row>
    <row r="5614" spans="1:8" s="139" customFormat="1" ht="13.5" customHeight="1" x14ac:dyDescent="0.35">
      <c r="A5614" s="163"/>
      <c r="B5614" s="164"/>
      <c r="C5614" s="165"/>
      <c r="E5614" s="166"/>
      <c r="F5614" s="166"/>
      <c r="G5614" s="138"/>
      <c r="H5614" s="177"/>
    </row>
    <row r="5615" spans="1:8" s="139" customFormat="1" ht="13.5" customHeight="1" x14ac:dyDescent="0.35">
      <c r="A5615" s="163"/>
      <c r="B5615" s="164"/>
      <c r="C5615" s="165"/>
      <c r="D5615" s="163"/>
      <c r="E5615" s="166"/>
      <c r="F5615" s="166"/>
      <c r="G5615" s="138"/>
      <c r="H5615" s="177"/>
    </row>
    <row r="5616" spans="1:8" s="139" customFormat="1" ht="13.5" customHeight="1" x14ac:dyDescent="0.3">
      <c r="A5616" s="341" t="s">
        <v>392</v>
      </c>
      <c r="B5616" s="331" t="s">
        <v>393</v>
      </c>
      <c r="C5616" s="332" t="s">
        <v>611</v>
      </c>
      <c r="D5616" s="333" t="s">
        <v>765</v>
      </c>
      <c r="E5616" s="334" t="s">
        <v>766</v>
      </c>
      <c r="F5616" s="334" t="s">
        <v>767</v>
      </c>
      <c r="G5616" s="138"/>
      <c r="H5616" s="177"/>
    </row>
    <row r="5617" spans="1:8" s="139" customFormat="1" ht="13.5" customHeight="1" x14ac:dyDescent="0.3">
      <c r="A5617" s="345" t="s">
        <v>408</v>
      </c>
      <c r="B5617" s="292" t="s">
        <v>409</v>
      </c>
      <c r="C5617" s="256"/>
      <c r="D5617" s="146"/>
      <c r="E5617" s="117"/>
      <c r="F5617" s="117"/>
      <c r="G5617" s="138"/>
      <c r="H5617" s="177"/>
    </row>
    <row r="5618" spans="1:8" s="139" customFormat="1" ht="27" customHeight="1" x14ac:dyDescent="0.35">
      <c r="A5618" s="232" t="s">
        <v>410</v>
      </c>
      <c r="B5618" s="346" t="s">
        <v>417</v>
      </c>
      <c r="C5618" s="256" t="s">
        <v>27</v>
      </c>
      <c r="D5618" s="146"/>
      <c r="E5618" s="117"/>
      <c r="F5618" s="117"/>
      <c r="G5618" s="138"/>
      <c r="H5618" s="177"/>
    </row>
    <row r="5619" spans="1:8" s="139" customFormat="1" ht="13.5" customHeight="1" x14ac:dyDescent="0.35">
      <c r="A5619" s="146"/>
      <c r="B5619" s="112" t="s">
        <v>802</v>
      </c>
      <c r="C5619" s="124"/>
      <c r="D5619" s="146"/>
      <c r="E5619" s="117"/>
      <c r="F5619" s="117"/>
      <c r="G5619" s="138"/>
      <c r="H5619" s="177"/>
    </row>
    <row r="5620" spans="1:8" s="139" customFormat="1" ht="13.5" customHeight="1" x14ac:dyDescent="0.35">
      <c r="A5620" s="146"/>
      <c r="B5620" s="120" t="s">
        <v>1056</v>
      </c>
      <c r="C5620" s="124" t="s">
        <v>7</v>
      </c>
      <c r="D5620" s="146">
        <v>1</v>
      </c>
      <c r="E5620" s="117">
        <v>9659460</v>
      </c>
      <c r="F5620" s="117">
        <f>D5620*E5620</f>
        <v>9659460</v>
      </c>
      <c r="G5620" s="138"/>
      <c r="H5620" s="177"/>
    </row>
    <row r="5621" spans="1:8" s="139" customFormat="1" ht="13.5" customHeight="1" x14ac:dyDescent="0.35">
      <c r="A5621" s="146"/>
      <c r="B5621" s="120" t="s">
        <v>1057</v>
      </c>
      <c r="C5621" s="124"/>
      <c r="D5621" s="146"/>
      <c r="E5621" s="117"/>
      <c r="F5621" s="117">
        <f>0.1*(F5620)</f>
        <v>965946</v>
      </c>
      <c r="G5621" s="138"/>
      <c r="H5621" s="177"/>
    </row>
    <row r="5622" spans="1:8" s="139" customFormat="1" ht="13.5" customHeight="1" x14ac:dyDescent="0.35">
      <c r="A5622" s="146"/>
      <c r="B5622" s="112" t="s">
        <v>769</v>
      </c>
      <c r="C5622" s="124"/>
      <c r="D5622" s="146"/>
      <c r="E5622" s="117"/>
      <c r="F5622" s="110">
        <f>SUM(F5620:F5621)</f>
        <v>10625406</v>
      </c>
      <c r="G5622" s="138"/>
      <c r="H5622" s="177"/>
    </row>
    <row r="5623" spans="1:8" s="139" customFormat="1" ht="13.5" customHeight="1" x14ac:dyDescent="0.35">
      <c r="A5623" s="146"/>
      <c r="B5623" s="112" t="s">
        <v>808</v>
      </c>
      <c r="C5623" s="124"/>
      <c r="D5623" s="146"/>
      <c r="E5623" s="117"/>
      <c r="F5623" s="117"/>
      <c r="G5623" s="138"/>
      <c r="H5623" s="177"/>
    </row>
    <row r="5624" spans="1:8" s="139" customFormat="1" ht="13.5" customHeight="1" x14ac:dyDescent="0.35">
      <c r="A5624" s="146"/>
      <c r="B5624" s="120" t="s">
        <v>787</v>
      </c>
      <c r="C5624" s="124" t="s">
        <v>1043</v>
      </c>
      <c r="D5624" s="146">
        <v>3</v>
      </c>
      <c r="E5624" s="117">
        <v>15000</v>
      </c>
      <c r="F5624" s="117">
        <f>+D5624*E5624</f>
        <v>45000</v>
      </c>
      <c r="G5624" s="138"/>
      <c r="H5624" s="177"/>
    </row>
    <row r="5625" spans="1:8" s="139" customFormat="1" ht="13.5" customHeight="1" x14ac:dyDescent="0.35">
      <c r="A5625" s="146"/>
      <c r="B5625" s="112" t="s">
        <v>774</v>
      </c>
      <c r="C5625" s="124"/>
      <c r="D5625" s="146"/>
      <c r="E5625" s="117"/>
      <c r="F5625" s="117">
        <f>SUM(F5624)</f>
        <v>45000</v>
      </c>
      <c r="G5625" s="138"/>
      <c r="H5625" s="177"/>
    </row>
    <row r="5626" spans="1:8" s="139" customFormat="1" ht="13.5" customHeight="1" x14ac:dyDescent="0.35">
      <c r="A5626" s="146"/>
      <c r="B5626" s="112" t="s">
        <v>775</v>
      </c>
      <c r="C5626" s="124"/>
      <c r="D5626" s="146"/>
      <c r="E5626" s="117"/>
      <c r="F5626" s="117">
        <f>+F5622+F5625</f>
        <v>10670406</v>
      </c>
      <c r="G5626" s="138"/>
      <c r="H5626" s="177"/>
    </row>
    <row r="5627" spans="1:8" s="139" customFormat="1" ht="13.5" customHeight="1" x14ac:dyDescent="0.35">
      <c r="A5627" s="146"/>
      <c r="B5627" s="120" t="s">
        <v>776</v>
      </c>
      <c r="C5627" s="124"/>
      <c r="D5627" s="146">
        <v>1.25</v>
      </c>
      <c r="E5627" s="117"/>
      <c r="F5627" s="117">
        <f>+F5626*D5627</f>
        <v>13338007.5</v>
      </c>
      <c r="G5627" s="138"/>
      <c r="H5627" s="177"/>
    </row>
    <row r="5628" spans="1:8" s="139" customFormat="1" ht="13.5" customHeight="1" x14ac:dyDescent="0.35">
      <c r="A5628" s="146"/>
      <c r="B5628" s="120" t="s">
        <v>835</v>
      </c>
      <c r="C5628" s="124"/>
      <c r="D5628" s="146">
        <v>1.25</v>
      </c>
      <c r="E5628" s="117"/>
      <c r="F5628" s="117"/>
      <c r="G5628" s="138"/>
      <c r="H5628" s="177"/>
    </row>
    <row r="5629" spans="1:8" s="139" customFormat="1" ht="13.5" customHeight="1" x14ac:dyDescent="0.35">
      <c r="A5629" s="233" t="s">
        <v>410</v>
      </c>
      <c r="B5629" s="207" t="s">
        <v>784</v>
      </c>
      <c r="C5629" s="233" t="s">
        <v>27</v>
      </c>
      <c r="D5629" s="340"/>
      <c r="E5629" s="209"/>
      <c r="F5629" s="209">
        <f>+D5628*F5627</f>
        <v>16672509.375</v>
      </c>
      <c r="G5629" s="138"/>
      <c r="H5629" s="177"/>
    </row>
    <row r="5630" spans="1:8" s="139" customFormat="1" ht="13.5" customHeight="1" x14ac:dyDescent="0.35">
      <c r="A5630" s="340"/>
      <c r="B5630" s="207"/>
      <c r="C5630" s="208"/>
      <c r="D5630" s="340"/>
      <c r="E5630" s="210">
        <f>+E5613</f>
        <v>3035.45</v>
      </c>
      <c r="F5630" s="210">
        <f>+F5629/E5630</f>
        <v>5492.598914493733</v>
      </c>
      <c r="G5630" s="138"/>
      <c r="H5630" s="177"/>
    </row>
    <row r="5631" spans="1:8" s="139" customFormat="1" ht="13.5" customHeight="1" x14ac:dyDescent="0.35">
      <c r="A5631" s="163"/>
      <c r="B5631" s="164"/>
      <c r="C5631" s="165"/>
      <c r="E5631" s="166"/>
      <c r="F5631" s="166"/>
      <c r="G5631" s="138"/>
      <c r="H5631" s="177"/>
    </row>
    <row r="5632" spans="1:8" s="139" customFormat="1" ht="13.5" customHeight="1" x14ac:dyDescent="0.35">
      <c r="A5632" s="163"/>
      <c r="B5632" s="164"/>
      <c r="C5632" s="165"/>
      <c r="D5632" s="163"/>
      <c r="E5632" s="166"/>
      <c r="F5632" s="166"/>
      <c r="G5632" s="138"/>
      <c r="H5632" s="177"/>
    </row>
    <row r="5633" spans="1:8" s="139" customFormat="1" ht="13.5" customHeight="1" x14ac:dyDescent="0.3">
      <c r="A5633" s="341" t="s">
        <v>392</v>
      </c>
      <c r="B5633" s="331" t="s">
        <v>393</v>
      </c>
      <c r="C5633" s="332" t="s">
        <v>611</v>
      </c>
      <c r="D5633" s="333" t="s">
        <v>765</v>
      </c>
      <c r="E5633" s="334" t="s">
        <v>766</v>
      </c>
      <c r="F5633" s="334" t="s">
        <v>767</v>
      </c>
      <c r="G5633" s="138"/>
      <c r="H5633" s="177"/>
    </row>
    <row r="5634" spans="1:8" s="139" customFormat="1" ht="13.5" customHeight="1" x14ac:dyDescent="0.3">
      <c r="A5634" s="230" t="s">
        <v>1205</v>
      </c>
      <c r="B5634" s="292" t="s">
        <v>409</v>
      </c>
      <c r="C5634" s="256"/>
      <c r="D5634" s="146"/>
      <c r="E5634" s="117"/>
      <c r="F5634" s="117"/>
      <c r="G5634" s="138"/>
      <c r="H5634" s="177"/>
    </row>
    <row r="5635" spans="1:8" s="139" customFormat="1" ht="27.75" customHeight="1" x14ac:dyDescent="0.35">
      <c r="A5635" s="232" t="s">
        <v>411</v>
      </c>
      <c r="B5635" s="346" t="s">
        <v>414</v>
      </c>
      <c r="C5635" s="256" t="s">
        <v>27</v>
      </c>
      <c r="D5635" s="146"/>
      <c r="E5635" s="117"/>
      <c r="F5635" s="117"/>
      <c r="G5635" s="138"/>
      <c r="H5635" s="177"/>
    </row>
    <row r="5636" spans="1:8" s="139" customFormat="1" ht="13.5" customHeight="1" x14ac:dyDescent="0.35">
      <c r="A5636" s="146"/>
      <c r="B5636" s="112" t="s">
        <v>802</v>
      </c>
      <c r="C5636" s="124"/>
      <c r="D5636" s="146"/>
      <c r="E5636" s="117"/>
      <c r="F5636" s="117"/>
      <c r="G5636" s="138"/>
      <c r="H5636" s="177"/>
    </row>
    <row r="5637" spans="1:8" s="139" customFormat="1" ht="17.25" customHeight="1" x14ac:dyDescent="0.35">
      <c r="A5637" s="146"/>
      <c r="B5637" s="120" t="s">
        <v>1056</v>
      </c>
      <c r="C5637" s="124" t="s">
        <v>7</v>
      </c>
      <c r="D5637" s="146">
        <v>1</v>
      </c>
      <c r="E5637" s="117">
        <v>6085640</v>
      </c>
      <c r="F5637" s="117">
        <f>D5637*E5637</f>
        <v>6085640</v>
      </c>
      <c r="G5637" s="138"/>
      <c r="H5637" s="177"/>
    </row>
    <row r="5638" spans="1:8" s="139" customFormat="1" ht="13.5" customHeight="1" x14ac:dyDescent="0.35">
      <c r="A5638" s="146"/>
      <c r="B5638" s="120" t="s">
        <v>1057</v>
      </c>
      <c r="C5638" s="124"/>
      <c r="D5638" s="146"/>
      <c r="E5638" s="117"/>
      <c r="F5638" s="117">
        <f>0.1*(F5637)</f>
        <v>608564</v>
      </c>
      <c r="G5638" s="138"/>
      <c r="H5638" s="177"/>
    </row>
    <row r="5639" spans="1:8" s="139" customFormat="1" ht="13.5" customHeight="1" x14ac:dyDescent="0.35">
      <c r="A5639" s="146"/>
      <c r="B5639" s="112" t="s">
        <v>769</v>
      </c>
      <c r="C5639" s="124"/>
      <c r="D5639" s="146"/>
      <c r="E5639" s="117"/>
      <c r="F5639" s="110">
        <f>SUM(F5637:F5638)</f>
        <v>6694204</v>
      </c>
      <c r="G5639" s="138"/>
      <c r="H5639" s="177"/>
    </row>
    <row r="5640" spans="1:8" s="139" customFormat="1" ht="13.5" customHeight="1" x14ac:dyDescent="0.35">
      <c r="A5640" s="146"/>
      <c r="B5640" s="112" t="s">
        <v>808</v>
      </c>
      <c r="C5640" s="124"/>
      <c r="D5640" s="146"/>
      <c r="E5640" s="117"/>
      <c r="F5640" s="117"/>
      <c r="G5640" s="138"/>
      <c r="H5640" s="177"/>
    </row>
    <row r="5641" spans="1:8" s="139" customFormat="1" ht="13.5" customHeight="1" x14ac:dyDescent="0.35">
      <c r="A5641" s="146"/>
      <c r="B5641" s="120" t="s">
        <v>787</v>
      </c>
      <c r="C5641" s="124" t="s">
        <v>1043</v>
      </c>
      <c r="D5641" s="146">
        <v>3</v>
      </c>
      <c r="E5641" s="117">
        <v>15000</v>
      </c>
      <c r="F5641" s="117">
        <f>+D5641*E5641</f>
        <v>45000</v>
      </c>
      <c r="G5641" s="138"/>
      <c r="H5641" s="177"/>
    </row>
    <row r="5642" spans="1:8" s="139" customFormat="1" ht="13.5" customHeight="1" x14ac:dyDescent="0.35">
      <c r="A5642" s="146"/>
      <c r="B5642" s="112" t="s">
        <v>774</v>
      </c>
      <c r="C5642" s="124"/>
      <c r="D5642" s="146"/>
      <c r="E5642" s="117"/>
      <c r="F5642" s="117">
        <f>SUM(F5641)</f>
        <v>45000</v>
      </c>
      <c r="G5642" s="138"/>
      <c r="H5642" s="177"/>
    </row>
    <row r="5643" spans="1:8" s="139" customFormat="1" ht="13.5" customHeight="1" x14ac:dyDescent="0.35">
      <c r="A5643" s="146"/>
      <c r="B5643" s="112" t="s">
        <v>775</v>
      </c>
      <c r="C5643" s="124"/>
      <c r="D5643" s="146"/>
      <c r="E5643" s="117"/>
      <c r="F5643" s="117">
        <f>+F5639+F5642</f>
        <v>6739204</v>
      </c>
      <c r="G5643" s="138"/>
      <c r="H5643" s="177"/>
    </row>
    <row r="5644" spans="1:8" s="139" customFormat="1" ht="13.5" customHeight="1" x14ac:dyDescent="0.35">
      <c r="A5644" s="146"/>
      <c r="B5644" s="120" t="s">
        <v>776</v>
      </c>
      <c r="C5644" s="124"/>
      <c r="D5644" s="146">
        <v>1.25</v>
      </c>
      <c r="E5644" s="117"/>
      <c r="F5644" s="117">
        <f>+F5643*D5644</f>
        <v>8424005</v>
      </c>
      <c r="G5644" s="138"/>
      <c r="H5644" s="177"/>
    </row>
    <row r="5645" spans="1:8" s="139" customFormat="1" ht="13.5" customHeight="1" x14ac:dyDescent="0.35">
      <c r="A5645" s="146"/>
      <c r="B5645" s="120" t="s">
        <v>835</v>
      </c>
      <c r="C5645" s="124"/>
      <c r="D5645" s="146">
        <v>1.25</v>
      </c>
      <c r="E5645" s="117"/>
      <c r="F5645" s="117"/>
      <c r="G5645" s="138"/>
      <c r="H5645" s="177"/>
    </row>
    <row r="5646" spans="1:8" s="139" customFormat="1" ht="13.5" customHeight="1" x14ac:dyDescent="0.35">
      <c r="A5646" s="233" t="s">
        <v>411</v>
      </c>
      <c r="B5646" s="207" t="s">
        <v>784</v>
      </c>
      <c r="C5646" s="233" t="s">
        <v>27</v>
      </c>
      <c r="D5646" s="340"/>
      <c r="E5646" s="209"/>
      <c r="F5646" s="209">
        <f>+D5645*F5644</f>
        <v>10530006.25</v>
      </c>
      <c r="G5646" s="138"/>
      <c r="H5646" s="177"/>
    </row>
    <row r="5647" spans="1:8" s="139" customFormat="1" ht="13.5" customHeight="1" x14ac:dyDescent="0.35">
      <c r="A5647" s="340"/>
      <c r="B5647" s="207"/>
      <c r="C5647" s="208"/>
      <c r="D5647" s="340"/>
      <c r="E5647" s="210">
        <f>+E5630</f>
        <v>3035.45</v>
      </c>
      <c r="F5647" s="210">
        <f>+F5646/E5647</f>
        <v>3469.0099491014512</v>
      </c>
      <c r="G5647" s="138"/>
      <c r="H5647" s="177"/>
    </row>
    <row r="5648" spans="1:8" s="139" customFormat="1" ht="13.5" customHeight="1" x14ac:dyDescent="0.35">
      <c r="A5648" s="163"/>
      <c r="B5648" s="164"/>
      <c r="C5648" s="165"/>
      <c r="E5648" s="166"/>
      <c r="F5648" s="166"/>
      <c r="G5648" s="138"/>
      <c r="H5648" s="177"/>
    </row>
    <row r="5649" spans="1:8" s="139" customFormat="1" ht="13.5" customHeight="1" x14ac:dyDescent="0.35">
      <c r="A5649" s="163"/>
      <c r="B5649" s="164"/>
      <c r="C5649" s="165"/>
      <c r="D5649" s="163"/>
      <c r="E5649" s="166"/>
      <c r="F5649" s="166"/>
      <c r="G5649" s="138"/>
      <c r="H5649" s="177"/>
    </row>
    <row r="5650" spans="1:8" s="139" customFormat="1" ht="13.5" customHeight="1" x14ac:dyDescent="0.3">
      <c r="A5650" s="341" t="s">
        <v>392</v>
      </c>
      <c r="B5650" s="331" t="s">
        <v>393</v>
      </c>
      <c r="C5650" s="332" t="s">
        <v>611</v>
      </c>
      <c r="D5650" s="333" t="s">
        <v>765</v>
      </c>
      <c r="E5650" s="334" t="s">
        <v>766</v>
      </c>
      <c r="F5650" s="334" t="s">
        <v>767</v>
      </c>
      <c r="G5650" s="138"/>
      <c r="H5650" s="177"/>
    </row>
    <row r="5651" spans="1:8" s="139" customFormat="1" ht="13.5" customHeight="1" x14ac:dyDescent="0.3">
      <c r="A5651" s="230" t="s">
        <v>1205</v>
      </c>
      <c r="B5651" s="292" t="s">
        <v>409</v>
      </c>
      <c r="C5651" s="256"/>
      <c r="D5651" s="146"/>
      <c r="E5651" s="117"/>
      <c r="F5651" s="117"/>
      <c r="G5651" s="138"/>
      <c r="H5651" s="177"/>
    </row>
    <row r="5652" spans="1:8" s="139" customFormat="1" ht="27.75" customHeight="1" x14ac:dyDescent="0.35">
      <c r="A5652" s="232" t="s">
        <v>412</v>
      </c>
      <c r="B5652" s="346" t="s">
        <v>669</v>
      </c>
      <c r="C5652" s="256" t="s">
        <v>27</v>
      </c>
      <c r="D5652" s="146"/>
      <c r="E5652" s="117"/>
      <c r="F5652" s="117"/>
      <c r="G5652" s="138"/>
      <c r="H5652" s="177"/>
    </row>
    <row r="5653" spans="1:8" s="139" customFormat="1" ht="13.5" customHeight="1" x14ac:dyDescent="0.35">
      <c r="A5653" s="146"/>
      <c r="B5653" s="112" t="s">
        <v>802</v>
      </c>
      <c r="C5653" s="124"/>
      <c r="D5653" s="146"/>
      <c r="E5653" s="117"/>
      <c r="F5653" s="117"/>
      <c r="G5653" s="138"/>
      <c r="H5653" s="177"/>
    </row>
    <row r="5654" spans="1:8" s="139" customFormat="1" ht="13.5" customHeight="1" x14ac:dyDescent="0.35">
      <c r="A5654" s="146"/>
      <c r="B5654" s="120" t="s">
        <v>1056</v>
      </c>
      <c r="C5654" s="124" t="s">
        <v>7</v>
      </c>
      <c r="D5654" s="146">
        <v>1</v>
      </c>
      <c r="E5654" s="117">
        <v>8128000</v>
      </c>
      <c r="F5654" s="117">
        <f>D5654*E5654</f>
        <v>8128000</v>
      </c>
      <c r="G5654" s="138"/>
      <c r="H5654" s="177"/>
    </row>
    <row r="5655" spans="1:8" s="139" customFormat="1" ht="13.5" customHeight="1" x14ac:dyDescent="0.35">
      <c r="A5655" s="146"/>
      <c r="B5655" s="120" t="s">
        <v>1057</v>
      </c>
      <c r="C5655" s="124"/>
      <c r="D5655" s="146"/>
      <c r="E5655" s="117"/>
      <c r="F5655" s="117">
        <f>0.1*(F5654)</f>
        <v>812800</v>
      </c>
      <c r="G5655" s="138"/>
      <c r="H5655" s="177"/>
    </row>
    <row r="5656" spans="1:8" s="139" customFormat="1" ht="13.5" customHeight="1" x14ac:dyDescent="0.35">
      <c r="A5656" s="146"/>
      <c r="B5656" s="112" t="s">
        <v>769</v>
      </c>
      <c r="C5656" s="124"/>
      <c r="D5656" s="146"/>
      <c r="E5656" s="117"/>
      <c r="F5656" s="110">
        <f>SUM(F5654:F5655)</f>
        <v>8940800</v>
      </c>
      <c r="G5656" s="138"/>
      <c r="H5656" s="177"/>
    </row>
    <row r="5657" spans="1:8" s="139" customFormat="1" ht="13.5" customHeight="1" x14ac:dyDescent="0.35">
      <c r="A5657" s="146"/>
      <c r="B5657" s="112" t="s">
        <v>808</v>
      </c>
      <c r="C5657" s="124"/>
      <c r="D5657" s="146"/>
      <c r="E5657" s="117"/>
      <c r="F5657" s="117"/>
      <c r="G5657" s="138"/>
      <c r="H5657" s="177"/>
    </row>
    <row r="5658" spans="1:8" s="139" customFormat="1" ht="13.5" customHeight="1" x14ac:dyDescent="0.35">
      <c r="A5658" s="146"/>
      <c r="B5658" s="120" t="s">
        <v>787</v>
      </c>
      <c r="C5658" s="124" t="s">
        <v>1043</v>
      </c>
      <c r="D5658" s="146">
        <v>3</v>
      </c>
      <c r="E5658" s="117">
        <v>15000</v>
      </c>
      <c r="F5658" s="117">
        <f>+D5658*E5658</f>
        <v>45000</v>
      </c>
      <c r="G5658" s="138"/>
      <c r="H5658" s="177"/>
    </row>
    <row r="5659" spans="1:8" s="139" customFormat="1" ht="13.5" customHeight="1" x14ac:dyDescent="0.35">
      <c r="A5659" s="146"/>
      <c r="B5659" s="112" t="s">
        <v>774</v>
      </c>
      <c r="C5659" s="124"/>
      <c r="D5659" s="146"/>
      <c r="E5659" s="117"/>
      <c r="F5659" s="117">
        <f>SUM(F5658)</f>
        <v>45000</v>
      </c>
      <c r="G5659" s="138"/>
      <c r="H5659" s="177"/>
    </row>
    <row r="5660" spans="1:8" s="139" customFormat="1" ht="13.5" customHeight="1" x14ac:dyDescent="0.35">
      <c r="A5660" s="146"/>
      <c r="B5660" s="112" t="s">
        <v>775</v>
      </c>
      <c r="C5660" s="124"/>
      <c r="D5660" s="146"/>
      <c r="E5660" s="117"/>
      <c r="F5660" s="117">
        <f>+F5656+F5659</f>
        <v>8985800</v>
      </c>
      <c r="G5660" s="138"/>
      <c r="H5660" s="177"/>
    </row>
    <row r="5661" spans="1:8" s="139" customFormat="1" ht="13.5" customHeight="1" x14ac:dyDescent="0.35">
      <c r="A5661" s="146"/>
      <c r="B5661" s="120" t="s">
        <v>776</v>
      </c>
      <c r="C5661" s="124"/>
      <c r="D5661" s="146">
        <v>1.25</v>
      </c>
      <c r="E5661" s="117"/>
      <c r="F5661" s="117">
        <f>+F5660*D5661</f>
        <v>11232250</v>
      </c>
      <c r="G5661" s="138"/>
      <c r="H5661" s="177"/>
    </row>
    <row r="5662" spans="1:8" s="139" customFormat="1" ht="13.5" customHeight="1" x14ac:dyDescent="0.35">
      <c r="A5662" s="146"/>
      <c r="B5662" s="120" t="s">
        <v>835</v>
      </c>
      <c r="C5662" s="124"/>
      <c r="D5662" s="146">
        <v>1.25</v>
      </c>
      <c r="E5662" s="117"/>
      <c r="F5662" s="117"/>
      <c r="G5662" s="138"/>
      <c r="H5662" s="177"/>
    </row>
    <row r="5663" spans="1:8" s="139" customFormat="1" ht="13.5" customHeight="1" x14ac:dyDescent="0.35">
      <c r="A5663" s="233" t="s">
        <v>412</v>
      </c>
      <c r="B5663" s="207" t="s">
        <v>784</v>
      </c>
      <c r="C5663" s="233" t="s">
        <v>27</v>
      </c>
      <c r="D5663" s="340"/>
      <c r="E5663" s="209"/>
      <c r="F5663" s="209">
        <f>+D5662*F5661</f>
        <v>14040312.5</v>
      </c>
      <c r="G5663" s="138"/>
      <c r="H5663" s="177"/>
    </row>
    <row r="5664" spans="1:8" s="139" customFormat="1" ht="13.5" customHeight="1" x14ac:dyDescent="0.35">
      <c r="A5664" s="340"/>
      <c r="B5664" s="207"/>
      <c r="C5664" s="208"/>
      <c r="D5664" s="340"/>
      <c r="E5664" s="210">
        <f>+E5647</f>
        <v>3035.45</v>
      </c>
      <c r="F5664" s="210">
        <f>+F5663/E5664</f>
        <v>4625.4468036040789</v>
      </c>
      <c r="G5664" s="138"/>
      <c r="H5664" s="177"/>
    </row>
    <row r="5665" spans="1:8" s="139" customFormat="1" ht="13.5" customHeight="1" x14ac:dyDescent="0.35">
      <c r="A5665" s="163"/>
      <c r="B5665" s="164"/>
      <c r="C5665" s="165"/>
      <c r="E5665" s="166"/>
      <c r="F5665" s="166"/>
      <c r="G5665" s="138"/>
      <c r="H5665" s="177"/>
    </row>
    <row r="5666" spans="1:8" s="139" customFormat="1" ht="13.5" customHeight="1" x14ac:dyDescent="0.35">
      <c r="A5666" s="163"/>
      <c r="B5666" s="164"/>
      <c r="C5666" s="165"/>
      <c r="D5666" s="163"/>
      <c r="E5666" s="166"/>
      <c r="F5666" s="166"/>
      <c r="G5666" s="138"/>
      <c r="H5666" s="177"/>
    </row>
    <row r="5667" spans="1:8" s="139" customFormat="1" ht="13.5" customHeight="1" x14ac:dyDescent="0.3">
      <c r="A5667" s="341" t="s">
        <v>392</v>
      </c>
      <c r="B5667" s="331" t="s">
        <v>393</v>
      </c>
      <c r="C5667" s="332" t="s">
        <v>611</v>
      </c>
      <c r="D5667" s="333" t="s">
        <v>765</v>
      </c>
      <c r="E5667" s="334" t="s">
        <v>766</v>
      </c>
      <c r="F5667" s="334" t="s">
        <v>767</v>
      </c>
      <c r="G5667" s="138"/>
      <c r="H5667" s="177"/>
    </row>
    <row r="5668" spans="1:8" s="139" customFormat="1" ht="13.5" customHeight="1" x14ac:dyDescent="0.3">
      <c r="A5668" s="230" t="s">
        <v>1205</v>
      </c>
      <c r="B5668" s="292" t="s">
        <v>409</v>
      </c>
      <c r="C5668" s="256"/>
      <c r="D5668" s="146"/>
      <c r="E5668" s="117"/>
      <c r="F5668" s="117"/>
      <c r="G5668" s="138"/>
      <c r="H5668" s="177"/>
    </row>
    <row r="5669" spans="1:8" s="139" customFormat="1" ht="27" customHeight="1" x14ac:dyDescent="0.35">
      <c r="A5669" s="232" t="s">
        <v>412</v>
      </c>
      <c r="B5669" s="219" t="s">
        <v>1070</v>
      </c>
      <c r="C5669" s="256" t="s">
        <v>27</v>
      </c>
      <c r="D5669" s="146"/>
      <c r="E5669" s="117"/>
      <c r="F5669" s="117"/>
      <c r="G5669" s="138"/>
      <c r="H5669" s="177"/>
    </row>
    <row r="5670" spans="1:8" s="139" customFormat="1" ht="13.5" customHeight="1" x14ac:dyDescent="0.35">
      <c r="A5670" s="146"/>
      <c r="B5670" s="112" t="s">
        <v>802</v>
      </c>
      <c r="C5670" s="124"/>
      <c r="D5670" s="146"/>
      <c r="E5670" s="117"/>
      <c r="F5670" s="117"/>
      <c r="G5670" s="138"/>
      <c r="H5670" s="177"/>
    </row>
    <row r="5671" spans="1:8" s="139" customFormat="1" ht="13.5" customHeight="1" x14ac:dyDescent="0.35">
      <c r="A5671" s="146"/>
      <c r="B5671" s="120" t="s">
        <v>1056</v>
      </c>
      <c r="C5671" s="124" t="s">
        <v>7</v>
      </c>
      <c r="D5671" s="146">
        <v>1</v>
      </c>
      <c r="E5671" s="117">
        <v>395500</v>
      </c>
      <c r="F5671" s="117">
        <f>D5671*E5671</f>
        <v>395500</v>
      </c>
      <c r="G5671" s="138"/>
      <c r="H5671" s="177"/>
    </row>
    <row r="5672" spans="1:8" s="139" customFormat="1" ht="13.5" customHeight="1" x14ac:dyDescent="0.35">
      <c r="A5672" s="146"/>
      <c r="B5672" s="120" t="s">
        <v>1057</v>
      </c>
      <c r="C5672" s="124"/>
      <c r="D5672" s="146"/>
      <c r="E5672" s="117"/>
      <c r="F5672" s="117">
        <f>0.1*(F5671)</f>
        <v>39550</v>
      </c>
      <c r="G5672" s="138"/>
      <c r="H5672" s="177"/>
    </row>
    <row r="5673" spans="1:8" s="139" customFormat="1" ht="13.5" customHeight="1" x14ac:dyDescent="0.35">
      <c r="A5673" s="146"/>
      <c r="B5673" s="112" t="s">
        <v>769</v>
      </c>
      <c r="C5673" s="124"/>
      <c r="D5673" s="146"/>
      <c r="E5673" s="117"/>
      <c r="F5673" s="110">
        <f>SUM(F5671:F5672)</f>
        <v>435050</v>
      </c>
      <c r="G5673" s="138"/>
      <c r="H5673" s="177"/>
    </row>
    <row r="5674" spans="1:8" s="139" customFormat="1" ht="13.5" customHeight="1" x14ac:dyDescent="0.35">
      <c r="A5674" s="146"/>
      <c r="B5674" s="112" t="s">
        <v>808</v>
      </c>
      <c r="C5674" s="124"/>
      <c r="D5674" s="146"/>
      <c r="E5674" s="117"/>
      <c r="F5674" s="117"/>
      <c r="G5674" s="138"/>
      <c r="H5674" s="177"/>
    </row>
    <row r="5675" spans="1:8" s="139" customFormat="1" ht="13.5" customHeight="1" x14ac:dyDescent="0.35">
      <c r="A5675" s="146"/>
      <c r="B5675" s="120" t="s">
        <v>787</v>
      </c>
      <c r="C5675" s="124" t="s">
        <v>1043</v>
      </c>
      <c r="D5675" s="146">
        <v>3</v>
      </c>
      <c r="E5675" s="117">
        <v>15000</v>
      </c>
      <c r="F5675" s="117">
        <f>+D5675*E5675</f>
        <v>45000</v>
      </c>
      <c r="G5675" s="138"/>
      <c r="H5675" s="177"/>
    </row>
    <row r="5676" spans="1:8" s="139" customFormat="1" ht="13.5" customHeight="1" x14ac:dyDescent="0.35">
      <c r="A5676" s="146"/>
      <c r="B5676" s="112" t="s">
        <v>774</v>
      </c>
      <c r="C5676" s="124"/>
      <c r="D5676" s="146"/>
      <c r="E5676" s="117"/>
      <c r="F5676" s="117">
        <f>SUM(F5675)</f>
        <v>45000</v>
      </c>
      <c r="G5676" s="138"/>
      <c r="H5676" s="177"/>
    </row>
    <row r="5677" spans="1:8" s="139" customFormat="1" ht="13.5" customHeight="1" x14ac:dyDescent="0.35">
      <c r="A5677" s="146"/>
      <c r="B5677" s="112" t="s">
        <v>775</v>
      </c>
      <c r="C5677" s="124"/>
      <c r="D5677" s="146"/>
      <c r="E5677" s="117"/>
      <c r="F5677" s="117">
        <f>+F5673+F5676</f>
        <v>480050</v>
      </c>
      <c r="G5677" s="138"/>
      <c r="H5677" s="177"/>
    </row>
    <row r="5678" spans="1:8" s="139" customFormat="1" ht="13.5" customHeight="1" x14ac:dyDescent="0.35">
      <c r="A5678" s="146"/>
      <c r="B5678" s="120" t="s">
        <v>776</v>
      </c>
      <c r="C5678" s="124"/>
      <c r="D5678" s="146">
        <v>1.25</v>
      </c>
      <c r="E5678" s="117"/>
      <c r="F5678" s="117">
        <f>+F5677*D5678</f>
        <v>600062.5</v>
      </c>
      <c r="G5678" s="138"/>
      <c r="H5678" s="177"/>
    </row>
    <row r="5679" spans="1:8" s="139" customFormat="1" ht="13.5" customHeight="1" x14ac:dyDescent="0.35">
      <c r="A5679" s="146"/>
      <c r="B5679" s="120" t="s">
        <v>835</v>
      </c>
      <c r="C5679" s="124"/>
      <c r="D5679" s="146">
        <v>1.25</v>
      </c>
      <c r="E5679" s="117"/>
      <c r="F5679" s="117"/>
      <c r="G5679" s="138"/>
      <c r="H5679" s="177"/>
    </row>
    <row r="5680" spans="1:8" s="139" customFormat="1" ht="13.5" customHeight="1" x14ac:dyDescent="0.35">
      <c r="A5680" s="233" t="s">
        <v>412</v>
      </c>
      <c r="B5680" s="207" t="s">
        <v>784</v>
      </c>
      <c r="C5680" s="233" t="s">
        <v>27</v>
      </c>
      <c r="D5680" s="340"/>
      <c r="E5680" s="209"/>
      <c r="F5680" s="209">
        <f>+D5679*F5678</f>
        <v>750078.125</v>
      </c>
      <c r="G5680" s="138"/>
      <c r="H5680" s="177"/>
    </row>
    <row r="5681" spans="1:8" s="139" customFormat="1" ht="13.5" customHeight="1" x14ac:dyDescent="0.35">
      <c r="A5681" s="340"/>
      <c r="B5681" s="207"/>
      <c r="C5681" s="208"/>
      <c r="D5681" s="340"/>
      <c r="E5681" s="210">
        <f>+E5664</f>
        <v>3035.45</v>
      </c>
      <c r="F5681" s="210">
        <f>+F5680/E5681</f>
        <v>247.10607158740879</v>
      </c>
      <c r="G5681" s="138"/>
      <c r="H5681" s="177"/>
    </row>
    <row r="5682" spans="1:8" s="139" customFormat="1" ht="13.5" customHeight="1" x14ac:dyDescent="0.35">
      <c r="A5682" s="163"/>
      <c r="B5682" s="164"/>
      <c r="C5682" s="165"/>
      <c r="E5682" s="166"/>
      <c r="F5682" s="166"/>
      <c r="G5682" s="138"/>
      <c r="H5682" s="177"/>
    </row>
    <row r="5683" spans="1:8" s="139" customFormat="1" ht="13.5" customHeight="1" x14ac:dyDescent="0.35">
      <c r="A5683" s="163"/>
      <c r="B5683" s="164"/>
      <c r="C5683" s="165"/>
      <c r="D5683" s="163"/>
      <c r="E5683" s="166"/>
      <c r="F5683" s="166"/>
      <c r="G5683" s="138"/>
      <c r="H5683" s="177"/>
    </row>
    <row r="5684" spans="1:8" s="139" customFormat="1" ht="13.5" customHeight="1" x14ac:dyDescent="0.3">
      <c r="A5684" s="341" t="s">
        <v>392</v>
      </c>
      <c r="B5684" s="331" t="s">
        <v>393</v>
      </c>
      <c r="C5684" s="332" t="s">
        <v>611</v>
      </c>
      <c r="D5684" s="333" t="s">
        <v>765</v>
      </c>
      <c r="E5684" s="334" t="s">
        <v>766</v>
      </c>
      <c r="F5684" s="334" t="s">
        <v>767</v>
      </c>
      <c r="G5684" s="138"/>
      <c r="H5684" s="177"/>
    </row>
    <row r="5685" spans="1:8" s="139" customFormat="1" ht="13.5" customHeight="1" x14ac:dyDescent="0.3">
      <c r="A5685" s="230" t="s">
        <v>1205</v>
      </c>
      <c r="B5685" s="292" t="s">
        <v>409</v>
      </c>
      <c r="C5685" s="256"/>
      <c r="D5685" s="146"/>
      <c r="E5685" s="117"/>
      <c r="F5685" s="117"/>
      <c r="G5685" s="138"/>
      <c r="H5685" s="177"/>
    </row>
    <row r="5686" spans="1:8" s="139" customFormat="1" ht="28.5" customHeight="1" x14ac:dyDescent="0.35">
      <c r="A5686" s="232" t="s">
        <v>413</v>
      </c>
      <c r="B5686" s="346" t="s">
        <v>685</v>
      </c>
      <c r="C5686" s="256" t="s">
        <v>27</v>
      </c>
      <c r="D5686" s="146"/>
      <c r="E5686" s="117"/>
      <c r="F5686" s="117"/>
      <c r="G5686" s="138"/>
      <c r="H5686" s="177"/>
    </row>
    <row r="5687" spans="1:8" s="139" customFormat="1" ht="13.5" customHeight="1" x14ac:dyDescent="0.35">
      <c r="A5687" s="146"/>
      <c r="B5687" s="112" t="s">
        <v>802</v>
      </c>
      <c r="C5687" s="124"/>
      <c r="D5687" s="146"/>
      <c r="E5687" s="117"/>
      <c r="F5687" s="117"/>
      <c r="G5687" s="138"/>
      <c r="H5687" s="177"/>
    </row>
    <row r="5688" spans="1:8" s="139" customFormat="1" ht="13.5" customHeight="1" x14ac:dyDescent="0.35">
      <c r="A5688" s="146"/>
      <c r="B5688" s="120" t="s">
        <v>1058</v>
      </c>
      <c r="C5688" s="124" t="s">
        <v>7</v>
      </c>
      <c r="D5688" s="146">
        <v>1</v>
      </c>
      <c r="E5688" s="117">
        <v>2810000</v>
      </c>
      <c r="F5688" s="117">
        <f>D5688*E5688</f>
        <v>2810000</v>
      </c>
      <c r="G5688" s="138"/>
      <c r="H5688" s="177"/>
    </row>
    <row r="5689" spans="1:8" s="139" customFormat="1" ht="13.5" customHeight="1" x14ac:dyDescent="0.35">
      <c r="A5689" s="146"/>
      <c r="B5689" s="120" t="s">
        <v>1057</v>
      </c>
      <c r="C5689" s="124"/>
      <c r="D5689" s="146"/>
      <c r="E5689" s="117"/>
      <c r="F5689" s="117">
        <f>0.1*(F5688)</f>
        <v>281000</v>
      </c>
      <c r="G5689" s="138"/>
      <c r="H5689" s="177"/>
    </row>
    <row r="5690" spans="1:8" s="139" customFormat="1" ht="13.5" customHeight="1" x14ac:dyDescent="0.35">
      <c r="A5690" s="146"/>
      <c r="B5690" s="112" t="s">
        <v>769</v>
      </c>
      <c r="C5690" s="124"/>
      <c r="D5690" s="146"/>
      <c r="E5690" s="117"/>
      <c r="F5690" s="110">
        <f>SUM(F5688:F5689)</f>
        <v>3091000</v>
      </c>
      <c r="G5690" s="138"/>
      <c r="H5690" s="177"/>
    </row>
    <row r="5691" spans="1:8" s="139" customFormat="1" ht="13.5" customHeight="1" x14ac:dyDescent="0.35">
      <c r="A5691" s="146"/>
      <c r="B5691" s="112" t="s">
        <v>808</v>
      </c>
      <c r="C5691" s="124"/>
      <c r="D5691" s="146"/>
      <c r="E5691" s="117"/>
      <c r="F5691" s="117"/>
      <c r="G5691" s="138"/>
      <c r="H5691" s="177"/>
    </row>
    <row r="5692" spans="1:8" s="139" customFormat="1" ht="13.5" customHeight="1" x14ac:dyDescent="0.35">
      <c r="A5692" s="146"/>
      <c r="B5692" s="120" t="s">
        <v>787</v>
      </c>
      <c r="C5692" s="124" t="s">
        <v>1043</v>
      </c>
      <c r="D5692" s="146">
        <v>3</v>
      </c>
      <c r="E5692" s="117">
        <v>15000</v>
      </c>
      <c r="F5692" s="117">
        <f>+D5692*E5692</f>
        <v>45000</v>
      </c>
      <c r="G5692" s="138"/>
      <c r="H5692" s="177"/>
    </row>
    <row r="5693" spans="1:8" s="139" customFormat="1" ht="13.5" customHeight="1" x14ac:dyDescent="0.35">
      <c r="A5693" s="146"/>
      <c r="B5693" s="112" t="s">
        <v>774</v>
      </c>
      <c r="C5693" s="124"/>
      <c r="D5693" s="146"/>
      <c r="E5693" s="117"/>
      <c r="F5693" s="117">
        <f>SUM(F5692)</f>
        <v>45000</v>
      </c>
      <c r="G5693" s="138"/>
      <c r="H5693" s="177"/>
    </row>
    <row r="5694" spans="1:8" s="139" customFormat="1" ht="13.5" customHeight="1" x14ac:dyDescent="0.35">
      <c r="A5694" s="146"/>
      <c r="B5694" s="112" t="s">
        <v>775</v>
      </c>
      <c r="C5694" s="124"/>
      <c r="D5694" s="146"/>
      <c r="E5694" s="117"/>
      <c r="F5694" s="117">
        <f>+F5690+F5693</f>
        <v>3136000</v>
      </c>
      <c r="G5694" s="138"/>
      <c r="H5694" s="177"/>
    </row>
    <row r="5695" spans="1:8" s="139" customFormat="1" ht="13.5" customHeight="1" x14ac:dyDescent="0.35">
      <c r="A5695" s="146"/>
      <c r="B5695" s="120" t="s">
        <v>776</v>
      </c>
      <c r="C5695" s="124"/>
      <c r="D5695" s="146">
        <v>1.25</v>
      </c>
      <c r="E5695" s="117"/>
      <c r="F5695" s="117">
        <f>+F5694*D5695</f>
        <v>3920000</v>
      </c>
      <c r="G5695" s="138"/>
      <c r="H5695" s="177"/>
    </row>
    <row r="5696" spans="1:8" s="139" customFormat="1" ht="13.5" customHeight="1" x14ac:dyDescent="0.35">
      <c r="A5696" s="146"/>
      <c r="B5696" s="120" t="s">
        <v>835</v>
      </c>
      <c r="C5696" s="124"/>
      <c r="D5696" s="146">
        <v>1.25</v>
      </c>
      <c r="E5696" s="117"/>
      <c r="F5696" s="117"/>
      <c r="G5696" s="138"/>
      <c r="H5696" s="177"/>
    </row>
    <row r="5697" spans="1:8" s="139" customFormat="1" ht="13.5" customHeight="1" x14ac:dyDescent="0.35">
      <c r="A5697" s="233" t="s">
        <v>413</v>
      </c>
      <c r="B5697" s="207" t="s">
        <v>784</v>
      </c>
      <c r="C5697" s="233" t="s">
        <v>27</v>
      </c>
      <c r="D5697" s="340"/>
      <c r="E5697" s="209"/>
      <c r="F5697" s="209">
        <f>+D5696*F5695</f>
        <v>4900000</v>
      </c>
      <c r="G5697" s="138"/>
      <c r="H5697" s="177"/>
    </row>
    <row r="5698" spans="1:8" s="139" customFormat="1" ht="13.5" customHeight="1" x14ac:dyDescent="0.35">
      <c r="A5698" s="340"/>
      <c r="B5698" s="207"/>
      <c r="C5698" s="208"/>
      <c r="D5698" s="340"/>
      <c r="E5698" s="210">
        <f>+E5681</f>
        <v>3035.45</v>
      </c>
      <c r="F5698" s="210">
        <f>+F5697/E5698</f>
        <v>1614.2581824770627</v>
      </c>
      <c r="G5698" s="138"/>
      <c r="H5698" s="177"/>
    </row>
    <row r="5699" spans="1:8" s="139" customFormat="1" ht="13.5" customHeight="1" x14ac:dyDescent="0.35">
      <c r="A5699" s="163"/>
      <c r="B5699" s="164"/>
      <c r="C5699" s="165"/>
      <c r="E5699" s="166"/>
      <c r="F5699" s="166"/>
      <c r="G5699" s="138"/>
      <c r="H5699" s="177"/>
    </row>
    <row r="5700" spans="1:8" s="139" customFormat="1" ht="13.5" customHeight="1" x14ac:dyDescent="0.35">
      <c r="A5700" s="163"/>
      <c r="B5700" s="164"/>
      <c r="C5700" s="165"/>
      <c r="D5700" s="163"/>
      <c r="E5700" s="166"/>
      <c r="F5700" s="166"/>
      <c r="G5700" s="138"/>
      <c r="H5700" s="177"/>
    </row>
    <row r="5701" spans="1:8" s="139" customFormat="1" ht="13.5" customHeight="1" x14ac:dyDescent="0.3">
      <c r="A5701" s="341" t="s">
        <v>392</v>
      </c>
      <c r="B5701" s="331" t="s">
        <v>393</v>
      </c>
      <c r="C5701" s="332" t="s">
        <v>611</v>
      </c>
      <c r="D5701" s="333" t="s">
        <v>765</v>
      </c>
      <c r="E5701" s="334" t="s">
        <v>766</v>
      </c>
      <c r="F5701" s="334" t="s">
        <v>767</v>
      </c>
      <c r="G5701" s="138"/>
      <c r="H5701" s="177"/>
    </row>
    <row r="5702" spans="1:8" s="139" customFormat="1" ht="13.5" customHeight="1" x14ac:dyDescent="0.3">
      <c r="A5702" s="230" t="s">
        <v>1205</v>
      </c>
      <c r="B5702" s="292" t="s">
        <v>1206</v>
      </c>
      <c r="C5702" s="256"/>
      <c r="D5702" s="146"/>
      <c r="E5702" s="117"/>
      <c r="F5702" s="117"/>
      <c r="G5702" s="138"/>
      <c r="H5702" s="177"/>
    </row>
    <row r="5703" spans="1:8" s="139" customFormat="1" ht="27" customHeight="1" x14ac:dyDescent="0.35">
      <c r="A5703" s="232" t="s">
        <v>415</v>
      </c>
      <c r="B5703" s="346" t="s">
        <v>1059</v>
      </c>
      <c r="C5703" s="256" t="s">
        <v>27</v>
      </c>
      <c r="D5703" s="146"/>
      <c r="E5703" s="117"/>
      <c r="F5703" s="117"/>
      <c r="G5703" s="138"/>
      <c r="H5703" s="177"/>
    </row>
    <row r="5704" spans="1:8" s="139" customFormat="1" ht="13.5" customHeight="1" x14ac:dyDescent="0.35">
      <c r="A5704" s="146"/>
      <c r="B5704" s="112" t="s">
        <v>802</v>
      </c>
      <c r="C5704" s="124"/>
      <c r="D5704" s="146"/>
      <c r="E5704" s="117"/>
      <c r="F5704" s="117"/>
      <c r="G5704" s="138"/>
      <c r="H5704" s="177"/>
    </row>
    <row r="5705" spans="1:8" s="139" customFormat="1" ht="13.5" customHeight="1" x14ac:dyDescent="0.35">
      <c r="A5705" s="146"/>
      <c r="B5705" s="120" t="s">
        <v>1056</v>
      </c>
      <c r="C5705" s="124" t="s">
        <v>7</v>
      </c>
      <c r="D5705" s="146">
        <v>1</v>
      </c>
      <c r="E5705" s="117">
        <v>2818146</v>
      </c>
      <c r="F5705" s="117">
        <f>D5705*E5705</f>
        <v>2818146</v>
      </c>
      <c r="G5705" s="138"/>
      <c r="H5705" s="177"/>
    </row>
    <row r="5706" spans="1:8" s="139" customFormat="1" ht="13.5" customHeight="1" x14ac:dyDescent="0.35">
      <c r="A5706" s="146"/>
      <c r="B5706" s="120" t="s">
        <v>1057</v>
      </c>
      <c r="C5706" s="124"/>
      <c r="D5706" s="146"/>
      <c r="E5706" s="117"/>
      <c r="F5706" s="117">
        <f>0.1*(F5705)</f>
        <v>281814.60000000003</v>
      </c>
      <c r="G5706" s="138"/>
      <c r="H5706" s="177"/>
    </row>
    <row r="5707" spans="1:8" s="139" customFormat="1" ht="13.5" customHeight="1" x14ac:dyDescent="0.35">
      <c r="A5707" s="146"/>
      <c r="B5707" s="112" t="s">
        <v>769</v>
      </c>
      <c r="C5707" s="124"/>
      <c r="D5707" s="146"/>
      <c r="E5707" s="117"/>
      <c r="F5707" s="110">
        <f>SUM(F5705:F5706)</f>
        <v>3099960.6</v>
      </c>
      <c r="G5707" s="138"/>
      <c r="H5707" s="177"/>
    </row>
    <row r="5708" spans="1:8" s="139" customFormat="1" ht="13.5" customHeight="1" x14ac:dyDescent="0.35">
      <c r="A5708" s="146"/>
      <c r="B5708" s="112" t="s">
        <v>808</v>
      </c>
      <c r="C5708" s="124"/>
      <c r="D5708" s="146"/>
      <c r="E5708" s="117"/>
      <c r="F5708" s="117"/>
      <c r="G5708" s="138"/>
      <c r="H5708" s="177"/>
    </row>
    <row r="5709" spans="1:8" s="139" customFormat="1" ht="13.5" customHeight="1" x14ac:dyDescent="0.35">
      <c r="A5709" s="146"/>
      <c r="B5709" s="120" t="s">
        <v>787</v>
      </c>
      <c r="C5709" s="124" t="s">
        <v>1043</v>
      </c>
      <c r="D5709" s="146">
        <v>3</v>
      </c>
      <c r="E5709" s="117">
        <v>15000</v>
      </c>
      <c r="F5709" s="117">
        <f>+D5709*E5709</f>
        <v>45000</v>
      </c>
      <c r="G5709" s="138"/>
      <c r="H5709" s="177"/>
    </row>
    <row r="5710" spans="1:8" s="139" customFormat="1" ht="13.5" customHeight="1" x14ac:dyDescent="0.35">
      <c r="A5710" s="146"/>
      <c r="B5710" s="112" t="s">
        <v>774</v>
      </c>
      <c r="C5710" s="124"/>
      <c r="D5710" s="146"/>
      <c r="E5710" s="117"/>
      <c r="F5710" s="117">
        <f>SUM(F5709)</f>
        <v>45000</v>
      </c>
      <c r="G5710" s="138"/>
      <c r="H5710" s="177"/>
    </row>
    <row r="5711" spans="1:8" s="139" customFormat="1" ht="13.5" customHeight="1" x14ac:dyDescent="0.35">
      <c r="A5711" s="146"/>
      <c r="B5711" s="112" t="s">
        <v>775</v>
      </c>
      <c r="C5711" s="124"/>
      <c r="D5711" s="146"/>
      <c r="E5711" s="117"/>
      <c r="F5711" s="117">
        <f>+F5707+F5710</f>
        <v>3144960.6</v>
      </c>
      <c r="G5711" s="138"/>
      <c r="H5711" s="177"/>
    </row>
    <row r="5712" spans="1:8" s="139" customFormat="1" ht="13.5" customHeight="1" x14ac:dyDescent="0.35">
      <c r="A5712" s="146"/>
      <c r="B5712" s="120" t="s">
        <v>776</v>
      </c>
      <c r="C5712" s="124"/>
      <c r="D5712" s="146">
        <v>1.25</v>
      </c>
      <c r="E5712" s="117"/>
      <c r="F5712" s="117">
        <f>+F5711*D5712</f>
        <v>3931200.75</v>
      </c>
      <c r="G5712" s="138"/>
      <c r="H5712" s="177"/>
    </row>
    <row r="5713" spans="1:8" s="139" customFormat="1" ht="13.5" customHeight="1" x14ac:dyDescent="0.35">
      <c r="A5713" s="146"/>
      <c r="B5713" s="120" t="s">
        <v>835</v>
      </c>
      <c r="C5713" s="124"/>
      <c r="D5713" s="146">
        <v>1.25</v>
      </c>
      <c r="E5713" s="117"/>
      <c r="F5713" s="117"/>
      <c r="G5713" s="138"/>
      <c r="H5713" s="177"/>
    </row>
    <row r="5714" spans="1:8" s="139" customFormat="1" ht="13.5" customHeight="1" x14ac:dyDescent="0.35">
      <c r="A5714" s="233" t="s">
        <v>415</v>
      </c>
      <c r="B5714" s="207" t="s">
        <v>784</v>
      </c>
      <c r="C5714" s="233" t="s">
        <v>27</v>
      </c>
      <c r="D5714" s="340"/>
      <c r="E5714" s="209"/>
      <c r="F5714" s="209">
        <f>+D5713*F5712</f>
        <v>4914000.9375</v>
      </c>
      <c r="G5714" s="138"/>
      <c r="H5714" s="177"/>
    </row>
    <row r="5715" spans="1:8" s="139" customFormat="1" ht="13.5" customHeight="1" x14ac:dyDescent="0.35">
      <c r="A5715" s="340"/>
      <c r="B5715" s="207"/>
      <c r="C5715" s="208"/>
      <c r="D5715" s="340"/>
      <c r="E5715" s="210">
        <f>+E5698</f>
        <v>3035.45</v>
      </c>
      <c r="F5715" s="210">
        <f>+F5714/E5715</f>
        <v>1618.870657563129</v>
      </c>
      <c r="G5715" s="138"/>
      <c r="H5715" s="177"/>
    </row>
    <row r="5716" spans="1:8" s="139" customFormat="1" ht="13.5" customHeight="1" x14ac:dyDescent="0.35">
      <c r="A5716" s="163"/>
      <c r="B5716" s="164"/>
      <c r="C5716" s="165"/>
      <c r="E5716" s="166"/>
      <c r="F5716" s="166"/>
      <c r="G5716" s="138"/>
      <c r="H5716" s="177"/>
    </row>
    <row r="5717" spans="1:8" s="139" customFormat="1" ht="13.5" customHeight="1" x14ac:dyDescent="0.35">
      <c r="A5717" s="163"/>
      <c r="B5717" s="164"/>
      <c r="C5717" s="165"/>
      <c r="D5717" s="163"/>
      <c r="E5717" s="166"/>
      <c r="F5717" s="166"/>
      <c r="G5717" s="138"/>
      <c r="H5717" s="177"/>
    </row>
    <row r="5718" spans="1:8" s="139" customFormat="1" ht="13.5" customHeight="1" x14ac:dyDescent="0.3">
      <c r="A5718" s="341" t="s">
        <v>392</v>
      </c>
      <c r="B5718" s="331" t="s">
        <v>393</v>
      </c>
      <c r="C5718" s="332" t="s">
        <v>611</v>
      </c>
      <c r="D5718" s="333" t="s">
        <v>765</v>
      </c>
      <c r="E5718" s="334" t="s">
        <v>766</v>
      </c>
      <c r="F5718" s="334" t="s">
        <v>767</v>
      </c>
      <c r="G5718" s="138"/>
      <c r="H5718" s="177"/>
    </row>
    <row r="5719" spans="1:8" s="139" customFormat="1" ht="13.5" customHeight="1" x14ac:dyDescent="0.3">
      <c r="A5719" s="230" t="s">
        <v>408</v>
      </c>
      <c r="B5719" s="292" t="s">
        <v>1206</v>
      </c>
      <c r="C5719" s="256"/>
      <c r="D5719" s="146"/>
      <c r="E5719" s="117"/>
      <c r="F5719" s="117"/>
      <c r="G5719" s="138"/>
      <c r="H5719" s="177"/>
    </row>
    <row r="5720" spans="1:8" s="139" customFormat="1" ht="30" customHeight="1" x14ac:dyDescent="0.35">
      <c r="A5720" s="232" t="s">
        <v>416</v>
      </c>
      <c r="B5720" s="219" t="s">
        <v>1060</v>
      </c>
      <c r="C5720" s="256" t="s">
        <v>27</v>
      </c>
      <c r="D5720" s="146"/>
      <c r="E5720" s="117"/>
      <c r="F5720" s="117"/>
      <c r="G5720" s="138"/>
      <c r="H5720" s="177"/>
    </row>
    <row r="5721" spans="1:8" s="139" customFormat="1" ht="13.5" customHeight="1" x14ac:dyDescent="0.35">
      <c r="A5721" s="146"/>
      <c r="B5721" s="112" t="s">
        <v>802</v>
      </c>
      <c r="C5721" s="124"/>
      <c r="D5721" s="146"/>
      <c r="E5721" s="117"/>
      <c r="F5721" s="117"/>
      <c r="G5721" s="138"/>
      <c r="H5721" s="177"/>
    </row>
    <row r="5722" spans="1:8" s="139" customFormat="1" ht="13.5" customHeight="1" x14ac:dyDescent="0.35">
      <c r="A5722" s="146"/>
      <c r="B5722" s="120" t="s">
        <v>1061</v>
      </c>
      <c r="C5722" s="124" t="s">
        <v>7</v>
      </c>
      <c r="D5722" s="146">
        <v>1</v>
      </c>
      <c r="E5722" s="117">
        <v>378000</v>
      </c>
      <c r="F5722" s="117">
        <f>D5722*E5722</f>
        <v>378000</v>
      </c>
      <c r="G5722" s="138"/>
      <c r="H5722" s="177"/>
    </row>
    <row r="5723" spans="1:8" s="139" customFormat="1" ht="13.5" customHeight="1" x14ac:dyDescent="0.35">
      <c r="A5723" s="146"/>
      <c r="B5723" s="120" t="s">
        <v>1057</v>
      </c>
      <c r="C5723" s="124"/>
      <c r="D5723" s="146"/>
      <c r="E5723" s="117"/>
      <c r="F5723" s="117">
        <f>0.1*(F5722)</f>
        <v>37800</v>
      </c>
      <c r="G5723" s="138"/>
      <c r="H5723" s="177"/>
    </row>
    <row r="5724" spans="1:8" s="139" customFormat="1" ht="13.5" customHeight="1" x14ac:dyDescent="0.35">
      <c r="A5724" s="146"/>
      <c r="B5724" s="112" t="s">
        <v>769</v>
      </c>
      <c r="C5724" s="124"/>
      <c r="D5724" s="146"/>
      <c r="E5724" s="117"/>
      <c r="F5724" s="110">
        <f>SUM(F5722:F5723)</f>
        <v>415800</v>
      </c>
      <c r="G5724" s="138"/>
      <c r="H5724" s="177"/>
    </row>
    <row r="5725" spans="1:8" s="139" customFormat="1" ht="13.5" customHeight="1" x14ac:dyDescent="0.35">
      <c r="A5725" s="146"/>
      <c r="B5725" s="112" t="s">
        <v>808</v>
      </c>
      <c r="C5725" s="124"/>
      <c r="D5725" s="146"/>
      <c r="E5725" s="117"/>
      <c r="F5725" s="117"/>
      <c r="G5725" s="138"/>
      <c r="H5725" s="177"/>
    </row>
    <row r="5726" spans="1:8" s="139" customFormat="1" ht="13.5" customHeight="1" x14ac:dyDescent="0.35">
      <c r="A5726" s="146"/>
      <c r="B5726" s="120" t="s">
        <v>787</v>
      </c>
      <c r="C5726" s="124" t="s">
        <v>1043</v>
      </c>
      <c r="D5726" s="146">
        <v>3</v>
      </c>
      <c r="E5726" s="117">
        <v>15000</v>
      </c>
      <c r="F5726" s="117">
        <f>+D5726*E5726</f>
        <v>45000</v>
      </c>
      <c r="G5726" s="138"/>
      <c r="H5726" s="177"/>
    </row>
    <row r="5727" spans="1:8" s="139" customFormat="1" ht="13.5" customHeight="1" x14ac:dyDescent="0.35">
      <c r="A5727" s="146"/>
      <c r="B5727" s="112" t="s">
        <v>774</v>
      </c>
      <c r="C5727" s="124"/>
      <c r="D5727" s="146"/>
      <c r="E5727" s="117"/>
      <c r="F5727" s="117">
        <f>SUM(F5726)</f>
        <v>45000</v>
      </c>
      <c r="G5727" s="138"/>
      <c r="H5727" s="177"/>
    </row>
    <row r="5728" spans="1:8" s="139" customFormat="1" ht="13.5" customHeight="1" x14ac:dyDescent="0.35">
      <c r="A5728" s="146"/>
      <c r="B5728" s="112" t="s">
        <v>775</v>
      </c>
      <c r="C5728" s="124"/>
      <c r="D5728" s="146"/>
      <c r="E5728" s="117"/>
      <c r="F5728" s="117">
        <f>+F5724+F5727</f>
        <v>460800</v>
      </c>
      <c r="G5728" s="138"/>
      <c r="H5728" s="177"/>
    </row>
    <row r="5729" spans="1:8" s="139" customFormat="1" ht="13.5" customHeight="1" x14ac:dyDescent="0.35">
      <c r="A5729" s="146"/>
      <c r="B5729" s="120" t="s">
        <v>776</v>
      </c>
      <c r="C5729" s="124"/>
      <c r="D5729" s="146">
        <v>1.25</v>
      </c>
      <c r="E5729" s="117"/>
      <c r="F5729" s="117">
        <f>+F5728*D5729</f>
        <v>576000</v>
      </c>
      <c r="G5729" s="138"/>
      <c r="H5729" s="177"/>
    </row>
    <row r="5730" spans="1:8" s="139" customFormat="1" ht="13.5" customHeight="1" x14ac:dyDescent="0.35">
      <c r="A5730" s="146"/>
      <c r="B5730" s="120" t="s">
        <v>835</v>
      </c>
      <c r="C5730" s="124"/>
      <c r="D5730" s="146">
        <v>1.25</v>
      </c>
      <c r="E5730" s="117"/>
      <c r="F5730" s="117"/>
      <c r="G5730" s="138"/>
      <c r="H5730" s="177"/>
    </row>
    <row r="5731" spans="1:8" s="139" customFormat="1" ht="13.5" customHeight="1" x14ac:dyDescent="0.35">
      <c r="A5731" s="233" t="s">
        <v>416</v>
      </c>
      <c r="B5731" s="207" t="s">
        <v>784</v>
      </c>
      <c r="C5731" s="233" t="s">
        <v>27</v>
      </c>
      <c r="D5731" s="340"/>
      <c r="E5731" s="209"/>
      <c r="F5731" s="209">
        <f>+D5730*F5729</f>
        <v>720000</v>
      </c>
      <c r="G5731" s="138"/>
      <c r="H5731" s="177"/>
    </row>
    <row r="5732" spans="1:8" s="139" customFormat="1" ht="13.5" customHeight="1" x14ac:dyDescent="0.35">
      <c r="A5732" s="340"/>
      <c r="B5732" s="207"/>
      <c r="C5732" s="208"/>
      <c r="D5732" s="340"/>
      <c r="E5732" s="210">
        <f>+E5715</f>
        <v>3035.45</v>
      </c>
      <c r="F5732" s="210">
        <f>+F5731/E5732</f>
        <v>237.19712069050718</v>
      </c>
      <c r="G5732" s="138"/>
      <c r="H5732" s="177"/>
    </row>
    <row r="5733" spans="1:8" s="139" customFormat="1" ht="13.5" customHeight="1" x14ac:dyDescent="0.35">
      <c r="A5733" s="163"/>
      <c r="B5733" s="164"/>
      <c r="C5733" s="165"/>
      <c r="E5733" s="166"/>
      <c r="F5733" s="166"/>
      <c r="G5733" s="138"/>
      <c r="H5733" s="177"/>
    </row>
    <row r="5734" spans="1:8" s="139" customFormat="1" ht="13.5" customHeight="1" x14ac:dyDescent="0.35">
      <c r="A5734" s="163"/>
      <c r="B5734" s="164"/>
      <c r="C5734" s="165"/>
      <c r="D5734" s="163"/>
      <c r="E5734" s="166"/>
      <c r="F5734" s="166"/>
      <c r="G5734" s="138"/>
      <c r="H5734" s="177"/>
    </row>
    <row r="5735" spans="1:8" s="139" customFormat="1" ht="13.5" customHeight="1" x14ac:dyDescent="0.3">
      <c r="A5735" s="341" t="s">
        <v>392</v>
      </c>
      <c r="B5735" s="331" t="s">
        <v>393</v>
      </c>
      <c r="C5735" s="332" t="s">
        <v>611</v>
      </c>
      <c r="D5735" s="333" t="s">
        <v>765</v>
      </c>
      <c r="E5735" s="334" t="s">
        <v>766</v>
      </c>
      <c r="F5735" s="334" t="s">
        <v>767</v>
      </c>
      <c r="G5735" s="138"/>
      <c r="H5735" s="177"/>
    </row>
    <row r="5736" spans="1:8" s="139" customFormat="1" ht="13.5" customHeight="1" x14ac:dyDescent="0.3">
      <c r="A5736" s="230" t="s">
        <v>408</v>
      </c>
      <c r="B5736" s="292" t="s">
        <v>1206</v>
      </c>
      <c r="C5736" s="256"/>
      <c r="D5736" s="146"/>
      <c r="E5736" s="117"/>
      <c r="F5736" s="117"/>
      <c r="G5736" s="138"/>
      <c r="H5736" s="177"/>
    </row>
    <row r="5737" spans="1:8" s="139" customFormat="1" ht="28.5" customHeight="1" x14ac:dyDescent="0.3">
      <c r="A5737" s="232" t="s">
        <v>418</v>
      </c>
      <c r="B5737" s="347" t="s">
        <v>686</v>
      </c>
      <c r="C5737" s="256" t="s">
        <v>27</v>
      </c>
      <c r="D5737" s="146"/>
      <c r="E5737" s="117"/>
      <c r="F5737" s="117"/>
      <c r="G5737" s="138"/>
      <c r="H5737" s="177"/>
    </row>
    <row r="5738" spans="1:8" s="139" customFormat="1" ht="13.5" customHeight="1" x14ac:dyDescent="0.35">
      <c r="A5738" s="146"/>
      <c r="B5738" s="112" t="s">
        <v>802</v>
      </c>
      <c r="C5738" s="124"/>
      <c r="D5738" s="146"/>
      <c r="E5738" s="117"/>
      <c r="F5738" s="117"/>
      <c r="G5738" s="138"/>
      <c r="H5738" s="177"/>
    </row>
    <row r="5739" spans="1:8" s="139" customFormat="1" ht="13.5" customHeight="1" x14ac:dyDescent="0.35">
      <c r="A5739" s="146"/>
      <c r="B5739" s="120" t="s">
        <v>1061</v>
      </c>
      <c r="C5739" s="124" t="s">
        <v>7</v>
      </c>
      <c r="D5739" s="146">
        <v>1</v>
      </c>
      <c r="E5739" s="117">
        <v>1036000</v>
      </c>
      <c r="F5739" s="117">
        <f>D5739*E5739</f>
        <v>1036000</v>
      </c>
      <c r="G5739" s="138"/>
      <c r="H5739" s="177"/>
    </row>
    <row r="5740" spans="1:8" s="139" customFormat="1" ht="13.5" customHeight="1" x14ac:dyDescent="0.35">
      <c r="A5740" s="146"/>
      <c r="B5740" s="120" t="s">
        <v>1057</v>
      </c>
      <c r="C5740" s="124"/>
      <c r="D5740" s="146"/>
      <c r="E5740" s="117"/>
      <c r="F5740" s="117">
        <f>0.1*(F5739)</f>
        <v>103600</v>
      </c>
      <c r="G5740" s="138"/>
      <c r="H5740" s="177"/>
    </row>
    <row r="5741" spans="1:8" s="139" customFormat="1" ht="13.5" customHeight="1" x14ac:dyDescent="0.35">
      <c r="A5741" s="146"/>
      <c r="B5741" s="112" t="s">
        <v>769</v>
      </c>
      <c r="C5741" s="124"/>
      <c r="D5741" s="146"/>
      <c r="E5741" s="117"/>
      <c r="F5741" s="110">
        <f>SUM(F5739:F5740)</f>
        <v>1139600</v>
      </c>
      <c r="G5741" s="138"/>
      <c r="H5741" s="177"/>
    </row>
    <row r="5742" spans="1:8" s="139" customFormat="1" ht="13.5" customHeight="1" x14ac:dyDescent="0.35">
      <c r="A5742" s="146"/>
      <c r="B5742" s="112" t="s">
        <v>808</v>
      </c>
      <c r="C5742" s="124"/>
      <c r="D5742" s="146"/>
      <c r="E5742" s="117"/>
      <c r="F5742" s="117"/>
      <c r="G5742" s="138"/>
      <c r="H5742" s="177"/>
    </row>
    <row r="5743" spans="1:8" s="139" customFormat="1" ht="13.5" customHeight="1" x14ac:dyDescent="0.35">
      <c r="A5743" s="146"/>
      <c r="B5743" s="120" t="s">
        <v>787</v>
      </c>
      <c r="C5743" s="124" t="s">
        <v>1043</v>
      </c>
      <c r="D5743" s="146">
        <v>3</v>
      </c>
      <c r="E5743" s="117">
        <v>15000</v>
      </c>
      <c r="F5743" s="117">
        <f>+D5743*E5743</f>
        <v>45000</v>
      </c>
      <c r="G5743" s="138"/>
      <c r="H5743" s="177"/>
    </row>
    <row r="5744" spans="1:8" s="139" customFormat="1" ht="13.5" customHeight="1" x14ac:dyDescent="0.35">
      <c r="A5744" s="146"/>
      <c r="B5744" s="112" t="s">
        <v>774</v>
      </c>
      <c r="C5744" s="124"/>
      <c r="D5744" s="146"/>
      <c r="E5744" s="117"/>
      <c r="F5744" s="117">
        <f>SUM(F5743)</f>
        <v>45000</v>
      </c>
      <c r="G5744" s="138"/>
      <c r="H5744" s="177"/>
    </row>
    <row r="5745" spans="1:8" s="139" customFormat="1" ht="13.5" customHeight="1" x14ac:dyDescent="0.35">
      <c r="A5745" s="146"/>
      <c r="B5745" s="112" t="s">
        <v>775</v>
      </c>
      <c r="C5745" s="124"/>
      <c r="D5745" s="146"/>
      <c r="E5745" s="117"/>
      <c r="F5745" s="117">
        <f>+F5741+F5744</f>
        <v>1184600</v>
      </c>
      <c r="G5745" s="138"/>
      <c r="H5745" s="177"/>
    </row>
    <row r="5746" spans="1:8" s="139" customFormat="1" ht="13.5" customHeight="1" x14ac:dyDescent="0.35">
      <c r="A5746" s="146"/>
      <c r="B5746" s="120" t="s">
        <v>776</v>
      </c>
      <c r="C5746" s="124"/>
      <c r="D5746" s="146">
        <v>1.25</v>
      </c>
      <c r="E5746" s="117"/>
      <c r="F5746" s="117">
        <f>+F5745*D5746</f>
        <v>1480750</v>
      </c>
      <c r="G5746" s="138"/>
      <c r="H5746" s="177"/>
    </row>
    <row r="5747" spans="1:8" s="139" customFormat="1" ht="13.5" customHeight="1" x14ac:dyDescent="0.35">
      <c r="A5747" s="146"/>
      <c r="B5747" s="120" t="s">
        <v>835</v>
      </c>
      <c r="C5747" s="124"/>
      <c r="D5747" s="146">
        <v>1.25</v>
      </c>
      <c r="E5747" s="117"/>
      <c r="F5747" s="117"/>
      <c r="G5747" s="138"/>
      <c r="H5747" s="177"/>
    </row>
    <row r="5748" spans="1:8" s="139" customFormat="1" ht="13.5" customHeight="1" x14ac:dyDescent="0.35">
      <c r="A5748" s="233" t="s">
        <v>418</v>
      </c>
      <c r="B5748" s="207" t="s">
        <v>784</v>
      </c>
      <c r="C5748" s="233" t="s">
        <v>27</v>
      </c>
      <c r="D5748" s="340"/>
      <c r="E5748" s="209"/>
      <c r="F5748" s="209">
        <f>+D5747*F5746</f>
        <v>1850937.5</v>
      </c>
      <c r="G5748" s="138"/>
      <c r="H5748" s="177"/>
    </row>
    <row r="5749" spans="1:8" s="139" customFormat="1" ht="13.5" customHeight="1" x14ac:dyDescent="0.35">
      <c r="A5749" s="340"/>
      <c r="B5749" s="207"/>
      <c r="C5749" s="208"/>
      <c r="D5749" s="340"/>
      <c r="E5749" s="210">
        <f>+E5732</f>
        <v>3035.45</v>
      </c>
      <c r="F5749" s="210">
        <f>+F5748/E5749</f>
        <v>609.77367441400781</v>
      </c>
      <c r="G5749" s="138"/>
      <c r="H5749" s="177"/>
    </row>
    <row r="5750" spans="1:8" s="139" customFormat="1" ht="13.5" customHeight="1" x14ac:dyDescent="0.35">
      <c r="A5750" s="163"/>
      <c r="B5750" s="164"/>
      <c r="C5750" s="165"/>
      <c r="E5750" s="166"/>
      <c r="F5750" s="166"/>
      <c r="G5750" s="138"/>
      <c r="H5750" s="177"/>
    </row>
    <row r="5751" spans="1:8" s="139" customFormat="1" ht="13.5" customHeight="1" x14ac:dyDescent="0.35">
      <c r="A5751" s="163"/>
      <c r="B5751" s="164"/>
      <c r="C5751" s="165"/>
      <c r="D5751" s="163"/>
      <c r="E5751" s="166"/>
      <c r="F5751" s="166"/>
      <c r="G5751" s="138"/>
      <c r="H5751" s="177"/>
    </row>
    <row r="5752" spans="1:8" s="139" customFormat="1" ht="13.5" customHeight="1" x14ac:dyDescent="0.3">
      <c r="A5752" s="341" t="s">
        <v>392</v>
      </c>
      <c r="B5752" s="331" t="s">
        <v>393</v>
      </c>
      <c r="C5752" s="332" t="s">
        <v>611</v>
      </c>
      <c r="D5752" s="333" t="s">
        <v>765</v>
      </c>
      <c r="E5752" s="334" t="s">
        <v>766</v>
      </c>
      <c r="F5752" s="334" t="s">
        <v>767</v>
      </c>
      <c r="G5752" s="138"/>
      <c r="H5752" s="177"/>
    </row>
    <row r="5753" spans="1:8" s="139" customFormat="1" ht="13.5" customHeight="1" x14ac:dyDescent="0.3">
      <c r="A5753" s="230" t="s">
        <v>408</v>
      </c>
      <c r="B5753" s="292" t="s">
        <v>1206</v>
      </c>
      <c r="C5753" s="256"/>
      <c r="D5753" s="146"/>
      <c r="E5753" s="117"/>
      <c r="F5753" s="117"/>
      <c r="G5753" s="138"/>
      <c r="H5753" s="177"/>
    </row>
    <row r="5754" spans="1:8" s="139" customFormat="1" ht="26.25" customHeight="1" x14ac:dyDescent="0.3">
      <c r="A5754" s="232" t="s">
        <v>418</v>
      </c>
      <c r="B5754" s="347" t="s">
        <v>737</v>
      </c>
      <c r="C5754" s="256" t="s">
        <v>27</v>
      </c>
      <c r="D5754" s="146"/>
      <c r="E5754" s="117"/>
      <c r="F5754" s="117"/>
      <c r="G5754" s="138"/>
      <c r="H5754" s="177"/>
    </row>
    <row r="5755" spans="1:8" s="139" customFormat="1" ht="13.5" customHeight="1" x14ac:dyDescent="0.35">
      <c r="A5755" s="146"/>
      <c r="B5755" s="112" t="s">
        <v>802</v>
      </c>
      <c r="C5755" s="124"/>
      <c r="D5755" s="146"/>
      <c r="E5755" s="117"/>
      <c r="F5755" s="117"/>
      <c r="G5755" s="138"/>
      <c r="H5755" s="177"/>
    </row>
    <row r="5756" spans="1:8" s="139" customFormat="1" ht="13.5" customHeight="1" x14ac:dyDescent="0.35">
      <c r="A5756" s="146"/>
      <c r="B5756" s="120" t="s">
        <v>1056</v>
      </c>
      <c r="C5756" s="124" t="s">
        <v>7</v>
      </c>
      <c r="D5756" s="146">
        <v>1</v>
      </c>
      <c r="E5756" s="117">
        <v>3022400</v>
      </c>
      <c r="F5756" s="117">
        <f>D5756*E5756</f>
        <v>3022400</v>
      </c>
      <c r="G5756" s="138"/>
      <c r="H5756" s="177"/>
    </row>
    <row r="5757" spans="1:8" s="139" customFormat="1" ht="13.5" customHeight="1" x14ac:dyDescent="0.35">
      <c r="A5757" s="146"/>
      <c r="B5757" s="120" t="s">
        <v>1057</v>
      </c>
      <c r="C5757" s="124"/>
      <c r="D5757" s="146"/>
      <c r="E5757" s="117"/>
      <c r="F5757" s="117">
        <f>0.1*(F5756)</f>
        <v>302240</v>
      </c>
      <c r="G5757" s="138"/>
      <c r="H5757" s="177"/>
    </row>
    <row r="5758" spans="1:8" s="139" customFormat="1" ht="13.5" customHeight="1" x14ac:dyDescent="0.35">
      <c r="A5758" s="146"/>
      <c r="B5758" s="112" t="s">
        <v>769</v>
      </c>
      <c r="C5758" s="124"/>
      <c r="D5758" s="146"/>
      <c r="E5758" s="117"/>
      <c r="F5758" s="110">
        <f>SUM(F5756:F5757)</f>
        <v>3324640</v>
      </c>
      <c r="G5758" s="138"/>
      <c r="H5758" s="177"/>
    </row>
    <row r="5759" spans="1:8" s="139" customFormat="1" ht="13.5" customHeight="1" x14ac:dyDescent="0.35">
      <c r="A5759" s="146"/>
      <c r="B5759" s="112" t="s">
        <v>808</v>
      </c>
      <c r="C5759" s="124"/>
      <c r="D5759" s="146"/>
      <c r="E5759" s="117"/>
      <c r="F5759" s="117"/>
      <c r="G5759" s="138"/>
      <c r="H5759" s="177"/>
    </row>
    <row r="5760" spans="1:8" s="139" customFormat="1" ht="13.5" customHeight="1" x14ac:dyDescent="0.35">
      <c r="A5760" s="146"/>
      <c r="B5760" s="120" t="s">
        <v>787</v>
      </c>
      <c r="C5760" s="124" t="s">
        <v>1043</v>
      </c>
      <c r="D5760" s="146">
        <v>3</v>
      </c>
      <c r="E5760" s="117">
        <v>15000</v>
      </c>
      <c r="F5760" s="117">
        <f>+D5760*E5760</f>
        <v>45000</v>
      </c>
      <c r="G5760" s="138"/>
      <c r="H5760" s="177"/>
    </row>
    <row r="5761" spans="1:8" s="139" customFormat="1" ht="13.5" customHeight="1" x14ac:dyDescent="0.35">
      <c r="A5761" s="146"/>
      <c r="B5761" s="112" t="s">
        <v>774</v>
      </c>
      <c r="C5761" s="124"/>
      <c r="D5761" s="146"/>
      <c r="E5761" s="117"/>
      <c r="F5761" s="117">
        <f>SUM(F5760)</f>
        <v>45000</v>
      </c>
      <c r="G5761" s="138"/>
      <c r="H5761" s="177"/>
    </row>
    <row r="5762" spans="1:8" s="139" customFormat="1" ht="13.5" customHeight="1" x14ac:dyDescent="0.35">
      <c r="A5762" s="146"/>
      <c r="B5762" s="112" t="s">
        <v>775</v>
      </c>
      <c r="C5762" s="124"/>
      <c r="D5762" s="146"/>
      <c r="E5762" s="117"/>
      <c r="F5762" s="117">
        <f>+F5758+F5761</f>
        <v>3369640</v>
      </c>
      <c r="G5762" s="138"/>
      <c r="H5762" s="177"/>
    </row>
    <row r="5763" spans="1:8" s="139" customFormat="1" ht="13.5" customHeight="1" x14ac:dyDescent="0.35">
      <c r="A5763" s="146"/>
      <c r="B5763" s="120" t="s">
        <v>776</v>
      </c>
      <c r="C5763" s="124"/>
      <c r="D5763" s="146">
        <v>1.25</v>
      </c>
      <c r="E5763" s="117"/>
      <c r="F5763" s="117">
        <f>+F5762*D5763</f>
        <v>4212050</v>
      </c>
      <c r="G5763" s="138"/>
      <c r="H5763" s="177"/>
    </row>
    <row r="5764" spans="1:8" s="139" customFormat="1" ht="13.5" customHeight="1" x14ac:dyDescent="0.35">
      <c r="A5764" s="146"/>
      <c r="B5764" s="120" t="s">
        <v>835</v>
      </c>
      <c r="C5764" s="124"/>
      <c r="D5764" s="146">
        <v>1.25</v>
      </c>
      <c r="E5764" s="117"/>
      <c r="F5764" s="117"/>
      <c r="G5764" s="138"/>
      <c r="H5764" s="177"/>
    </row>
    <row r="5765" spans="1:8" s="139" customFormat="1" ht="13.5" customHeight="1" x14ac:dyDescent="0.35">
      <c r="A5765" s="233" t="s">
        <v>418</v>
      </c>
      <c r="B5765" s="207" t="s">
        <v>784</v>
      </c>
      <c r="C5765" s="233" t="s">
        <v>27</v>
      </c>
      <c r="D5765" s="340"/>
      <c r="E5765" s="209"/>
      <c r="F5765" s="209">
        <f>+D5764*F5763</f>
        <v>5265062.5</v>
      </c>
      <c r="G5765" s="138"/>
      <c r="H5765" s="177"/>
    </row>
    <row r="5766" spans="1:8" s="139" customFormat="1" ht="13.5" customHeight="1" x14ac:dyDescent="0.35">
      <c r="A5766" s="340"/>
      <c r="B5766" s="207"/>
      <c r="C5766" s="208"/>
      <c r="D5766" s="340"/>
      <c r="E5766" s="210">
        <f>+E5749</f>
        <v>3035.45</v>
      </c>
      <c r="F5766" s="210">
        <f>+F5765/E5766</f>
        <v>1734.5245350771715</v>
      </c>
      <c r="G5766" s="138"/>
      <c r="H5766" s="177"/>
    </row>
    <row r="5767" spans="1:8" s="139" customFormat="1" ht="13.5" customHeight="1" x14ac:dyDescent="0.35">
      <c r="A5767" s="163"/>
      <c r="B5767" s="164"/>
      <c r="C5767" s="165"/>
      <c r="E5767" s="166"/>
      <c r="F5767" s="166"/>
      <c r="G5767" s="138"/>
      <c r="H5767" s="177"/>
    </row>
    <row r="5768" spans="1:8" s="139" customFormat="1" ht="13.5" customHeight="1" x14ac:dyDescent="0.35">
      <c r="A5768" s="163"/>
      <c r="B5768" s="164"/>
      <c r="C5768" s="165"/>
      <c r="D5768" s="163"/>
      <c r="E5768" s="166"/>
      <c r="F5768" s="166"/>
      <c r="G5768" s="138"/>
      <c r="H5768" s="177"/>
    </row>
    <row r="5769" spans="1:8" s="139" customFormat="1" ht="13.5" customHeight="1" x14ac:dyDescent="0.3">
      <c r="A5769" s="341" t="s">
        <v>392</v>
      </c>
      <c r="B5769" s="331" t="s">
        <v>393</v>
      </c>
      <c r="C5769" s="332" t="s">
        <v>611</v>
      </c>
      <c r="D5769" s="333" t="s">
        <v>765</v>
      </c>
      <c r="E5769" s="334" t="s">
        <v>766</v>
      </c>
      <c r="F5769" s="334" t="s">
        <v>767</v>
      </c>
      <c r="G5769" s="138"/>
      <c r="H5769" s="177"/>
    </row>
    <row r="5770" spans="1:8" s="139" customFormat="1" ht="13.5" customHeight="1" x14ac:dyDescent="0.3">
      <c r="A5770" s="230" t="s">
        <v>408</v>
      </c>
      <c r="B5770" s="292" t="s">
        <v>1206</v>
      </c>
      <c r="C5770" s="256"/>
      <c r="D5770" s="146"/>
      <c r="E5770" s="117"/>
      <c r="F5770" s="117"/>
      <c r="G5770" s="138"/>
      <c r="H5770" s="177"/>
    </row>
    <row r="5771" spans="1:8" s="139" customFormat="1" ht="28.5" customHeight="1" x14ac:dyDescent="0.3">
      <c r="A5771" s="232" t="s">
        <v>416</v>
      </c>
      <c r="B5771" s="347" t="s">
        <v>1207</v>
      </c>
      <c r="C5771" s="256" t="s">
        <v>27</v>
      </c>
      <c r="D5771" s="146"/>
      <c r="E5771" s="117"/>
      <c r="F5771" s="117"/>
      <c r="G5771" s="138"/>
      <c r="H5771" s="177"/>
    </row>
    <row r="5772" spans="1:8" s="139" customFormat="1" ht="13.5" customHeight="1" x14ac:dyDescent="0.35">
      <c r="A5772" s="146"/>
      <c r="B5772" s="112" t="s">
        <v>802</v>
      </c>
      <c r="C5772" s="124"/>
      <c r="D5772" s="146"/>
      <c r="E5772" s="117"/>
      <c r="F5772" s="117"/>
      <c r="G5772" s="138"/>
      <c r="H5772" s="177"/>
    </row>
    <row r="5773" spans="1:8" s="139" customFormat="1" ht="13.5" customHeight="1" x14ac:dyDescent="0.35">
      <c r="A5773" s="146"/>
      <c r="B5773" s="120" t="s">
        <v>1056</v>
      </c>
      <c r="C5773" s="124" t="s">
        <v>7</v>
      </c>
      <c r="D5773" s="146">
        <v>1</v>
      </c>
      <c r="E5773" s="117">
        <v>3022380</v>
      </c>
      <c r="F5773" s="117">
        <f>D5773*E5773</f>
        <v>3022380</v>
      </c>
      <c r="G5773" s="138"/>
      <c r="H5773" s="177"/>
    </row>
    <row r="5774" spans="1:8" s="139" customFormat="1" ht="13.5" customHeight="1" x14ac:dyDescent="0.35">
      <c r="A5774" s="146"/>
      <c r="B5774" s="120" t="s">
        <v>1057</v>
      </c>
      <c r="C5774" s="124"/>
      <c r="D5774" s="146"/>
      <c r="E5774" s="117"/>
      <c r="F5774" s="117">
        <f>0.1*(F5773)</f>
        <v>302238</v>
      </c>
      <c r="G5774" s="138"/>
      <c r="H5774" s="177"/>
    </row>
    <row r="5775" spans="1:8" s="139" customFormat="1" ht="13.5" customHeight="1" x14ac:dyDescent="0.35">
      <c r="A5775" s="146"/>
      <c r="B5775" s="112" t="s">
        <v>769</v>
      </c>
      <c r="C5775" s="124"/>
      <c r="D5775" s="146"/>
      <c r="E5775" s="117"/>
      <c r="F5775" s="110">
        <f>SUM(F5773:F5774)</f>
        <v>3324618</v>
      </c>
      <c r="G5775" s="138"/>
      <c r="H5775" s="177"/>
    </row>
    <row r="5776" spans="1:8" s="139" customFormat="1" ht="13.5" customHeight="1" x14ac:dyDescent="0.35">
      <c r="A5776" s="146"/>
      <c r="B5776" s="112" t="s">
        <v>808</v>
      </c>
      <c r="C5776" s="124"/>
      <c r="D5776" s="146"/>
      <c r="E5776" s="117"/>
      <c r="F5776" s="117"/>
      <c r="G5776" s="138"/>
      <c r="H5776" s="177"/>
    </row>
    <row r="5777" spans="1:8" s="139" customFormat="1" ht="13.5" customHeight="1" x14ac:dyDescent="0.35">
      <c r="A5777" s="146"/>
      <c r="B5777" s="120" t="s">
        <v>787</v>
      </c>
      <c r="C5777" s="124" t="s">
        <v>1043</v>
      </c>
      <c r="D5777" s="146">
        <v>3</v>
      </c>
      <c r="E5777" s="117">
        <v>15000</v>
      </c>
      <c r="F5777" s="117">
        <f>+D5777*E5777</f>
        <v>45000</v>
      </c>
      <c r="G5777" s="138"/>
      <c r="H5777" s="177"/>
    </row>
    <row r="5778" spans="1:8" s="139" customFormat="1" ht="13.5" customHeight="1" x14ac:dyDescent="0.35">
      <c r="A5778" s="146"/>
      <c r="B5778" s="112" t="s">
        <v>774</v>
      </c>
      <c r="C5778" s="124"/>
      <c r="D5778" s="146"/>
      <c r="E5778" s="117"/>
      <c r="F5778" s="117">
        <f>SUM(F5777)</f>
        <v>45000</v>
      </c>
      <c r="G5778" s="138"/>
      <c r="H5778" s="177"/>
    </row>
    <row r="5779" spans="1:8" s="139" customFormat="1" ht="13.5" customHeight="1" x14ac:dyDescent="0.35">
      <c r="A5779" s="146"/>
      <c r="B5779" s="112" t="s">
        <v>775</v>
      </c>
      <c r="C5779" s="124"/>
      <c r="D5779" s="146"/>
      <c r="E5779" s="117"/>
      <c r="F5779" s="117">
        <f>+F5775+F5778</f>
        <v>3369618</v>
      </c>
      <c r="G5779" s="138"/>
      <c r="H5779" s="177"/>
    </row>
    <row r="5780" spans="1:8" s="139" customFormat="1" ht="13.5" customHeight="1" x14ac:dyDescent="0.35">
      <c r="A5780" s="146"/>
      <c r="B5780" s="120" t="s">
        <v>776</v>
      </c>
      <c r="C5780" s="124"/>
      <c r="D5780" s="146">
        <v>1.25</v>
      </c>
      <c r="E5780" s="117"/>
      <c r="F5780" s="117">
        <f>+F5779*D5780</f>
        <v>4212022.5</v>
      </c>
      <c r="G5780" s="138"/>
      <c r="H5780" s="177"/>
    </row>
    <row r="5781" spans="1:8" s="139" customFormat="1" ht="13.5" customHeight="1" x14ac:dyDescent="0.35">
      <c r="A5781" s="146"/>
      <c r="B5781" s="120" t="s">
        <v>835</v>
      </c>
      <c r="C5781" s="124"/>
      <c r="D5781" s="146">
        <v>1.25</v>
      </c>
      <c r="E5781" s="117"/>
      <c r="F5781" s="117"/>
      <c r="G5781" s="138"/>
      <c r="H5781" s="177"/>
    </row>
    <row r="5782" spans="1:8" s="139" customFormat="1" ht="13.5" customHeight="1" x14ac:dyDescent="0.35">
      <c r="A5782" s="233" t="s">
        <v>416</v>
      </c>
      <c r="B5782" s="207" t="s">
        <v>784</v>
      </c>
      <c r="C5782" s="233" t="s">
        <v>27</v>
      </c>
      <c r="D5782" s="340"/>
      <c r="E5782" s="209"/>
      <c r="F5782" s="209">
        <f>+D5781*F5780</f>
        <v>5265028.125</v>
      </c>
      <c r="G5782" s="138"/>
      <c r="H5782" s="177"/>
    </row>
    <row r="5783" spans="1:8" s="139" customFormat="1" ht="13.5" customHeight="1" x14ac:dyDescent="0.35">
      <c r="A5783" s="340"/>
      <c r="B5783" s="207"/>
      <c r="C5783" s="208"/>
      <c r="E5783" s="210">
        <f>+E5766</f>
        <v>3035.45</v>
      </c>
      <c r="F5783" s="210">
        <f>+F5782/E5783</f>
        <v>1734.5132105618609</v>
      </c>
      <c r="G5783" s="138"/>
      <c r="H5783" s="177"/>
    </row>
    <row r="5784" spans="1:8" s="139" customFormat="1" ht="13.5" customHeight="1" x14ac:dyDescent="0.35">
      <c r="A5784" s="163"/>
      <c r="B5784" s="164"/>
      <c r="C5784" s="165"/>
      <c r="D5784" s="340"/>
      <c r="E5784" s="166"/>
      <c r="F5784" s="166"/>
      <c r="G5784" s="138"/>
      <c r="H5784" s="177"/>
    </row>
    <row r="5785" spans="1:8" s="139" customFormat="1" ht="13.5" customHeight="1" x14ac:dyDescent="0.35">
      <c r="A5785" s="163"/>
      <c r="B5785" s="164"/>
      <c r="C5785" s="165"/>
      <c r="D5785" s="163"/>
      <c r="E5785" s="166"/>
      <c r="F5785" s="166"/>
      <c r="G5785" s="138"/>
      <c r="H5785" s="177"/>
    </row>
    <row r="5786" spans="1:8" s="139" customFormat="1" ht="13.5" customHeight="1" x14ac:dyDescent="0.3">
      <c r="A5786" s="341" t="s">
        <v>392</v>
      </c>
      <c r="B5786" s="331" t="s">
        <v>393</v>
      </c>
      <c r="C5786" s="332" t="s">
        <v>611</v>
      </c>
      <c r="D5786" s="333" t="s">
        <v>765</v>
      </c>
      <c r="E5786" s="334" t="s">
        <v>766</v>
      </c>
      <c r="F5786" s="334" t="s">
        <v>767</v>
      </c>
      <c r="G5786" s="138"/>
      <c r="H5786" s="177"/>
    </row>
    <row r="5787" spans="1:8" s="139" customFormat="1" ht="13.5" customHeight="1" x14ac:dyDescent="0.3">
      <c r="A5787" s="230" t="s">
        <v>408</v>
      </c>
      <c r="B5787" s="292" t="s">
        <v>409</v>
      </c>
      <c r="C5787" s="256"/>
      <c r="D5787" s="146"/>
      <c r="E5787" s="117"/>
      <c r="F5787" s="117"/>
      <c r="G5787" s="138"/>
      <c r="H5787" s="177"/>
    </row>
    <row r="5788" spans="1:8" s="139" customFormat="1" ht="25.5" customHeight="1" x14ac:dyDescent="0.3">
      <c r="A5788" s="232" t="s">
        <v>418</v>
      </c>
      <c r="B5788" s="347" t="s">
        <v>1062</v>
      </c>
      <c r="C5788" s="256" t="s">
        <v>27</v>
      </c>
      <c r="D5788" s="146"/>
      <c r="E5788" s="117"/>
      <c r="F5788" s="117"/>
      <c r="G5788" s="138"/>
      <c r="H5788" s="177"/>
    </row>
    <row r="5789" spans="1:8" s="139" customFormat="1" ht="13.5" customHeight="1" x14ac:dyDescent="0.35">
      <c r="A5789" s="146"/>
      <c r="B5789" s="112" t="s">
        <v>802</v>
      </c>
      <c r="C5789" s="124"/>
      <c r="D5789" s="146"/>
      <c r="E5789" s="117"/>
      <c r="F5789" s="117"/>
      <c r="G5789" s="138"/>
      <c r="H5789" s="177"/>
    </row>
    <row r="5790" spans="1:8" s="139" customFormat="1" ht="13.5" customHeight="1" x14ac:dyDescent="0.35">
      <c r="A5790" s="146"/>
      <c r="B5790" s="120" t="s">
        <v>1061</v>
      </c>
      <c r="C5790" s="124" t="s">
        <v>7</v>
      </c>
      <c r="D5790" s="146">
        <v>1</v>
      </c>
      <c r="E5790" s="117">
        <v>1035500</v>
      </c>
      <c r="F5790" s="117">
        <f>D5790*E5790</f>
        <v>1035500</v>
      </c>
      <c r="G5790" s="138"/>
      <c r="H5790" s="177"/>
    </row>
    <row r="5791" spans="1:8" s="139" customFormat="1" ht="13.5" customHeight="1" x14ac:dyDescent="0.35">
      <c r="A5791" s="146"/>
      <c r="B5791" s="120" t="s">
        <v>1057</v>
      </c>
      <c r="C5791" s="124"/>
      <c r="D5791" s="146"/>
      <c r="E5791" s="117"/>
      <c r="F5791" s="117">
        <f>0.1*(F5790)</f>
        <v>103550</v>
      </c>
      <c r="G5791" s="138"/>
      <c r="H5791" s="177"/>
    </row>
    <row r="5792" spans="1:8" s="139" customFormat="1" ht="13.5" customHeight="1" x14ac:dyDescent="0.35">
      <c r="A5792" s="146"/>
      <c r="B5792" s="112" t="s">
        <v>769</v>
      </c>
      <c r="C5792" s="124"/>
      <c r="D5792" s="146"/>
      <c r="E5792" s="117"/>
      <c r="F5792" s="110">
        <f>SUM(F5790:F5791)</f>
        <v>1139050</v>
      </c>
      <c r="G5792" s="138"/>
      <c r="H5792" s="177"/>
    </row>
    <row r="5793" spans="1:8" s="139" customFormat="1" ht="13.5" customHeight="1" x14ac:dyDescent="0.35">
      <c r="A5793" s="146"/>
      <c r="B5793" s="112" t="s">
        <v>808</v>
      </c>
      <c r="C5793" s="124"/>
      <c r="D5793" s="146"/>
      <c r="E5793" s="117"/>
      <c r="F5793" s="117"/>
      <c r="G5793" s="138"/>
      <c r="H5793" s="177"/>
    </row>
    <row r="5794" spans="1:8" s="139" customFormat="1" ht="13.5" customHeight="1" x14ac:dyDescent="0.35">
      <c r="A5794" s="146"/>
      <c r="B5794" s="120" t="s">
        <v>787</v>
      </c>
      <c r="C5794" s="124" t="s">
        <v>1043</v>
      </c>
      <c r="D5794" s="146">
        <v>3</v>
      </c>
      <c r="E5794" s="117">
        <v>15000</v>
      </c>
      <c r="F5794" s="117">
        <f>+D5794*E5794</f>
        <v>45000</v>
      </c>
      <c r="G5794" s="138"/>
      <c r="H5794" s="177"/>
    </row>
    <row r="5795" spans="1:8" s="139" customFormat="1" ht="13.5" customHeight="1" x14ac:dyDescent="0.35">
      <c r="A5795" s="146"/>
      <c r="B5795" s="112" t="s">
        <v>774</v>
      </c>
      <c r="C5795" s="124"/>
      <c r="D5795" s="146"/>
      <c r="E5795" s="117"/>
      <c r="F5795" s="117">
        <f>SUM(F5794)</f>
        <v>45000</v>
      </c>
      <c r="G5795" s="138"/>
      <c r="H5795" s="177"/>
    </row>
    <row r="5796" spans="1:8" s="139" customFormat="1" ht="13.5" customHeight="1" x14ac:dyDescent="0.35">
      <c r="A5796" s="146"/>
      <c r="B5796" s="112" t="s">
        <v>775</v>
      </c>
      <c r="C5796" s="124"/>
      <c r="D5796" s="146"/>
      <c r="E5796" s="117"/>
      <c r="F5796" s="117">
        <f>+F5792+F5795</f>
        <v>1184050</v>
      </c>
      <c r="G5796" s="138"/>
      <c r="H5796" s="177"/>
    </row>
    <row r="5797" spans="1:8" s="139" customFormat="1" ht="13.5" customHeight="1" x14ac:dyDescent="0.35">
      <c r="A5797" s="146"/>
      <c r="B5797" s="120" t="s">
        <v>776</v>
      </c>
      <c r="C5797" s="124"/>
      <c r="D5797" s="146">
        <v>1.25</v>
      </c>
      <c r="E5797" s="117"/>
      <c r="F5797" s="117">
        <f>+F5796*D5797</f>
        <v>1480062.5</v>
      </c>
      <c r="G5797" s="138"/>
      <c r="H5797" s="177"/>
    </row>
    <row r="5798" spans="1:8" s="139" customFormat="1" ht="13.5" customHeight="1" x14ac:dyDescent="0.35">
      <c r="A5798" s="146"/>
      <c r="B5798" s="120" t="s">
        <v>835</v>
      </c>
      <c r="C5798" s="124"/>
      <c r="D5798" s="146">
        <v>1.25</v>
      </c>
      <c r="E5798" s="117"/>
      <c r="F5798" s="117"/>
      <c r="G5798" s="138"/>
      <c r="H5798" s="177"/>
    </row>
    <row r="5799" spans="1:8" s="139" customFormat="1" ht="13.5" customHeight="1" x14ac:dyDescent="0.35">
      <c r="A5799" s="233" t="s">
        <v>418</v>
      </c>
      <c r="B5799" s="207" t="s">
        <v>784</v>
      </c>
      <c r="C5799" s="233" t="s">
        <v>27</v>
      </c>
      <c r="D5799" s="340"/>
      <c r="E5799" s="209"/>
      <c r="F5799" s="209">
        <f>+D5798*F5797</f>
        <v>1850078.125</v>
      </c>
      <c r="G5799" s="138"/>
      <c r="H5799" s="177"/>
    </row>
    <row r="5800" spans="1:8" s="139" customFormat="1" ht="13.5" customHeight="1" x14ac:dyDescent="0.35">
      <c r="A5800" s="340"/>
      <c r="B5800" s="207"/>
      <c r="C5800" s="208"/>
      <c r="D5800" s="340"/>
      <c r="E5800" s="210">
        <f>+E5783</f>
        <v>3035.45</v>
      </c>
      <c r="F5800" s="210">
        <f>+F5799/E5800</f>
        <v>609.49056153123922</v>
      </c>
      <c r="G5800" s="138"/>
      <c r="H5800" s="177"/>
    </row>
    <row r="5801" spans="1:8" s="139" customFormat="1" ht="13.5" customHeight="1" x14ac:dyDescent="0.35">
      <c r="A5801" s="163"/>
      <c r="B5801" s="164"/>
      <c r="C5801" s="165"/>
      <c r="E5801" s="166"/>
      <c r="F5801" s="166"/>
      <c r="G5801" s="138"/>
      <c r="H5801" s="177"/>
    </row>
    <row r="5802" spans="1:8" s="139" customFormat="1" ht="13.5" customHeight="1" x14ac:dyDescent="0.35">
      <c r="A5802" s="163"/>
      <c r="B5802" s="164"/>
      <c r="C5802" s="165"/>
      <c r="D5802" s="163"/>
      <c r="E5802" s="166"/>
      <c r="F5802" s="166"/>
      <c r="G5802" s="138"/>
      <c r="H5802" s="177"/>
    </row>
    <row r="5803" spans="1:8" s="139" customFormat="1" ht="13.5" customHeight="1" x14ac:dyDescent="0.3">
      <c r="A5803" s="341" t="s">
        <v>392</v>
      </c>
      <c r="B5803" s="331" t="s">
        <v>393</v>
      </c>
      <c r="C5803" s="332" t="s">
        <v>611</v>
      </c>
      <c r="D5803" s="333" t="s">
        <v>765</v>
      </c>
      <c r="E5803" s="334" t="s">
        <v>766</v>
      </c>
      <c r="F5803" s="334" t="s">
        <v>767</v>
      </c>
      <c r="G5803" s="138"/>
      <c r="H5803" s="177"/>
    </row>
    <row r="5804" spans="1:8" s="139" customFormat="1" ht="13.5" customHeight="1" x14ac:dyDescent="0.3">
      <c r="A5804" s="230" t="s">
        <v>1205</v>
      </c>
      <c r="B5804" s="292" t="s">
        <v>409</v>
      </c>
      <c r="C5804" s="256"/>
      <c r="D5804" s="146"/>
      <c r="E5804" s="117"/>
      <c r="F5804" s="117"/>
      <c r="G5804" s="138"/>
      <c r="H5804" s="177"/>
    </row>
    <row r="5805" spans="1:8" s="139" customFormat="1" ht="15.75" customHeight="1" x14ac:dyDescent="0.35">
      <c r="A5805" s="232" t="s">
        <v>420</v>
      </c>
      <c r="B5805" s="339" t="s">
        <v>419</v>
      </c>
      <c r="C5805" s="256" t="s">
        <v>59</v>
      </c>
      <c r="D5805" s="146"/>
      <c r="E5805" s="117"/>
      <c r="F5805" s="117"/>
      <c r="G5805" s="138"/>
      <c r="H5805" s="177"/>
    </row>
    <row r="5806" spans="1:8" s="139" customFormat="1" ht="13.5" customHeight="1" x14ac:dyDescent="0.35">
      <c r="A5806" s="146"/>
      <c r="B5806" s="112" t="s">
        <v>802</v>
      </c>
      <c r="C5806" s="124"/>
      <c r="D5806" s="146"/>
      <c r="E5806" s="117"/>
      <c r="F5806" s="117"/>
      <c r="G5806" s="138"/>
      <c r="H5806" s="177"/>
    </row>
    <row r="5807" spans="1:8" s="139" customFormat="1" ht="13.5" customHeight="1" x14ac:dyDescent="0.35">
      <c r="A5807" s="146"/>
      <c r="B5807" s="348" t="s">
        <v>419</v>
      </c>
      <c r="C5807" s="124" t="s">
        <v>59</v>
      </c>
      <c r="D5807" s="146">
        <v>1</v>
      </c>
      <c r="E5807" s="117">
        <v>1821000</v>
      </c>
      <c r="F5807" s="117">
        <f>D5807*E5807</f>
        <v>1821000</v>
      </c>
      <c r="G5807" s="138"/>
      <c r="H5807" s="177"/>
    </row>
    <row r="5808" spans="1:8" s="139" customFormat="1" ht="13.5" customHeight="1" x14ac:dyDescent="0.35">
      <c r="A5808" s="146"/>
      <c r="B5808" s="120" t="s">
        <v>1057</v>
      </c>
      <c r="C5808" s="124"/>
      <c r="D5808" s="146"/>
      <c r="E5808" s="117"/>
      <c r="F5808" s="117">
        <f>0.1*(F5807)</f>
        <v>182100</v>
      </c>
      <c r="G5808" s="138"/>
      <c r="H5808" s="177"/>
    </row>
    <row r="5809" spans="1:8" s="139" customFormat="1" ht="13.5" customHeight="1" x14ac:dyDescent="0.35">
      <c r="A5809" s="146"/>
      <c r="B5809" s="112" t="s">
        <v>769</v>
      </c>
      <c r="C5809" s="124"/>
      <c r="D5809" s="146"/>
      <c r="E5809" s="117"/>
      <c r="F5809" s="110">
        <f>SUM(F5807:F5808)</f>
        <v>2003100</v>
      </c>
      <c r="G5809" s="138"/>
      <c r="H5809" s="177"/>
    </row>
    <row r="5810" spans="1:8" s="139" customFormat="1" ht="13.5" customHeight="1" x14ac:dyDescent="0.35">
      <c r="A5810" s="146"/>
      <c r="B5810" s="112" t="s">
        <v>808</v>
      </c>
      <c r="C5810" s="124"/>
      <c r="D5810" s="146"/>
      <c r="E5810" s="117"/>
      <c r="F5810" s="117"/>
      <c r="G5810" s="138"/>
      <c r="H5810" s="177"/>
    </row>
    <row r="5811" spans="1:8" s="139" customFormat="1" ht="13.5" customHeight="1" x14ac:dyDescent="0.35">
      <c r="A5811" s="146"/>
      <c r="B5811" s="120" t="s">
        <v>787</v>
      </c>
      <c r="C5811" s="124" t="s">
        <v>1043</v>
      </c>
      <c r="D5811" s="146">
        <v>3</v>
      </c>
      <c r="E5811" s="117">
        <v>15000</v>
      </c>
      <c r="F5811" s="117">
        <f>+D5811*E5811</f>
        <v>45000</v>
      </c>
      <c r="G5811" s="138"/>
      <c r="H5811" s="177"/>
    </row>
    <row r="5812" spans="1:8" s="139" customFormat="1" ht="13.5" customHeight="1" x14ac:dyDescent="0.35">
      <c r="A5812" s="146"/>
      <c r="B5812" s="112" t="s">
        <v>774</v>
      </c>
      <c r="C5812" s="124"/>
      <c r="D5812" s="146"/>
      <c r="E5812" s="117"/>
      <c r="F5812" s="117">
        <f>SUM(F5811)</f>
        <v>45000</v>
      </c>
      <c r="G5812" s="138"/>
      <c r="H5812" s="177"/>
    </row>
    <row r="5813" spans="1:8" s="139" customFormat="1" ht="13.5" customHeight="1" x14ac:dyDescent="0.35">
      <c r="A5813" s="146"/>
      <c r="B5813" s="112" t="s">
        <v>775</v>
      </c>
      <c r="C5813" s="124"/>
      <c r="D5813" s="146"/>
      <c r="E5813" s="117"/>
      <c r="F5813" s="117">
        <f>+F5809+F5812</f>
        <v>2048100</v>
      </c>
      <c r="G5813" s="138"/>
      <c r="H5813" s="177"/>
    </row>
    <row r="5814" spans="1:8" s="139" customFormat="1" ht="13.5" customHeight="1" x14ac:dyDescent="0.35">
      <c r="A5814" s="146"/>
      <c r="B5814" s="120" t="s">
        <v>776</v>
      </c>
      <c r="C5814" s="124"/>
      <c r="D5814" s="146">
        <v>1.25</v>
      </c>
      <c r="E5814" s="117"/>
      <c r="F5814" s="117">
        <f>+F5813*D5814</f>
        <v>2560125</v>
      </c>
      <c r="G5814" s="138"/>
      <c r="H5814" s="177"/>
    </row>
    <row r="5815" spans="1:8" s="139" customFormat="1" ht="13.5" customHeight="1" x14ac:dyDescent="0.35">
      <c r="A5815" s="146"/>
      <c r="B5815" s="120" t="s">
        <v>835</v>
      </c>
      <c r="C5815" s="124"/>
      <c r="D5815" s="146">
        <v>1.25</v>
      </c>
      <c r="E5815" s="117"/>
      <c r="F5815" s="117"/>
      <c r="G5815" s="138"/>
      <c r="H5815" s="177"/>
    </row>
    <row r="5816" spans="1:8" s="139" customFormat="1" ht="13.5" customHeight="1" x14ac:dyDescent="0.35">
      <c r="A5816" s="233" t="s">
        <v>420</v>
      </c>
      <c r="B5816" s="207" t="s">
        <v>785</v>
      </c>
      <c r="C5816" s="233" t="s">
        <v>59</v>
      </c>
      <c r="D5816" s="340"/>
      <c r="E5816" s="209"/>
      <c r="F5816" s="209">
        <f>+D5815*F5814</f>
        <v>3200156.25</v>
      </c>
      <c r="G5816" s="138"/>
      <c r="H5816" s="177"/>
    </row>
    <row r="5817" spans="1:8" s="139" customFormat="1" ht="13.5" customHeight="1" x14ac:dyDescent="0.35">
      <c r="A5817" s="340"/>
      <c r="B5817" s="207"/>
      <c r="C5817" s="208"/>
      <c r="D5817" s="340"/>
      <c r="E5817" s="210">
        <f>+E5800</f>
        <v>3035.45</v>
      </c>
      <c r="F5817" s="210">
        <f>+F5816/E5817</f>
        <v>1054.2609003607374</v>
      </c>
      <c r="G5817" s="138"/>
      <c r="H5817" s="177"/>
    </row>
    <row r="5818" spans="1:8" s="139" customFormat="1" ht="13.5" customHeight="1" x14ac:dyDescent="0.35">
      <c r="A5818" s="163"/>
      <c r="B5818" s="164"/>
      <c r="C5818" s="165"/>
      <c r="E5818" s="166"/>
      <c r="F5818" s="166"/>
      <c r="G5818" s="138"/>
      <c r="H5818" s="177"/>
    </row>
    <row r="5819" spans="1:8" s="139" customFormat="1" ht="13.5" customHeight="1" x14ac:dyDescent="0.35">
      <c r="A5819" s="163"/>
      <c r="B5819" s="164"/>
      <c r="C5819" s="165"/>
      <c r="D5819" s="163"/>
      <c r="E5819" s="166"/>
      <c r="F5819" s="166"/>
      <c r="G5819" s="138"/>
      <c r="H5819" s="177"/>
    </row>
    <row r="5820" spans="1:8" s="139" customFormat="1" ht="13.5" customHeight="1" x14ac:dyDescent="0.3">
      <c r="A5820" s="341" t="s">
        <v>392</v>
      </c>
      <c r="B5820" s="331" t="s">
        <v>393</v>
      </c>
      <c r="C5820" s="332" t="s">
        <v>611</v>
      </c>
      <c r="D5820" s="333" t="s">
        <v>765</v>
      </c>
      <c r="E5820" s="334" t="s">
        <v>766</v>
      </c>
      <c r="F5820" s="334" t="s">
        <v>767</v>
      </c>
      <c r="G5820" s="138"/>
      <c r="H5820" s="177"/>
    </row>
    <row r="5821" spans="1:8" s="139" customFormat="1" ht="13.5" customHeight="1" x14ac:dyDescent="0.3">
      <c r="A5821" s="345">
        <v>13034</v>
      </c>
      <c r="B5821" s="292" t="s">
        <v>409</v>
      </c>
      <c r="C5821" s="256"/>
      <c r="D5821" s="146"/>
      <c r="E5821" s="117"/>
      <c r="F5821" s="117"/>
      <c r="G5821" s="138"/>
      <c r="H5821" s="177"/>
    </row>
    <row r="5822" spans="1:8" s="139" customFormat="1" ht="13.5" customHeight="1" x14ac:dyDescent="0.35">
      <c r="A5822" s="232" t="s">
        <v>421</v>
      </c>
      <c r="B5822" s="339" t="s">
        <v>1063</v>
      </c>
      <c r="C5822" s="256" t="s">
        <v>59</v>
      </c>
      <c r="D5822" s="146"/>
      <c r="E5822" s="117"/>
      <c r="F5822" s="117"/>
      <c r="G5822" s="138"/>
      <c r="H5822" s="177"/>
    </row>
    <row r="5823" spans="1:8" s="139" customFormat="1" ht="13.5" customHeight="1" x14ac:dyDescent="0.35">
      <c r="A5823" s="232" t="s">
        <v>422</v>
      </c>
      <c r="B5823" s="339" t="s">
        <v>1208</v>
      </c>
      <c r="C5823" s="256" t="s">
        <v>59</v>
      </c>
      <c r="D5823" s="146"/>
      <c r="E5823" s="117"/>
      <c r="F5823" s="117"/>
      <c r="G5823" s="138"/>
      <c r="H5823" s="177"/>
    </row>
    <row r="5824" spans="1:8" s="139" customFormat="1" ht="13.5" customHeight="1" x14ac:dyDescent="0.35">
      <c r="A5824" s="146"/>
      <c r="B5824" s="112" t="s">
        <v>802</v>
      </c>
      <c r="C5824" s="124"/>
      <c r="D5824" s="146"/>
      <c r="E5824" s="117"/>
      <c r="F5824" s="117"/>
      <c r="G5824" s="138"/>
      <c r="H5824" s="177"/>
    </row>
    <row r="5825" spans="1:8" s="139" customFormat="1" ht="13.5" customHeight="1" x14ac:dyDescent="0.35">
      <c r="A5825" s="146"/>
      <c r="B5825" s="348" t="s">
        <v>1063</v>
      </c>
      <c r="C5825" s="124" t="s">
        <v>59</v>
      </c>
      <c r="D5825" s="146">
        <v>1</v>
      </c>
      <c r="E5825" s="117">
        <v>2780950</v>
      </c>
      <c r="F5825" s="117">
        <f>D5825*E5825</f>
        <v>2780950</v>
      </c>
      <c r="G5825" s="138"/>
      <c r="H5825" s="177"/>
    </row>
    <row r="5826" spans="1:8" s="139" customFormat="1" ht="13.5" customHeight="1" x14ac:dyDescent="0.35">
      <c r="A5826" s="146"/>
      <c r="B5826" s="120" t="s">
        <v>1057</v>
      </c>
      <c r="C5826" s="124"/>
      <c r="D5826" s="146"/>
      <c r="E5826" s="117"/>
      <c r="F5826" s="117">
        <f>0.1*(F5825)</f>
        <v>278095</v>
      </c>
      <c r="G5826" s="138"/>
      <c r="H5826" s="177"/>
    </row>
    <row r="5827" spans="1:8" s="139" customFormat="1" ht="13.5" customHeight="1" x14ac:dyDescent="0.35">
      <c r="A5827" s="146"/>
      <c r="B5827" s="112" t="s">
        <v>769</v>
      </c>
      <c r="C5827" s="124"/>
      <c r="D5827" s="146"/>
      <c r="E5827" s="117"/>
      <c r="F5827" s="110">
        <f>SUM(F5825:F5826)</f>
        <v>3059045</v>
      </c>
      <c r="G5827" s="138"/>
      <c r="H5827" s="177"/>
    </row>
    <row r="5828" spans="1:8" s="139" customFormat="1" ht="13.5" customHeight="1" x14ac:dyDescent="0.35">
      <c r="A5828" s="146"/>
      <c r="B5828" s="112" t="s">
        <v>808</v>
      </c>
      <c r="C5828" s="124"/>
      <c r="D5828" s="146"/>
      <c r="E5828" s="117"/>
      <c r="F5828" s="117"/>
      <c r="G5828" s="138"/>
      <c r="H5828" s="177"/>
    </row>
    <row r="5829" spans="1:8" s="139" customFormat="1" ht="13.5" customHeight="1" x14ac:dyDescent="0.35">
      <c r="A5829" s="146"/>
      <c r="B5829" s="120" t="s">
        <v>787</v>
      </c>
      <c r="C5829" s="124" t="s">
        <v>1043</v>
      </c>
      <c r="D5829" s="146">
        <v>3</v>
      </c>
      <c r="E5829" s="117">
        <v>15000</v>
      </c>
      <c r="F5829" s="117">
        <f>+D5829*E5829</f>
        <v>45000</v>
      </c>
      <c r="G5829" s="138"/>
      <c r="H5829" s="177"/>
    </row>
    <row r="5830" spans="1:8" s="139" customFormat="1" ht="13.5" customHeight="1" x14ac:dyDescent="0.35">
      <c r="A5830" s="146"/>
      <c r="B5830" s="112" t="s">
        <v>774</v>
      </c>
      <c r="C5830" s="124"/>
      <c r="D5830" s="146"/>
      <c r="E5830" s="117"/>
      <c r="F5830" s="117">
        <f>SUM(F5829)</f>
        <v>45000</v>
      </c>
      <c r="G5830" s="138"/>
      <c r="H5830" s="177"/>
    </row>
    <row r="5831" spans="1:8" s="139" customFormat="1" ht="13.5" customHeight="1" x14ac:dyDescent="0.35">
      <c r="A5831" s="146"/>
      <c r="B5831" s="112" t="s">
        <v>775</v>
      </c>
      <c r="C5831" s="124"/>
      <c r="D5831" s="146"/>
      <c r="E5831" s="117"/>
      <c r="F5831" s="117">
        <f>+F5827+F5830</f>
        <v>3104045</v>
      </c>
      <c r="G5831" s="138"/>
      <c r="H5831" s="177"/>
    </row>
    <row r="5832" spans="1:8" s="139" customFormat="1" ht="13.5" customHeight="1" x14ac:dyDescent="0.35">
      <c r="A5832" s="146"/>
      <c r="B5832" s="120" t="s">
        <v>776</v>
      </c>
      <c r="C5832" s="124"/>
      <c r="D5832" s="146">
        <v>1.25</v>
      </c>
      <c r="E5832" s="117"/>
      <c r="F5832" s="117">
        <f>+F5831*D5832</f>
        <v>3880056.25</v>
      </c>
      <c r="G5832" s="138"/>
      <c r="H5832" s="177"/>
    </row>
    <row r="5833" spans="1:8" s="139" customFormat="1" ht="13.5" customHeight="1" x14ac:dyDescent="0.35">
      <c r="A5833" s="146"/>
      <c r="B5833" s="120" t="s">
        <v>835</v>
      </c>
      <c r="C5833" s="124"/>
      <c r="D5833" s="146">
        <v>1.25</v>
      </c>
      <c r="E5833" s="117"/>
      <c r="F5833" s="117"/>
      <c r="G5833" s="138"/>
      <c r="H5833" s="177"/>
    </row>
    <row r="5834" spans="1:8" s="139" customFormat="1" ht="27" customHeight="1" x14ac:dyDescent="0.35">
      <c r="A5834" s="241" t="s">
        <v>1209</v>
      </c>
      <c r="B5834" s="207" t="s">
        <v>785</v>
      </c>
      <c r="C5834" s="233" t="s">
        <v>59</v>
      </c>
      <c r="D5834" s="340"/>
      <c r="E5834" s="209"/>
      <c r="F5834" s="209">
        <f>+D5833*F5832</f>
        <v>4850070.3125</v>
      </c>
      <c r="G5834" s="138"/>
      <c r="H5834" s="177"/>
    </row>
    <row r="5835" spans="1:8" s="139" customFormat="1" ht="13.5" customHeight="1" x14ac:dyDescent="0.35">
      <c r="A5835" s="340"/>
      <c r="B5835" s="207"/>
      <c r="C5835" s="208"/>
      <c r="D5835" s="340"/>
      <c r="E5835" s="210">
        <f>+E5817</f>
        <v>3035.45</v>
      </c>
      <c r="F5835" s="210">
        <f>+F5834/E5835</f>
        <v>1597.8093239882062</v>
      </c>
      <c r="G5835" s="138"/>
      <c r="H5835" s="177"/>
    </row>
    <row r="5836" spans="1:8" s="139" customFormat="1" ht="13.5" customHeight="1" x14ac:dyDescent="0.35">
      <c r="A5836" s="163"/>
      <c r="B5836" s="164"/>
      <c r="C5836" s="165"/>
      <c r="E5836" s="166"/>
      <c r="F5836" s="166"/>
      <c r="G5836" s="138"/>
      <c r="H5836" s="177"/>
    </row>
    <row r="5837" spans="1:8" s="139" customFormat="1" ht="13.5" customHeight="1" x14ac:dyDescent="0.35">
      <c r="A5837" s="163"/>
      <c r="B5837" s="164"/>
      <c r="C5837" s="165"/>
      <c r="D5837" s="163"/>
      <c r="E5837" s="166"/>
      <c r="F5837" s="166"/>
      <c r="G5837" s="138"/>
      <c r="H5837" s="177"/>
    </row>
    <row r="5838" spans="1:8" s="139" customFormat="1" ht="13.5" customHeight="1" x14ac:dyDescent="0.3">
      <c r="A5838" s="341" t="s">
        <v>392</v>
      </c>
      <c r="B5838" s="331" t="s">
        <v>393</v>
      </c>
      <c r="C5838" s="332" t="s">
        <v>611</v>
      </c>
      <c r="D5838" s="333" t="s">
        <v>765</v>
      </c>
      <c r="E5838" s="334" t="s">
        <v>766</v>
      </c>
      <c r="F5838" s="334" t="s">
        <v>767</v>
      </c>
      <c r="G5838" s="138"/>
      <c r="H5838" s="177"/>
    </row>
    <row r="5839" spans="1:8" s="139" customFormat="1" ht="13.5" customHeight="1" x14ac:dyDescent="0.3">
      <c r="A5839" s="230" t="s">
        <v>408</v>
      </c>
      <c r="B5839" s="292" t="s">
        <v>409</v>
      </c>
      <c r="C5839" s="256"/>
      <c r="D5839" s="146"/>
      <c r="E5839" s="117"/>
      <c r="F5839" s="117"/>
      <c r="G5839" s="138"/>
      <c r="H5839" s="177"/>
    </row>
    <row r="5840" spans="1:8" s="139" customFormat="1" ht="13.5" customHeight="1" x14ac:dyDescent="0.35">
      <c r="A5840" s="232" t="s">
        <v>422</v>
      </c>
      <c r="B5840" s="346" t="s">
        <v>712</v>
      </c>
      <c r="C5840" s="256" t="s">
        <v>59</v>
      </c>
      <c r="D5840" s="146"/>
      <c r="E5840" s="117"/>
      <c r="F5840" s="117"/>
      <c r="G5840" s="138"/>
      <c r="H5840" s="177"/>
    </row>
    <row r="5841" spans="1:8" s="139" customFormat="1" ht="13.5" customHeight="1" x14ac:dyDescent="0.35">
      <c r="A5841" s="232" t="s">
        <v>423</v>
      </c>
      <c r="B5841" s="346" t="s">
        <v>1329</v>
      </c>
      <c r="C5841" s="256" t="s">
        <v>59</v>
      </c>
      <c r="D5841" s="146"/>
      <c r="E5841" s="117"/>
      <c r="F5841" s="117"/>
      <c r="G5841" s="138"/>
      <c r="H5841" s="177"/>
    </row>
    <row r="5842" spans="1:8" s="139" customFormat="1" ht="13.5" customHeight="1" x14ac:dyDescent="0.35">
      <c r="A5842" s="146"/>
      <c r="B5842" s="112" t="s">
        <v>802</v>
      </c>
      <c r="C5842" s="124"/>
      <c r="D5842" s="146"/>
      <c r="E5842" s="117"/>
      <c r="F5842" s="117"/>
      <c r="G5842" s="138"/>
      <c r="H5842" s="177"/>
    </row>
    <row r="5843" spans="1:8" s="139" customFormat="1" ht="13.5" customHeight="1" x14ac:dyDescent="0.35">
      <c r="A5843" s="146"/>
      <c r="B5843" s="348" t="s">
        <v>1064</v>
      </c>
      <c r="C5843" s="124" t="s">
        <v>59</v>
      </c>
      <c r="D5843" s="146">
        <v>1</v>
      </c>
      <c r="E5843" s="117">
        <v>1821000</v>
      </c>
      <c r="F5843" s="117">
        <f>D5843*E5843</f>
        <v>1821000</v>
      </c>
      <c r="G5843" s="138"/>
      <c r="H5843" s="177"/>
    </row>
    <row r="5844" spans="1:8" s="139" customFormat="1" ht="13.5" customHeight="1" x14ac:dyDescent="0.35">
      <c r="A5844" s="146"/>
      <c r="B5844" s="120" t="s">
        <v>1057</v>
      </c>
      <c r="C5844" s="124"/>
      <c r="D5844" s="146"/>
      <c r="E5844" s="117"/>
      <c r="F5844" s="117">
        <f>0.1*(F5843)</f>
        <v>182100</v>
      </c>
      <c r="G5844" s="138"/>
      <c r="H5844" s="177"/>
    </row>
    <row r="5845" spans="1:8" s="139" customFormat="1" ht="13.5" customHeight="1" x14ac:dyDescent="0.35">
      <c r="A5845" s="146"/>
      <c r="B5845" s="112" t="s">
        <v>769</v>
      </c>
      <c r="C5845" s="124"/>
      <c r="D5845" s="146"/>
      <c r="E5845" s="117"/>
      <c r="F5845" s="110">
        <f>SUM(F5843:F5844)</f>
        <v>2003100</v>
      </c>
      <c r="G5845" s="138"/>
      <c r="H5845" s="177"/>
    </row>
    <row r="5846" spans="1:8" s="139" customFormat="1" ht="13.5" customHeight="1" x14ac:dyDescent="0.35">
      <c r="A5846" s="146"/>
      <c r="B5846" s="112" t="s">
        <v>808</v>
      </c>
      <c r="C5846" s="124"/>
      <c r="D5846" s="146"/>
      <c r="E5846" s="117"/>
      <c r="F5846" s="117"/>
      <c r="G5846" s="138"/>
      <c r="H5846" s="177"/>
    </row>
    <row r="5847" spans="1:8" s="139" customFormat="1" ht="13.5" customHeight="1" x14ac:dyDescent="0.35">
      <c r="A5847" s="146"/>
      <c r="B5847" s="120" t="s">
        <v>787</v>
      </c>
      <c r="C5847" s="124" t="s">
        <v>1043</v>
      </c>
      <c r="D5847" s="146">
        <v>3</v>
      </c>
      <c r="E5847" s="117">
        <v>15000</v>
      </c>
      <c r="F5847" s="117">
        <f>+D5847*E5847</f>
        <v>45000</v>
      </c>
      <c r="G5847" s="138"/>
      <c r="H5847" s="177"/>
    </row>
    <row r="5848" spans="1:8" s="139" customFormat="1" ht="13.5" customHeight="1" x14ac:dyDescent="0.35">
      <c r="A5848" s="146"/>
      <c r="B5848" s="112" t="s">
        <v>774</v>
      </c>
      <c r="C5848" s="124"/>
      <c r="D5848" s="146"/>
      <c r="E5848" s="117"/>
      <c r="F5848" s="117">
        <f>SUM(F5847)</f>
        <v>45000</v>
      </c>
      <c r="G5848" s="138"/>
      <c r="H5848" s="177"/>
    </row>
    <row r="5849" spans="1:8" s="139" customFormat="1" ht="13.5" customHeight="1" x14ac:dyDescent="0.35">
      <c r="A5849" s="146"/>
      <c r="B5849" s="112" t="s">
        <v>775</v>
      </c>
      <c r="C5849" s="124"/>
      <c r="D5849" s="146"/>
      <c r="E5849" s="117"/>
      <c r="F5849" s="117">
        <f>+F5845+F5848</f>
        <v>2048100</v>
      </c>
      <c r="G5849" s="138"/>
      <c r="H5849" s="177"/>
    </row>
    <row r="5850" spans="1:8" s="139" customFormat="1" ht="13.5" customHeight="1" x14ac:dyDescent="0.35">
      <c r="A5850" s="146"/>
      <c r="B5850" s="120" t="s">
        <v>776</v>
      </c>
      <c r="C5850" s="124"/>
      <c r="D5850" s="146">
        <v>1.25</v>
      </c>
      <c r="E5850" s="117"/>
      <c r="F5850" s="117">
        <f>+F5849*D5850</f>
        <v>2560125</v>
      </c>
      <c r="G5850" s="138"/>
      <c r="H5850" s="177"/>
    </row>
    <row r="5851" spans="1:8" s="139" customFormat="1" ht="13.5" customHeight="1" x14ac:dyDescent="0.35">
      <c r="A5851" s="146"/>
      <c r="B5851" s="120" t="s">
        <v>835</v>
      </c>
      <c r="C5851" s="124"/>
      <c r="D5851" s="146">
        <v>1.25</v>
      </c>
      <c r="E5851" s="117"/>
      <c r="F5851" s="117"/>
      <c r="G5851" s="138"/>
      <c r="H5851" s="177"/>
    </row>
    <row r="5852" spans="1:8" s="139" customFormat="1" ht="27.75" customHeight="1" x14ac:dyDescent="0.35">
      <c r="A5852" s="241" t="s">
        <v>1330</v>
      </c>
      <c r="B5852" s="207" t="s">
        <v>785</v>
      </c>
      <c r="C5852" s="233" t="s">
        <v>59</v>
      </c>
      <c r="D5852" s="340"/>
      <c r="E5852" s="209"/>
      <c r="F5852" s="209">
        <f>+D5851*F5850</f>
        <v>3200156.25</v>
      </c>
      <c r="G5852" s="138"/>
      <c r="H5852" s="177"/>
    </row>
    <row r="5853" spans="1:8" s="139" customFormat="1" ht="13.5" customHeight="1" x14ac:dyDescent="0.35">
      <c r="A5853" s="340"/>
      <c r="B5853" s="207"/>
      <c r="C5853" s="208"/>
      <c r="D5853" s="340"/>
      <c r="E5853" s="210">
        <f>+E5835</f>
        <v>3035.45</v>
      </c>
      <c r="F5853" s="210">
        <f>+F5852/E5853</f>
        <v>1054.2609003607374</v>
      </c>
      <c r="G5853" s="138"/>
      <c r="H5853" s="177"/>
    </row>
    <row r="5854" spans="1:8" s="139" customFormat="1" ht="13.5" customHeight="1" x14ac:dyDescent="0.35">
      <c r="A5854" s="163"/>
      <c r="B5854" s="164"/>
      <c r="C5854" s="165"/>
      <c r="E5854" s="166"/>
      <c r="F5854" s="166"/>
      <c r="G5854" s="138"/>
      <c r="H5854" s="177"/>
    </row>
    <row r="5855" spans="1:8" s="139" customFormat="1" ht="13.5" customHeight="1" x14ac:dyDescent="0.35">
      <c r="A5855" s="163"/>
      <c r="B5855" s="164"/>
      <c r="C5855" s="165"/>
      <c r="D5855" s="163"/>
      <c r="E5855" s="166"/>
      <c r="F5855" s="166"/>
      <c r="G5855" s="138"/>
      <c r="H5855" s="177"/>
    </row>
    <row r="5856" spans="1:8" s="139" customFormat="1" ht="13.5" customHeight="1" x14ac:dyDescent="0.3">
      <c r="A5856" s="341" t="s">
        <v>392</v>
      </c>
      <c r="B5856" s="331" t="s">
        <v>393</v>
      </c>
      <c r="C5856" s="332" t="s">
        <v>611</v>
      </c>
      <c r="D5856" s="333" t="s">
        <v>765</v>
      </c>
      <c r="E5856" s="334" t="s">
        <v>766</v>
      </c>
      <c r="F5856" s="334" t="s">
        <v>767</v>
      </c>
      <c r="G5856" s="138"/>
      <c r="H5856" s="177"/>
    </row>
    <row r="5857" spans="1:8" s="139" customFormat="1" ht="13.5" customHeight="1" x14ac:dyDescent="0.3">
      <c r="A5857" s="230" t="s">
        <v>408</v>
      </c>
      <c r="B5857" s="292" t="s">
        <v>409</v>
      </c>
      <c r="C5857" s="256"/>
      <c r="D5857" s="146"/>
      <c r="E5857" s="117"/>
      <c r="F5857" s="117"/>
      <c r="G5857" s="138"/>
      <c r="H5857" s="177"/>
    </row>
    <row r="5858" spans="1:8" s="139" customFormat="1" ht="13.5" customHeight="1" x14ac:dyDescent="0.35">
      <c r="A5858" s="232" t="s">
        <v>423</v>
      </c>
      <c r="B5858" s="339" t="s">
        <v>1210</v>
      </c>
      <c r="C5858" s="256" t="s">
        <v>59</v>
      </c>
      <c r="D5858" s="146"/>
      <c r="E5858" s="117"/>
      <c r="F5858" s="117"/>
      <c r="G5858" s="138"/>
      <c r="H5858" s="177"/>
    </row>
    <row r="5859" spans="1:8" s="139" customFormat="1" ht="13.5" customHeight="1" x14ac:dyDescent="0.35">
      <c r="A5859" s="146"/>
      <c r="B5859" s="112" t="s">
        <v>802</v>
      </c>
      <c r="C5859" s="124"/>
      <c r="D5859" s="146"/>
      <c r="E5859" s="117"/>
      <c r="F5859" s="117"/>
      <c r="G5859" s="138"/>
      <c r="H5859" s="177"/>
    </row>
    <row r="5860" spans="1:8" s="139" customFormat="1" ht="13.5" customHeight="1" x14ac:dyDescent="0.35">
      <c r="A5860" s="146"/>
      <c r="B5860" s="348" t="s">
        <v>1211</v>
      </c>
      <c r="C5860" s="124" t="s">
        <v>59</v>
      </c>
      <c r="D5860" s="146">
        <v>1</v>
      </c>
      <c r="E5860" s="117">
        <v>2785000</v>
      </c>
      <c r="F5860" s="117">
        <f>D5860*E5860</f>
        <v>2785000</v>
      </c>
      <c r="G5860" s="138"/>
      <c r="H5860" s="177"/>
    </row>
    <row r="5861" spans="1:8" s="139" customFormat="1" ht="13.5" customHeight="1" x14ac:dyDescent="0.35">
      <c r="A5861" s="146"/>
      <c r="B5861" s="120" t="s">
        <v>1057</v>
      </c>
      <c r="C5861" s="124"/>
      <c r="D5861" s="146"/>
      <c r="E5861" s="117"/>
      <c r="F5861" s="117">
        <f>0.1*(F5860)</f>
        <v>278500</v>
      </c>
      <c r="G5861" s="138"/>
      <c r="H5861" s="177"/>
    </row>
    <row r="5862" spans="1:8" s="139" customFormat="1" ht="13.5" customHeight="1" x14ac:dyDescent="0.35">
      <c r="A5862" s="146"/>
      <c r="B5862" s="112" t="s">
        <v>769</v>
      </c>
      <c r="C5862" s="124"/>
      <c r="D5862" s="146"/>
      <c r="E5862" s="117"/>
      <c r="F5862" s="110">
        <f>SUM(F5860:F5861)</f>
        <v>3063500</v>
      </c>
      <c r="G5862" s="138"/>
      <c r="H5862" s="177"/>
    </row>
    <row r="5863" spans="1:8" s="139" customFormat="1" ht="13.5" customHeight="1" x14ac:dyDescent="0.35">
      <c r="A5863" s="146"/>
      <c r="B5863" s="112" t="s">
        <v>808</v>
      </c>
      <c r="C5863" s="124"/>
      <c r="D5863" s="146"/>
      <c r="E5863" s="117"/>
      <c r="F5863" s="117"/>
      <c r="G5863" s="138"/>
      <c r="H5863" s="177"/>
    </row>
    <row r="5864" spans="1:8" s="139" customFormat="1" ht="13.5" customHeight="1" x14ac:dyDescent="0.35">
      <c r="A5864" s="146"/>
      <c r="B5864" s="120" t="s">
        <v>787</v>
      </c>
      <c r="C5864" s="124" t="s">
        <v>1043</v>
      </c>
      <c r="D5864" s="146">
        <v>3</v>
      </c>
      <c r="E5864" s="117">
        <v>15000</v>
      </c>
      <c r="F5864" s="117">
        <f>+D5864*E5864</f>
        <v>45000</v>
      </c>
      <c r="G5864" s="138"/>
      <c r="H5864" s="177"/>
    </row>
    <row r="5865" spans="1:8" s="139" customFormat="1" ht="13.5" customHeight="1" x14ac:dyDescent="0.35">
      <c r="A5865" s="146"/>
      <c r="B5865" s="112" t="s">
        <v>774</v>
      </c>
      <c r="C5865" s="124"/>
      <c r="D5865" s="146"/>
      <c r="E5865" s="117"/>
      <c r="F5865" s="117">
        <f>SUM(F5864)</f>
        <v>45000</v>
      </c>
      <c r="G5865" s="138"/>
      <c r="H5865" s="177"/>
    </row>
    <row r="5866" spans="1:8" s="139" customFormat="1" ht="13.5" customHeight="1" x14ac:dyDescent="0.35">
      <c r="A5866" s="146"/>
      <c r="B5866" s="112" t="s">
        <v>775</v>
      </c>
      <c r="C5866" s="124"/>
      <c r="D5866" s="146"/>
      <c r="E5866" s="117"/>
      <c r="F5866" s="117">
        <f>+F5862+F5865</f>
        <v>3108500</v>
      </c>
      <c r="G5866" s="138"/>
      <c r="H5866" s="177"/>
    </row>
    <row r="5867" spans="1:8" s="139" customFormat="1" ht="13.5" customHeight="1" x14ac:dyDescent="0.35">
      <c r="A5867" s="146"/>
      <c r="B5867" s="120" t="s">
        <v>776</v>
      </c>
      <c r="C5867" s="124"/>
      <c r="D5867" s="146">
        <v>1.25</v>
      </c>
      <c r="E5867" s="117"/>
      <c r="F5867" s="117">
        <f>+F5866*D5867</f>
        <v>3885625</v>
      </c>
      <c r="G5867" s="138"/>
      <c r="H5867" s="177"/>
    </row>
    <row r="5868" spans="1:8" s="139" customFormat="1" ht="13.5" customHeight="1" x14ac:dyDescent="0.35">
      <c r="A5868" s="146"/>
      <c r="B5868" s="120" t="s">
        <v>835</v>
      </c>
      <c r="C5868" s="124"/>
      <c r="D5868" s="146">
        <v>1.25</v>
      </c>
      <c r="E5868" s="117"/>
      <c r="F5868" s="117"/>
      <c r="G5868" s="138"/>
      <c r="H5868" s="177"/>
    </row>
    <row r="5869" spans="1:8" s="139" customFormat="1" ht="13.5" customHeight="1" x14ac:dyDescent="0.35">
      <c r="A5869" s="233" t="s">
        <v>423</v>
      </c>
      <c r="B5869" s="207" t="s">
        <v>785</v>
      </c>
      <c r="C5869" s="233" t="s">
        <v>59</v>
      </c>
      <c r="D5869" s="340"/>
      <c r="E5869" s="209"/>
      <c r="F5869" s="209">
        <f>+D5868*F5867</f>
        <v>4857031.25</v>
      </c>
      <c r="G5869" s="138"/>
      <c r="H5869" s="177"/>
    </row>
    <row r="5870" spans="1:8" s="139" customFormat="1" ht="13.5" customHeight="1" x14ac:dyDescent="0.35">
      <c r="A5870" s="340"/>
      <c r="B5870" s="207"/>
      <c r="C5870" s="208"/>
      <c r="D5870" s="340"/>
      <c r="E5870" s="210">
        <f>+E5853</f>
        <v>3035.45</v>
      </c>
      <c r="F5870" s="210">
        <f>+F5869/E5870</f>
        <v>1600.102538338632</v>
      </c>
      <c r="G5870" s="138"/>
      <c r="H5870" s="177"/>
    </row>
    <row r="5871" spans="1:8" s="139" customFormat="1" ht="13.5" customHeight="1" x14ac:dyDescent="0.35">
      <c r="A5871" s="163"/>
      <c r="B5871" s="164"/>
      <c r="C5871" s="165"/>
      <c r="E5871" s="166"/>
      <c r="F5871" s="166"/>
      <c r="G5871" s="138"/>
      <c r="H5871" s="177"/>
    </row>
    <row r="5872" spans="1:8" s="139" customFormat="1" ht="13.5" customHeight="1" x14ac:dyDescent="0.35">
      <c r="A5872" s="163"/>
      <c r="B5872" s="164"/>
      <c r="C5872" s="165"/>
      <c r="D5872" s="163"/>
      <c r="E5872" s="166"/>
      <c r="F5872" s="166"/>
      <c r="G5872" s="138"/>
      <c r="H5872" s="177"/>
    </row>
    <row r="5873" spans="1:8" s="139" customFormat="1" ht="13.5" customHeight="1" x14ac:dyDescent="0.3">
      <c r="A5873" s="341" t="s">
        <v>392</v>
      </c>
      <c r="B5873" s="331" t="s">
        <v>393</v>
      </c>
      <c r="C5873" s="332" t="s">
        <v>611</v>
      </c>
      <c r="D5873" s="333" t="s">
        <v>765</v>
      </c>
      <c r="E5873" s="334" t="s">
        <v>766</v>
      </c>
      <c r="F5873" s="334" t="s">
        <v>767</v>
      </c>
      <c r="G5873" s="138"/>
      <c r="H5873" s="177"/>
    </row>
    <row r="5874" spans="1:8" s="139" customFormat="1" ht="13.5" customHeight="1" x14ac:dyDescent="0.35">
      <c r="A5874" s="230" t="s">
        <v>424</v>
      </c>
      <c r="B5874" s="349" t="s">
        <v>425</v>
      </c>
      <c r="C5874" s="256"/>
      <c r="D5874" s="146"/>
      <c r="E5874" s="117"/>
      <c r="F5874" s="117"/>
      <c r="G5874" s="138"/>
      <c r="H5874" s="177"/>
    </row>
    <row r="5875" spans="1:8" s="139" customFormat="1" ht="29.25" customHeight="1" x14ac:dyDescent="0.35">
      <c r="A5875" s="232" t="s">
        <v>426</v>
      </c>
      <c r="B5875" s="350" t="s">
        <v>741</v>
      </c>
      <c r="C5875" s="256" t="s">
        <v>7</v>
      </c>
      <c r="D5875" s="146"/>
      <c r="E5875" s="117"/>
      <c r="F5875" s="117"/>
      <c r="G5875" s="138"/>
      <c r="H5875" s="177"/>
    </row>
    <row r="5876" spans="1:8" s="139" customFormat="1" ht="13.5" customHeight="1" x14ac:dyDescent="0.35">
      <c r="A5876" s="146"/>
      <c r="B5876" s="112" t="s">
        <v>802</v>
      </c>
      <c r="C5876" s="124"/>
      <c r="D5876" s="146"/>
      <c r="E5876" s="117"/>
      <c r="F5876" s="117"/>
      <c r="G5876" s="138"/>
      <c r="H5876" s="177"/>
    </row>
    <row r="5877" spans="1:8" s="139" customFormat="1" ht="13.5" customHeight="1" x14ac:dyDescent="0.35">
      <c r="A5877" s="146"/>
      <c r="B5877" s="120" t="s">
        <v>1065</v>
      </c>
      <c r="C5877" s="124" t="s">
        <v>27</v>
      </c>
      <c r="D5877" s="146">
        <v>1</v>
      </c>
      <c r="E5877" s="117">
        <v>2053640</v>
      </c>
      <c r="F5877" s="117">
        <f>D5877*E5877</f>
        <v>2053640</v>
      </c>
      <c r="G5877" s="138"/>
      <c r="H5877" s="177"/>
    </row>
    <row r="5878" spans="1:8" s="139" customFormat="1" ht="13.5" customHeight="1" x14ac:dyDescent="0.35">
      <c r="A5878" s="146"/>
      <c r="B5878" s="120" t="s">
        <v>1057</v>
      </c>
      <c r="C5878" s="124"/>
      <c r="D5878" s="146"/>
      <c r="E5878" s="117"/>
      <c r="F5878" s="117">
        <f>0.1*(F5877)</f>
        <v>205364</v>
      </c>
      <c r="G5878" s="138"/>
      <c r="H5878" s="177"/>
    </row>
    <row r="5879" spans="1:8" s="139" customFormat="1" ht="13.5" customHeight="1" x14ac:dyDescent="0.35">
      <c r="A5879" s="146"/>
      <c r="B5879" s="112" t="s">
        <v>769</v>
      </c>
      <c r="C5879" s="124"/>
      <c r="D5879" s="146"/>
      <c r="E5879" s="117"/>
      <c r="F5879" s="110">
        <f>SUM(F5877:F5878)</f>
        <v>2259004</v>
      </c>
      <c r="G5879" s="138"/>
      <c r="H5879" s="177"/>
    </row>
    <row r="5880" spans="1:8" s="139" customFormat="1" ht="13.5" customHeight="1" x14ac:dyDescent="0.35">
      <c r="A5880" s="146"/>
      <c r="B5880" s="112" t="s">
        <v>808</v>
      </c>
      <c r="C5880" s="124"/>
      <c r="D5880" s="146"/>
      <c r="E5880" s="117"/>
      <c r="F5880" s="117"/>
      <c r="G5880" s="138"/>
      <c r="H5880" s="177"/>
    </row>
    <row r="5881" spans="1:8" s="139" customFormat="1" ht="13.5" customHeight="1" x14ac:dyDescent="0.35">
      <c r="A5881" s="146"/>
      <c r="B5881" s="120" t="s">
        <v>787</v>
      </c>
      <c r="C5881" s="124" t="s">
        <v>1043</v>
      </c>
      <c r="D5881" s="146">
        <v>3</v>
      </c>
      <c r="E5881" s="117">
        <v>15000</v>
      </c>
      <c r="F5881" s="117">
        <f>+D5881*E5881</f>
        <v>45000</v>
      </c>
      <c r="G5881" s="138"/>
      <c r="H5881" s="177"/>
    </row>
    <row r="5882" spans="1:8" s="139" customFormat="1" ht="13.5" customHeight="1" x14ac:dyDescent="0.35">
      <c r="A5882" s="146"/>
      <c r="B5882" s="112" t="s">
        <v>774</v>
      </c>
      <c r="C5882" s="124"/>
      <c r="D5882" s="146"/>
      <c r="E5882" s="117"/>
      <c r="F5882" s="117">
        <f>SUM(F5881)</f>
        <v>45000</v>
      </c>
      <c r="G5882" s="138"/>
      <c r="H5882" s="177"/>
    </row>
    <row r="5883" spans="1:8" s="139" customFormat="1" ht="13.5" customHeight="1" x14ac:dyDescent="0.35">
      <c r="A5883" s="146"/>
      <c r="B5883" s="112" t="s">
        <v>775</v>
      </c>
      <c r="C5883" s="124"/>
      <c r="D5883" s="146"/>
      <c r="E5883" s="117"/>
      <c r="F5883" s="117">
        <f>+F5879+F5882</f>
        <v>2304004</v>
      </c>
      <c r="G5883" s="138"/>
      <c r="H5883" s="177"/>
    </row>
    <row r="5884" spans="1:8" s="139" customFormat="1" ht="13.5" customHeight="1" x14ac:dyDescent="0.35">
      <c r="A5884" s="146"/>
      <c r="B5884" s="120" t="s">
        <v>776</v>
      </c>
      <c r="C5884" s="124"/>
      <c r="D5884" s="146">
        <v>1.25</v>
      </c>
      <c r="E5884" s="117"/>
      <c r="F5884" s="117">
        <f>+F5883*D5884</f>
        <v>2880005</v>
      </c>
      <c r="G5884" s="138"/>
      <c r="H5884" s="177"/>
    </row>
    <row r="5885" spans="1:8" s="139" customFormat="1" ht="13.5" customHeight="1" x14ac:dyDescent="0.35">
      <c r="A5885" s="146"/>
      <c r="B5885" s="120" t="s">
        <v>835</v>
      </c>
      <c r="C5885" s="124"/>
      <c r="D5885" s="146">
        <v>1.25</v>
      </c>
      <c r="E5885" s="117"/>
      <c r="F5885" s="117"/>
      <c r="G5885" s="138"/>
      <c r="H5885" s="177"/>
    </row>
    <row r="5886" spans="1:8" s="139" customFormat="1" ht="13.5" customHeight="1" x14ac:dyDescent="0.35">
      <c r="A5886" s="233" t="s">
        <v>426</v>
      </c>
      <c r="B5886" s="207" t="s">
        <v>778</v>
      </c>
      <c r="C5886" s="233" t="s">
        <v>7</v>
      </c>
      <c r="D5886" s="340"/>
      <c r="E5886" s="209"/>
      <c r="F5886" s="209">
        <f>+D5885*F5884</f>
        <v>3600006.25</v>
      </c>
      <c r="G5886" s="138"/>
      <c r="H5886" s="177"/>
    </row>
    <row r="5887" spans="1:8" s="139" customFormat="1" ht="13.5" customHeight="1" x14ac:dyDescent="0.35">
      <c r="A5887" s="340"/>
      <c r="B5887" s="207"/>
      <c r="C5887" s="208"/>
      <c r="D5887" s="340"/>
      <c r="E5887" s="210">
        <f>+E5870</f>
        <v>3035.45</v>
      </c>
      <c r="F5887" s="210">
        <f>+F5886/E5887</f>
        <v>1185.9876624553197</v>
      </c>
      <c r="G5887" s="138"/>
      <c r="H5887" s="177"/>
    </row>
    <row r="5888" spans="1:8" s="139" customFormat="1" ht="13.5" customHeight="1" x14ac:dyDescent="0.35">
      <c r="A5888" s="163"/>
      <c r="B5888" s="164"/>
      <c r="C5888" s="165"/>
      <c r="E5888" s="166"/>
      <c r="F5888" s="166"/>
      <c r="G5888" s="138"/>
      <c r="H5888" s="177"/>
    </row>
    <row r="5889" spans="1:8" s="139" customFormat="1" ht="13.5" customHeight="1" x14ac:dyDescent="0.35">
      <c r="A5889" s="163"/>
      <c r="B5889" s="164"/>
      <c r="C5889" s="165"/>
      <c r="D5889" s="163"/>
      <c r="E5889" s="166"/>
      <c r="F5889" s="166"/>
      <c r="G5889" s="138"/>
      <c r="H5889" s="177"/>
    </row>
    <row r="5890" spans="1:8" s="139" customFormat="1" ht="13.5" customHeight="1" x14ac:dyDescent="0.3">
      <c r="A5890" s="341" t="s">
        <v>392</v>
      </c>
      <c r="B5890" s="331" t="s">
        <v>393</v>
      </c>
      <c r="C5890" s="332" t="s">
        <v>611</v>
      </c>
      <c r="D5890" s="333" t="s">
        <v>765</v>
      </c>
      <c r="E5890" s="334" t="s">
        <v>766</v>
      </c>
      <c r="F5890" s="334" t="s">
        <v>767</v>
      </c>
      <c r="G5890" s="138"/>
      <c r="H5890" s="177"/>
    </row>
    <row r="5891" spans="1:8" s="139" customFormat="1" ht="13.5" customHeight="1" x14ac:dyDescent="0.35">
      <c r="A5891" s="230" t="s">
        <v>424</v>
      </c>
      <c r="B5891" s="349" t="s">
        <v>425</v>
      </c>
      <c r="C5891" s="256"/>
      <c r="D5891" s="146"/>
      <c r="E5891" s="117"/>
      <c r="F5891" s="117"/>
      <c r="G5891" s="138"/>
      <c r="H5891" s="177"/>
    </row>
    <row r="5892" spans="1:8" s="139" customFormat="1" ht="27.75" customHeight="1" x14ac:dyDescent="0.35">
      <c r="A5892" s="232" t="s">
        <v>727</v>
      </c>
      <c r="B5892" s="350" t="s">
        <v>726</v>
      </c>
      <c r="C5892" s="256" t="s">
        <v>7</v>
      </c>
      <c r="D5892" s="146"/>
      <c r="E5892" s="117"/>
      <c r="F5892" s="117"/>
      <c r="G5892" s="138"/>
      <c r="H5892" s="177"/>
    </row>
    <row r="5893" spans="1:8" s="139" customFormat="1" ht="13.5" customHeight="1" x14ac:dyDescent="0.35">
      <c r="A5893" s="146"/>
      <c r="B5893" s="112" t="s">
        <v>802</v>
      </c>
      <c r="C5893" s="124"/>
      <c r="D5893" s="146"/>
      <c r="E5893" s="117"/>
      <c r="F5893" s="117"/>
      <c r="G5893" s="138"/>
      <c r="H5893" s="177"/>
    </row>
    <row r="5894" spans="1:8" s="139" customFormat="1" ht="13.5" customHeight="1" x14ac:dyDescent="0.35">
      <c r="A5894" s="146"/>
      <c r="B5894" s="120" t="s">
        <v>1066</v>
      </c>
      <c r="C5894" s="124" t="s">
        <v>27</v>
      </c>
      <c r="D5894" s="146">
        <v>1</v>
      </c>
      <c r="E5894" s="117">
        <v>878370</v>
      </c>
      <c r="F5894" s="117">
        <f>D5894*E5894</f>
        <v>878370</v>
      </c>
      <c r="G5894" s="138"/>
      <c r="H5894" s="177"/>
    </row>
    <row r="5895" spans="1:8" s="139" customFormat="1" ht="13.5" customHeight="1" x14ac:dyDescent="0.35">
      <c r="A5895" s="146"/>
      <c r="B5895" s="120" t="s">
        <v>1057</v>
      </c>
      <c r="C5895" s="124"/>
      <c r="D5895" s="146"/>
      <c r="E5895" s="117"/>
      <c r="F5895" s="117">
        <f>0.1*(F5894)</f>
        <v>87837</v>
      </c>
      <c r="G5895" s="138"/>
      <c r="H5895" s="177"/>
    </row>
    <row r="5896" spans="1:8" s="139" customFormat="1" ht="13.5" customHeight="1" x14ac:dyDescent="0.35">
      <c r="A5896" s="146"/>
      <c r="B5896" s="112" t="s">
        <v>769</v>
      </c>
      <c r="C5896" s="124"/>
      <c r="D5896" s="146"/>
      <c r="E5896" s="117"/>
      <c r="F5896" s="110">
        <f>SUM(F5894:F5895)</f>
        <v>966207</v>
      </c>
      <c r="G5896" s="138"/>
      <c r="H5896" s="177"/>
    </row>
    <row r="5897" spans="1:8" s="139" customFormat="1" ht="13.5" customHeight="1" x14ac:dyDescent="0.35">
      <c r="A5897" s="146"/>
      <c r="B5897" s="112" t="s">
        <v>808</v>
      </c>
      <c r="C5897" s="124"/>
      <c r="D5897" s="146"/>
      <c r="E5897" s="117"/>
      <c r="F5897" s="117"/>
      <c r="G5897" s="138"/>
      <c r="H5897" s="177"/>
    </row>
    <row r="5898" spans="1:8" s="139" customFormat="1" ht="13.5" customHeight="1" x14ac:dyDescent="0.35">
      <c r="A5898" s="146"/>
      <c r="B5898" s="120" t="s">
        <v>787</v>
      </c>
      <c r="C5898" s="124" t="s">
        <v>1043</v>
      </c>
      <c r="D5898" s="146">
        <v>3</v>
      </c>
      <c r="E5898" s="117">
        <v>15000</v>
      </c>
      <c r="F5898" s="117">
        <f>+D5898*E5898</f>
        <v>45000</v>
      </c>
      <c r="G5898" s="138"/>
      <c r="H5898" s="177"/>
    </row>
    <row r="5899" spans="1:8" s="139" customFormat="1" ht="13.5" customHeight="1" x14ac:dyDescent="0.35">
      <c r="A5899" s="146"/>
      <c r="B5899" s="112" t="s">
        <v>774</v>
      </c>
      <c r="C5899" s="124"/>
      <c r="D5899" s="146"/>
      <c r="E5899" s="117"/>
      <c r="F5899" s="117">
        <f>SUM(F5898)</f>
        <v>45000</v>
      </c>
      <c r="G5899" s="138"/>
      <c r="H5899" s="177"/>
    </row>
    <row r="5900" spans="1:8" s="139" customFormat="1" ht="13.5" customHeight="1" x14ac:dyDescent="0.35">
      <c r="A5900" s="146"/>
      <c r="B5900" s="112" t="s">
        <v>775</v>
      </c>
      <c r="C5900" s="124"/>
      <c r="D5900" s="146"/>
      <c r="E5900" s="117"/>
      <c r="F5900" s="117">
        <f>+F5896+F5899</f>
        <v>1011207</v>
      </c>
      <c r="G5900" s="138"/>
      <c r="H5900" s="177"/>
    </row>
    <row r="5901" spans="1:8" s="139" customFormat="1" ht="13.5" customHeight="1" x14ac:dyDescent="0.35">
      <c r="A5901" s="146"/>
      <c r="B5901" s="120" t="s">
        <v>776</v>
      </c>
      <c r="C5901" s="124"/>
      <c r="D5901" s="146">
        <v>1.25</v>
      </c>
      <c r="E5901" s="117"/>
      <c r="F5901" s="117">
        <f>+F5900*D5901</f>
        <v>1264008.75</v>
      </c>
      <c r="G5901" s="138"/>
      <c r="H5901" s="177"/>
    </row>
    <row r="5902" spans="1:8" s="139" customFormat="1" ht="13.5" customHeight="1" x14ac:dyDescent="0.35">
      <c r="A5902" s="146"/>
      <c r="B5902" s="120" t="s">
        <v>835</v>
      </c>
      <c r="C5902" s="124"/>
      <c r="D5902" s="146">
        <v>1.25</v>
      </c>
      <c r="E5902" s="117"/>
      <c r="F5902" s="117"/>
      <c r="G5902" s="138"/>
      <c r="H5902" s="177"/>
    </row>
    <row r="5903" spans="1:8" s="139" customFormat="1" ht="13.5" customHeight="1" x14ac:dyDescent="0.35">
      <c r="A5903" s="233" t="s">
        <v>727</v>
      </c>
      <c r="B5903" s="207" t="s">
        <v>778</v>
      </c>
      <c r="C5903" s="233" t="s">
        <v>7</v>
      </c>
      <c r="D5903" s="340"/>
      <c r="E5903" s="209"/>
      <c r="F5903" s="209">
        <f>+D5902*F5901</f>
        <v>1580010.9375</v>
      </c>
      <c r="G5903" s="138"/>
      <c r="H5903" s="177"/>
    </row>
    <row r="5904" spans="1:8" s="139" customFormat="1" ht="13.5" customHeight="1" x14ac:dyDescent="0.35">
      <c r="A5904" s="340"/>
      <c r="B5904" s="207"/>
      <c r="C5904" s="208"/>
      <c r="D5904" s="340"/>
      <c r="E5904" s="210">
        <f>+E5887</f>
        <v>3035.45</v>
      </c>
      <c r="F5904" s="210">
        <f>+F5903/E5904</f>
        <v>520.51950699237352</v>
      </c>
      <c r="G5904" s="138"/>
      <c r="H5904" s="177"/>
    </row>
    <row r="5905" spans="1:8" s="139" customFormat="1" ht="13.5" customHeight="1" x14ac:dyDescent="0.35">
      <c r="A5905" s="163"/>
      <c r="B5905" s="164"/>
      <c r="C5905" s="165"/>
      <c r="E5905" s="166"/>
      <c r="F5905" s="166"/>
      <c r="G5905" s="138"/>
      <c r="H5905" s="177"/>
    </row>
    <row r="5906" spans="1:8" s="139" customFormat="1" ht="13.5" customHeight="1" x14ac:dyDescent="0.35">
      <c r="A5906" s="163"/>
      <c r="B5906" s="164"/>
      <c r="C5906" s="165"/>
      <c r="D5906" s="163"/>
      <c r="E5906" s="166"/>
      <c r="F5906" s="166"/>
      <c r="G5906" s="138"/>
      <c r="H5906" s="177"/>
    </row>
    <row r="5907" spans="1:8" s="139" customFormat="1" ht="13.5" customHeight="1" x14ac:dyDescent="0.3">
      <c r="A5907" s="341" t="s">
        <v>392</v>
      </c>
      <c r="B5907" s="331" t="s">
        <v>393</v>
      </c>
      <c r="C5907" s="332" t="s">
        <v>611</v>
      </c>
      <c r="D5907" s="333" t="s">
        <v>765</v>
      </c>
      <c r="E5907" s="334" t="s">
        <v>766</v>
      </c>
      <c r="F5907" s="334" t="s">
        <v>767</v>
      </c>
      <c r="G5907" s="138"/>
      <c r="H5907" s="177"/>
    </row>
    <row r="5908" spans="1:8" s="139" customFormat="1" ht="13.5" customHeight="1" x14ac:dyDescent="0.35">
      <c r="A5908" s="230" t="s">
        <v>424</v>
      </c>
      <c r="B5908" s="349" t="s">
        <v>425</v>
      </c>
      <c r="C5908" s="256"/>
      <c r="D5908" s="146"/>
      <c r="E5908" s="117"/>
      <c r="F5908" s="117"/>
      <c r="G5908" s="138"/>
      <c r="H5908" s="177"/>
    </row>
    <row r="5909" spans="1:8" s="139" customFormat="1" ht="27" customHeight="1" x14ac:dyDescent="0.35">
      <c r="A5909" s="232" t="s">
        <v>427</v>
      </c>
      <c r="B5909" s="346" t="s">
        <v>1067</v>
      </c>
      <c r="C5909" s="256" t="s">
        <v>7</v>
      </c>
      <c r="D5909" s="146"/>
      <c r="E5909" s="117"/>
      <c r="F5909" s="117"/>
      <c r="G5909" s="138"/>
      <c r="H5909" s="177"/>
    </row>
    <row r="5910" spans="1:8" s="139" customFormat="1" ht="13.5" customHeight="1" x14ac:dyDescent="0.35">
      <c r="A5910" s="146"/>
      <c r="B5910" s="112" t="s">
        <v>802</v>
      </c>
      <c r="C5910" s="124"/>
      <c r="D5910" s="146"/>
      <c r="E5910" s="117"/>
      <c r="F5910" s="117"/>
      <c r="G5910" s="138"/>
      <c r="H5910" s="177"/>
    </row>
    <row r="5911" spans="1:8" s="139" customFormat="1" ht="13.5" customHeight="1" x14ac:dyDescent="0.35">
      <c r="A5911" s="146"/>
      <c r="B5911" s="120" t="s">
        <v>1066</v>
      </c>
      <c r="C5911" s="124" t="s">
        <v>27</v>
      </c>
      <c r="D5911" s="146">
        <v>1</v>
      </c>
      <c r="E5911" s="117">
        <v>1201280</v>
      </c>
      <c r="F5911" s="117">
        <f>D5911*E5911</f>
        <v>1201280</v>
      </c>
      <c r="G5911" s="138"/>
      <c r="H5911" s="177"/>
    </row>
    <row r="5912" spans="1:8" s="139" customFormat="1" ht="13.5" customHeight="1" x14ac:dyDescent="0.35">
      <c r="A5912" s="146"/>
      <c r="B5912" s="120" t="s">
        <v>1057</v>
      </c>
      <c r="C5912" s="124"/>
      <c r="D5912" s="146"/>
      <c r="E5912" s="117"/>
      <c r="F5912" s="117">
        <f>0.1*(F5911)</f>
        <v>120128</v>
      </c>
      <c r="G5912" s="138"/>
      <c r="H5912" s="177"/>
    </row>
    <row r="5913" spans="1:8" s="139" customFormat="1" ht="13.5" customHeight="1" x14ac:dyDescent="0.35">
      <c r="A5913" s="146"/>
      <c r="B5913" s="112" t="s">
        <v>769</v>
      </c>
      <c r="C5913" s="124"/>
      <c r="D5913" s="146"/>
      <c r="E5913" s="117"/>
      <c r="F5913" s="110">
        <f>SUM(F5911:F5912)</f>
        <v>1321408</v>
      </c>
      <c r="G5913" s="138"/>
      <c r="H5913" s="177"/>
    </row>
    <row r="5914" spans="1:8" s="139" customFormat="1" ht="13.5" customHeight="1" x14ac:dyDescent="0.35">
      <c r="A5914" s="146"/>
      <c r="B5914" s="112" t="s">
        <v>808</v>
      </c>
      <c r="C5914" s="124"/>
      <c r="D5914" s="146"/>
      <c r="E5914" s="117"/>
      <c r="F5914" s="117"/>
      <c r="G5914" s="138"/>
      <c r="H5914" s="177"/>
    </row>
    <row r="5915" spans="1:8" s="139" customFormat="1" ht="13.5" customHeight="1" x14ac:dyDescent="0.35">
      <c r="A5915" s="146"/>
      <c r="B5915" s="120" t="s">
        <v>787</v>
      </c>
      <c r="C5915" s="124" t="s">
        <v>1043</v>
      </c>
      <c r="D5915" s="146">
        <v>3</v>
      </c>
      <c r="E5915" s="117">
        <v>15000</v>
      </c>
      <c r="F5915" s="117">
        <f>+D5915*E5915</f>
        <v>45000</v>
      </c>
      <c r="G5915" s="138"/>
      <c r="H5915" s="177"/>
    </row>
    <row r="5916" spans="1:8" s="139" customFormat="1" ht="13.5" customHeight="1" x14ac:dyDescent="0.35">
      <c r="A5916" s="146"/>
      <c r="B5916" s="112" t="s">
        <v>774</v>
      </c>
      <c r="C5916" s="124"/>
      <c r="D5916" s="146"/>
      <c r="E5916" s="117"/>
      <c r="F5916" s="117">
        <f>SUM(F5915)</f>
        <v>45000</v>
      </c>
      <c r="G5916" s="138"/>
      <c r="H5916" s="177"/>
    </row>
    <row r="5917" spans="1:8" s="139" customFormat="1" ht="13.5" customHeight="1" x14ac:dyDescent="0.35">
      <c r="A5917" s="146"/>
      <c r="B5917" s="112" t="s">
        <v>775</v>
      </c>
      <c r="C5917" s="124"/>
      <c r="D5917" s="146"/>
      <c r="E5917" s="117"/>
      <c r="F5917" s="117">
        <f>+F5913+F5916</f>
        <v>1366408</v>
      </c>
      <c r="G5917" s="138"/>
      <c r="H5917" s="177"/>
    </row>
    <row r="5918" spans="1:8" s="139" customFormat="1" ht="13.5" customHeight="1" x14ac:dyDescent="0.35">
      <c r="A5918" s="146"/>
      <c r="B5918" s="120" t="s">
        <v>776</v>
      </c>
      <c r="C5918" s="124"/>
      <c r="D5918" s="146">
        <v>1.25</v>
      </c>
      <c r="E5918" s="117"/>
      <c r="F5918" s="117">
        <f>+F5917*D5918</f>
        <v>1708010</v>
      </c>
      <c r="G5918" s="138"/>
      <c r="H5918" s="177"/>
    </row>
    <row r="5919" spans="1:8" s="139" customFormat="1" ht="13.5" customHeight="1" x14ac:dyDescent="0.35">
      <c r="A5919" s="146"/>
      <c r="B5919" s="120" t="s">
        <v>835</v>
      </c>
      <c r="C5919" s="124"/>
      <c r="D5919" s="146">
        <v>1.25</v>
      </c>
      <c r="E5919" s="117"/>
      <c r="F5919" s="117"/>
      <c r="G5919" s="138"/>
      <c r="H5919" s="177"/>
    </row>
    <row r="5920" spans="1:8" s="139" customFormat="1" ht="13.5" customHeight="1" x14ac:dyDescent="0.35">
      <c r="A5920" s="233" t="s">
        <v>427</v>
      </c>
      <c r="B5920" s="207" t="s">
        <v>778</v>
      </c>
      <c r="C5920" s="233" t="s">
        <v>7</v>
      </c>
      <c r="D5920" s="340"/>
      <c r="E5920" s="209"/>
      <c r="F5920" s="209">
        <f>+D5919*F5918</f>
        <v>2135012.5</v>
      </c>
      <c r="G5920" s="138"/>
      <c r="H5920" s="177"/>
    </row>
    <row r="5921" spans="1:8" s="139" customFormat="1" ht="13.5" customHeight="1" x14ac:dyDescent="0.35">
      <c r="A5921" s="340"/>
      <c r="B5921" s="207"/>
      <c r="C5921" s="208"/>
      <c r="D5921" s="340"/>
      <c r="E5921" s="210">
        <f>+E5904</f>
        <v>3035.45</v>
      </c>
      <c r="F5921" s="210">
        <f>+F5920/E5921</f>
        <v>703.35946894200208</v>
      </c>
      <c r="G5921" s="138"/>
      <c r="H5921" s="177"/>
    </row>
    <row r="5922" spans="1:8" s="139" customFormat="1" ht="13.5" customHeight="1" x14ac:dyDescent="0.35">
      <c r="A5922" s="163"/>
      <c r="B5922" s="164"/>
      <c r="C5922" s="165"/>
      <c r="E5922" s="166"/>
      <c r="F5922" s="166"/>
      <c r="G5922" s="138"/>
      <c r="H5922" s="177"/>
    </row>
    <row r="5923" spans="1:8" s="139" customFormat="1" ht="13.5" customHeight="1" x14ac:dyDescent="0.35">
      <c r="A5923" s="163"/>
      <c r="B5923" s="164"/>
      <c r="C5923" s="165"/>
      <c r="D5923" s="163"/>
      <c r="E5923" s="166"/>
      <c r="F5923" s="166"/>
      <c r="G5923" s="138"/>
      <c r="H5923" s="177"/>
    </row>
    <row r="5924" spans="1:8" s="139" customFormat="1" ht="13.5" customHeight="1" x14ac:dyDescent="0.3">
      <c r="A5924" s="341" t="s">
        <v>392</v>
      </c>
      <c r="B5924" s="331" t="s">
        <v>393</v>
      </c>
      <c r="C5924" s="332" t="s">
        <v>611</v>
      </c>
      <c r="D5924" s="333" t="s">
        <v>765</v>
      </c>
      <c r="E5924" s="334" t="s">
        <v>766</v>
      </c>
      <c r="F5924" s="334" t="s">
        <v>767</v>
      </c>
      <c r="G5924" s="138"/>
      <c r="H5924" s="177"/>
    </row>
    <row r="5925" spans="1:8" s="139" customFormat="1" ht="13.5" customHeight="1" x14ac:dyDescent="0.35">
      <c r="A5925" s="230" t="s">
        <v>424</v>
      </c>
      <c r="B5925" s="349" t="s">
        <v>425</v>
      </c>
      <c r="C5925" s="256"/>
      <c r="D5925" s="146"/>
      <c r="E5925" s="117"/>
      <c r="F5925" s="117"/>
      <c r="G5925" s="138"/>
      <c r="H5925" s="177"/>
    </row>
    <row r="5926" spans="1:8" s="139" customFormat="1" ht="28.5" customHeight="1" x14ac:dyDescent="0.3">
      <c r="A5926" s="232" t="s">
        <v>428</v>
      </c>
      <c r="B5926" s="347" t="s">
        <v>1068</v>
      </c>
      <c r="C5926" s="256" t="s">
        <v>7</v>
      </c>
      <c r="D5926" s="146"/>
      <c r="E5926" s="117"/>
      <c r="F5926" s="117"/>
      <c r="G5926" s="138"/>
      <c r="H5926" s="177"/>
    </row>
    <row r="5927" spans="1:8" s="139" customFormat="1" ht="13.5" customHeight="1" x14ac:dyDescent="0.35">
      <c r="A5927" s="146"/>
      <c r="B5927" s="112" t="s">
        <v>802</v>
      </c>
      <c r="C5927" s="124"/>
      <c r="D5927" s="146"/>
      <c r="E5927" s="117"/>
      <c r="F5927" s="117"/>
      <c r="G5927" s="138"/>
      <c r="H5927" s="177"/>
    </row>
    <row r="5928" spans="1:8" s="139" customFormat="1" ht="13.5" customHeight="1" x14ac:dyDescent="0.35">
      <c r="A5928" s="146"/>
      <c r="B5928" s="120" t="s">
        <v>1069</v>
      </c>
      <c r="C5928" s="124" t="s">
        <v>27</v>
      </c>
      <c r="D5928" s="146">
        <v>1</v>
      </c>
      <c r="E5928" s="117">
        <v>14364</v>
      </c>
      <c r="F5928" s="117">
        <f>D5928*E5928</f>
        <v>14364</v>
      </c>
      <c r="G5928" s="138"/>
      <c r="H5928" s="177"/>
    </row>
    <row r="5929" spans="1:8" s="139" customFormat="1" ht="13.5" customHeight="1" x14ac:dyDescent="0.35">
      <c r="A5929" s="146"/>
      <c r="B5929" s="120" t="s">
        <v>1057</v>
      </c>
      <c r="C5929" s="124"/>
      <c r="D5929" s="146"/>
      <c r="E5929" s="117"/>
      <c r="F5929" s="117">
        <f>0.1*(F5928)</f>
        <v>1436.4</v>
      </c>
      <c r="G5929" s="138"/>
      <c r="H5929" s="177"/>
    </row>
    <row r="5930" spans="1:8" s="139" customFormat="1" ht="13.5" customHeight="1" x14ac:dyDescent="0.35">
      <c r="A5930" s="146"/>
      <c r="B5930" s="112" t="s">
        <v>769</v>
      </c>
      <c r="C5930" s="124"/>
      <c r="D5930" s="146"/>
      <c r="E5930" s="117"/>
      <c r="F5930" s="110">
        <f>SUM(F5928:F5929)</f>
        <v>15800.4</v>
      </c>
      <c r="G5930" s="138"/>
      <c r="H5930" s="177"/>
    </row>
    <row r="5931" spans="1:8" s="139" customFormat="1" ht="13.5" customHeight="1" x14ac:dyDescent="0.35">
      <c r="A5931" s="146"/>
      <c r="B5931" s="112" t="s">
        <v>808</v>
      </c>
      <c r="C5931" s="124"/>
      <c r="D5931" s="146"/>
      <c r="E5931" s="117"/>
      <c r="F5931" s="117"/>
      <c r="G5931" s="138"/>
      <c r="H5931" s="177"/>
    </row>
    <row r="5932" spans="1:8" s="139" customFormat="1" ht="13.5" customHeight="1" x14ac:dyDescent="0.35">
      <c r="A5932" s="146"/>
      <c r="B5932" s="120" t="s">
        <v>787</v>
      </c>
      <c r="C5932" s="124" t="s">
        <v>1043</v>
      </c>
      <c r="D5932" s="146">
        <v>3</v>
      </c>
      <c r="E5932" s="117">
        <v>15000</v>
      </c>
      <c r="F5932" s="117">
        <f>+D5932*E5932</f>
        <v>45000</v>
      </c>
      <c r="G5932" s="138"/>
      <c r="H5932" s="177"/>
    </row>
    <row r="5933" spans="1:8" s="139" customFormat="1" ht="13.5" customHeight="1" x14ac:dyDescent="0.35">
      <c r="A5933" s="146"/>
      <c r="B5933" s="112" t="s">
        <v>774</v>
      </c>
      <c r="C5933" s="124"/>
      <c r="D5933" s="146"/>
      <c r="E5933" s="117"/>
      <c r="F5933" s="117">
        <f>SUM(F5932)</f>
        <v>45000</v>
      </c>
      <c r="G5933" s="138"/>
      <c r="H5933" s="177"/>
    </row>
    <row r="5934" spans="1:8" s="139" customFormat="1" ht="13.5" customHeight="1" x14ac:dyDescent="0.35">
      <c r="A5934" s="146"/>
      <c r="B5934" s="112" t="s">
        <v>775</v>
      </c>
      <c r="C5934" s="124"/>
      <c r="D5934" s="146"/>
      <c r="E5934" s="117"/>
      <c r="F5934" s="117">
        <f>+F5930+F5933</f>
        <v>60800.4</v>
      </c>
      <c r="G5934" s="138"/>
      <c r="H5934" s="177"/>
    </row>
    <row r="5935" spans="1:8" s="139" customFormat="1" ht="13.5" customHeight="1" x14ac:dyDescent="0.35">
      <c r="A5935" s="146"/>
      <c r="B5935" s="120" t="s">
        <v>776</v>
      </c>
      <c r="C5935" s="124"/>
      <c r="D5935" s="146">
        <v>1.25</v>
      </c>
      <c r="E5935" s="117"/>
      <c r="F5935" s="117">
        <f>+F5934*D5935</f>
        <v>76000.5</v>
      </c>
      <c r="G5935" s="138"/>
      <c r="H5935" s="177"/>
    </row>
    <row r="5936" spans="1:8" s="139" customFormat="1" ht="13.5" customHeight="1" x14ac:dyDescent="0.35">
      <c r="A5936" s="146"/>
      <c r="B5936" s="120" t="s">
        <v>835</v>
      </c>
      <c r="C5936" s="124"/>
      <c r="D5936" s="146">
        <v>1.25</v>
      </c>
      <c r="E5936" s="117"/>
      <c r="F5936" s="117"/>
      <c r="G5936" s="138"/>
      <c r="H5936" s="177"/>
    </row>
    <row r="5937" spans="1:8" s="139" customFormat="1" ht="13.5" customHeight="1" x14ac:dyDescent="0.35">
      <c r="A5937" s="233" t="s">
        <v>428</v>
      </c>
      <c r="B5937" s="207" t="s">
        <v>778</v>
      </c>
      <c r="C5937" s="233" t="s">
        <v>7</v>
      </c>
      <c r="D5937" s="340"/>
      <c r="E5937" s="209"/>
      <c r="F5937" s="209">
        <f>+D5936*F5935</f>
        <v>95000.625</v>
      </c>
      <c r="G5937" s="138"/>
      <c r="H5937" s="177"/>
    </row>
    <row r="5938" spans="1:8" s="139" customFormat="1" ht="13.5" customHeight="1" x14ac:dyDescent="0.35">
      <c r="A5938" s="340"/>
      <c r="B5938" s="207"/>
      <c r="C5938" s="208"/>
      <c r="D5938" s="340"/>
      <c r="E5938" s="210">
        <f>+E5921</f>
        <v>3035.45</v>
      </c>
      <c r="F5938" s="210">
        <f>+F5937/E5938</f>
        <v>31.297048213609187</v>
      </c>
      <c r="G5938" s="138"/>
      <c r="H5938" s="177"/>
    </row>
    <row r="5939" spans="1:8" s="139" customFormat="1" ht="13.5" customHeight="1" x14ac:dyDescent="0.35">
      <c r="A5939" s="163"/>
      <c r="B5939" s="164"/>
      <c r="C5939" s="165"/>
      <c r="E5939" s="166"/>
      <c r="F5939" s="166"/>
      <c r="G5939" s="138"/>
      <c r="H5939" s="177"/>
    </row>
    <row r="5940" spans="1:8" s="139" customFormat="1" ht="13.5" customHeight="1" x14ac:dyDescent="0.35">
      <c r="A5940" s="163"/>
      <c r="B5940" s="164"/>
      <c r="C5940" s="165"/>
      <c r="D5940" s="163"/>
      <c r="E5940" s="166"/>
      <c r="F5940" s="166"/>
      <c r="G5940" s="138"/>
      <c r="H5940" s="177"/>
    </row>
    <row r="5941" spans="1:8" s="139" customFormat="1" ht="13.5" customHeight="1" x14ac:dyDescent="0.3">
      <c r="A5941" s="341" t="s">
        <v>392</v>
      </c>
      <c r="B5941" s="331" t="s">
        <v>393</v>
      </c>
      <c r="C5941" s="332" t="s">
        <v>611</v>
      </c>
      <c r="D5941" s="333" t="s">
        <v>765</v>
      </c>
      <c r="E5941" s="334" t="s">
        <v>766</v>
      </c>
      <c r="F5941" s="334" t="s">
        <v>767</v>
      </c>
      <c r="G5941" s="138"/>
      <c r="H5941" s="177"/>
    </row>
    <row r="5942" spans="1:8" s="139" customFormat="1" ht="13.5" customHeight="1" x14ac:dyDescent="0.35">
      <c r="A5942" s="230" t="s">
        <v>424</v>
      </c>
      <c r="B5942" s="349" t="s">
        <v>425</v>
      </c>
      <c r="C5942" s="256"/>
      <c r="D5942" s="146"/>
      <c r="E5942" s="117"/>
      <c r="F5942" s="117"/>
      <c r="G5942" s="138"/>
      <c r="H5942" s="177"/>
    </row>
    <row r="5943" spans="1:8" s="139" customFormat="1" ht="25.5" customHeight="1" x14ac:dyDescent="0.35">
      <c r="A5943" s="232" t="s">
        <v>429</v>
      </c>
      <c r="B5943" s="339" t="s">
        <v>735</v>
      </c>
      <c r="C5943" s="256" t="s">
        <v>7</v>
      </c>
      <c r="D5943" s="146"/>
      <c r="E5943" s="117"/>
      <c r="F5943" s="117"/>
      <c r="G5943" s="138"/>
      <c r="H5943" s="177"/>
    </row>
    <row r="5944" spans="1:8" s="139" customFormat="1" ht="13.5" customHeight="1" x14ac:dyDescent="0.35">
      <c r="A5944" s="146"/>
      <c r="B5944" s="112" t="s">
        <v>802</v>
      </c>
      <c r="C5944" s="124"/>
      <c r="D5944" s="146"/>
      <c r="E5944" s="117"/>
      <c r="F5944" s="117"/>
      <c r="G5944" s="138"/>
      <c r="H5944" s="177"/>
    </row>
    <row r="5945" spans="1:8" s="139" customFormat="1" ht="13.5" customHeight="1" x14ac:dyDescent="0.35">
      <c r="A5945" s="146"/>
      <c r="B5945" s="120" t="s">
        <v>1066</v>
      </c>
      <c r="C5945" s="124" t="s">
        <v>27</v>
      </c>
      <c r="D5945" s="146">
        <v>1</v>
      </c>
      <c r="E5945" s="117">
        <v>2431820</v>
      </c>
      <c r="F5945" s="117">
        <f>D5945*E5945</f>
        <v>2431820</v>
      </c>
      <c r="G5945" s="138"/>
      <c r="H5945" s="177"/>
    </row>
    <row r="5946" spans="1:8" s="139" customFormat="1" ht="13.5" customHeight="1" x14ac:dyDescent="0.35">
      <c r="A5946" s="146"/>
      <c r="B5946" s="120" t="s">
        <v>1057</v>
      </c>
      <c r="C5946" s="124"/>
      <c r="D5946" s="146"/>
      <c r="E5946" s="117"/>
      <c r="F5946" s="117">
        <f>0.1*(F5945)</f>
        <v>243182</v>
      </c>
      <c r="G5946" s="138"/>
      <c r="H5946" s="177"/>
    </row>
    <row r="5947" spans="1:8" s="139" customFormat="1" ht="13.5" customHeight="1" x14ac:dyDescent="0.35">
      <c r="A5947" s="146"/>
      <c r="B5947" s="112" t="s">
        <v>769</v>
      </c>
      <c r="C5947" s="124"/>
      <c r="D5947" s="146"/>
      <c r="E5947" s="117"/>
      <c r="F5947" s="110">
        <f>SUM(F5945:F5946)</f>
        <v>2675002</v>
      </c>
      <c r="G5947" s="138"/>
      <c r="H5947" s="177"/>
    </row>
    <row r="5948" spans="1:8" s="139" customFormat="1" ht="13.5" customHeight="1" x14ac:dyDescent="0.35">
      <c r="A5948" s="146"/>
      <c r="B5948" s="112" t="s">
        <v>808</v>
      </c>
      <c r="C5948" s="124"/>
      <c r="D5948" s="146"/>
      <c r="E5948" s="117"/>
      <c r="F5948" s="117"/>
      <c r="G5948" s="138"/>
      <c r="H5948" s="177"/>
    </row>
    <row r="5949" spans="1:8" s="139" customFormat="1" ht="13.5" customHeight="1" x14ac:dyDescent="0.35">
      <c r="A5949" s="146"/>
      <c r="B5949" s="120" t="s">
        <v>787</v>
      </c>
      <c r="C5949" s="124" t="s">
        <v>1043</v>
      </c>
      <c r="D5949" s="146">
        <v>3</v>
      </c>
      <c r="E5949" s="117">
        <v>15000</v>
      </c>
      <c r="F5949" s="117">
        <f>+D5949*E5949</f>
        <v>45000</v>
      </c>
      <c r="G5949" s="138"/>
      <c r="H5949" s="177"/>
    </row>
    <row r="5950" spans="1:8" s="139" customFormat="1" ht="13.5" customHeight="1" x14ac:dyDescent="0.35">
      <c r="A5950" s="146"/>
      <c r="B5950" s="112" t="s">
        <v>774</v>
      </c>
      <c r="C5950" s="124"/>
      <c r="D5950" s="146"/>
      <c r="E5950" s="117"/>
      <c r="F5950" s="117">
        <f>SUM(F5949)</f>
        <v>45000</v>
      </c>
      <c r="G5950" s="138"/>
      <c r="H5950" s="177"/>
    </row>
    <row r="5951" spans="1:8" s="139" customFormat="1" ht="13.5" customHeight="1" x14ac:dyDescent="0.35">
      <c r="A5951" s="146"/>
      <c r="B5951" s="112" t="s">
        <v>775</v>
      </c>
      <c r="C5951" s="124"/>
      <c r="D5951" s="146"/>
      <c r="E5951" s="117"/>
      <c r="F5951" s="117">
        <f>+F5947+F5950</f>
        <v>2720002</v>
      </c>
      <c r="G5951" s="138"/>
      <c r="H5951" s="177"/>
    </row>
    <row r="5952" spans="1:8" s="139" customFormat="1" ht="13.5" customHeight="1" x14ac:dyDescent="0.35">
      <c r="A5952" s="146"/>
      <c r="B5952" s="120" t="s">
        <v>776</v>
      </c>
      <c r="C5952" s="124"/>
      <c r="D5952" s="146">
        <v>1.25</v>
      </c>
      <c r="E5952" s="117"/>
      <c r="F5952" s="117">
        <f>+F5951*D5952</f>
        <v>3400002.5</v>
      </c>
      <c r="G5952" s="138"/>
      <c r="H5952" s="177"/>
    </row>
    <row r="5953" spans="1:8" s="139" customFormat="1" ht="13.5" customHeight="1" x14ac:dyDescent="0.35">
      <c r="A5953" s="146"/>
      <c r="B5953" s="120" t="s">
        <v>835</v>
      </c>
      <c r="C5953" s="124"/>
      <c r="D5953" s="146">
        <v>1.25</v>
      </c>
      <c r="E5953" s="117"/>
      <c r="F5953" s="117"/>
      <c r="G5953" s="138"/>
      <c r="H5953" s="177"/>
    </row>
    <row r="5954" spans="1:8" s="139" customFormat="1" ht="13.5" customHeight="1" x14ac:dyDescent="0.35">
      <c r="A5954" s="233" t="s">
        <v>429</v>
      </c>
      <c r="B5954" s="207" t="s">
        <v>778</v>
      </c>
      <c r="C5954" s="233" t="s">
        <v>7</v>
      </c>
      <c r="D5954" s="340"/>
      <c r="E5954" s="209"/>
      <c r="F5954" s="209">
        <f>+D5953*F5952</f>
        <v>4250003.125</v>
      </c>
      <c r="G5954" s="138"/>
      <c r="H5954" s="177"/>
    </row>
    <row r="5955" spans="1:8" s="139" customFormat="1" ht="13.5" customHeight="1" x14ac:dyDescent="0.35">
      <c r="A5955" s="340"/>
      <c r="B5955" s="207"/>
      <c r="C5955" s="208"/>
      <c r="D5955" s="340"/>
      <c r="E5955" s="210">
        <f>+E5938</f>
        <v>3035.45</v>
      </c>
      <c r="F5955" s="210">
        <f>+F5954/E5955</f>
        <v>1400.1229224661913</v>
      </c>
      <c r="G5955" s="138"/>
      <c r="H5955" s="177"/>
    </row>
    <row r="5956" spans="1:8" s="139" customFormat="1" ht="13.5" customHeight="1" x14ac:dyDescent="0.35">
      <c r="A5956" s="163"/>
      <c r="B5956" s="164"/>
      <c r="C5956" s="165"/>
      <c r="E5956" s="166"/>
      <c r="F5956" s="166"/>
      <c r="G5956" s="138"/>
      <c r="H5956" s="177"/>
    </row>
    <row r="5957" spans="1:8" s="139" customFormat="1" ht="13.5" customHeight="1" x14ac:dyDescent="0.35">
      <c r="A5957" s="163"/>
      <c r="B5957" s="164"/>
      <c r="C5957" s="165"/>
      <c r="D5957" s="163"/>
      <c r="E5957" s="166"/>
      <c r="F5957" s="166"/>
      <c r="G5957" s="138"/>
      <c r="H5957" s="177"/>
    </row>
    <row r="5958" spans="1:8" s="139" customFormat="1" ht="13.5" customHeight="1" x14ac:dyDescent="0.3">
      <c r="A5958" s="341" t="s">
        <v>392</v>
      </c>
      <c r="B5958" s="331" t="s">
        <v>393</v>
      </c>
      <c r="C5958" s="332" t="s">
        <v>611</v>
      </c>
      <c r="D5958" s="333" t="s">
        <v>765</v>
      </c>
      <c r="E5958" s="334" t="s">
        <v>766</v>
      </c>
      <c r="F5958" s="334" t="s">
        <v>767</v>
      </c>
      <c r="G5958" s="138"/>
      <c r="H5958" s="177"/>
    </row>
    <row r="5959" spans="1:8" s="139" customFormat="1" ht="13.5" customHeight="1" x14ac:dyDescent="0.35">
      <c r="A5959" s="230" t="s">
        <v>424</v>
      </c>
      <c r="B5959" s="349" t="s">
        <v>425</v>
      </c>
      <c r="C5959" s="256"/>
      <c r="D5959" s="146"/>
      <c r="E5959" s="117"/>
      <c r="F5959" s="117"/>
      <c r="G5959" s="138"/>
      <c r="H5959" s="177"/>
    </row>
    <row r="5960" spans="1:8" s="139" customFormat="1" ht="29.25" customHeight="1" x14ac:dyDescent="0.3">
      <c r="A5960" s="232" t="s">
        <v>431</v>
      </c>
      <c r="B5960" s="235" t="s">
        <v>1070</v>
      </c>
      <c r="C5960" s="256" t="s">
        <v>7</v>
      </c>
      <c r="D5960" s="146"/>
      <c r="E5960" s="117"/>
      <c r="F5960" s="117"/>
      <c r="G5960" s="138"/>
      <c r="H5960" s="177"/>
    </row>
    <row r="5961" spans="1:8" s="139" customFormat="1" ht="13.5" customHeight="1" x14ac:dyDescent="0.35">
      <c r="A5961" s="146"/>
      <c r="B5961" s="112" t="s">
        <v>802</v>
      </c>
      <c r="C5961" s="124"/>
      <c r="D5961" s="146"/>
      <c r="E5961" s="117"/>
      <c r="F5961" s="117"/>
      <c r="G5961" s="138"/>
      <c r="H5961" s="177"/>
    </row>
    <row r="5962" spans="1:8" s="139" customFormat="1" ht="13.5" customHeight="1" x14ac:dyDescent="0.35">
      <c r="A5962" s="146"/>
      <c r="B5962" s="120" t="s">
        <v>1071</v>
      </c>
      <c r="C5962" s="124" t="s">
        <v>27</v>
      </c>
      <c r="D5962" s="146">
        <v>1</v>
      </c>
      <c r="E5962" s="117">
        <v>395470</v>
      </c>
      <c r="F5962" s="117">
        <f>D5962*E5962</f>
        <v>395470</v>
      </c>
      <c r="G5962" s="138"/>
      <c r="H5962" s="177"/>
    </row>
    <row r="5963" spans="1:8" s="139" customFormat="1" ht="13.5" customHeight="1" x14ac:dyDescent="0.35">
      <c r="A5963" s="146"/>
      <c r="B5963" s="120" t="s">
        <v>1057</v>
      </c>
      <c r="C5963" s="124"/>
      <c r="D5963" s="146"/>
      <c r="E5963" s="117"/>
      <c r="F5963" s="117">
        <f>0.1*(F5962)</f>
        <v>39547</v>
      </c>
      <c r="G5963" s="138"/>
      <c r="H5963" s="177"/>
    </row>
    <row r="5964" spans="1:8" s="139" customFormat="1" ht="13.5" customHeight="1" x14ac:dyDescent="0.35">
      <c r="A5964" s="146"/>
      <c r="B5964" s="112" t="s">
        <v>769</v>
      </c>
      <c r="C5964" s="124"/>
      <c r="D5964" s="146"/>
      <c r="E5964" s="117"/>
      <c r="F5964" s="110">
        <f>SUM(F5962:F5963)</f>
        <v>435017</v>
      </c>
      <c r="G5964" s="138"/>
      <c r="H5964" s="177"/>
    </row>
    <row r="5965" spans="1:8" s="139" customFormat="1" ht="13.5" customHeight="1" x14ac:dyDescent="0.35">
      <c r="A5965" s="146"/>
      <c r="B5965" s="112" t="s">
        <v>808</v>
      </c>
      <c r="C5965" s="124"/>
      <c r="D5965" s="146"/>
      <c r="E5965" s="117"/>
      <c r="F5965" s="117"/>
      <c r="G5965" s="138"/>
      <c r="H5965" s="177"/>
    </row>
    <row r="5966" spans="1:8" s="139" customFormat="1" ht="13.5" customHeight="1" x14ac:dyDescent="0.35">
      <c r="A5966" s="146"/>
      <c r="B5966" s="120" t="s">
        <v>787</v>
      </c>
      <c r="C5966" s="124" t="s">
        <v>1043</v>
      </c>
      <c r="D5966" s="146">
        <v>3</v>
      </c>
      <c r="E5966" s="117">
        <v>15000</v>
      </c>
      <c r="F5966" s="117">
        <f>+D5966*E5966</f>
        <v>45000</v>
      </c>
      <c r="G5966" s="138"/>
      <c r="H5966" s="177"/>
    </row>
    <row r="5967" spans="1:8" s="139" customFormat="1" ht="13.5" customHeight="1" x14ac:dyDescent="0.35">
      <c r="A5967" s="146"/>
      <c r="B5967" s="112" t="s">
        <v>774</v>
      </c>
      <c r="C5967" s="124"/>
      <c r="D5967" s="146"/>
      <c r="E5967" s="117"/>
      <c r="F5967" s="117">
        <f>SUM(F5966)</f>
        <v>45000</v>
      </c>
      <c r="G5967" s="138"/>
      <c r="H5967" s="177"/>
    </row>
    <row r="5968" spans="1:8" s="139" customFormat="1" ht="13.5" customHeight="1" x14ac:dyDescent="0.35">
      <c r="A5968" s="146"/>
      <c r="B5968" s="112" t="s">
        <v>775</v>
      </c>
      <c r="C5968" s="124"/>
      <c r="D5968" s="146"/>
      <c r="E5968" s="117"/>
      <c r="F5968" s="117">
        <f>+F5964+F5967</f>
        <v>480017</v>
      </c>
      <c r="G5968" s="138"/>
      <c r="H5968" s="177"/>
    </row>
    <row r="5969" spans="1:8" s="139" customFormat="1" ht="13.5" customHeight="1" x14ac:dyDescent="0.35">
      <c r="A5969" s="146"/>
      <c r="B5969" s="120" t="s">
        <v>776</v>
      </c>
      <c r="C5969" s="124"/>
      <c r="D5969" s="146">
        <v>1.25</v>
      </c>
      <c r="E5969" s="117"/>
      <c r="F5969" s="117">
        <f>+F5968*D5969</f>
        <v>600021.25</v>
      </c>
      <c r="G5969" s="138"/>
      <c r="H5969" s="177"/>
    </row>
    <row r="5970" spans="1:8" s="139" customFormat="1" ht="13.5" customHeight="1" x14ac:dyDescent="0.35">
      <c r="A5970" s="146"/>
      <c r="B5970" s="120" t="s">
        <v>835</v>
      </c>
      <c r="C5970" s="124"/>
      <c r="D5970" s="146">
        <v>1.25</v>
      </c>
      <c r="E5970" s="117"/>
      <c r="F5970" s="117"/>
      <c r="G5970" s="138"/>
      <c r="H5970" s="177"/>
    </row>
    <row r="5971" spans="1:8" s="139" customFormat="1" ht="13.5" customHeight="1" x14ac:dyDescent="0.35">
      <c r="A5971" s="233" t="s">
        <v>416</v>
      </c>
      <c r="B5971" s="207" t="s">
        <v>778</v>
      </c>
      <c r="C5971" s="233" t="s">
        <v>7</v>
      </c>
      <c r="D5971" s="340"/>
      <c r="E5971" s="209"/>
      <c r="F5971" s="209">
        <f>+D5970*F5969</f>
        <v>750026.5625</v>
      </c>
      <c r="G5971" s="138"/>
      <c r="H5971" s="177"/>
    </row>
    <row r="5972" spans="1:8" s="139" customFormat="1" ht="13.5" customHeight="1" x14ac:dyDescent="0.35">
      <c r="A5972" s="340"/>
      <c r="B5972" s="207"/>
      <c r="C5972" s="208"/>
      <c r="D5972" s="340"/>
      <c r="E5972" s="210">
        <f>+E5955</f>
        <v>3035.45</v>
      </c>
      <c r="F5972" s="210">
        <f>+F5971/E5972</f>
        <v>247.08908481444269</v>
      </c>
      <c r="G5972" s="138"/>
      <c r="H5972" s="177"/>
    </row>
    <row r="5973" spans="1:8" s="139" customFormat="1" ht="13.5" customHeight="1" x14ac:dyDescent="0.35">
      <c r="A5973" s="163"/>
      <c r="B5973" s="164"/>
      <c r="C5973" s="165"/>
      <c r="E5973" s="166"/>
      <c r="F5973" s="166"/>
      <c r="G5973" s="138"/>
      <c r="H5973" s="177"/>
    </row>
    <row r="5974" spans="1:8" s="139" customFormat="1" ht="13.5" customHeight="1" x14ac:dyDescent="0.35">
      <c r="A5974" s="163"/>
      <c r="B5974" s="164"/>
      <c r="C5974" s="165"/>
      <c r="D5974" s="163"/>
      <c r="E5974" s="166"/>
      <c r="F5974" s="166"/>
      <c r="G5974" s="138"/>
      <c r="H5974" s="177"/>
    </row>
    <row r="5975" spans="1:8" s="139" customFormat="1" ht="13.5" customHeight="1" x14ac:dyDescent="0.3">
      <c r="A5975" s="341" t="s">
        <v>392</v>
      </c>
      <c r="B5975" s="331" t="s">
        <v>393</v>
      </c>
      <c r="C5975" s="332" t="s">
        <v>611</v>
      </c>
      <c r="D5975" s="333" t="s">
        <v>765</v>
      </c>
      <c r="E5975" s="334" t="s">
        <v>766</v>
      </c>
      <c r="F5975" s="334" t="s">
        <v>767</v>
      </c>
      <c r="G5975" s="138"/>
      <c r="H5975" s="177"/>
    </row>
    <row r="5976" spans="1:8" s="139" customFormat="1" ht="13.5" customHeight="1" x14ac:dyDescent="0.35">
      <c r="A5976" s="230" t="s">
        <v>424</v>
      </c>
      <c r="B5976" s="349" t="s">
        <v>425</v>
      </c>
      <c r="C5976" s="256"/>
      <c r="D5976" s="146"/>
      <c r="E5976" s="117"/>
      <c r="F5976" s="117"/>
      <c r="G5976" s="138"/>
      <c r="H5976" s="177"/>
    </row>
    <row r="5977" spans="1:8" s="139" customFormat="1" ht="27" customHeight="1" x14ac:dyDescent="0.35">
      <c r="A5977" s="232" t="s">
        <v>432</v>
      </c>
      <c r="B5977" s="219" t="s">
        <v>1072</v>
      </c>
      <c r="C5977" s="256" t="s">
        <v>7</v>
      </c>
      <c r="D5977" s="146"/>
      <c r="E5977" s="117"/>
      <c r="F5977" s="117"/>
      <c r="G5977" s="138"/>
      <c r="H5977" s="177"/>
    </row>
    <row r="5978" spans="1:8" s="139" customFormat="1" ht="13.5" customHeight="1" x14ac:dyDescent="0.35">
      <c r="A5978" s="146"/>
      <c r="B5978" s="112" t="s">
        <v>802</v>
      </c>
      <c r="C5978" s="124"/>
      <c r="D5978" s="146"/>
      <c r="E5978" s="117"/>
      <c r="F5978" s="117"/>
      <c r="G5978" s="138"/>
      <c r="H5978" s="177"/>
    </row>
    <row r="5979" spans="1:8" s="139" customFormat="1" ht="13.5" customHeight="1" x14ac:dyDescent="0.35">
      <c r="A5979" s="146"/>
      <c r="B5979" s="120" t="s">
        <v>1071</v>
      </c>
      <c r="C5979" s="124" t="s">
        <v>27</v>
      </c>
      <c r="D5979" s="146">
        <v>1</v>
      </c>
      <c r="E5979" s="117">
        <v>6085640</v>
      </c>
      <c r="F5979" s="117">
        <f>D5979*E5979</f>
        <v>6085640</v>
      </c>
      <c r="G5979" s="138"/>
      <c r="H5979" s="177"/>
    </row>
    <row r="5980" spans="1:8" s="139" customFormat="1" ht="13.5" customHeight="1" x14ac:dyDescent="0.35">
      <c r="A5980" s="146"/>
      <c r="B5980" s="120" t="s">
        <v>1057</v>
      </c>
      <c r="C5980" s="124"/>
      <c r="D5980" s="146"/>
      <c r="E5980" s="117"/>
      <c r="F5980" s="117">
        <f>0.1*(F5979)</f>
        <v>608564</v>
      </c>
      <c r="G5980" s="138"/>
      <c r="H5980" s="177"/>
    </row>
    <row r="5981" spans="1:8" s="139" customFormat="1" ht="13.5" customHeight="1" x14ac:dyDescent="0.35">
      <c r="A5981" s="146"/>
      <c r="B5981" s="112" t="s">
        <v>769</v>
      </c>
      <c r="C5981" s="124"/>
      <c r="D5981" s="146"/>
      <c r="E5981" s="117"/>
      <c r="F5981" s="110">
        <f>SUM(F5979:F5980)</f>
        <v>6694204</v>
      </c>
      <c r="G5981" s="138"/>
      <c r="H5981" s="177"/>
    </row>
    <row r="5982" spans="1:8" s="139" customFormat="1" ht="13.5" customHeight="1" x14ac:dyDescent="0.35">
      <c r="A5982" s="146"/>
      <c r="B5982" s="112" t="s">
        <v>808</v>
      </c>
      <c r="C5982" s="124"/>
      <c r="D5982" s="146"/>
      <c r="E5982" s="117"/>
      <c r="F5982" s="117"/>
      <c r="G5982" s="138"/>
      <c r="H5982" s="177"/>
    </row>
    <row r="5983" spans="1:8" s="139" customFormat="1" ht="13.5" customHeight="1" x14ac:dyDescent="0.35">
      <c r="A5983" s="146"/>
      <c r="B5983" s="120" t="s">
        <v>787</v>
      </c>
      <c r="C5983" s="124" t="s">
        <v>1043</v>
      </c>
      <c r="D5983" s="146">
        <v>3</v>
      </c>
      <c r="E5983" s="117">
        <v>15000</v>
      </c>
      <c r="F5983" s="117">
        <f>+D5983*E5983</f>
        <v>45000</v>
      </c>
      <c r="G5983" s="138"/>
      <c r="H5983" s="177"/>
    </row>
    <row r="5984" spans="1:8" s="139" customFormat="1" ht="13.5" customHeight="1" x14ac:dyDescent="0.35">
      <c r="A5984" s="146"/>
      <c r="B5984" s="112" t="s">
        <v>774</v>
      </c>
      <c r="C5984" s="124"/>
      <c r="D5984" s="146"/>
      <c r="E5984" s="117"/>
      <c r="F5984" s="117">
        <f>SUM(F5983)</f>
        <v>45000</v>
      </c>
      <c r="G5984" s="138"/>
      <c r="H5984" s="177"/>
    </row>
    <row r="5985" spans="1:8" s="139" customFormat="1" ht="13.5" customHeight="1" x14ac:dyDescent="0.35">
      <c r="A5985" s="146"/>
      <c r="B5985" s="112" t="s">
        <v>775</v>
      </c>
      <c r="C5985" s="124"/>
      <c r="D5985" s="146"/>
      <c r="E5985" s="117"/>
      <c r="F5985" s="117">
        <f>+F5981+F5984</f>
        <v>6739204</v>
      </c>
      <c r="G5985" s="138"/>
      <c r="H5985" s="177"/>
    </row>
    <row r="5986" spans="1:8" s="139" customFormat="1" ht="13.5" customHeight="1" x14ac:dyDescent="0.35">
      <c r="A5986" s="146"/>
      <c r="B5986" s="120" t="s">
        <v>776</v>
      </c>
      <c r="C5986" s="124"/>
      <c r="D5986" s="146">
        <v>1.25</v>
      </c>
      <c r="E5986" s="117"/>
      <c r="F5986" s="117">
        <f>+F5985*D5986</f>
        <v>8424005</v>
      </c>
      <c r="G5986" s="138"/>
      <c r="H5986" s="177"/>
    </row>
    <row r="5987" spans="1:8" s="139" customFormat="1" ht="13.5" customHeight="1" x14ac:dyDescent="0.35">
      <c r="A5987" s="146"/>
      <c r="B5987" s="120" t="s">
        <v>835</v>
      </c>
      <c r="C5987" s="124"/>
      <c r="D5987" s="146">
        <v>1.25</v>
      </c>
      <c r="E5987" s="117"/>
      <c r="F5987" s="117"/>
      <c r="G5987" s="138"/>
      <c r="H5987" s="177"/>
    </row>
    <row r="5988" spans="1:8" s="139" customFormat="1" ht="13.5" customHeight="1" x14ac:dyDescent="0.35">
      <c r="A5988" s="233" t="s">
        <v>432</v>
      </c>
      <c r="B5988" s="207" t="s">
        <v>778</v>
      </c>
      <c r="C5988" s="233" t="s">
        <v>7</v>
      </c>
      <c r="D5988" s="340"/>
      <c r="E5988" s="209"/>
      <c r="F5988" s="209">
        <f>+D5987*F5986</f>
        <v>10530006.25</v>
      </c>
      <c r="G5988" s="138"/>
      <c r="H5988" s="177"/>
    </row>
    <row r="5989" spans="1:8" s="139" customFormat="1" ht="13.5" customHeight="1" x14ac:dyDescent="0.35">
      <c r="A5989" s="340"/>
      <c r="B5989" s="207"/>
      <c r="C5989" s="208"/>
      <c r="D5989" s="340"/>
      <c r="E5989" s="210">
        <f>+E5972</f>
        <v>3035.45</v>
      </c>
      <c r="F5989" s="210">
        <f>+F5988/E5989</f>
        <v>3469.0099491014512</v>
      </c>
      <c r="G5989" s="138"/>
      <c r="H5989" s="177"/>
    </row>
    <row r="5990" spans="1:8" s="139" customFormat="1" ht="13.5" customHeight="1" x14ac:dyDescent="0.35">
      <c r="A5990" s="163"/>
      <c r="B5990" s="164"/>
      <c r="C5990" s="165"/>
      <c r="E5990" s="166"/>
      <c r="F5990" s="166"/>
      <c r="G5990" s="138"/>
      <c r="H5990" s="177"/>
    </row>
    <row r="5991" spans="1:8" s="139" customFormat="1" ht="13.5" customHeight="1" x14ac:dyDescent="0.35">
      <c r="A5991" s="163"/>
      <c r="B5991" s="164"/>
      <c r="C5991" s="165"/>
      <c r="D5991" s="163"/>
      <c r="E5991" s="166"/>
      <c r="F5991" s="166"/>
      <c r="G5991" s="138"/>
      <c r="H5991" s="177"/>
    </row>
    <row r="5992" spans="1:8" s="139" customFormat="1" ht="13.5" customHeight="1" x14ac:dyDescent="0.3">
      <c r="A5992" s="341" t="s">
        <v>392</v>
      </c>
      <c r="B5992" s="331" t="s">
        <v>393</v>
      </c>
      <c r="C5992" s="332" t="s">
        <v>611</v>
      </c>
      <c r="D5992" s="333" t="s">
        <v>765</v>
      </c>
      <c r="E5992" s="334" t="s">
        <v>766</v>
      </c>
      <c r="F5992" s="334" t="s">
        <v>767</v>
      </c>
      <c r="G5992" s="138"/>
      <c r="H5992" s="177"/>
    </row>
    <row r="5993" spans="1:8" s="139" customFormat="1" ht="13.5" customHeight="1" x14ac:dyDescent="0.35">
      <c r="A5993" s="230" t="s">
        <v>424</v>
      </c>
      <c r="B5993" s="349" t="s">
        <v>425</v>
      </c>
      <c r="C5993" s="256"/>
      <c r="D5993" s="146"/>
      <c r="E5993" s="117"/>
      <c r="F5993" s="117"/>
      <c r="G5993" s="138"/>
      <c r="H5993" s="177"/>
    </row>
    <row r="5994" spans="1:8" s="139" customFormat="1" ht="25.5" customHeight="1" x14ac:dyDescent="0.35">
      <c r="A5994" s="232" t="s">
        <v>433</v>
      </c>
      <c r="B5994" s="219" t="s">
        <v>1072</v>
      </c>
      <c r="C5994" s="256" t="s">
        <v>7</v>
      </c>
      <c r="D5994" s="146"/>
      <c r="E5994" s="117"/>
      <c r="F5994" s="117"/>
      <c r="G5994" s="138"/>
      <c r="H5994" s="177"/>
    </row>
    <row r="5995" spans="1:8" s="139" customFormat="1" ht="13.5" customHeight="1" x14ac:dyDescent="0.35">
      <c r="A5995" s="146"/>
      <c r="B5995" s="112" t="s">
        <v>802</v>
      </c>
      <c r="C5995" s="124"/>
      <c r="D5995" s="146"/>
      <c r="E5995" s="117"/>
      <c r="F5995" s="117"/>
      <c r="G5995" s="138"/>
      <c r="H5995" s="177"/>
    </row>
    <row r="5996" spans="1:8" s="139" customFormat="1" ht="13.5" customHeight="1" x14ac:dyDescent="0.35">
      <c r="A5996" s="146"/>
      <c r="B5996" s="120" t="s">
        <v>1071</v>
      </c>
      <c r="C5996" s="124" t="s">
        <v>27</v>
      </c>
      <c r="D5996" s="146">
        <v>1</v>
      </c>
      <c r="E5996" s="117">
        <v>5425000</v>
      </c>
      <c r="F5996" s="117">
        <f>D5996*E5996</f>
        <v>5425000</v>
      </c>
      <c r="G5996" s="138"/>
      <c r="H5996" s="177"/>
    </row>
    <row r="5997" spans="1:8" s="139" customFormat="1" ht="13.5" customHeight="1" x14ac:dyDescent="0.35">
      <c r="A5997" s="146"/>
      <c r="B5997" s="120" t="s">
        <v>1057</v>
      </c>
      <c r="C5997" s="124"/>
      <c r="D5997" s="146"/>
      <c r="E5997" s="117"/>
      <c r="F5997" s="117">
        <f>0.1*(F5996)</f>
        <v>542500</v>
      </c>
      <c r="G5997" s="138"/>
      <c r="H5997" s="177"/>
    </row>
    <row r="5998" spans="1:8" s="139" customFormat="1" ht="13.5" customHeight="1" x14ac:dyDescent="0.35">
      <c r="A5998" s="146"/>
      <c r="B5998" s="112" t="s">
        <v>769</v>
      </c>
      <c r="C5998" s="124"/>
      <c r="D5998" s="146"/>
      <c r="E5998" s="117"/>
      <c r="F5998" s="110">
        <f>SUM(F5996:F5997)</f>
        <v>5967500</v>
      </c>
      <c r="G5998" s="138"/>
      <c r="H5998" s="177"/>
    </row>
    <row r="5999" spans="1:8" s="139" customFormat="1" ht="13.5" customHeight="1" x14ac:dyDescent="0.35">
      <c r="A5999" s="146"/>
      <c r="B5999" s="112" t="s">
        <v>808</v>
      </c>
      <c r="C5999" s="124"/>
      <c r="D5999" s="146"/>
      <c r="E5999" s="117"/>
      <c r="F5999" s="117"/>
      <c r="G5999" s="138"/>
      <c r="H5999" s="177"/>
    </row>
    <row r="6000" spans="1:8" s="139" customFormat="1" ht="13.5" customHeight="1" x14ac:dyDescent="0.35">
      <c r="A6000" s="146"/>
      <c r="B6000" s="120" t="s">
        <v>787</v>
      </c>
      <c r="C6000" s="124" t="s">
        <v>1043</v>
      </c>
      <c r="D6000" s="146">
        <v>3</v>
      </c>
      <c r="E6000" s="117">
        <v>15000</v>
      </c>
      <c r="F6000" s="117">
        <f>+D6000*E6000</f>
        <v>45000</v>
      </c>
      <c r="G6000" s="138"/>
      <c r="H6000" s="177"/>
    </row>
    <row r="6001" spans="1:8" s="139" customFormat="1" ht="13.5" customHeight="1" x14ac:dyDescent="0.35">
      <c r="A6001" s="146"/>
      <c r="B6001" s="112" t="s">
        <v>774</v>
      </c>
      <c r="C6001" s="124"/>
      <c r="D6001" s="146"/>
      <c r="E6001" s="117"/>
      <c r="F6001" s="117">
        <f>SUM(F6000)</f>
        <v>45000</v>
      </c>
      <c r="G6001" s="138"/>
      <c r="H6001" s="177"/>
    </row>
    <row r="6002" spans="1:8" s="139" customFormat="1" ht="13.5" customHeight="1" x14ac:dyDescent="0.35">
      <c r="A6002" s="146"/>
      <c r="B6002" s="112" t="s">
        <v>775</v>
      </c>
      <c r="C6002" s="124"/>
      <c r="D6002" s="146"/>
      <c r="E6002" s="117"/>
      <c r="F6002" s="117">
        <f>+F5998+F6001</f>
        <v>6012500</v>
      </c>
      <c r="G6002" s="138"/>
      <c r="H6002" s="177"/>
    </row>
    <row r="6003" spans="1:8" s="139" customFormat="1" ht="13.5" customHeight="1" x14ac:dyDescent="0.35">
      <c r="A6003" s="146"/>
      <c r="B6003" s="120" t="s">
        <v>776</v>
      </c>
      <c r="C6003" s="124"/>
      <c r="D6003" s="146">
        <v>1.25</v>
      </c>
      <c r="E6003" s="117"/>
      <c r="F6003" s="117">
        <f>+F6002*D6003</f>
        <v>7515625</v>
      </c>
      <c r="G6003" s="138"/>
      <c r="H6003" s="177"/>
    </row>
    <row r="6004" spans="1:8" s="139" customFormat="1" ht="13.5" customHeight="1" x14ac:dyDescent="0.35">
      <c r="A6004" s="146"/>
      <c r="B6004" s="120" t="s">
        <v>835</v>
      </c>
      <c r="C6004" s="124"/>
      <c r="D6004" s="146">
        <v>1.25</v>
      </c>
      <c r="E6004" s="117"/>
      <c r="F6004" s="117"/>
      <c r="G6004" s="138"/>
      <c r="H6004" s="177"/>
    </row>
    <row r="6005" spans="1:8" s="139" customFormat="1" ht="13.5" customHeight="1" x14ac:dyDescent="0.35">
      <c r="A6005" s="233" t="s">
        <v>433</v>
      </c>
      <c r="B6005" s="207" t="s">
        <v>778</v>
      </c>
      <c r="C6005" s="233" t="s">
        <v>7</v>
      </c>
      <c r="D6005" s="340"/>
      <c r="E6005" s="209"/>
      <c r="F6005" s="209">
        <f>+D6004*F6003</f>
        <v>9394531.25</v>
      </c>
      <c r="G6005" s="138"/>
      <c r="H6005" s="177"/>
    </row>
    <row r="6006" spans="1:8" s="139" customFormat="1" ht="13.5" customHeight="1" x14ac:dyDescent="0.35">
      <c r="A6006" s="340"/>
      <c r="B6006" s="207"/>
      <c r="C6006" s="208"/>
      <c r="D6006" s="340"/>
      <c r="E6006" s="210">
        <f>+E5989</f>
        <v>3035.45</v>
      </c>
      <c r="F6006" s="210">
        <f>+F6005/E6006</f>
        <v>3094.9385593569323</v>
      </c>
      <c r="G6006" s="138"/>
      <c r="H6006" s="177"/>
    </row>
    <row r="6007" spans="1:8" s="139" customFormat="1" ht="13.5" customHeight="1" x14ac:dyDescent="0.35">
      <c r="A6007" s="163"/>
      <c r="B6007" s="164"/>
      <c r="C6007" s="165"/>
      <c r="E6007" s="166"/>
      <c r="F6007" s="166"/>
      <c r="G6007" s="138"/>
      <c r="H6007" s="177"/>
    </row>
    <row r="6008" spans="1:8" s="139" customFormat="1" ht="13.5" customHeight="1" x14ac:dyDescent="0.35">
      <c r="A6008" s="163"/>
      <c r="B6008" s="164"/>
      <c r="C6008" s="165"/>
      <c r="D6008" s="163"/>
      <c r="E6008" s="166"/>
      <c r="F6008" s="166"/>
      <c r="G6008" s="138"/>
      <c r="H6008" s="177"/>
    </row>
    <row r="6009" spans="1:8" s="139" customFormat="1" ht="13.5" customHeight="1" x14ac:dyDescent="0.3">
      <c r="A6009" s="341" t="s">
        <v>392</v>
      </c>
      <c r="B6009" s="331" t="s">
        <v>393</v>
      </c>
      <c r="C6009" s="332" t="s">
        <v>611</v>
      </c>
      <c r="D6009" s="333" t="s">
        <v>765</v>
      </c>
      <c r="E6009" s="334" t="s">
        <v>766</v>
      </c>
      <c r="F6009" s="334" t="s">
        <v>767</v>
      </c>
      <c r="G6009" s="138"/>
      <c r="H6009" s="177"/>
    </row>
    <row r="6010" spans="1:8" s="139" customFormat="1" ht="13.5" customHeight="1" x14ac:dyDescent="0.35">
      <c r="A6010" s="230" t="s">
        <v>424</v>
      </c>
      <c r="B6010" s="349" t="s">
        <v>425</v>
      </c>
      <c r="C6010" s="256"/>
      <c r="D6010" s="146"/>
      <c r="E6010" s="117"/>
      <c r="F6010" s="117"/>
      <c r="G6010" s="138"/>
      <c r="H6010" s="177"/>
    </row>
    <row r="6011" spans="1:8" s="139" customFormat="1" ht="27.75" customHeight="1" x14ac:dyDescent="0.3">
      <c r="A6011" s="232" t="s">
        <v>434</v>
      </c>
      <c r="B6011" s="347" t="s">
        <v>1212</v>
      </c>
      <c r="C6011" s="256" t="s">
        <v>7</v>
      </c>
      <c r="D6011" s="146"/>
      <c r="E6011" s="117"/>
      <c r="F6011" s="117"/>
      <c r="G6011" s="138"/>
      <c r="H6011" s="177"/>
    </row>
    <row r="6012" spans="1:8" s="139" customFormat="1" ht="13.5" customHeight="1" x14ac:dyDescent="0.35">
      <c r="A6012" s="146"/>
      <c r="B6012" s="112" t="s">
        <v>802</v>
      </c>
      <c r="C6012" s="124"/>
      <c r="D6012" s="146"/>
      <c r="E6012" s="117"/>
      <c r="F6012" s="117"/>
      <c r="G6012" s="138"/>
      <c r="H6012" s="177"/>
    </row>
    <row r="6013" spans="1:8" s="139" customFormat="1" ht="13.5" customHeight="1" x14ac:dyDescent="0.35">
      <c r="A6013" s="146"/>
      <c r="B6013" s="120" t="s">
        <v>1071</v>
      </c>
      <c r="C6013" s="124" t="s">
        <v>27</v>
      </c>
      <c r="D6013" s="146">
        <v>1</v>
      </c>
      <c r="E6013" s="117">
        <v>3605000</v>
      </c>
      <c r="F6013" s="117">
        <f>D6013*E6013</f>
        <v>3605000</v>
      </c>
      <c r="G6013" s="138"/>
      <c r="H6013" s="177"/>
    </row>
    <row r="6014" spans="1:8" s="139" customFormat="1" ht="13.5" customHeight="1" x14ac:dyDescent="0.35">
      <c r="A6014" s="146"/>
      <c r="B6014" s="120" t="s">
        <v>1057</v>
      </c>
      <c r="C6014" s="124"/>
      <c r="D6014" s="146"/>
      <c r="E6014" s="117"/>
      <c r="F6014" s="117">
        <f>0.1*(F6013)</f>
        <v>360500</v>
      </c>
      <c r="G6014" s="138"/>
      <c r="H6014" s="177"/>
    </row>
    <row r="6015" spans="1:8" s="139" customFormat="1" ht="13.5" customHeight="1" x14ac:dyDescent="0.35">
      <c r="A6015" s="146"/>
      <c r="B6015" s="112" t="s">
        <v>769</v>
      </c>
      <c r="C6015" s="124"/>
      <c r="D6015" s="146"/>
      <c r="E6015" s="117"/>
      <c r="F6015" s="110">
        <f>SUM(F6013:F6014)</f>
        <v>3965500</v>
      </c>
      <c r="G6015" s="138"/>
      <c r="H6015" s="177"/>
    </row>
    <row r="6016" spans="1:8" s="139" customFormat="1" ht="13.5" customHeight="1" x14ac:dyDescent="0.35">
      <c r="A6016" s="146"/>
      <c r="B6016" s="112" t="s">
        <v>808</v>
      </c>
      <c r="C6016" s="124"/>
      <c r="D6016" s="146"/>
      <c r="E6016" s="117"/>
      <c r="F6016" s="117"/>
      <c r="G6016" s="138"/>
      <c r="H6016" s="177"/>
    </row>
    <row r="6017" spans="1:8" s="139" customFormat="1" ht="13.5" customHeight="1" x14ac:dyDescent="0.35">
      <c r="A6017" s="146"/>
      <c r="B6017" s="120" t="s">
        <v>787</v>
      </c>
      <c r="C6017" s="124" t="s">
        <v>1043</v>
      </c>
      <c r="D6017" s="146">
        <v>3</v>
      </c>
      <c r="E6017" s="117">
        <v>15000</v>
      </c>
      <c r="F6017" s="117">
        <f>+D6017*E6017</f>
        <v>45000</v>
      </c>
      <c r="G6017" s="138"/>
      <c r="H6017" s="177"/>
    </row>
    <row r="6018" spans="1:8" s="139" customFormat="1" ht="13.5" customHeight="1" x14ac:dyDescent="0.35">
      <c r="A6018" s="146"/>
      <c r="B6018" s="112" t="s">
        <v>774</v>
      </c>
      <c r="C6018" s="124"/>
      <c r="D6018" s="146"/>
      <c r="E6018" s="117"/>
      <c r="F6018" s="117">
        <f>SUM(F6017)</f>
        <v>45000</v>
      </c>
      <c r="G6018" s="138"/>
      <c r="H6018" s="177"/>
    </row>
    <row r="6019" spans="1:8" s="139" customFormat="1" ht="13.5" customHeight="1" x14ac:dyDescent="0.35">
      <c r="A6019" s="146"/>
      <c r="B6019" s="112" t="s">
        <v>775</v>
      </c>
      <c r="C6019" s="124"/>
      <c r="D6019" s="146"/>
      <c r="E6019" s="117"/>
      <c r="F6019" s="117">
        <f>+F6015+F6018</f>
        <v>4010500</v>
      </c>
      <c r="G6019" s="138"/>
      <c r="H6019" s="177"/>
    </row>
    <row r="6020" spans="1:8" s="139" customFormat="1" ht="13.5" customHeight="1" x14ac:dyDescent="0.35">
      <c r="A6020" s="146"/>
      <c r="B6020" s="120" t="s">
        <v>776</v>
      </c>
      <c r="C6020" s="124"/>
      <c r="D6020" s="146">
        <v>1.25</v>
      </c>
      <c r="E6020" s="117"/>
      <c r="F6020" s="117">
        <f>+F6019*D6020</f>
        <v>5013125</v>
      </c>
      <c r="G6020" s="138"/>
      <c r="H6020" s="177"/>
    </row>
    <row r="6021" spans="1:8" s="139" customFormat="1" ht="13.5" customHeight="1" x14ac:dyDescent="0.35">
      <c r="A6021" s="146"/>
      <c r="B6021" s="120" t="s">
        <v>835</v>
      </c>
      <c r="C6021" s="124"/>
      <c r="D6021" s="146">
        <v>1.25</v>
      </c>
      <c r="E6021" s="117"/>
      <c r="F6021" s="117"/>
      <c r="G6021" s="138"/>
      <c r="H6021" s="177"/>
    </row>
    <row r="6022" spans="1:8" s="139" customFormat="1" ht="13.5" customHeight="1" x14ac:dyDescent="0.35">
      <c r="A6022" s="233" t="s">
        <v>434</v>
      </c>
      <c r="B6022" s="207" t="s">
        <v>778</v>
      </c>
      <c r="C6022" s="233" t="s">
        <v>7</v>
      </c>
      <c r="D6022" s="340"/>
      <c r="E6022" s="209"/>
      <c r="F6022" s="209">
        <f>+D6021*F6020</f>
        <v>6266406.25</v>
      </c>
      <c r="G6022" s="138"/>
      <c r="H6022" s="177"/>
    </row>
    <row r="6023" spans="1:8" s="139" customFormat="1" ht="13.5" customHeight="1" x14ac:dyDescent="0.35">
      <c r="A6023" s="340"/>
      <c r="B6023" s="207"/>
      <c r="C6023" s="208"/>
      <c r="D6023" s="340"/>
      <c r="E6023" s="210">
        <f>+E6006</f>
        <v>3035.45</v>
      </c>
      <c r="F6023" s="210">
        <f>+F6022/E6023</f>
        <v>2064.4076660791648</v>
      </c>
      <c r="G6023" s="138"/>
      <c r="H6023" s="177"/>
    </row>
    <row r="6024" spans="1:8" s="139" customFormat="1" ht="13.5" customHeight="1" x14ac:dyDescent="0.35">
      <c r="A6024" s="163"/>
      <c r="B6024" s="164"/>
      <c r="C6024" s="165"/>
      <c r="E6024" s="166"/>
      <c r="F6024" s="166"/>
      <c r="G6024" s="138"/>
      <c r="H6024" s="177"/>
    </row>
    <row r="6025" spans="1:8" s="139" customFormat="1" ht="13.5" customHeight="1" x14ac:dyDescent="0.35">
      <c r="A6025" s="163"/>
      <c r="B6025" s="164"/>
      <c r="C6025" s="165"/>
      <c r="D6025" s="163"/>
      <c r="E6025" s="166"/>
      <c r="F6025" s="166"/>
      <c r="G6025" s="138"/>
      <c r="H6025" s="177"/>
    </row>
    <row r="6026" spans="1:8" s="139" customFormat="1" ht="13.5" customHeight="1" x14ac:dyDescent="0.3">
      <c r="A6026" s="341" t="s">
        <v>392</v>
      </c>
      <c r="B6026" s="331" t="s">
        <v>393</v>
      </c>
      <c r="C6026" s="332" t="s">
        <v>611</v>
      </c>
      <c r="D6026" s="333" t="s">
        <v>765</v>
      </c>
      <c r="E6026" s="334" t="s">
        <v>766</v>
      </c>
      <c r="F6026" s="334" t="s">
        <v>767</v>
      </c>
      <c r="G6026" s="138"/>
      <c r="H6026" s="177"/>
    </row>
    <row r="6027" spans="1:8" s="139" customFormat="1" ht="13.5" customHeight="1" x14ac:dyDescent="0.35">
      <c r="A6027" s="230" t="s">
        <v>424</v>
      </c>
      <c r="B6027" s="349" t="s">
        <v>425</v>
      </c>
      <c r="C6027" s="256"/>
      <c r="D6027" s="146"/>
      <c r="E6027" s="117"/>
      <c r="F6027" s="117"/>
      <c r="G6027" s="138"/>
      <c r="H6027" s="177"/>
    </row>
    <row r="6028" spans="1:8" s="139" customFormat="1" ht="29.25" customHeight="1" x14ac:dyDescent="0.3">
      <c r="A6028" s="232" t="s">
        <v>433</v>
      </c>
      <c r="B6028" s="347" t="s">
        <v>1073</v>
      </c>
      <c r="C6028" s="256" t="s">
        <v>7</v>
      </c>
      <c r="D6028" s="146"/>
      <c r="E6028" s="117"/>
      <c r="F6028" s="117"/>
      <c r="G6028" s="138"/>
      <c r="H6028" s="177"/>
    </row>
    <row r="6029" spans="1:8" s="139" customFormat="1" ht="13.5" customHeight="1" x14ac:dyDescent="0.35">
      <c r="A6029" s="146"/>
      <c r="B6029" s="112" t="s">
        <v>802</v>
      </c>
      <c r="C6029" s="124"/>
      <c r="D6029" s="146"/>
      <c r="E6029" s="117"/>
      <c r="F6029" s="117"/>
      <c r="G6029" s="138"/>
      <c r="H6029" s="177"/>
    </row>
    <row r="6030" spans="1:8" s="139" customFormat="1" ht="13.5" customHeight="1" x14ac:dyDescent="0.35">
      <c r="A6030" s="146"/>
      <c r="B6030" s="120" t="s">
        <v>1074</v>
      </c>
      <c r="C6030" s="124" t="s">
        <v>27</v>
      </c>
      <c r="D6030" s="146">
        <v>1</v>
      </c>
      <c r="E6030" s="117">
        <v>482730</v>
      </c>
      <c r="F6030" s="117">
        <f>D6030*E6030</f>
        <v>482730</v>
      </c>
      <c r="G6030" s="138"/>
      <c r="H6030" s="177"/>
    </row>
    <row r="6031" spans="1:8" s="139" customFormat="1" ht="13.5" customHeight="1" x14ac:dyDescent="0.35">
      <c r="A6031" s="146"/>
      <c r="B6031" s="120" t="s">
        <v>1057</v>
      </c>
      <c r="C6031" s="124"/>
      <c r="D6031" s="146"/>
      <c r="E6031" s="117"/>
      <c r="F6031" s="117">
        <f>0.1*(F6030)</f>
        <v>48273</v>
      </c>
      <c r="G6031" s="138"/>
      <c r="H6031" s="177"/>
    </row>
    <row r="6032" spans="1:8" s="139" customFormat="1" ht="13.5" customHeight="1" x14ac:dyDescent="0.35">
      <c r="A6032" s="146"/>
      <c r="B6032" s="112" t="s">
        <v>769</v>
      </c>
      <c r="C6032" s="124"/>
      <c r="D6032" s="146"/>
      <c r="E6032" s="117"/>
      <c r="F6032" s="110">
        <f>SUM(F6030:F6031)</f>
        <v>531003</v>
      </c>
      <c r="G6032" s="138"/>
      <c r="H6032" s="177"/>
    </row>
    <row r="6033" spans="1:8" s="139" customFormat="1" ht="13.5" customHeight="1" x14ac:dyDescent="0.35">
      <c r="A6033" s="146"/>
      <c r="B6033" s="112" t="s">
        <v>808</v>
      </c>
      <c r="C6033" s="124"/>
      <c r="D6033" s="146"/>
      <c r="E6033" s="117"/>
      <c r="F6033" s="117"/>
      <c r="G6033" s="138"/>
      <c r="H6033" s="177"/>
    </row>
    <row r="6034" spans="1:8" s="139" customFormat="1" ht="13.5" customHeight="1" x14ac:dyDescent="0.35">
      <c r="A6034" s="146"/>
      <c r="B6034" s="120" t="s">
        <v>787</v>
      </c>
      <c r="C6034" s="124" t="s">
        <v>1043</v>
      </c>
      <c r="D6034" s="146">
        <v>3</v>
      </c>
      <c r="E6034" s="117">
        <v>15000</v>
      </c>
      <c r="F6034" s="117">
        <f>+D6034*E6034</f>
        <v>45000</v>
      </c>
      <c r="G6034" s="138"/>
      <c r="H6034" s="177"/>
    </row>
    <row r="6035" spans="1:8" s="139" customFormat="1" ht="13.5" customHeight="1" x14ac:dyDescent="0.35">
      <c r="A6035" s="146"/>
      <c r="B6035" s="112" t="s">
        <v>774</v>
      </c>
      <c r="C6035" s="124"/>
      <c r="D6035" s="146"/>
      <c r="E6035" s="117"/>
      <c r="F6035" s="117">
        <f>SUM(F6034)</f>
        <v>45000</v>
      </c>
      <c r="G6035" s="138"/>
      <c r="H6035" s="177"/>
    </row>
    <row r="6036" spans="1:8" s="139" customFormat="1" ht="13.5" customHeight="1" x14ac:dyDescent="0.35">
      <c r="A6036" s="146"/>
      <c r="B6036" s="112" t="s">
        <v>775</v>
      </c>
      <c r="C6036" s="124"/>
      <c r="D6036" s="146"/>
      <c r="E6036" s="117"/>
      <c r="F6036" s="117">
        <f>+F6032+F6035</f>
        <v>576003</v>
      </c>
      <c r="G6036" s="138"/>
      <c r="H6036" s="177"/>
    </row>
    <row r="6037" spans="1:8" s="139" customFormat="1" ht="13.5" customHeight="1" x14ac:dyDescent="0.35">
      <c r="A6037" s="146"/>
      <c r="B6037" s="120" t="s">
        <v>776</v>
      </c>
      <c r="C6037" s="124"/>
      <c r="D6037" s="146">
        <v>1.25</v>
      </c>
      <c r="E6037" s="117"/>
      <c r="F6037" s="117">
        <f>+F6036*D6037</f>
        <v>720003.75</v>
      </c>
      <c r="G6037" s="138"/>
      <c r="H6037" s="177"/>
    </row>
    <row r="6038" spans="1:8" s="139" customFormat="1" ht="13.5" customHeight="1" x14ac:dyDescent="0.35">
      <c r="A6038" s="146"/>
      <c r="B6038" s="120" t="s">
        <v>835</v>
      </c>
      <c r="C6038" s="124"/>
      <c r="D6038" s="146">
        <v>1.25</v>
      </c>
      <c r="E6038" s="117"/>
      <c r="F6038" s="117"/>
      <c r="G6038" s="138"/>
      <c r="H6038" s="177"/>
    </row>
    <row r="6039" spans="1:8" s="139" customFormat="1" ht="13.5" customHeight="1" x14ac:dyDescent="0.35">
      <c r="A6039" s="233" t="s">
        <v>433</v>
      </c>
      <c r="B6039" s="207" t="s">
        <v>778</v>
      </c>
      <c r="C6039" s="233" t="s">
        <v>7</v>
      </c>
      <c r="D6039" s="340"/>
      <c r="E6039" s="209"/>
      <c r="F6039" s="209">
        <f>+D6038*F6037</f>
        <v>900004.6875</v>
      </c>
      <c r="G6039" s="138"/>
      <c r="H6039" s="177"/>
    </row>
    <row r="6040" spans="1:8" s="139" customFormat="1" ht="13.5" customHeight="1" x14ac:dyDescent="0.35">
      <c r="A6040" s="340"/>
      <c r="B6040" s="207"/>
      <c r="C6040" s="208"/>
      <c r="D6040" s="340"/>
      <c r="E6040" s="210">
        <f>+E6023</f>
        <v>3035.45</v>
      </c>
      <c r="F6040" s="210">
        <f>+F6039/E6040</f>
        <v>296.4979451152218</v>
      </c>
      <c r="G6040" s="138"/>
      <c r="H6040" s="177"/>
    </row>
    <row r="6041" spans="1:8" s="139" customFormat="1" ht="13.5" customHeight="1" x14ac:dyDescent="0.35">
      <c r="A6041" s="163"/>
      <c r="B6041" s="164"/>
      <c r="C6041" s="165"/>
      <c r="E6041" s="166"/>
      <c r="F6041" s="166"/>
      <c r="G6041" s="138"/>
      <c r="H6041" s="177"/>
    </row>
    <row r="6042" spans="1:8" s="139" customFormat="1" ht="13.5" customHeight="1" x14ac:dyDescent="0.35">
      <c r="A6042" s="163"/>
      <c r="B6042" s="164"/>
      <c r="C6042" s="165"/>
      <c r="D6042" s="163"/>
      <c r="E6042" s="166"/>
      <c r="F6042" s="166"/>
      <c r="G6042" s="138"/>
      <c r="H6042" s="177"/>
    </row>
    <row r="6043" spans="1:8" s="139" customFormat="1" ht="13.5" customHeight="1" x14ac:dyDescent="0.3">
      <c r="A6043" s="341" t="s">
        <v>392</v>
      </c>
      <c r="B6043" s="331" t="s">
        <v>393</v>
      </c>
      <c r="C6043" s="332" t="s">
        <v>611</v>
      </c>
      <c r="D6043" s="333" t="s">
        <v>765</v>
      </c>
      <c r="E6043" s="334" t="s">
        <v>766</v>
      </c>
      <c r="F6043" s="334" t="s">
        <v>767</v>
      </c>
      <c r="G6043" s="138"/>
      <c r="H6043" s="177"/>
    </row>
    <row r="6044" spans="1:8" s="139" customFormat="1" ht="13.5" customHeight="1" x14ac:dyDescent="0.35">
      <c r="A6044" s="230" t="s">
        <v>424</v>
      </c>
      <c r="B6044" s="349" t="s">
        <v>425</v>
      </c>
      <c r="C6044" s="256"/>
      <c r="D6044" s="146"/>
      <c r="E6044" s="117"/>
      <c r="F6044" s="117"/>
      <c r="G6044" s="138"/>
      <c r="H6044" s="177"/>
    </row>
    <row r="6045" spans="1:8" s="139" customFormat="1" ht="26.25" customHeight="1" x14ac:dyDescent="0.35">
      <c r="A6045" s="232" t="s">
        <v>434</v>
      </c>
      <c r="B6045" s="346" t="s">
        <v>1060</v>
      </c>
      <c r="C6045" s="256" t="s">
        <v>7</v>
      </c>
      <c r="D6045" s="146"/>
      <c r="E6045" s="117"/>
      <c r="F6045" s="117"/>
      <c r="G6045" s="138"/>
      <c r="H6045" s="177"/>
    </row>
    <row r="6046" spans="1:8" s="139" customFormat="1" ht="13.5" customHeight="1" x14ac:dyDescent="0.35">
      <c r="A6046" s="146"/>
      <c r="B6046" s="112" t="s">
        <v>802</v>
      </c>
      <c r="C6046" s="124"/>
      <c r="D6046" s="146"/>
      <c r="E6046" s="117"/>
      <c r="F6046" s="117"/>
      <c r="G6046" s="138"/>
      <c r="H6046" s="177"/>
    </row>
    <row r="6047" spans="1:8" s="139" customFormat="1" ht="13.5" customHeight="1" x14ac:dyDescent="0.35">
      <c r="A6047" s="146"/>
      <c r="B6047" s="120" t="s">
        <v>1061</v>
      </c>
      <c r="C6047" s="124" t="s">
        <v>27</v>
      </c>
      <c r="D6047" s="146">
        <v>1</v>
      </c>
      <c r="E6047" s="117">
        <v>378000</v>
      </c>
      <c r="F6047" s="117">
        <f>D6047*E6047</f>
        <v>378000</v>
      </c>
      <c r="G6047" s="138"/>
      <c r="H6047" s="177"/>
    </row>
    <row r="6048" spans="1:8" s="139" customFormat="1" ht="13.5" customHeight="1" x14ac:dyDescent="0.35">
      <c r="A6048" s="146"/>
      <c r="B6048" s="120" t="s">
        <v>1057</v>
      </c>
      <c r="C6048" s="124"/>
      <c r="D6048" s="146"/>
      <c r="E6048" s="117"/>
      <c r="F6048" s="117">
        <f>0.1*(F6047)</f>
        <v>37800</v>
      </c>
      <c r="G6048" s="138"/>
      <c r="H6048" s="177"/>
    </row>
    <row r="6049" spans="1:8" s="139" customFormat="1" ht="13.5" customHeight="1" x14ac:dyDescent="0.35">
      <c r="A6049" s="146"/>
      <c r="B6049" s="112" t="s">
        <v>769</v>
      </c>
      <c r="C6049" s="124"/>
      <c r="D6049" s="146"/>
      <c r="E6049" s="117"/>
      <c r="F6049" s="110">
        <f>SUM(F6047:F6048)</f>
        <v>415800</v>
      </c>
      <c r="G6049" s="138"/>
      <c r="H6049" s="177"/>
    </row>
    <row r="6050" spans="1:8" s="139" customFormat="1" ht="13.5" customHeight="1" x14ac:dyDescent="0.35">
      <c r="A6050" s="146"/>
      <c r="B6050" s="112" t="s">
        <v>808</v>
      </c>
      <c r="C6050" s="124"/>
      <c r="D6050" s="146"/>
      <c r="E6050" s="117"/>
      <c r="F6050" s="117"/>
      <c r="G6050" s="138"/>
      <c r="H6050" s="177"/>
    </row>
    <row r="6051" spans="1:8" s="139" customFormat="1" ht="13.5" customHeight="1" x14ac:dyDescent="0.35">
      <c r="A6051" s="146"/>
      <c r="B6051" s="120" t="s">
        <v>787</v>
      </c>
      <c r="C6051" s="124" t="s">
        <v>1043</v>
      </c>
      <c r="D6051" s="146">
        <v>3</v>
      </c>
      <c r="E6051" s="117">
        <v>15000</v>
      </c>
      <c r="F6051" s="117">
        <f>+D6051*E6051</f>
        <v>45000</v>
      </c>
      <c r="G6051" s="138"/>
      <c r="H6051" s="177"/>
    </row>
    <row r="6052" spans="1:8" s="139" customFormat="1" ht="13.5" customHeight="1" x14ac:dyDescent="0.35">
      <c r="A6052" s="146"/>
      <c r="B6052" s="112" t="s">
        <v>774</v>
      </c>
      <c r="C6052" s="124"/>
      <c r="D6052" s="146"/>
      <c r="E6052" s="117"/>
      <c r="F6052" s="117">
        <f>SUM(F6051)</f>
        <v>45000</v>
      </c>
      <c r="G6052" s="138"/>
      <c r="H6052" s="177"/>
    </row>
    <row r="6053" spans="1:8" s="139" customFormat="1" ht="13.5" customHeight="1" x14ac:dyDescent="0.35">
      <c r="A6053" s="146"/>
      <c r="B6053" s="112" t="s">
        <v>775</v>
      </c>
      <c r="C6053" s="124"/>
      <c r="D6053" s="146"/>
      <c r="E6053" s="117"/>
      <c r="F6053" s="117">
        <f>+F6049+F6052</f>
        <v>460800</v>
      </c>
      <c r="G6053" s="138"/>
      <c r="H6053" s="177"/>
    </row>
    <row r="6054" spans="1:8" s="139" customFormat="1" ht="13.5" customHeight="1" x14ac:dyDescent="0.35">
      <c r="A6054" s="146"/>
      <c r="B6054" s="120" t="s">
        <v>776</v>
      </c>
      <c r="C6054" s="124"/>
      <c r="D6054" s="146">
        <v>1.25</v>
      </c>
      <c r="E6054" s="117"/>
      <c r="F6054" s="117">
        <f>+F6053*D6054</f>
        <v>576000</v>
      </c>
      <c r="G6054" s="138"/>
      <c r="H6054" s="177"/>
    </row>
    <row r="6055" spans="1:8" s="139" customFormat="1" ht="13.5" customHeight="1" x14ac:dyDescent="0.35">
      <c r="A6055" s="146"/>
      <c r="B6055" s="120" t="s">
        <v>835</v>
      </c>
      <c r="C6055" s="124"/>
      <c r="D6055" s="146">
        <v>1.25</v>
      </c>
      <c r="E6055" s="117"/>
      <c r="F6055" s="117"/>
      <c r="G6055" s="138"/>
      <c r="H6055" s="177"/>
    </row>
    <row r="6056" spans="1:8" s="139" customFormat="1" ht="13.5" customHeight="1" x14ac:dyDescent="0.35">
      <c r="A6056" s="233" t="s">
        <v>434</v>
      </c>
      <c r="B6056" s="207" t="s">
        <v>778</v>
      </c>
      <c r="C6056" s="233" t="s">
        <v>7</v>
      </c>
      <c r="D6056" s="340"/>
      <c r="E6056" s="209"/>
      <c r="F6056" s="209">
        <f>+D6055*F6054</f>
        <v>720000</v>
      </c>
      <c r="G6056" s="138"/>
      <c r="H6056" s="177"/>
    </row>
    <row r="6057" spans="1:8" s="139" customFormat="1" ht="13.5" customHeight="1" x14ac:dyDescent="0.35">
      <c r="A6057" s="340"/>
      <c r="B6057" s="207"/>
      <c r="C6057" s="208"/>
      <c r="D6057" s="340"/>
      <c r="E6057" s="210">
        <f>+E6040</f>
        <v>3035.45</v>
      </c>
      <c r="F6057" s="210">
        <f>+F6056/E6057</f>
        <v>237.19712069050718</v>
      </c>
      <c r="G6057" s="138"/>
      <c r="H6057" s="177"/>
    </row>
    <row r="6058" spans="1:8" s="139" customFormat="1" ht="13.5" customHeight="1" x14ac:dyDescent="0.35">
      <c r="A6058" s="163"/>
      <c r="B6058" s="164"/>
      <c r="C6058" s="165"/>
      <c r="E6058" s="166"/>
      <c r="F6058" s="166"/>
      <c r="G6058" s="138"/>
      <c r="H6058" s="177"/>
    </row>
    <row r="6059" spans="1:8" s="139" customFormat="1" ht="13.5" customHeight="1" x14ac:dyDescent="0.35">
      <c r="A6059" s="163"/>
      <c r="B6059" s="164"/>
      <c r="C6059" s="165"/>
      <c r="D6059" s="163"/>
      <c r="E6059" s="166"/>
      <c r="F6059" s="166"/>
      <c r="G6059" s="138"/>
      <c r="H6059" s="177"/>
    </row>
    <row r="6060" spans="1:8" s="139" customFormat="1" ht="13.5" customHeight="1" x14ac:dyDescent="0.3">
      <c r="A6060" s="341" t="s">
        <v>392</v>
      </c>
      <c r="B6060" s="331" t="s">
        <v>393</v>
      </c>
      <c r="C6060" s="332" t="s">
        <v>611</v>
      </c>
      <c r="D6060" s="333" t="s">
        <v>765</v>
      </c>
      <c r="E6060" s="334" t="s">
        <v>766</v>
      </c>
      <c r="F6060" s="334" t="s">
        <v>767</v>
      </c>
      <c r="G6060" s="138"/>
      <c r="H6060" s="177"/>
    </row>
    <row r="6061" spans="1:8" s="139" customFormat="1" ht="13.5" customHeight="1" x14ac:dyDescent="0.35">
      <c r="A6061" s="230" t="s">
        <v>424</v>
      </c>
      <c r="B6061" s="349" t="s">
        <v>425</v>
      </c>
      <c r="C6061" s="256"/>
      <c r="D6061" s="146"/>
      <c r="E6061" s="117"/>
      <c r="F6061" s="117"/>
      <c r="G6061" s="138"/>
      <c r="H6061" s="177"/>
    </row>
    <row r="6062" spans="1:8" s="139" customFormat="1" ht="19.5" customHeight="1" x14ac:dyDescent="0.35">
      <c r="A6062" s="230" t="s">
        <v>436</v>
      </c>
      <c r="B6062" s="349" t="s">
        <v>1075</v>
      </c>
      <c r="C6062" s="256" t="s">
        <v>7</v>
      </c>
      <c r="D6062" s="146"/>
      <c r="E6062" s="117"/>
      <c r="F6062" s="117"/>
      <c r="G6062" s="138"/>
      <c r="H6062" s="177"/>
    </row>
    <row r="6063" spans="1:8" s="139" customFormat="1" ht="13.5" customHeight="1" x14ac:dyDescent="0.35">
      <c r="A6063" s="146"/>
      <c r="B6063" s="112" t="s">
        <v>802</v>
      </c>
      <c r="C6063" s="124"/>
      <c r="D6063" s="146"/>
      <c r="E6063" s="117"/>
      <c r="F6063" s="117"/>
      <c r="G6063" s="138"/>
      <c r="H6063" s="177"/>
    </row>
    <row r="6064" spans="1:8" s="139" customFormat="1" ht="13.5" customHeight="1" x14ac:dyDescent="0.35">
      <c r="A6064" s="146"/>
      <c r="B6064" s="120" t="s">
        <v>1076</v>
      </c>
      <c r="C6064" s="124" t="s">
        <v>27</v>
      </c>
      <c r="D6064" s="146">
        <v>1</v>
      </c>
      <c r="E6064" s="117">
        <v>299500</v>
      </c>
      <c r="F6064" s="117">
        <f>D6064*E6064</f>
        <v>299500</v>
      </c>
      <c r="G6064" s="138"/>
      <c r="H6064" s="177"/>
    </row>
    <row r="6065" spans="1:8" s="139" customFormat="1" ht="13.5" customHeight="1" x14ac:dyDescent="0.35">
      <c r="A6065" s="146"/>
      <c r="B6065" s="120" t="s">
        <v>1057</v>
      </c>
      <c r="C6065" s="124"/>
      <c r="D6065" s="146"/>
      <c r="E6065" s="117"/>
      <c r="F6065" s="117">
        <f>0.1*(F6064)</f>
        <v>29950</v>
      </c>
      <c r="G6065" s="138"/>
      <c r="H6065" s="177"/>
    </row>
    <row r="6066" spans="1:8" s="139" customFormat="1" ht="13.5" customHeight="1" x14ac:dyDescent="0.35">
      <c r="A6066" s="146"/>
      <c r="B6066" s="112" t="s">
        <v>769</v>
      </c>
      <c r="C6066" s="124"/>
      <c r="D6066" s="146"/>
      <c r="E6066" s="117"/>
      <c r="F6066" s="110">
        <f>SUM(F6064:F6065)</f>
        <v>329450</v>
      </c>
      <c r="G6066" s="138"/>
      <c r="H6066" s="177"/>
    </row>
    <row r="6067" spans="1:8" s="139" customFormat="1" ht="13.5" customHeight="1" x14ac:dyDescent="0.35">
      <c r="A6067" s="146"/>
      <c r="B6067" s="112" t="s">
        <v>808</v>
      </c>
      <c r="C6067" s="124"/>
      <c r="D6067" s="146"/>
      <c r="E6067" s="117"/>
      <c r="F6067" s="117"/>
      <c r="G6067" s="138"/>
      <c r="H6067" s="177"/>
    </row>
    <row r="6068" spans="1:8" s="139" customFormat="1" ht="13.5" customHeight="1" x14ac:dyDescent="0.35">
      <c r="A6068" s="146"/>
      <c r="B6068" s="120" t="s">
        <v>787</v>
      </c>
      <c r="C6068" s="124" t="s">
        <v>1043</v>
      </c>
      <c r="D6068" s="146">
        <v>3</v>
      </c>
      <c r="E6068" s="117">
        <v>15000</v>
      </c>
      <c r="F6068" s="117">
        <f>+D6068*E6068</f>
        <v>45000</v>
      </c>
      <c r="G6068" s="138"/>
      <c r="H6068" s="177"/>
    </row>
    <row r="6069" spans="1:8" s="139" customFormat="1" ht="13.5" customHeight="1" x14ac:dyDescent="0.35">
      <c r="A6069" s="146"/>
      <c r="B6069" s="112" t="s">
        <v>774</v>
      </c>
      <c r="C6069" s="124"/>
      <c r="D6069" s="146"/>
      <c r="E6069" s="117"/>
      <c r="F6069" s="117">
        <f>SUM(F6068)</f>
        <v>45000</v>
      </c>
      <c r="G6069" s="138"/>
      <c r="H6069" s="177"/>
    </row>
    <row r="6070" spans="1:8" s="139" customFormat="1" ht="13.5" customHeight="1" x14ac:dyDescent="0.35">
      <c r="A6070" s="146"/>
      <c r="B6070" s="112" t="s">
        <v>775</v>
      </c>
      <c r="C6070" s="124"/>
      <c r="D6070" s="146"/>
      <c r="E6070" s="117"/>
      <c r="F6070" s="117">
        <f>+F6066+F6069</f>
        <v>374450</v>
      </c>
      <c r="G6070" s="138"/>
      <c r="H6070" s="177"/>
    </row>
    <row r="6071" spans="1:8" s="139" customFormat="1" ht="13.5" customHeight="1" x14ac:dyDescent="0.35">
      <c r="A6071" s="146"/>
      <c r="B6071" s="120" t="s">
        <v>776</v>
      </c>
      <c r="C6071" s="124"/>
      <c r="D6071" s="146">
        <v>1.25</v>
      </c>
      <c r="E6071" s="117"/>
      <c r="F6071" s="117">
        <f>+F6070*D6071</f>
        <v>468062.5</v>
      </c>
      <c r="G6071" s="138"/>
      <c r="H6071" s="177"/>
    </row>
    <row r="6072" spans="1:8" s="139" customFormat="1" ht="13.5" customHeight="1" x14ac:dyDescent="0.35">
      <c r="A6072" s="146"/>
      <c r="B6072" s="120" t="s">
        <v>835</v>
      </c>
      <c r="C6072" s="124"/>
      <c r="D6072" s="146">
        <v>1.25</v>
      </c>
      <c r="E6072" s="117"/>
      <c r="F6072" s="117"/>
      <c r="G6072" s="138"/>
      <c r="H6072" s="177"/>
    </row>
    <row r="6073" spans="1:8" s="139" customFormat="1" ht="13.5" customHeight="1" x14ac:dyDescent="0.35">
      <c r="A6073" s="233" t="s">
        <v>436</v>
      </c>
      <c r="B6073" s="207" t="s">
        <v>778</v>
      </c>
      <c r="C6073" s="233" t="s">
        <v>7</v>
      </c>
      <c r="D6073" s="340"/>
      <c r="E6073" s="209"/>
      <c r="F6073" s="209">
        <f>+D6072*F6071</f>
        <v>585078.125</v>
      </c>
      <c r="G6073" s="138"/>
      <c r="H6073" s="177"/>
    </row>
    <row r="6074" spans="1:8" s="139" customFormat="1" ht="13.5" customHeight="1" x14ac:dyDescent="0.35">
      <c r="A6074" s="340"/>
      <c r="B6074" s="207"/>
      <c r="C6074" s="208"/>
      <c r="D6074" s="340"/>
      <c r="E6074" s="210">
        <f>+E6057</f>
        <v>3035.45</v>
      </c>
      <c r="F6074" s="210">
        <f>+F6073/E6074</f>
        <v>192.74839809583423</v>
      </c>
      <c r="G6074" s="138"/>
      <c r="H6074" s="177"/>
    </row>
    <row r="6075" spans="1:8" s="139" customFormat="1" ht="13.5" customHeight="1" x14ac:dyDescent="0.35">
      <c r="A6075" s="163"/>
      <c r="B6075" s="164"/>
      <c r="C6075" s="165"/>
      <c r="E6075" s="166"/>
      <c r="F6075" s="166"/>
      <c r="G6075" s="138"/>
      <c r="H6075" s="177"/>
    </row>
    <row r="6076" spans="1:8" s="139" customFormat="1" ht="13.5" customHeight="1" x14ac:dyDescent="0.35">
      <c r="A6076" s="163"/>
      <c r="B6076" s="164"/>
      <c r="C6076" s="165"/>
      <c r="D6076" s="163"/>
      <c r="E6076" s="166"/>
      <c r="F6076" s="166"/>
      <c r="G6076" s="138"/>
      <c r="H6076" s="177"/>
    </row>
    <row r="6077" spans="1:8" s="139" customFormat="1" ht="13.5" customHeight="1" x14ac:dyDescent="0.3">
      <c r="A6077" s="341" t="s">
        <v>392</v>
      </c>
      <c r="B6077" s="331" t="s">
        <v>393</v>
      </c>
      <c r="C6077" s="332" t="s">
        <v>611</v>
      </c>
      <c r="D6077" s="333" t="s">
        <v>765</v>
      </c>
      <c r="E6077" s="334" t="s">
        <v>766</v>
      </c>
      <c r="F6077" s="334" t="s">
        <v>767</v>
      </c>
      <c r="G6077" s="138"/>
      <c r="H6077" s="177"/>
    </row>
    <row r="6078" spans="1:8" s="139" customFormat="1" ht="13.5" customHeight="1" x14ac:dyDescent="0.35">
      <c r="A6078" s="230" t="s">
        <v>424</v>
      </c>
      <c r="B6078" s="349" t="s">
        <v>425</v>
      </c>
      <c r="C6078" s="256"/>
      <c r="D6078" s="146"/>
      <c r="E6078" s="117"/>
      <c r="F6078" s="117"/>
      <c r="G6078" s="138"/>
      <c r="H6078" s="177"/>
    </row>
    <row r="6079" spans="1:8" s="139" customFormat="1" ht="27.75" customHeight="1" x14ac:dyDescent="0.35">
      <c r="A6079" s="232" t="s">
        <v>437</v>
      </c>
      <c r="B6079" s="339" t="s">
        <v>1213</v>
      </c>
      <c r="C6079" s="256" t="s">
        <v>7</v>
      </c>
      <c r="D6079" s="146"/>
      <c r="E6079" s="117"/>
      <c r="F6079" s="117"/>
      <c r="G6079" s="138"/>
      <c r="H6079" s="177"/>
    </row>
    <row r="6080" spans="1:8" s="139" customFormat="1" ht="13.5" customHeight="1" x14ac:dyDescent="0.35">
      <c r="A6080" s="146"/>
      <c r="B6080" s="112" t="s">
        <v>802</v>
      </c>
      <c r="C6080" s="124"/>
      <c r="D6080" s="146"/>
      <c r="E6080" s="117"/>
      <c r="F6080" s="117"/>
      <c r="G6080" s="138"/>
      <c r="H6080" s="177"/>
    </row>
    <row r="6081" spans="1:8" s="139" customFormat="1" ht="13.5" customHeight="1" x14ac:dyDescent="0.35">
      <c r="A6081" s="146"/>
      <c r="B6081" s="120" t="s">
        <v>1076</v>
      </c>
      <c r="C6081" s="124" t="s">
        <v>27</v>
      </c>
      <c r="D6081" s="146">
        <v>1</v>
      </c>
      <c r="E6081" s="117">
        <v>1489600</v>
      </c>
      <c r="F6081" s="117">
        <f>D6081*E6081</f>
        <v>1489600</v>
      </c>
      <c r="G6081" s="138"/>
      <c r="H6081" s="177"/>
    </row>
    <row r="6082" spans="1:8" s="139" customFormat="1" ht="13.5" customHeight="1" x14ac:dyDescent="0.35">
      <c r="A6082" s="146"/>
      <c r="B6082" s="120" t="s">
        <v>1057</v>
      </c>
      <c r="C6082" s="124"/>
      <c r="D6082" s="146"/>
      <c r="E6082" s="117"/>
      <c r="F6082" s="117">
        <f>0.1*(F6081)</f>
        <v>148960</v>
      </c>
      <c r="G6082" s="138"/>
      <c r="H6082" s="177"/>
    </row>
    <row r="6083" spans="1:8" s="139" customFormat="1" ht="13.5" customHeight="1" x14ac:dyDescent="0.35">
      <c r="A6083" s="146"/>
      <c r="B6083" s="112" t="s">
        <v>769</v>
      </c>
      <c r="C6083" s="124"/>
      <c r="D6083" s="146"/>
      <c r="E6083" s="117"/>
      <c r="F6083" s="110">
        <f>SUM(F6081:F6082)</f>
        <v>1638560</v>
      </c>
      <c r="G6083" s="138"/>
      <c r="H6083" s="177"/>
    </row>
    <row r="6084" spans="1:8" s="139" customFormat="1" ht="13.5" customHeight="1" x14ac:dyDescent="0.35">
      <c r="A6084" s="146"/>
      <c r="B6084" s="112" t="s">
        <v>808</v>
      </c>
      <c r="C6084" s="124"/>
      <c r="D6084" s="146"/>
      <c r="E6084" s="117"/>
      <c r="F6084" s="117"/>
      <c r="G6084" s="138"/>
      <c r="H6084" s="177"/>
    </row>
    <row r="6085" spans="1:8" s="139" customFormat="1" ht="13.5" customHeight="1" x14ac:dyDescent="0.35">
      <c r="A6085" s="146"/>
      <c r="B6085" s="120" t="s">
        <v>787</v>
      </c>
      <c r="C6085" s="124" t="s">
        <v>1043</v>
      </c>
      <c r="D6085" s="146">
        <v>3</v>
      </c>
      <c r="E6085" s="117">
        <v>15000</v>
      </c>
      <c r="F6085" s="117">
        <f>+D6085*E6085</f>
        <v>45000</v>
      </c>
      <c r="G6085" s="138"/>
      <c r="H6085" s="177"/>
    </row>
    <row r="6086" spans="1:8" s="139" customFormat="1" ht="13.5" customHeight="1" x14ac:dyDescent="0.35">
      <c r="A6086" s="146"/>
      <c r="B6086" s="112" t="s">
        <v>774</v>
      </c>
      <c r="C6086" s="124"/>
      <c r="D6086" s="146"/>
      <c r="E6086" s="117"/>
      <c r="F6086" s="117">
        <f>SUM(F6085)</f>
        <v>45000</v>
      </c>
      <c r="G6086" s="138"/>
      <c r="H6086" s="177"/>
    </row>
    <row r="6087" spans="1:8" s="139" customFormat="1" ht="13.5" customHeight="1" x14ac:dyDescent="0.35">
      <c r="A6087" s="146"/>
      <c r="B6087" s="112" t="s">
        <v>775</v>
      </c>
      <c r="C6087" s="124"/>
      <c r="D6087" s="146"/>
      <c r="E6087" s="117"/>
      <c r="F6087" s="117">
        <f>+F6083+F6086</f>
        <v>1683560</v>
      </c>
      <c r="G6087" s="138"/>
      <c r="H6087" s="177"/>
    </row>
    <row r="6088" spans="1:8" s="139" customFormat="1" ht="13.5" customHeight="1" x14ac:dyDescent="0.35">
      <c r="A6088" s="146"/>
      <c r="B6088" s="120" t="s">
        <v>776</v>
      </c>
      <c r="C6088" s="124"/>
      <c r="D6088" s="146">
        <v>1.25</v>
      </c>
      <c r="E6088" s="117"/>
      <c r="F6088" s="117">
        <f>+F6087*D6088</f>
        <v>2104450</v>
      </c>
      <c r="G6088" s="138"/>
      <c r="H6088" s="177"/>
    </row>
    <row r="6089" spans="1:8" s="139" customFormat="1" ht="13.5" customHeight="1" x14ac:dyDescent="0.35">
      <c r="A6089" s="146"/>
      <c r="B6089" s="120" t="s">
        <v>835</v>
      </c>
      <c r="C6089" s="124"/>
      <c r="D6089" s="146">
        <v>1.25</v>
      </c>
      <c r="E6089" s="117"/>
      <c r="F6089" s="117"/>
      <c r="G6089" s="138"/>
      <c r="H6089" s="177"/>
    </row>
    <row r="6090" spans="1:8" s="139" customFormat="1" ht="13.5" customHeight="1" x14ac:dyDescent="0.35">
      <c r="A6090" s="233" t="s">
        <v>437</v>
      </c>
      <c r="B6090" s="207" t="s">
        <v>778</v>
      </c>
      <c r="C6090" s="233" t="s">
        <v>7</v>
      </c>
      <c r="D6090" s="340"/>
      <c r="E6090" s="209"/>
      <c r="F6090" s="209">
        <f>+D6089*F6088</f>
        <v>2630562.5</v>
      </c>
      <c r="G6090" s="138"/>
      <c r="H6090" s="177"/>
    </row>
    <row r="6091" spans="1:8" s="139" customFormat="1" ht="13.5" customHeight="1" x14ac:dyDescent="0.35">
      <c r="A6091" s="340"/>
      <c r="B6091" s="207"/>
      <c r="C6091" s="208"/>
      <c r="D6091" s="340"/>
      <c r="E6091" s="210">
        <f>+E6074</f>
        <v>3035.45</v>
      </c>
      <c r="F6091" s="210">
        <f>+F6090/E6091</f>
        <v>866.61368166169768</v>
      </c>
      <c r="G6091" s="138"/>
      <c r="H6091" s="177"/>
    </row>
    <row r="6092" spans="1:8" s="139" customFormat="1" ht="13.5" customHeight="1" x14ac:dyDescent="0.35">
      <c r="A6092" s="163"/>
      <c r="B6092" s="164"/>
      <c r="C6092" s="165"/>
      <c r="E6092" s="166"/>
      <c r="F6092" s="166"/>
      <c r="G6092" s="138"/>
      <c r="H6092" s="177"/>
    </row>
    <row r="6093" spans="1:8" s="139" customFormat="1" ht="13.5" customHeight="1" x14ac:dyDescent="0.35">
      <c r="A6093" s="163"/>
      <c r="B6093" s="164"/>
      <c r="C6093" s="165"/>
      <c r="D6093" s="163"/>
      <c r="E6093" s="166"/>
      <c r="F6093" s="166"/>
      <c r="G6093" s="138"/>
      <c r="H6093" s="177"/>
    </row>
    <row r="6094" spans="1:8" s="139" customFormat="1" ht="13.5" customHeight="1" x14ac:dyDescent="0.3">
      <c r="A6094" s="341" t="s">
        <v>392</v>
      </c>
      <c r="B6094" s="331" t="s">
        <v>393</v>
      </c>
      <c r="C6094" s="332" t="s">
        <v>611</v>
      </c>
      <c r="D6094" s="333" t="s">
        <v>765</v>
      </c>
      <c r="E6094" s="334" t="s">
        <v>766</v>
      </c>
      <c r="F6094" s="334" t="s">
        <v>767</v>
      </c>
      <c r="G6094" s="138"/>
      <c r="H6094" s="177"/>
    </row>
    <row r="6095" spans="1:8" s="139" customFormat="1" ht="13.5" customHeight="1" x14ac:dyDescent="0.35">
      <c r="A6095" s="230" t="s">
        <v>424</v>
      </c>
      <c r="B6095" s="349" t="s">
        <v>425</v>
      </c>
      <c r="C6095" s="256"/>
      <c r="D6095" s="146"/>
      <c r="E6095" s="117"/>
      <c r="F6095" s="117"/>
      <c r="G6095" s="138"/>
      <c r="H6095" s="177"/>
    </row>
    <row r="6096" spans="1:8" s="139" customFormat="1" x14ac:dyDescent="0.35">
      <c r="A6096" s="232" t="s">
        <v>437</v>
      </c>
      <c r="B6096" s="351" t="s">
        <v>481</v>
      </c>
      <c r="C6096" s="256" t="s">
        <v>7</v>
      </c>
      <c r="D6096" s="146"/>
      <c r="E6096" s="117"/>
      <c r="F6096" s="117"/>
      <c r="G6096" s="138"/>
      <c r="H6096" s="177"/>
    </row>
    <row r="6097" spans="1:8" s="139" customFormat="1" ht="13.5" customHeight="1" x14ac:dyDescent="0.35">
      <c r="A6097" s="146"/>
      <c r="B6097" s="112" t="s">
        <v>802</v>
      </c>
      <c r="C6097" s="124"/>
      <c r="D6097" s="146"/>
      <c r="E6097" s="117"/>
      <c r="F6097" s="117"/>
      <c r="G6097" s="138"/>
      <c r="H6097" s="177"/>
    </row>
    <row r="6098" spans="1:8" s="139" customFormat="1" ht="13.5" customHeight="1" x14ac:dyDescent="0.35">
      <c r="A6098" s="146"/>
      <c r="B6098" s="120" t="s">
        <v>1077</v>
      </c>
      <c r="C6098" s="124" t="s">
        <v>27</v>
      </c>
      <c r="D6098" s="146">
        <v>1</v>
      </c>
      <c r="E6098" s="117">
        <v>474000</v>
      </c>
      <c r="F6098" s="117">
        <f>D6098*E6098</f>
        <v>474000</v>
      </c>
      <c r="G6098" s="138"/>
      <c r="H6098" s="177"/>
    </row>
    <row r="6099" spans="1:8" s="139" customFormat="1" ht="13.5" customHeight="1" x14ac:dyDescent="0.35">
      <c r="A6099" s="146"/>
      <c r="B6099" s="120" t="s">
        <v>1057</v>
      </c>
      <c r="C6099" s="124"/>
      <c r="D6099" s="146"/>
      <c r="E6099" s="117"/>
      <c r="F6099" s="117">
        <f>0.1*(F6098)</f>
        <v>47400</v>
      </c>
      <c r="G6099" s="138"/>
      <c r="H6099" s="177"/>
    </row>
    <row r="6100" spans="1:8" s="139" customFormat="1" ht="13.5" customHeight="1" x14ac:dyDescent="0.35">
      <c r="A6100" s="146"/>
      <c r="B6100" s="112" t="s">
        <v>769</v>
      </c>
      <c r="C6100" s="124"/>
      <c r="D6100" s="146"/>
      <c r="E6100" s="117"/>
      <c r="F6100" s="110">
        <f>SUM(F6098:F6099)</f>
        <v>521400</v>
      </c>
      <c r="G6100" s="138"/>
      <c r="H6100" s="177"/>
    </row>
    <row r="6101" spans="1:8" s="139" customFormat="1" ht="13.5" customHeight="1" x14ac:dyDescent="0.35">
      <c r="A6101" s="146"/>
      <c r="B6101" s="112" t="s">
        <v>808</v>
      </c>
      <c r="C6101" s="124"/>
      <c r="D6101" s="146"/>
      <c r="E6101" s="117"/>
      <c r="F6101" s="117"/>
      <c r="G6101" s="138"/>
      <c r="H6101" s="177"/>
    </row>
    <row r="6102" spans="1:8" s="139" customFormat="1" ht="13.5" customHeight="1" x14ac:dyDescent="0.35">
      <c r="A6102" s="146"/>
      <c r="B6102" s="120" t="s">
        <v>787</v>
      </c>
      <c r="C6102" s="124" t="s">
        <v>1043</v>
      </c>
      <c r="D6102" s="146">
        <v>3</v>
      </c>
      <c r="E6102" s="117">
        <v>15000</v>
      </c>
      <c r="F6102" s="117">
        <f>+D6102*E6102</f>
        <v>45000</v>
      </c>
      <c r="G6102" s="138"/>
      <c r="H6102" s="177"/>
    </row>
    <row r="6103" spans="1:8" s="139" customFormat="1" ht="13.5" customHeight="1" x14ac:dyDescent="0.35">
      <c r="A6103" s="146"/>
      <c r="B6103" s="112" t="s">
        <v>774</v>
      </c>
      <c r="C6103" s="124"/>
      <c r="D6103" s="146"/>
      <c r="E6103" s="117"/>
      <c r="F6103" s="117">
        <f>SUM(F6102)</f>
        <v>45000</v>
      </c>
      <c r="G6103" s="138"/>
      <c r="H6103" s="177"/>
    </row>
    <row r="6104" spans="1:8" s="139" customFormat="1" ht="13.5" customHeight="1" x14ac:dyDescent="0.35">
      <c r="A6104" s="146"/>
      <c r="B6104" s="112" t="s">
        <v>775</v>
      </c>
      <c r="C6104" s="124"/>
      <c r="D6104" s="146"/>
      <c r="E6104" s="117"/>
      <c r="F6104" s="117">
        <f>+F6100+F6103</f>
        <v>566400</v>
      </c>
      <c r="G6104" s="138"/>
      <c r="H6104" s="177"/>
    </row>
    <row r="6105" spans="1:8" s="139" customFormat="1" ht="13.5" customHeight="1" x14ac:dyDescent="0.35">
      <c r="A6105" s="146"/>
      <c r="B6105" s="120" t="s">
        <v>776</v>
      </c>
      <c r="C6105" s="124"/>
      <c r="D6105" s="146">
        <v>1.25</v>
      </c>
      <c r="E6105" s="117"/>
      <c r="F6105" s="117">
        <f>+F6104*D6105</f>
        <v>708000</v>
      </c>
      <c r="G6105" s="138"/>
      <c r="H6105" s="177"/>
    </row>
    <row r="6106" spans="1:8" s="139" customFormat="1" ht="13.5" customHeight="1" x14ac:dyDescent="0.35">
      <c r="A6106" s="146"/>
      <c r="B6106" s="120" t="s">
        <v>835</v>
      </c>
      <c r="C6106" s="124"/>
      <c r="D6106" s="146">
        <v>1.25</v>
      </c>
      <c r="E6106" s="117"/>
      <c r="F6106" s="117"/>
      <c r="G6106" s="138"/>
      <c r="H6106" s="177"/>
    </row>
    <row r="6107" spans="1:8" s="139" customFormat="1" ht="13.5" customHeight="1" x14ac:dyDescent="0.35">
      <c r="A6107" s="233" t="s">
        <v>437</v>
      </c>
      <c r="B6107" s="207" t="s">
        <v>778</v>
      </c>
      <c r="C6107" s="233" t="s">
        <v>7</v>
      </c>
      <c r="D6107" s="340"/>
      <c r="E6107" s="209"/>
      <c r="F6107" s="209">
        <f>+D6106*F6105</f>
        <v>885000</v>
      </c>
      <c r="G6107" s="138"/>
      <c r="H6107" s="177"/>
    </row>
    <row r="6108" spans="1:8" s="139" customFormat="1" ht="13.5" customHeight="1" x14ac:dyDescent="0.35">
      <c r="A6108" s="340"/>
      <c r="B6108" s="207"/>
      <c r="C6108" s="208"/>
      <c r="D6108" s="340"/>
      <c r="E6108" s="210">
        <f>+E6091</f>
        <v>3035.45</v>
      </c>
      <c r="F6108" s="210">
        <f>+F6107/E6108</f>
        <v>291.55479418208176</v>
      </c>
      <c r="G6108" s="138"/>
      <c r="H6108" s="177"/>
    </row>
    <row r="6109" spans="1:8" s="139" customFormat="1" ht="13.5" customHeight="1" x14ac:dyDescent="0.35">
      <c r="A6109" s="163"/>
      <c r="B6109" s="164"/>
      <c r="C6109" s="165"/>
      <c r="E6109" s="166"/>
      <c r="F6109" s="166"/>
      <c r="G6109" s="138"/>
      <c r="H6109" s="177"/>
    </row>
    <row r="6110" spans="1:8" s="139" customFormat="1" ht="13.5" customHeight="1" x14ac:dyDescent="0.35">
      <c r="A6110" s="163"/>
      <c r="B6110" s="164"/>
      <c r="C6110" s="165"/>
      <c r="D6110" s="163"/>
      <c r="E6110" s="166"/>
      <c r="F6110" s="166"/>
      <c r="G6110" s="138"/>
      <c r="H6110" s="177"/>
    </row>
    <row r="6111" spans="1:8" s="139" customFormat="1" ht="13.5" customHeight="1" x14ac:dyDescent="0.3">
      <c r="A6111" s="341" t="s">
        <v>392</v>
      </c>
      <c r="B6111" s="331" t="s">
        <v>393</v>
      </c>
      <c r="C6111" s="332" t="s">
        <v>611</v>
      </c>
      <c r="D6111" s="333" t="s">
        <v>765</v>
      </c>
      <c r="E6111" s="334" t="s">
        <v>766</v>
      </c>
      <c r="F6111" s="334" t="s">
        <v>767</v>
      </c>
      <c r="G6111" s="138"/>
      <c r="H6111" s="177"/>
    </row>
    <row r="6112" spans="1:8" s="139" customFormat="1" ht="13.5" customHeight="1" x14ac:dyDescent="0.35">
      <c r="A6112" s="230" t="s">
        <v>424</v>
      </c>
      <c r="B6112" s="349" t="s">
        <v>425</v>
      </c>
      <c r="C6112" s="256"/>
      <c r="D6112" s="146"/>
      <c r="E6112" s="117"/>
      <c r="F6112" s="117"/>
      <c r="G6112" s="138"/>
      <c r="H6112" s="177"/>
    </row>
    <row r="6113" spans="1:8" s="139" customFormat="1" ht="13.5" customHeight="1" x14ac:dyDescent="0.3">
      <c r="A6113" s="232" t="s">
        <v>438</v>
      </c>
      <c r="B6113" s="352" t="s">
        <v>481</v>
      </c>
      <c r="C6113" s="256" t="s">
        <v>7</v>
      </c>
      <c r="D6113" s="146"/>
      <c r="E6113" s="117"/>
      <c r="F6113" s="117"/>
      <c r="G6113" s="138"/>
      <c r="H6113" s="177"/>
    </row>
    <row r="6114" spans="1:8" s="139" customFormat="1" ht="13.5" customHeight="1" x14ac:dyDescent="0.35">
      <c r="A6114" s="146"/>
      <c r="B6114" s="112" t="s">
        <v>802</v>
      </c>
      <c r="C6114" s="124"/>
      <c r="D6114" s="146"/>
      <c r="E6114" s="117"/>
      <c r="F6114" s="117"/>
      <c r="G6114" s="138"/>
      <c r="H6114" s="177"/>
    </row>
    <row r="6115" spans="1:8" s="139" customFormat="1" ht="13.5" customHeight="1" x14ac:dyDescent="0.35">
      <c r="A6115" s="146"/>
      <c r="B6115" s="120" t="s">
        <v>1077</v>
      </c>
      <c r="C6115" s="124" t="s">
        <v>27</v>
      </c>
      <c r="D6115" s="146">
        <v>1</v>
      </c>
      <c r="E6115" s="117">
        <v>474000</v>
      </c>
      <c r="F6115" s="117">
        <f>D6115*E6115</f>
        <v>474000</v>
      </c>
      <c r="G6115" s="138"/>
      <c r="H6115" s="177"/>
    </row>
    <row r="6116" spans="1:8" s="139" customFormat="1" ht="13.5" customHeight="1" x14ac:dyDescent="0.35">
      <c r="A6116" s="146"/>
      <c r="B6116" s="120" t="s">
        <v>1057</v>
      </c>
      <c r="C6116" s="124"/>
      <c r="D6116" s="146"/>
      <c r="E6116" s="117"/>
      <c r="F6116" s="117">
        <f>0.1*(F6115)</f>
        <v>47400</v>
      </c>
      <c r="G6116" s="138"/>
      <c r="H6116" s="177"/>
    </row>
    <row r="6117" spans="1:8" s="139" customFormat="1" ht="13.5" customHeight="1" x14ac:dyDescent="0.35">
      <c r="A6117" s="146"/>
      <c r="B6117" s="112" t="s">
        <v>769</v>
      </c>
      <c r="C6117" s="124"/>
      <c r="D6117" s="146"/>
      <c r="E6117" s="117"/>
      <c r="F6117" s="110">
        <f>SUM(F6115:F6116)</f>
        <v>521400</v>
      </c>
      <c r="G6117" s="138"/>
      <c r="H6117" s="177"/>
    </row>
    <row r="6118" spans="1:8" s="139" customFormat="1" ht="13.5" customHeight="1" x14ac:dyDescent="0.35">
      <c r="A6118" s="146"/>
      <c r="B6118" s="112" t="s">
        <v>808</v>
      </c>
      <c r="C6118" s="124"/>
      <c r="D6118" s="146"/>
      <c r="E6118" s="117"/>
      <c r="F6118" s="117"/>
      <c r="G6118" s="138"/>
      <c r="H6118" s="177"/>
    </row>
    <row r="6119" spans="1:8" s="139" customFormat="1" ht="13.5" customHeight="1" x14ac:dyDescent="0.35">
      <c r="A6119" s="146"/>
      <c r="B6119" s="120" t="s">
        <v>787</v>
      </c>
      <c r="C6119" s="124" t="s">
        <v>1043</v>
      </c>
      <c r="D6119" s="146">
        <v>3</v>
      </c>
      <c r="E6119" s="117">
        <v>15000</v>
      </c>
      <c r="F6119" s="117">
        <f>+D6119*E6119</f>
        <v>45000</v>
      </c>
      <c r="G6119" s="138"/>
      <c r="H6119" s="177"/>
    </row>
    <row r="6120" spans="1:8" s="139" customFormat="1" ht="13.5" customHeight="1" x14ac:dyDescent="0.35">
      <c r="A6120" s="146"/>
      <c r="B6120" s="112" t="s">
        <v>774</v>
      </c>
      <c r="C6120" s="124"/>
      <c r="D6120" s="146"/>
      <c r="E6120" s="117"/>
      <c r="F6120" s="117">
        <f>SUM(F6119)</f>
        <v>45000</v>
      </c>
      <c r="G6120" s="138"/>
      <c r="H6120" s="177"/>
    </row>
    <row r="6121" spans="1:8" s="139" customFormat="1" ht="13.5" customHeight="1" x14ac:dyDescent="0.35">
      <c r="A6121" s="146"/>
      <c r="B6121" s="112" t="s">
        <v>775</v>
      </c>
      <c r="C6121" s="124"/>
      <c r="D6121" s="146"/>
      <c r="E6121" s="117"/>
      <c r="F6121" s="117">
        <f>+F6117+F6120</f>
        <v>566400</v>
      </c>
      <c r="G6121" s="138"/>
      <c r="H6121" s="177"/>
    </row>
    <row r="6122" spans="1:8" s="139" customFormat="1" ht="13.5" customHeight="1" x14ac:dyDescent="0.35">
      <c r="A6122" s="146"/>
      <c r="B6122" s="120" t="s">
        <v>776</v>
      </c>
      <c r="C6122" s="124"/>
      <c r="D6122" s="146">
        <v>1.25</v>
      </c>
      <c r="E6122" s="117"/>
      <c r="F6122" s="117">
        <f>+F6121*D6122</f>
        <v>708000</v>
      </c>
      <c r="G6122" s="138"/>
      <c r="H6122" s="177"/>
    </row>
    <row r="6123" spans="1:8" s="139" customFormat="1" ht="13.5" customHeight="1" x14ac:dyDescent="0.35">
      <c r="A6123" s="146"/>
      <c r="B6123" s="120" t="s">
        <v>835</v>
      </c>
      <c r="C6123" s="124"/>
      <c r="D6123" s="146">
        <v>1.25</v>
      </c>
      <c r="E6123" s="117"/>
      <c r="F6123" s="117"/>
      <c r="G6123" s="138"/>
      <c r="H6123" s="177"/>
    </row>
    <row r="6124" spans="1:8" s="139" customFormat="1" ht="13.5" customHeight="1" x14ac:dyDescent="0.35">
      <c r="A6124" s="233" t="s">
        <v>438</v>
      </c>
      <c r="B6124" s="207" t="s">
        <v>778</v>
      </c>
      <c r="C6124" s="233" t="s">
        <v>7</v>
      </c>
      <c r="D6124" s="340"/>
      <c r="E6124" s="209"/>
      <c r="F6124" s="209">
        <f>+D6123*F6122</f>
        <v>885000</v>
      </c>
      <c r="G6124" s="138"/>
      <c r="H6124" s="177"/>
    </row>
    <row r="6125" spans="1:8" s="139" customFormat="1" ht="13.5" customHeight="1" x14ac:dyDescent="0.35">
      <c r="A6125" s="340"/>
      <c r="B6125" s="207"/>
      <c r="C6125" s="208"/>
      <c r="D6125" s="340"/>
      <c r="E6125" s="210">
        <f>+E6108</f>
        <v>3035.45</v>
      </c>
      <c r="F6125" s="210">
        <f>+F6124/E6125</f>
        <v>291.55479418208176</v>
      </c>
      <c r="G6125" s="138"/>
      <c r="H6125" s="177"/>
    </row>
    <row r="6126" spans="1:8" s="139" customFormat="1" ht="13.5" customHeight="1" x14ac:dyDescent="0.35">
      <c r="A6126" s="163"/>
      <c r="B6126" s="164"/>
      <c r="C6126" s="165"/>
      <c r="E6126" s="166"/>
      <c r="F6126" s="166"/>
      <c r="G6126" s="138"/>
      <c r="H6126" s="177"/>
    </row>
    <row r="6127" spans="1:8" s="139" customFormat="1" ht="13.5" customHeight="1" x14ac:dyDescent="0.35">
      <c r="A6127" s="163"/>
      <c r="B6127" s="164"/>
      <c r="C6127" s="165"/>
      <c r="D6127" s="163"/>
      <c r="E6127" s="166"/>
      <c r="F6127" s="166"/>
      <c r="G6127" s="138"/>
      <c r="H6127" s="177"/>
    </row>
    <row r="6128" spans="1:8" s="139" customFormat="1" ht="13.5" customHeight="1" x14ac:dyDescent="0.3">
      <c r="A6128" s="341" t="s">
        <v>392</v>
      </c>
      <c r="B6128" s="331" t="s">
        <v>393</v>
      </c>
      <c r="C6128" s="332" t="s">
        <v>611</v>
      </c>
      <c r="D6128" s="333" t="s">
        <v>765</v>
      </c>
      <c r="E6128" s="334" t="s">
        <v>766</v>
      </c>
      <c r="F6128" s="334" t="s">
        <v>767</v>
      </c>
      <c r="G6128" s="138"/>
      <c r="H6128" s="177"/>
    </row>
    <row r="6129" spans="1:8" s="139" customFormat="1" ht="13.5" customHeight="1" x14ac:dyDescent="0.35">
      <c r="A6129" s="230" t="s">
        <v>424</v>
      </c>
      <c r="B6129" s="349" t="s">
        <v>425</v>
      </c>
      <c r="C6129" s="256"/>
      <c r="D6129" s="146"/>
      <c r="E6129" s="117"/>
      <c r="F6129" s="117"/>
      <c r="G6129" s="138"/>
      <c r="H6129" s="177"/>
    </row>
    <row r="6130" spans="1:8" s="139" customFormat="1" ht="13.5" customHeight="1" x14ac:dyDescent="0.3">
      <c r="A6130" s="232" t="s">
        <v>439</v>
      </c>
      <c r="B6130" s="352" t="s">
        <v>1078</v>
      </c>
      <c r="C6130" s="256" t="s">
        <v>7</v>
      </c>
      <c r="D6130" s="146"/>
      <c r="E6130" s="117"/>
      <c r="F6130" s="117"/>
      <c r="G6130" s="138"/>
      <c r="H6130" s="177"/>
    </row>
    <row r="6131" spans="1:8" s="139" customFormat="1" ht="13.5" customHeight="1" x14ac:dyDescent="0.35">
      <c r="A6131" s="146"/>
      <c r="B6131" s="112" t="s">
        <v>802</v>
      </c>
      <c r="C6131" s="124"/>
      <c r="D6131" s="146"/>
      <c r="E6131" s="117"/>
      <c r="F6131" s="117"/>
      <c r="G6131" s="138"/>
      <c r="H6131" s="177"/>
    </row>
    <row r="6132" spans="1:8" s="139" customFormat="1" ht="13.5" customHeight="1" x14ac:dyDescent="0.35">
      <c r="A6132" s="146"/>
      <c r="B6132" s="120" t="s">
        <v>1079</v>
      </c>
      <c r="C6132" s="124" t="s">
        <v>27</v>
      </c>
      <c r="D6132" s="146">
        <v>1</v>
      </c>
      <c r="E6132" s="117">
        <v>166220</v>
      </c>
      <c r="F6132" s="117">
        <f>D6132*E6132</f>
        <v>166220</v>
      </c>
      <c r="G6132" s="138"/>
      <c r="H6132" s="177"/>
    </row>
    <row r="6133" spans="1:8" s="139" customFormat="1" ht="13.5" customHeight="1" x14ac:dyDescent="0.35">
      <c r="A6133" s="146"/>
      <c r="B6133" s="120" t="s">
        <v>1057</v>
      </c>
      <c r="C6133" s="124"/>
      <c r="D6133" s="146"/>
      <c r="E6133" s="117"/>
      <c r="F6133" s="117">
        <f>0.1*(F6132)</f>
        <v>16622</v>
      </c>
      <c r="G6133" s="138"/>
      <c r="H6133" s="177"/>
    </row>
    <row r="6134" spans="1:8" s="139" customFormat="1" ht="13.5" customHeight="1" x14ac:dyDescent="0.35">
      <c r="A6134" s="146"/>
      <c r="B6134" s="112" t="s">
        <v>769</v>
      </c>
      <c r="C6134" s="124"/>
      <c r="D6134" s="146"/>
      <c r="E6134" s="117"/>
      <c r="F6134" s="110">
        <f>SUM(F6132:F6133)</f>
        <v>182842</v>
      </c>
      <c r="G6134" s="138"/>
      <c r="H6134" s="177"/>
    </row>
    <row r="6135" spans="1:8" s="139" customFormat="1" ht="13.5" customHeight="1" x14ac:dyDescent="0.35">
      <c r="A6135" s="146"/>
      <c r="B6135" s="112" t="s">
        <v>808</v>
      </c>
      <c r="C6135" s="124"/>
      <c r="D6135" s="146"/>
      <c r="E6135" s="117"/>
      <c r="F6135" s="117"/>
      <c r="G6135" s="138"/>
      <c r="H6135" s="177"/>
    </row>
    <row r="6136" spans="1:8" s="139" customFormat="1" ht="13.5" customHeight="1" x14ac:dyDescent="0.35">
      <c r="A6136" s="146"/>
      <c r="B6136" s="120" t="s">
        <v>787</v>
      </c>
      <c r="C6136" s="124" t="s">
        <v>1043</v>
      </c>
      <c r="D6136" s="146">
        <v>3</v>
      </c>
      <c r="E6136" s="117">
        <v>15000</v>
      </c>
      <c r="F6136" s="117">
        <f>+D6136*E6136</f>
        <v>45000</v>
      </c>
      <c r="G6136" s="138"/>
      <c r="H6136" s="177"/>
    </row>
    <row r="6137" spans="1:8" s="139" customFormat="1" ht="13.5" customHeight="1" x14ac:dyDescent="0.35">
      <c r="A6137" s="146"/>
      <c r="B6137" s="112" t="s">
        <v>774</v>
      </c>
      <c r="C6137" s="124"/>
      <c r="D6137" s="146"/>
      <c r="E6137" s="117"/>
      <c r="F6137" s="117">
        <f>SUM(F6136)</f>
        <v>45000</v>
      </c>
      <c r="G6137" s="138"/>
      <c r="H6137" s="177"/>
    </row>
    <row r="6138" spans="1:8" s="139" customFormat="1" ht="13.5" customHeight="1" x14ac:dyDescent="0.35">
      <c r="A6138" s="146"/>
      <c r="B6138" s="112" t="s">
        <v>775</v>
      </c>
      <c r="C6138" s="124"/>
      <c r="D6138" s="146"/>
      <c r="E6138" s="117"/>
      <c r="F6138" s="117">
        <f>+F6134+F6137</f>
        <v>227842</v>
      </c>
      <c r="G6138" s="138"/>
      <c r="H6138" s="177"/>
    </row>
    <row r="6139" spans="1:8" s="139" customFormat="1" ht="13.5" customHeight="1" x14ac:dyDescent="0.35">
      <c r="A6139" s="146"/>
      <c r="B6139" s="120" t="s">
        <v>776</v>
      </c>
      <c r="C6139" s="124"/>
      <c r="D6139" s="146">
        <v>1.25</v>
      </c>
      <c r="E6139" s="117"/>
      <c r="F6139" s="117">
        <f>+F6138*D6139</f>
        <v>284802.5</v>
      </c>
      <c r="G6139" s="138"/>
      <c r="H6139" s="177"/>
    </row>
    <row r="6140" spans="1:8" s="139" customFormat="1" ht="13.5" customHeight="1" x14ac:dyDescent="0.35">
      <c r="A6140" s="146"/>
      <c r="B6140" s="120" t="s">
        <v>835</v>
      </c>
      <c r="C6140" s="124"/>
      <c r="D6140" s="146">
        <v>1.25</v>
      </c>
      <c r="E6140" s="117"/>
      <c r="F6140" s="117"/>
      <c r="G6140" s="138"/>
      <c r="H6140" s="177"/>
    </row>
    <row r="6141" spans="1:8" s="139" customFormat="1" ht="13.5" customHeight="1" x14ac:dyDescent="0.35">
      <c r="A6141" s="233" t="s">
        <v>439</v>
      </c>
      <c r="B6141" s="207" t="s">
        <v>778</v>
      </c>
      <c r="C6141" s="233" t="s">
        <v>7</v>
      </c>
      <c r="D6141" s="340"/>
      <c r="E6141" s="209"/>
      <c r="F6141" s="209">
        <f>+D6140*F6139</f>
        <v>356003.125</v>
      </c>
      <c r="G6141" s="138"/>
      <c r="H6141" s="177"/>
    </row>
    <row r="6142" spans="1:8" s="139" customFormat="1" ht="13.5" customHeight="1" x14ac:dyDescent="0.35">
      <c r="A6142" s="340"/>
      <c r="B6142" s="207"/>
      <c r="C6142" s="208"/>
      <c r="D6142" s="340"/>
      <c r="E6142" s="210">
        <f>+E6125</f>
        <v>3035.45</v>
      </c>
      <c r="F6142" s="210">
        <f>+F6141/E6142</f>
        <v>117.28182806503155</v>
      </c>
      <c r="G6142" s="138"/>
      <c r="H6142" s="177"/>
    </row>
    <row r="6143" spans="1:8" s="139" customFormat="1" ht="13.5" customHeight="1" x14ac:dyDescent="0.35">
      <c r="A6143" s="163"/>
      <c r="B6143" s="164"/>
      <c r="C6143" s="165"/>
      <c r="E6143" s="166"/>
      <c r="F6143" s="166"/>
      <c r="G6143" s="138"/>
      <c r="H6143" s="177"/>
    </row>
    <row r="6144" spans="1:8" s="139" customFormat="1" ht="13.5" customHeight="1" x14ac:dyDescent="0.35">
      <c r="A6144" s="163"/>
      <c r="B6144" s="164"/>
      <c r="C6144" s="165"/>
      <c r="D6144" s="163"/>
      <c r="E6144" s="166"/>
      <c r="F6144" s="166"/>
      <c r="G6144" s="138"/>
      <c r="H6144" s="177"/>
    </row>
    <row r="6145" spans="1:8" s="139" customFormat="1" ht="13.5" customHeight="1" x14ac:dyDescent="0.3">
      <c r="A6145" s="341" t="s">
        <v>392</v>
      </c>
      <c r="B6145" s="331" t="s">
        <v>393</v>
      </c>
      <c r="C6145" s="332" t="s">
        <v>611</v>
      </c>
      <c r="D6145" s="333" t="s">
        <v>765</v>
      </c>
      <c r="E6145" s="334" t="s">
        <v>766</v>
      </c>
      <c r="F6145" s="334" t="s">
        <v>767</v>
      </c>
      <c r="G6145" s="138"/>
      <c r="H6145" s="177"/>
    </row>
    <row r="6146" spans="1:8" s="139" customFormat="1" ht="13.5" customHeight="1" x14ac:dyDescent="0.35">
      <c r="A6146" s="230" t="s">
        <v>424</v>
      </c>
      <c r="B6146" s="349" t="s">
        <v>425</v>
      </c>
      <c r="C6146" s="256"/>
      <c r="D6146" s="146"/>
      <c r="E6146" s="117"/>
      <c r="F6146" s="117"/>
      <c r="G6146" s="138"/>
      <c r="H6146" s="177"/>
    </row>
    <row r="6147" spans="1:8" s="139" customFormat="1" ht="28.5" customHeight="1" x14ac:dyDescent="0.35">
      <c r="A6147" s="232" t="s">
        <v>440</v>
      </c>
      <c r="B6147" s="339" t="s">
        <v>1080</v>
      </c>
      <c r="C6147" s="256" t="s">
        <v>7</v>
      </c>
      <c r="D6147" s="146"/>
      <c r="E6147" s="117"/>
      <c r="F6147" s="117"/>
      <c r="G6147" s="138"/>
      <c r="H6147" s="177"/>
    </row>
    <row r="6148" spans="1:8" s="139" customFormat="1" ht="13.5" customHeight="1" x14ac:dyDescent="0.35">
      <c r="A6148" s="146"/>
      <c r="B6148" s="112" t="s">
        <v>802</v>
      </c>
      <c r="C6148" s="124"/>
      <c r="D6148" s="146"/>
      <c r="E6148" s="117"/>
      <c r="F6148" s="117"/>
      <c r="G6148" s="138"/>
      <c r="H6148" s="177"/>
    </row>
    <row r="6149" spans="1:8" s="139" customFormat="1" ht="13.5" customHeight="1" x14ac:dyDescent="0.35">
      <c r="A6149" s="146"/>
      <c r="B6149" s="120" t="s">
        <v>1081</v>
      </c>
      <c r="C6149" s="124" t="s">
        <v>27</v>
      </c>
      <c r="D6149" s="146">
        <v>1</v>
      </c>
      <c r="E6149" s="117">
        <v>1500910</v>
      </c>
      <c r="F6149" s="117">
        <f>D6149*E6149</f>
        <v>1500910</v>
      </c>
      <c r="G6149" s="138"/>
      <c r="H6149" s="177"/>
    </row>
    <row r="6150" spans="1:8" s="139" customFormat="1" ht="13.5" customHeight="1" x14ac:dyDescent="0.35">
      <c r="A6150" s="146"/>
      <c r="B6150" s="120" t="s">
        <v>1057</v>
      </c>
      <c r="C6150" s="124"/>
      <c r="D6150" s="146"/>
      <c r="E6150" s="117"/>
      <c r="F6150" s="117">
        <f>0.1*(F6149)</f>
        <v>150091</v>
      </c>
      <c r="G6150" s="138"/>
      <c r="H6150" s="177"/>
    </row>
    <row r="6151" spans="1:8" s="139" customFormat="1" ht="13.5" customHeight="1" x14ac:dyDescent="0.35">
      <c r="A6151" s="146"/>
      <c r="B6151" s="112" t="s">
        <v>769</v>
      </c>
      <c r="C6151" s="124"/>
      <c r="D6151" s="146"/>
      <c r="E6151" s="117"/>
      <c r="F6151" s="110">
        <f>SUM(F6149:F6150)</f>
        <v>1651001</v>
      </c>
      <c r="G6151" s="138"/>
      <c r="H6151" s="177"/>
    </row>
    <row r="6152" spans="1:8" s="139" customFormat="1" ht="13.5" customHeight="1" x14ac:dyDescent="0.35">
      <c r="A6152" s="146"/>
      <c r="B6152" s="112" t="s">
        <v>808</v>
      </c>
      <c r="C6152" s="124"/>
      <c r="D6152" s="146"/>
      <c r="E6152" s="117"/>
      <c r="F6152" s="117"/>
      <c r="G6152" s="138"/>
      <c r="H6152" s="177"/>
    </row>
    <row r="6153" spans="1:8" s="139" customFormat="1" ht="13.5" customHeight="1" x14ac:dyDescent="0.35">
      <c r="A6153" s="146"/>
      <c r="B6153" s="120" t="s">
        <v>787</v>
      </c>
      <c r="C6153" s="124" t="s">
        <v>1043</v>
      </c>
      <c r="D6153" s="146">
        <v>3</v>
      </c>
      <c r="E6153" s="117">
        <v>15000</v>
      </c>
      <c r="F6153" s="117">
        <f>+D6153*E6153</f>
        <v>45000</v>
      </c>
      <c r="G6153" s="138"/>
      <c r="H6153" s="177"/>
    </row>
    <row r="6154" spans="1:8" s="139" customFormat="1" ht="13.5" customHeight="1" x14ac:dyDescent="0.35">
      <c r="A6154" s="146"/>
      <c r="B6154" s="112" t="s">
        <v>774</v>
      </c>
      <c r="C6154" s="124"/>
      <c r="D6154" s="146"/>
      <c r="E6154" s="117"/>
      <c r="F6154" s="117">
        <f>SUM(F6153)</f>
        <v>45000</v>
      </c>
      <c r="G6154" s="138"/>
      <c r="H6154" s="177"/>
    </row>
    <row r="6155" spans="1:8" s="139" customFormat="1" ht="13.5" customHeight="1" x14ac:dyDescent="0.35">
      <c r="A6155" s="146"/>
      <c r="B6155" s="112" t="s">
        <v>775</v>
      </c>
      <c r="C6155" s="124"/>
      <c r="D6155" s="146"/>
      <c r="E6155" s="117"/>
      <c r="F6155" s="117">
        <f>+F6151+F6154</f>
        <v>1696001</v>
      </c>
      <c r="G6155" s="138"/>
      <c r="H6155" s="177"/>
    </row>
    <row r="6156" spans="1:8" s="139" customFormat="1" ht="13.5" customHeight="1" x14ac:dyDescent="0.35">
      <c r="A6156" s="146"/>
      <c r="B6156" s="120" t="s">
        <v>776</v>
      </c>
      <c r="C6156" s="124"/>
      <c r="D6156" s="146">
        <v>1.25</v>
      </c>
      <c r="E6156" s="117"/>
      <c r="F6156" s="117">
        <f>+F6155*D6156</f>
        <v>2120001.25</v>
      </c>
      <c r="G6156" s="138"/>
      <c r="H6156" s="177"/>
    </row>
    <row r="6157" spans="1:8" s="139" customFormat="1" ht="13.5" customHeight="1" x14ac:dyDescent="0.35">
      <c r="A6157" s="146"/>
      <c r="B6157" s="120" t="s">
        <v>835</v>
      </c>
      <c r="C6157" s="124"/>
      <c r="D6157" s="146">
        <v>1.25</v>
      </c>
      <c r="E6157" s="117"/>
      <c r="F6157" s="117"/>
      <c r="G6157" s="138"/>
      <c r="H6157" s="177"/>
    </row>
    <row r="6158" spans="1:8" s="139" customFormat="1" ht="13.5" customHeight="1" x14ac:dyDescent="0.35">
      <c r="A6158" s="233" t="s">
        <v>440</v>
      </c>
      <c r="B6158" s="207" t="s">
        <v>778</v>
      </c>
      <c r="C6158" s="233" t="s">
        <v>7</v>
      </c>
      <c r="D6158" s="340"/>
      <c r="E6158" s="209"/>
      <c r="F6158" s="209">
        <f>+D6157*F6156</f>
        <v>2650001.5625</v>
      </c>
      <c r="G6158" s="138"/>
      <c r="H6158" s="177"/>
    </row>
    <row r="6159" spans="1:8" s="139" customFormat="1" ht="13.5" customHeight="1" x14ac:dyDescent="0.35">
      <c r="A6159" s="340"/>
      <c r="B6159" s="207"/>
      <c r="C6159" s="208"/>
      <c r="D6159" s="340"/>
      <c r="E6159" s="210">
        <f>+E6142</f>
        <v>3035.45</v>
      </c>
      <c r="F6159" s="210">
        <f>+F6158/E6159</f>
        <v>873.01769506992378</v>
      </c>
      <c r="G6159" s="138"/>
      <c r="H6159" s="177"/>
    </row>
    <row r="6160" spans="1:8" s="139" customFormat="1" ht="13.5" customHeight="1" x14ac:dyDescent="0.35">
      <c r="A6160" s="163"/>
      <c r="B6160" s="164"/>
      <c r="C6160" s="165"/>
      <c r="E6160" s="166"/>
      <c r="F6160" s="166"/>
      <c r="G6160" s="138"/>
      <c r="H6160" s="177"/>
    </row>
    <row r="6161" spans="1:8" s="139" customFormat="1" ht="13.5" customHeight="1" x14ac:dyDescent="0.35">
      <c r="A6161" s="163"/>
      <c r="B6161" s="164"/>
      <c r="C6161" s="165"/>
      <c r="D6161" s="163"/>
      <c r="E6161" s="166"/>
      <c r="F6161" s="166"/>
      <c r="G6161" s="138"/>
      <c r="H6161" s="177"/>
    </row>
    <row r="6162" spans="1:8" s="139" customFormat="1" ht="13.5" customHeight="1" x14ac:dyDescent="0.3">
      <c r="A6162" s="341" t="s">
        <v>392</v>
      </c>
      <c r="B6162" s="331" t="s">
        <v>393</v>
      </c>
      <c r="C6162" s="332" t="s">
        <v>611</v>
      </c>
      <c r="D6162" s="333" t="s">
        <v>765</v>
      </c>
      <c r="E6162" s="334" t="s">
        <v>766</v>
      </c>
      <c r="F6162" s="334" t="s">
        <v>767</v>
      </c>
      <c r="G6162" s="138"/>
      <c r="H6162" s="177"/>
    </row>
    <row r="6163" spans="1:8" s="139" customFormat="1" ht="13.5" customHeight="1" x14ac:dyDescent="0.35">
      <c r="A6163" s="230" t="s">
        <v>424</v>
      </c>
      <c r="B6163" s="349" t="s">
        <v>425</v>
      </c>
      <c r="C6163" s="256"/>
      <c r="D6163" s="146"/>
      <c r="E6163" s="117"/>
      <c r="F6163" s="117"/>
      <c r="G6163" s="138"/>
      <c r="H6163" s="177"/>
    </row>
    <row r="6164" spans="1:8" s="139" customFormat="1" ht="27.75" customHeight="1" x14ac:dyDescent="0.3">
      <c r="A6164" s="232" t="s">
        <v>440</v>
      </c>
      <c r="B6164" s="347" t="s">
        <v>670</v>
      </c>
      <c r="C6164" s="256" t="s">
        <v>7</v>
      </c>
      <c r="D6164" s="146"/>
      <c r="E6164" s="117"/>
      <c r="F6164" s="117"/>
      <c r="G6164" s="138"/>
      <c r="H6164" s="177"/>
    </row>
    <row r="6165" spans="1:8" s="139" customFormat="1" ht="13.5" customHeight="1" x14ac:dyDescent="0.35">
      <c r="A6165" s="146"/>
      <c r="B6165" s="112" t="s">
        <v>802</v>
      </c>
      <c r="C6165" s="124"/>
      <c r="D6165" s="146"/>
      <c r="E6165" s="117"/>
      <c r="F6165" s="117"/>
      <c r="G6165" s="138"/>
      <c r="H6165" s="177"/>
    </row>
    <row r="6166" spans="1:8" s="139" customFormat="1" ht="13.5" customHeight="1" x14ac:dyDescent="0.35">
      <c r="A6166" s="146"/>
      <c r="B6166" s="120" t="s">
        <v>1331</v>
      </c>
      <c r="C6166" s="124" t="s">
        <v>27</v>
      </c>
      <c r="D6166" s="146">
        <v>1</v>
      </c>
      <c r="E6166" s="117">
        <v>762000</v>
      </c>
      <c r="F6166" s="117">
        <f>D6166*E6166</f>
        <v>762000</v>
      </c>
      <c r="G6166" s="138"/>
      <c r="H6166" s="177"/>
    </row>
    <row r="6167" spans="1:8" s="139" customFormat="1" ht="13.5" customHeight="1" x14ac:dyDescent="0.35">
      <c r="A6167" s="146"/>
      <c r="B6167" s="120" t="s">
        <v>1057</v>
      </c>
      <c r="C6167" s="124"/>
      <c r="D6167" s="146"/>
      <c r="E6167" s="117"/>
      <c r="F6167" s="117">
        <f>0.1*(F6166)</f>
        <v>76200</v>
      </c>
      <c r="G6167" s="138"/>
      <c r="H6167" s="177"/>
    </row>
    <row r="6168" spans="1:8" s="139" customFormat="1" ht="13.5" customHeight="1" x14ac:dyDescent="0.35">
      <c r="A6168" s="146"/>
      <c r="B6168" s="112" t="s">
        <v>769</v>
      </c>
      <c r="C6168" s="124"/>
      <c r="D6168" s="146"/>
      <c r="E6168" s="117"/>
      <c r="F6168" s="110">
        <f>SUM(F6166:F6167)</f>
        <v>838200</v>
      </c>
      <c r="G6168" s="138"/>
      <c r="H6168" s="177"/>
    </row>
    <row r="6169" spans="1:8" s="139" customFormat="1" ht="13.5" customHeight="1" x14ac:dyDescent="0.35">
      <c r="A6169" s="146"/>
      <c r="B6169" s="112" t="s">
        <v>808</v>
      </c>
      <c r="C6169" s="124"/>
      <c r="D6169" s="146"/>
      <c r="E6169" s="117"/>
      <c r="F6169" s="117"/>
      <c r="G6169" s="138"/>
      <c r="H6169" s="177"/>
    </row>
    <row r="6170" spans="1:8" s="139" customFormat="1" ht="13.5" customHeight="1" x14ac:dyDescent="0.35">
      <c r="A6170" s="146"/>
      <c r="B6170" s="120" t="s">
        <v>787</v>
      </c>
      <c r="C6170" s="124" t="s">
        <v>1043</v>
      </c>
      <c r="D6170" s="146">
        <v>3</v>
      </c>
      <c r="E6170" s="117">
        <v>15000</v>
      </c>
      <c r="F6170" s="117">
        <f>+D6170*E6170</f>
        <v>45000</v>
      </c>
      <c r="G6170" s="138"/>
      <c r="H6170" s="177"/>
    </row>
    <row r="6171" spans="1:8" s="139" customFormat="1" ht="13.5" customHeight="1" x14ac:dyDescent="0.35">
      <c r="A6171" s="146"/>
      <c r="B6171" s="112" t="s">
        <v>774</v>
      </c>
      <c r="C6171" s="124"/>
      <c r="D6171" s="146"/>
      <c r="E6171" s="117"/>
      <c r="F6171" s="117">
        <f>SUM(F6170)</f>
        <v>45000</v>
      </c>
      <c r="G6171" s="138"/>
      <c r="H6171" s="177"/>
    </row>
    <row r="6172" spans="1:8" s="139" customFormat="1" ht="13.5" customHeight="1" x14ac:dyDescent="0.35">
      <c r="A6172" s="146"/>
      <c r="B6172" s="112" t="s">
        <v>775</v>
      </c>
      <c r="C6172" s="124"/>
      <c r="D6172" s="146"/>
      <c r="E6172" s="117"/>
      <c r="F6172" s="117">
        <f>+F6168+F6171</f>
        <v>883200</v>
      </c>
      <c r="G6172" s="138"/>
      <c r="H6172" s="177"/>
    </row>
    <row r="6173" spans="1:8" s="139" customFormat="1" ht="13.5" customHeight="1" x14ac:dyDescent="0.35">
      <c r="A6173" s="146"/>
      <c r="B6173" s="120" t="s">
        <v>776</v>
      </c>
      <c r="C6173" s="124"/>
      <c r="D6173" s="146">
        <v>1.25</v>
      </c>
      <c r="E6173" s="117"/>
      <c r="F6173" s="117">
        <f>+F6172*D6173</f>
        <v>1104000</v>
      </c>
      <c r="G6173" s="138"/>
      <c r="H6173" s="177"/>
    </row>
    <row r="6174" spans="1:8" s="139" customFormat="1" ht="13.5" customHeight="1" x14ac:dyDescent="0.35">
      <c r="A6174" s="146"/>
      <c r="B6174" s="120" t="s">
        <v>835</v>
      </c>
      <c r="C6174" s="124"/>
      <c r="D6174" s="146">
        <v>1.25</v>
      </c>
      <c r="E6174" s="117"/>
      <c r="F6174" s="117"/>
      <c r="G6174" s="138"/>
      <c r="H6174" s="177"/>
    </row>
    <row r="6175" spans="1:8" s="139" customFormat="1" ht="13.5" customHeight="1" x14ac:dyDescent="0.35">
      <c r="A6175" s="233" t="s">
        <v>440</v>
      </c>
      <c r="B6175" s="207" t="s">
        <v>778</v>
      </c>
      <c r="C6175" s="233" t="s">
        <v>7</v>
      </c>
      <c r="D6175" s="340"/>
      <c r="E6175" s="209"/>
      <c r="F6175" s="209">
        <f>+D6174*F6173</f>
        <v>1380000</v>
      </c>
      <c r="G6175" s="138"/>
      <c r="H6175" s="177"/>
    </row>
    <row r="6176" spans="1:8" s="139" customFormat="1" ht="13.5" customHeight="1" x14ac:dyDescent="0.35">
      <c r="A6176" s="340"/>
      <c r="B6176" s="207"/>
      <c r="C6176" s="208"/>
      <c r="D6176" s="340"/>
      <c r="E6176" s="210">
        <f>+E6159</f>
        <v>3035.45</v>
      </c>
      <c r="F6176" s="210">
        <f>+F6175/E6176</f>
        <v>454.62781465680547</v>
      </c>
      <c r="G6176" s="138"/>
      <c r="H6176" s="177"/>
    </row>
    <row r="6177" spans="1:8" s="139" customFormat="1" ht="13.5" customHeight="1" x14ac:dyDescent="0.35">
      <c r="A6177" s="163"/>
      <c r="B6177" s="164"/>
      <c r="C6177" s="165"/>
      <c r="E6177" s="166"/>
      <c r="F6177" s="166"/>
      <c r="G6177" s="138"/>
      <c r="H6177" s="177"/>
    </row>
    <row r="6178" spans="1:8" s="139" customFormat="1" ht="13.5" customHeight="1" x14ac:dyDescent="0.35">
      <c r="A6178" s="163"/>
      <c r="B6178" s="164"/>
      <c r="C6178" s="165"/>
      <c r="D6178" s="163"/>
      <c r="E6178" s="166"/>
      <c r="F6178" s="166"/>
      <c r="G6178" s="138"/>
      <c r="H6178" s="177"/>
    </row>
    <row r="6179" spans="1:8" s="139" customFormat="1" ht="13.5" customHeight="1" x14ac:dyDescent="0.3">
      <c r="A6179" s="341" t="s">
        <v>392</v>
      </c>
      <c r="B6179" s="331" t="s">
        <v>393</v>
      </c>
      <c r="C6179" s="332" t="s">
        <v>611</v>
      </c>
      <c r="D6179" s="333" t="s">
        <v>765</v>
      </c>
      <c r="E6179" s="334" t="s">
        <v>766</v>
      </c>
      <c r="F6179" s="334" t="s">
        <v>767</v>
      </c>
      <c r="G6179" s="138"/>
      <c r="H6179" s="177"/>
    </row>
    <row r="6180" spans="1:8" s="139" customFormat="1" ht="13.5" customHeight="1" x14ac:dyDescent="0.35">
      <c r="A6180" s="230" t="s">
        <v>424</v>
      </c>
      <c r="B6180" s="349" t="s">
        <v>425</v>
      </c>
      <c r="C6180" s="256"/>
      <c r="D6180" s="146"/>
      <c r="E6180" s="117"/>
      <c r="F6180" s="117"/>
      <c r="G6180" s="138"/>
      <c r="H6180" s="177"/>
    </row>
    <row r="6181" spans="1:8" s="139" customFormat="1" ht="27" customHeight="1" x14ac:dyDescent="0.3">
      <c r="A6181" s="232" t="s">
        <v>441</v>
      </c>
      <c r="B6181" s="347" t="s">
        <v>1214</v>
      </c>
      <c r="C6181" s="256" t="s">
        <v>7</v>
      </c>
      <c r="D6181" s="146"/>
      <c r="E6181" s="117"/>
      <c r="F6181" s="117"/>
      <c r="G6181" s="138"/>
      <c r="H6181" s="177"/>
    </row>
    <row r="6182" spans="1:8" s="139" customFormat="1" ht="13.5" customHeight="1" x14ac:dyDescent="0.35">
      <c r="A6182" s="146"/>
      <c r="B6182" s="112" t="s">
        <v>802</v>
      </c>
      <c r="C6182" s="124"/>
      <c r="D6182" s="146"/>
      <c r="E6182" s="117"/>
      <c r="F6182" s="117"/>
      <c r="G6182" s="138"/>
      <c r="H6182" s="177"/>
    </row>
    <row r="6183" spans="1:8" s="139" customFormat="1" ht="13.5" customHeight="1" x14ac:dyDescent="0.35">
      <c r="A6183" s="146"/>
      <c r="B6183" s="120" t="s">
        <v>1215</v>
      </c>
      <c r="C6183" s="124" t="s">
        <v>27</v>
      </c>
      <c r="D6183" s="146">
        <v>1</v>
      </c>
      <c r="E6183" s="117">
        <v>815000</v>
      </c>
      <c r="F6183" s="117">
        <f>D6183*E6183</f>
        <v>815000</v>
      </c>
      <c r="G6183" s="138"/>
      <c r="H6183" s="177"/>
    </row>
    <row r="6184" spans="1:8" s="139" customFormat="1" ht="13.5" customHeight="1" x14ac:dyDescent="0.35">
      <c r="A6184" s="146"/>
      <c r="B6184" s="120" t="s">
        <v>1057</v>
      </c>
      <c r="C6184" s="124"/>
      <c r="D6184" s="146"/>
      <c r="E6184" s="117"/>
      <c r="F6184" s="117">
        <f>0.1*(F6183)</f>
        <v>81500</v>
      </c>
      <c r="G6184" s="138"/>
      <c r="H6184" s="177"/>
    </row>
    <row r="6185" spans="1:8" s="139" customFormat="1" ht="13.5" customHeight="1" x14ac:dyDescent="0.35">
      <c r="A6185" s="146"/>
      <c r="B6185" s="112" t="s">
        <v>769</v>
      </c>
      <c r="C6185" s="124"/>
      <c r="D6185" s="146"/>
      <c r="E6185" s="117"/>
      <c r="F6185" s="110">
        <f>SUM(F6183:F6184)</f>
        <v>896500</v>
      </c>
      <c r="G6185" s="138"/>
      <c r="H6185" s="177"/>
    </row>
    <row r="6186" spans="1:8" s="139" customFormat="1" ht="13.5" customHeight="1" x14ac:dyDescent="0.35">
      <c r="A6186" s="146"/>
      <c r="B6186" s="112" t="s">
        <v>808</v>
      </c>
      <c r="C6186" s="124"/>
      <c r="D6186" s="146"/>
      <c r="E6186" s="117"/>
      <c r="F6186" s="117"/>
      <c r="G6186" s="138"/>
      <c r="H6186" s="177"/>
    </row>
    <row r="6187" spans="1:8" s="139" customFormat="1" ht="13.5" customHeight="1" x14ac:dyDescent="0.35">
      <c r="A6187" s="146"/>
      <c r="B6187" s="120" t="s">
        <v>787</v>
      </c>
      <c r="C6187" s="124" t="s">
        <v>1043</v>
      </c>
      <c r="D6187" s="146">
        <v>3</v>
      </c>
      <c r="E6187" s="117">
        <v>15000</v>
      </c>
      <c r="F6187" s="117">
        <f>+D6187*E6187</f>
        <v>45000</v>
      </c>
      <c r="G6187" s="138"/>
      <c r="H6187" s="177"/>
    </row>
    <row r="6188" spans="1:8" s="139" customFormat="1" ht="13.5" customHeight="1" x14ac:dyDescent="0.35">
      <c r="A6188" s="146"/>
      <c r="B6188" s="112" t="s">
        <v>774</v>
      </c>
      <c r="C6188" s="124"/>
      <c r="D6188" s="146"/>
      <c r="E6188" s="117"/>
      <c r="F6188" s="117">
        <f>SUM(F6187)</f>
        <v>45000</v>
      </c>
      <c r="G6188" s="138"/>
      <c r="H6188" s="177"/>
    </row>
    <row r="6189" spans="1:8" s="139" customFormat="1" ht="13.5" customHeight="1" x14ac:dyDescent="0.35">
      <c r="A6189" s="146"/>
      <c r="B6189" s="112" t="s">
        <v>775</v>
      </c>
      <c r="C6189" s="124"/>
      <c r="D6189" s="146"/>
      <c r="E6189" s="117"/>
      <c r="F6189" s="117">
        <f>+F6185+F6188</f>
        <v>941500</v>
      </c>
      <c r="G6189" s="138"/>
      <c r="H6189" s="177"/>
    </row>
    <row r="6190" spans="1:8" s="139" customFormat="1" ht="13.5" customHeight="1" x14ac:dyDescent="0.35">
      <c r="A6190" s="146"/>
      <c r="B6190" s="120" t="s">
        <v>776</v>
      </c>
      <c r="C6190" s="124"/>
      <c r="D6190" s="146">
        <v>1.25</v>
      </c>
      <c r="E6190" s="117"/>
      <c r="F6190" s="117">
        <f>+F6189*D6190</f>
        <v>1176875</v>
      </c>
      <c r="G6190" s="138"/>
      <c r="H6190" s="177"/>
    </row>
    <row r="6191" spans="1:8" s="139" customFormat="1" ht="13.5" customHeight="1" x14ac:dyDescent="0.35">
      <c r="A6191" s="146"/>
      <c r="B6191" s="120" t="s">
        <v>835</v>
      </c>
      <c r="C6191" s="124"/>
      <c r="D6191" s="146">
        <v>1.25</v>
      </c>
      <c r="E6191" s="117"/>
      <c r="F6191" s="117"/>
      <c r="G6191" s="138"/>
      <c r="H6191" s="177"/>
    </row>
    <row r="6192" spans="1:8" s="139" customFormat="1" ht="13.5" customHeight="1" x14ac:dyDescent="0.35">
      <c r="A6192" s="233" t="s">
        <v>441</v>
      </c>
      <c r="B6192" s="207" t="s">
        <v>778</v>
      </c>
      <c r="C6192" s="233" t="s">
        <v>7</v>
      </c>
      <c r="D6192" s="340"/>
      <c r="E6192" s="209"/>
      <c r="F6192" s="209">
        <f>+D6191*F6190</f>
        <v>1471093.75</v>
      </c>
      <c r="G6192" s="138"/>
      <c r="H6192" s="177"/>
    </row>
    <row r="6193" spans="1:8" s="139" customFormat="1" ht="13.5" customHeight="1" x14ac:dyDescent="0.35">
      <c r="A6193" s="340"/>
      <c r="B6193" s="207"/>
      <c r="C6193" s="208"/>
      <c r="D6193" s="340"/>
      <c r="E6193" s="210">
        <f>+E6176</f>
        <v>3035.45</v>
      </c>
      <c r="F6193" s="210">
        <f>+F6192/E6193</f>
        <v>484.63778023027891</v>
      </c>
      <c r="G6193" s="138"/>
      <c r="H6193" s="177"/>
    </row>
    <row r="6194" spans="1:8" s="139" customFormat="1" ht="13.5" customHeight="1" x14ac:dyDescent="0.35">
      <c r="A6194" s="163"/>
      <c r="B6194" s="164"/>
      <c r="C6194" s="165"/>
      <c r="E6194" s="166"/>
      <c r="F6194" s="166"/>
      <c r="G6194" s="138"/>
      <c r="H6194" s="177"/>
    </row>
    <row r="6195" spans="1:8" s="139" customFormat="1" ht="13.5" customHeight="1" x14ac:dyDescent="0.35">
      <c r="A6195" s="163"/>
      <c r="B6195" s="164"/>
      <c r="C6195" s="165"/>
      <c r="D6195" s="163"/>
      <c r="E6195" s="166"/>
      <c r="F6195" s="166"/>
      <c r="G6195" s="138"/>
      <c r="H6195" s="177"/>
    </row>
    <row r="6196" spans="1:8" s="139" customFormat="1" ht="13.5" customHeight="1" x14ac:dyDescent="0.3">
      <c r="A6196" s="341" t="s">
        <v>392</v>
      </c>
      <c r="B6196" s="331" t="s">
        <v>393</v>
      </c>
      <c r="C6196" s="332" t="s">
        <v>611</v>
      </c>
      <c r="D6196" s="333" t="s">
        <v>765</v>
      </c>
      <c r="E6196" s="334" t="s">
        <v>766</v>
      </c>
      <c r="F6196" s="334" t="s">
        <v>767</v>
      </c>
      <c r="G6196" s="138"/>
      <c r="H6196" s="177"/>
    </row>
    <row r="6197" spans="1:8" s="139" customFormat="1" ht="13.5" customHeight="1" x14ac:dyDescent="0.35">
      <c r="A6197" s="230" t="s">
        <v>424</v>
      </c>
      <c r="B6197" s="349" t="s">
        <v>425</v>
      </c>
      <c r="C6197" s="256"/>
      <c r="D6197" s="146"/>
      <c r="E6197" s="117"/>
      <c r="F6197" s="117"/>
      <c r="G6197" s="138"/>
      <c r="H6197" s="177"/>
    </row>
    <row r="6198" spans="1:8" s="139" customFormat="1" ht="27.75" customHeight="1" x14ac:dyDescent="0.35">
      <c r="A6198" s="232" t="s">
        <v>441</v>
      </c>
      <c r="B6198" s="339" t="s">
        <v>741</v>
      </c>
      <c r="C6198" s="256" t="s">
        <v>7</v>
      </c>
      <c r="D6198" s="146"/>
      <c r="E6198" s="117"/>
      <c r="F6198" s="117"/>
      <c r="G6198" s="138"/>
      <c r="H6198" s="177"/>
    </row>
    <row r="6199" spans="1:8" s="139" customFormat="1" ht="13.5" customHeight="1" x14ac:dyDescent="0.35">
      <c r="A6199" s="146"/>
      <c r="B6199" s="112" t="s">
        <v>802</v>
      </c>
      <c r="C6199" s="124"/>
      <c r="D6199" s="146"/>
      <c r="E6199" s="117"/>
      <c r="F6199" s="117"/>
      <c r="G6199" s="138"/>
      <c r="H6199" s="177"/>
    </row>
    <row r="6200" spans="1:8" s="139" customFormat="1" ht="13.5" customHeight="1" x14ac:dyDescent="0.35">
      <c r="A6200" s="146"/>
      <c r="B6200" s="120" t="s">
        <v>1332</v>
      </c>
      <c r="C6200" s="124" t="s">
        <v>27</v>
      </c>
      <c r="D6200" s="146">
        <v>1</v>
      </c>
      <c r="E6200" s="117">
        <v>2054000</v>
      </c>
      <c r="F6200" s="117">
        <f>D6200*E6200</f>
        <v>2054000</v>
      </c>
      <c r="G6200" s="138"/>
      <c r="H6200" s="177"/>
    </row>
    <row r="6201" spans="1:8" s="139" customFormat="1" ht="13.5" customHeight="1" x14ac:dyDescent="0.35">
      <c r="A6201" s="146"/>
      <c r="B6201" s="120" t="s">
        <v>1057</v>
      </c>
      <c r="C6201" s="124"/>
      <c r="D6201" s="146"/>
      <c r="E6201" s="117"/>
      <c r="F6201" s="117">
        <f>0.1*(F6200)</f>
        <v>205400</v>
      </c>
      <c r="G6201" s="138"/>
      <c r="H6201" s="177"/>
    </row>
    <row r="6202" spans="1:8" s="139" customFormat="1" ht="13.5" customHeight="1" x14ac:dyDescent="0.35">
      <c r="A6202" s="146"/>
      <c r="B6202" s="112" t="s">
        <v>769</v>
      </c>
      <c r="C6202" s="124"/>
      <c r="D6202" s="146"/>
      <c r="E6202" s="117"/>
      <c r="F6202" s="110">
        <f>SUM(F6200:F6201)</f>
        <v>2259400</v>
      </c>
      <c r="G6202" s="138"/>
      <c r="H6202" s="177"/>
    </row>
    <row r="6203" spans="1:8" s="139" customFormat="1" ht="13.5" customHeight="1" x14ac:dyDescent="0.35">
      <c r="A6203" s="146"/>
      <c r="B6203" s="112" t="s">
        <v>808</v>
      </c>
      <c r="C6203" s="124"/>
      <c r="D6203" s="146"/>
      <c r="E6203" s="117"/>
      <c r="F6203" s="117"/>
      <c r="G6203" s="138"/>
      <c r="H6203" s="177"/>
    </row>
    <row r="6204" spans="1:8" s="139" customFormat="1" ht="13.5" customHeight="1" x14ac:dyDescent="0.35">
      <c r="A6204" s="146"/>
      <c r="B6204" s="120" t="s">
        <v>787</v>
      </c>
      <c r="C6204" s="124" t="s">
        <v>1043</v>
      </c>
      <c r="D6204" s="146">
        <v>3</v>
      </c>
      <c r="E6204" s="117">
        <v>15000</v>
      </c>
      <c r="F6204" s="117">
        <f>+D6204*E6204</f>
        <v>45000</v>
      </c>
      <c r="G6204" s="138"/>
      <c r="H6204" s="177"/>
    </row>
    <row r="6205" spans="1:8" s="139" customFormat="1" ht="13.5" customHeight="1" x14ac:dyDescent="0.35">
      <c r="A6205" s="146"/>
      <c r="B6205" s="112" t="s">
        <v>774</v>
      </c>
      <c r="C6205" s="124"/>
      <c r="D6205" s="146"/>
      <c r="E6205" s="117"/>
      <c r="F6205" s="117">
        <f>SUM(F6204)</f>
        <v>45000</v>
      </c>
      <c r="G6205" s="138"/>
      <c r="H6205" s="177"/>
    </row>
    <row r="6206" spans="1:8" s="139" customFormat="1" ht="13.5" customHeight="1" x14ac:dyDescent="0.35">
      <c r="A6206" s="146"/>
      <c r="B6206" s="112" t="s">
        <v>775</v>
      </c>
      <c r="C6206" s="124"/>
      <c r="D6206" s="146"/>
      <c r="E6206" s="117"/>
      <c r="F6206" s="117">
        <f>+F6202+F6205</f>
        <v>2304400</v>
      </c>
      <c r="G6206" s="138"/>
      <c r="H6206" s="177"/>
    </row>
    <row r="6207" spans="1:8" s="139" customFormat="1" ht="13.5" customHeight="1" x14ac:dyDescent="0.35">
      <c r="A6207" s="146"/>
      <c r="B6207" s="120" t="s">
        <v>776</v>
      </c>
      <c r="C6207" s="124"/>
      <c r="D6207" s="146">
        <v>1.25</v>
      </c>
      <c r="E6207" s="117"/>
      <c r="F6207" s="117">
        <f>+F6206*D6207</f>
        <v>2880500</v>
      </c>
      <c r="G6207" s="138"/>
      <c r="H6207" s="177"/>
    </row>
    <row r="6208" spans="1:8" s="139" customFormat="1" ht="13.5" customHeight="1" x14ac:dyDescent="0.35">
      <c r="A6208" s="146"/>
      <c r="B6208" s="120" t="s">
        <v>835</v>
      </c>
      <c r="C6208" s="124"/>
      <c r="D6208" s="146">
        <v>1.25</v>
      </c>
      <c r="E6208" s="117"/>
      <c r="F6208" s="117"/>
      <c r="G6208" s="138"/>
      <c r="H6208" s="177"/>
    </row>
    <row r="6209" spans="1:8" s="139" customFormat="1" ht="13.5" customHeight="1" x14ac:dyDescent="0.35">
      <c r="A6209" s="233" t="s">
        <v>441</v>
      </c>
      <c r="B6209" s="207" t="s">
        <v>778</v>
      </c>
      <c r="C6209" s="233" t="s">
        <v>7</v>
      </c>
      <c r="D6209" s="340"/>
      <c r="E6209" s="209"/>
      <c r="F6209" s="209">
        <f>+D6208*F6207</f>
        <v>3600625</v>
      </c>
      <c r="G6209" s="138"/>
      <c r="H6209" s="177"/>
    </row>
    <row r="6210" spans="1:8" s="139" customFormat="1" ht="13.5" customHeight="1" x14ac:dyDescent="0.35">
      <c r="A6210" s="340"/>
      <c r="B6210" s="207"/>
      <c r="C6210" s="208"/>
      <c r="D6210" s="340"/>
      <c r="E6210" s="210">
        <f>+E6193</f>
        <v>3035.45</v>
      </c>
      <c r="F6210" s="210">
        <f>+F6209/E6210</f>
        <v>1186.1915037309132</v>
      </c>
      <c r="G6210" s="138"/>
      <c r="H6210" s="177"/>
    </row>
    <row r="6211" spans="1:8" s="139" customFormat="1" ht="13.5" customHeight="1" x14ac:dyDescent="0.35">
      <c r="A6211" s="163"/>
      <c r="B6211" s="164"/>
      <c r="C6211" s="165"/>
      <c r="E6211" s="166"/>
      <c r="F6211" s="166"/>
      <c r="G6211" s="138"/>
      <c r="H6211" s="177"/>
    </row>
    <row r="6212" spans="1:8" s="139" customFormat="1" ht="13.5" customHeight="1" x14ac:dyDescent="0.35">
      <c r="A6212" s="163"/>
      <c r="B6212" s="164"/>
      <c r="C6212" s="165"/>
      <c r="D6212" s="163"/>
      <c r="E6212" s="166"/>
      <c r="F6212" s="166"/>
      <c r="G6212" s="138"/>
      <c r="H6212" s="177"/>
    </row>
    <row r="6213" spans="1:8" s="139" customFormat="1" ht="13.5" customHeight="1" x14ac:dyDescent="0.3">
      <c r="A6213" s="341" t="s">
        <v>392</v>
      </c>
      <c r="B6213" s="331" t="s">
        <v>393</v>
      </c>
      <c r="C6213" s="332" t="s">
        <v>611</v>
      </c>
      <c r="D6213" s="333" t="s">
        <v>765</v>
      </c>
      <c r="E6213" s="334" t="s">
        <v>766</v>
      </c>
      <c r="F6213" s="334" t="s">
        <v>767</v>
      </c>
      <c r="G6213" s="138"/>
      <c r="H6213" s="177"/>
    </row>
    <row r="6214" spans="1:8" s="139" customFormat="1" ht="13.5" customHeight="1" x14ac:dyDescent="0.35">
      <c r="A6214" s="230" t="s">
        <v>424</v>
      </c>
      <c r="B6214" s="349" t="s">
        <v>425</v>
      </c>
      <c r="C6214" s="256"/>
      <c r="D6214" s="146"/>
      <c r="E6214" s="117"/>
      <c r="F6214" s="117"/>
      <c r="G6214" s="138"/>
      <c r="H6214" s="177"/>
    </row>
    <row r="6215" spans="1:8" s="139" customFormat="1" ht="28.5" customHeight="1" x14ac:dyDescent="0.35">
      <c r="A6215" s="232" t="s">
        <v>442</v>
      </c>
      <c r="B6215" s="339" t="s">
        <v>1216</v>
      </c>
      <c r="C6215" s="256" t="s">
        <v>7</v>
      </c>
      <c r="D6215" s="146"/>
      <c r="E6215" s="117"/>
      <c r="F6215" s="117"/>
      <c r="G6215" s="138"/>
      <c r="H6215" s="177"/>
    </row>
    <row r="6216" spans="1:8" s="139" customFormat="1" ht="13.5" customHeight="1" x14ac:dyDescent="0.35">
      <c r="A6216" s="146"/>
      <c r="B6216" s="112" t="s">
        <v>802</v>
      </c>
      <c r="C6216" s="124"/>
      <c r="D6216" s="146"/>
      <c r="E6216" s="117"/>
      <c r="F6216" s="117"/>
      <c r="G6216" s="138"/>
      <c r="H6216" s="177"/>
    </row>
    <row r="6217" spans="1:8" s="139" customFormat="1" ht="13.5" customHeight="1" x14ac:dyDescent="0.35">
      <c r="A6217" s="146"/>
      <c r="B6217" s="120" t="s">
        <v>1215</v>
      </c>
      <c r="C6217" s="124" t="s">
        <v>27</v>
      </c>
      <c r="D6217" s="146">
        <v>1</v>
      </c>
      <c r="E6217" s="117">
        <v>1112000</v>
      </c>
      <c r="F6217" s="117">
        <f>D6217*E6217</f>
        <v>1112000</v>
      </c>
      <c r="G6217" s="138"/>
      <c r="H6217" s="177"/>
    </row>
    <row r="6218" spans="1:8" s="139" customFormat="1" ht="13.5" customHeight="1" x14ac:dyDescent="0.35">
      <c r="A6218" s="146"/>
      <c r="B6218" s="120" t="s">
        <v>1057</v>
      </c>
      <c r="C6218" s="124"/>
      <c r="D6218" s="146"/>
      <c r="E6218" s="117"/>
      <c r="F6218" s="117">
        <f>0.1*(F6217)</f>
        <v>111200</v>
      </c>
      <c r="G6218" s="138"/>
      <c r="H6218" s="177"/>
    </row>
    <row r="6219" spans="1:8" s="139" customFormat="1" ht="13.5" customHeight="1" x14ac:dyDescent="0.35">
      <c r="A6219" s="146"/>
      <c r="B6219" s="112" t="s">
        <v>769</v>
      </c>
      <c r="C6219" s="124"/>
      <c r="D6219" s="146"/>
      <c r="E6219" s="117"/>
      <c r="F6219" s="110">
        <f>SUM(F6217:F6218)</f>
        <v>1223200</v>
      </c>
      <c r="G6219" s="138"/>
      <c r="H6219" s="177"/>
    </row>
    <row r="6220" spans="1:8" s="139" customFormat="1" ht="13.5" customHeight="1" x14ac:dyDescent="0.35">
      <c r="A6220" s="146"/>
      <c r="B6220" s="112" t="s">
        <v>808</v>
      </c>
      <c r="C6220" s="124"/>
      <c r="D6220" s="146"/>
      <c r="E6220" s="117"/>
      <c r="F6220" s="117"/>
      <c r="G6220" s="138"/>
      <c r="H6220" s="177"/>
    </row>
    <row r="6221" spans="1:8" s="139" customFormat="1" ht="13.5" customHeight="1" x14ac:dyDescent="0.35">
      <c r="A6221" s="146"/>
      <c r="B6221" s="120" t="s">
        <v>787</v>
      </c>
      <c r="C6221" s="124" t="s">
        <v>1043</v>
      </c>
      <c r="D6221" s="146">
        <v>3</v>
      </c>
      <c r="E6221" s="117">
        <v>15000</v>
      </c>
      <c r="F6221" s="117">
        <f>+D6221*E6221</f>
        <v>45000</v>
      </c>
      <c r="G6221" s="138"/>
      <c r="H6221" s="177"/>
    </row>
    <row r="6222" spans="1:8" s="139" customFormat="1" ht="13.5" customHeight="1" x14ac:dyDescent="0.35">
      <c r="A6222" s="146"/>
      <c r="B6222" s="112" t="s">
        <v>774</v>
      </c>
      <c r="C6222" s="124"/>
      <c r="D6222" s="146"/>
      <c r="E6222" s="117"/>
      <c r="F6222" s="117">
        <f>SUM(F6221)</f>
        <v>45000</v>
      </c>
      <c r="G6222" s="138"/>
      <c r="H6222" s="177"/>
    </row>
    <row r="6223" spans="1:8" s="139" customFormat="1" ht="13.5" customHeight="1" x14ac:dyDescent="0.35">
      <c r="A6223" s="146"/>
      <c r="B6223" s="112" t="s">
        <v>775</v>
      </c>
      <c r="C6223" s="124"/>
      <c r="D6223" s="146"/>
      <c r="E6223" s="117"/>
      <c r="F6223" s="117">
        <f>+F6219+F6222</f>
        <v>1268200</v>
      </c>
      <c r="G6223" s="138"/>
      <c r="H6223" s="177"/>
    </row>
    <row r="6224" spans="1:8" s="139" customFormat="1" ht="13.5" customHeight="1" x14ac:dyDescent="0.35">
      <c r="A6224" s="146"/>
      <c r="B6224" s="120" t="s">
        <v>776</v>
      </c>
      <c r="C6224" s="124"/>
      <c r="D6224" s="146">
        <v>1.25</v>
      </c>
      <c r="E6224" s="117"/>
      <c r="F6224" s="117">
        <f>+F6223*D6224</f>
        <v>1585250</v>
      </c>
      <c r="G6224" s="138"/>
      <c r="H6224" s="177"/>
    </row>
    <row r="6225" spans="1:8" s="139" customFormat="1" ht="13.5" customHeight="1" x14ac:dyDescent="0.35">
      <c r="A6225" s="146"/>
      <c r="B6225" s="120" t="s">
        <v>835</v>
      </c>
      <c r="C6225" s="124"/>
      <c r="D6225" s="146">
        <v>1.25</v>
      </c>
      <c r="E6225" s="117"/>
      <c r="F6225" s="117"/>
      <c r="G6225" s="138"/>
      <c r="H6225" s="177"/>
    </row>
    <row r="6226" spans="1:8" s="139" customFormat="1" ht="13.5" customHeight="1" x14ac:dyDescent="0.35">
      <c r="A6226" s="233" t="s">
        <v>442</v>
      </c>
      <c r="B6226" s="207" t="s">
        <v>778</v>
      </c>
      <c r="C6226" s="233" t="s">
        <v>7</v>
      </c>
      <c r="D6226" s="340"/>
      <c r="E6226" s="209"/>
      <c r="F6226" s="209">
        <f>+D6225*F6224</f>
        <v>1981562.5</v>
      </c>
      <c r="G6226" s="138"/>
      <c r="H6226" s="177"/>
    </row>
    <row r="6227" spans="1:8" s="139" customFormat="1" ht="13.5" customHeight="1" x14ac:dyDescent="0.35">
      <c r="A6227" s="340"/>
      <c r="B6227" s="207"/>
      <c r="C6227" s="208"/>
      <c r="D6227" s="340"/>
      <c r="E6227" s="210">
        <f>+E6210</f>
        <v>3035.45</v>
      </c>
      <c r="F6227" s="210">
        <f>+F6226/E6227</f>
        <v>652.80683259483772</v>
      </c>
      <c r="G6227" s="138"/>
      <c r="H6227" s="177"/>
    </row>
    <row r="6228" spans="1:8" s="139" customFormat="1" ht="13.5" customHeight="1" x14ac:dyDescent="0.35">
      <c r="A6228" s="163"/>
      <c r="B6228" s="164"/>
      <c r="C6228" s="165"/>
      <c r="E6228" s="166"/>
      <c r="F6228" s="166"/>
      <c r="G6228" s="138"/>
      <c r="H6228" s="177"/>
    </row>
    <row r="6229" spans="1:8" s="139" customFormat="1" ht="13.5" customHeight="1" x14ac:dyDescent="0.35">
      <c r="A6229" s="163"/>
      <c r="B6229" s="164"/>
      <c r="C6229" s="165"/>
      <c r="D6229" s="163"/>
      <c r="E6229" s="166"/>
      <c r="F6229" s="166"/>
      <c r="G6229" s="138"/>
      <c r="H6229" s="177"/>
    </row>
    <row r="6230" spans="1:8" s="139" customFormat="1" ht="13.5" customHeight="1" x14ac:dyDescent="0.3">
      <c r="A6230" s="341" t="s">
        <v>392</v>
      </c>
      <c r="B6230" s="331" t="s">
        <v>393</v>
      </c>
      <c r="C6230" s="332" t="s">
        <v>611</v>
      </c>
      <c r="D6230" s="333" t="s">
        <v>765</v>
      </c>
      <c r="E6230" s="334" t="s">
        <v>766</v>
      </c>
      <c r="F6230" s="334" t="s">
        <v>767</v>
      </c>
      <c r="G6230" s="138"/>
      <c r="H6230" s="177"/>
    </row>
    <row r="6231" spans="1:8" s="139" customFormat="1" ht="13.5" customHeight="1" x14ac:dyDescent="0.35">
      <c r="A6231" s="230" t="s">
        <v>424</v>
      </c>
      <c r="B6231" s="349" t="s">
        <v>425</v>
      </c>
      <c r="C6231" s="256"/>
      <c r="D6231" s="146"/>
      <c r="E6231" s="117"/>
      <c r="F6231" s="117"/>
      <c r="G6231" s="138"/>
      <c r="H6231" s="177"/>
    </row>
    <row r="6232" spans="1:8" s="139" customFormat="1" ht="30.75" customHeight="1" x14ac:dyDescent="0.35">
      <c r="A6232" s="232" t="s">
        <v>1333</v>
      </c>
      <c r="B6232" s="339" t="s">
        <v>652</v>
      </c>
      <c r="C6232" s="256" t="s">
        <v>7</v>
      </c>
      <c r="D6232" s="146"/>
      <c r="E6232" s="117"/>
      <c r="F6232" s="117"/>
      <c r="G6232" s="138"/>
      <c r="H6232" s="177"/>
    </row>
    <row r="6233" spans="1:8" s="139" customFormat="1" ht="13.5" customHeight="1" x14ac:dyDescent="0.35">
      <c r="A6233" s="146"/>
      <c r="B6233" s="112" t="s">
        <v>802</v>
      </c>
      <c r="C6233" s="124"/>
      <c r="D6233" s="146"/>
      <c r="E6233" s="117"/>
      <c r="F6233" s="117"/>
      <c r="G6233" s="138"/>
      <c r="H6233" s="177"/>
    </row>
    <row r="6234" spans="1:8" s="139" customFormat="1" ht="13.5" customHeight="1" x14ac:dyDescent="0.35">
      <c r="A6234" s="146"/>
      <c r="B6234" s="120" t="s">
        <v>1334</v>
      </c>
      <c r="C6234" s="124" t="s">
        <v>27</v>
      </c>
      <c r="D6234" s="146">
        <v>1</v>
      </c>
      <c r="E6234" s="117">
        <v>1204000</v>
      </c>
      <c r="F6234" s="117">
        <f>D6234*E6234</f>
        <v>1204000</v>
      </c>
      <c r="G6234" s="138"/>
      <c r="H6234" s="177"/>
    </row>
    <row r="6235" spans="1:8" s="139" customFormat="1" ht="13.5" customHeight="1" x14ac:dyDescent="0.35">
      <c r="A6235" s="146"/>
      <c r="B6235" s="120" t="s">
        <v>1057</v>
      </c>
      <c r="C6235" s="124"/>
      <c r="D6235" s="146"/>
      <c r="E6235" s="117"/>
      <c r="F6235" s="117">
        <f>0.1*(F6234)</f>
        <v>120400</v>
      </c>
      <c r="G6235" s="138"/>
      <c r="H6235" s="177"/>
    </row>
    <row r="6236" spans="1:8" s="139" customFormat="1" ht="13.5" customHeight="1" x14ac:dyDescent="0.35">
      <c r="A6236" s="146"/>
      <c r="B6236" s="112" t="s">
        <v>769</v>
      </c>
      <c r="C6236" s="124"/>
      <c r="D6236" s="146"/>
      <c r="E6236" s="117"/>
      <c r="F6236" s="110">
        <f>SUM(F6234:F6235)</f>
        <v>1324400</v>
      </c>
      <c r="G6236" s="138"/>
      <c r="H6236" s="177"/>
    </row>
    <row r="6237" spans="1:8" s="139" customFormat="1" ht="13.5" customHeight="1" x14ac:dyDescent="0.35">
      <c r="A6237" s="146"/>
      <c r="B6237" s="112" t="s">
        <v>808</v>
      </c>
      <c r="C6237" s="124"/>
      <c r="D6237" s="146"/>
      <c r="E6237" s="117"/>
      <c r="F6237" s="117"/>
      <c r="G6237" s="138"/>
      <c r="H6237" s="177"/>
    </row>
    <row r="6238" spans="1:8" s="139" customFormat="1" ht="13.5" customHeight="1" x14ac:dyDescent="0.35">
      <c r="A6238" s="146"/>
      <c r="B6238" s="120" t="s">
        <v>787</v>
      </c>
      <c r="C6238" s="124" t="s">
        <v>1043</v>
      </c>
      <c r="D6238" s="146">
        <v>3</v>
      </c>
      <c r="E6238" s="117">
        <v>15000</v>
      </c>
      <c r="F6238" s="117">
        <f>+D6238*E6238</f>
        <v>45000</v>
      </c>
      <c r="G6238" s="138"/>
      <c r="H6238" s="177"/>
    </row>
    <row r="6239" spans="1:8" s="139" customFormat="1" ht="13.5" customHeight="1" x14ac:dyDescent="0.35">
      <c r="A6239" s="146"/>
      <c r="B6239" s="112" t="s">
        <v>774</v>
      </c>
      <c r="C6239" s="124"/>
      <c r="D6239" s="146"/>
      <c r="E6239" s="117"/>
      <c r="F6239" s="117">
        <f>SUM(F6238)</f>
        <v>45000</v>
      </c>
      <c r="G6239" s="138"/>
      <c r="H6239" s="177"/>
    </row>
    <row r="6240" spans="1:8" s="139" customFormat="1" ht="13.5" customHeight="1" x14ac:dyDescent="0.35">
      <c r="A6240" s="146"/>
      <c r="B6240" s="112" t="s">
        <v>775</v>
      </c>
      <c r="C6240" s="124"/>
      <c r="D6240" s="146"/>
      <c r="E6240" s="117"/>
      <c r="F6240" s="117">
        <f>+F6236+F6239</f>
        <v>1369400</v>
      </c>
      <c r="G6240" s="138"/>
      <c r="H6240" s="177"/>
    </row>
    <row r="6241" spans="1:8" s="139" customFormat="1" ht="13.5" customHeight="1" x14ac:dyDescent="0.35">
      <c r="A6241" s="146"/>
      <c r="B6241" s="120" t="s">
        <v>776</v>
      </c>
      <c r="C6241" s="124"/>
      <c r="D6241" s="146">
        <v>1.25</v>
      </c>
      <c r="E6241" s="117"/>
      <c r="F6241" s="117">
        <f>+F6240*D6241</f>
        <v>1711750</v>
      </c>
      <c r="G6241" s="138"/>
      <c r="H6241" s="177"/>
    </row>
    <row r="6242" spans="1:8" s="139" customFormat="1" ht="13.5" customHeight="1" x14ac:dyDescent="0.35">
      <c r="A6242" s="146"/>
      <c r="B6242" s="120" t="s">
        <v>835</v>
      </c>
      <c r="C6242" s="124"/>
      <c r="D6242" s="146">
        <v>1.25</v>
      </c>
      <c r="E6242" s="117"/>
      <c r="F6242" s="117"/>
      <c r="G6242" s="138"/>
      <c r="H6242" s="177"/>
    </row>
    <row r="6243" spans="1:8" s="139" customFormat="1" ht="13.5" customHeight="1" x14ac:dyDescent="0.35">
      <c r="A6243" s="233" t="s">
        <v>1333</v>
      </c>
      <c r="B6243" s="207" t="s">
        <v>778</v>
      </c>
      <c r="C6243" s="233" t="s">
        <v>7</v>
      </c>
      <c r="D6243" s="340"/>
      <c r="E6243" s="209"/>
      <c r="F6243" s="209">
        <f>+D6242*F6241</f>
        <v>2139687.5</v>
      </c>
      <c r="G6243" s="138"/>
      <c r="H6243" s="177"/>
    </row>
    <row r="6244" spans="1:8" s="139" customFormat="1" ht="13.5" customHeight="1" x14ac:dyDescent="0.35">
      <c r="A6244" s="340"/>
      <c r="B6244" s="207"/>
      <c r="C6244" s="208"/>
      <c r="D6244" s="340"/>
      <c r="E6244" s="210">
        <f>+E6227</f>
        <v>3035.45</v>
      </c>
      <c r="F6244" s="210">
        <f>+F6243/E6244</f>
        <v>704.89960302426334</v>
      </c>
      <c r="G6244" s="138"/>
      <c r="H6244" s="177"/>
    </row>
    <row r="6245" spans="1:8" s="139" customFormat="1" ht="13.5" customHeight="1" x14ac:dyDescent="0.35">
      <c r="A6245" s="163"/>
      <c r="B6245" s="164"/>
      <c r="C6245" s="165"/>
      <c r="E6245" s="166"/>
      <c r="F6245" s="166"/>
      <c r="G6245" s="138"/>
      <c r="H6245" s="177"/>
    </row>
    <row r="6246" spans="1:8" s="139" customFormat="1" ht="13.5" customHeight="1" x14ac:dyDescent="0.35">
      <c r="A6246" s="163"/>
      <c r="B6246" s="164"/>
      <c r="C6246" s="165"/>
      <c r="D6246" s="163"/>
      <c r="E6246" s="166"/>
      <c r="F6246" s="166"/>
      <c r="G6246" s="138"/>
      <c r="H6246" s="177"/>
    </row>
    <row r="6247" spans="1:8" s="139" customFormat="1" ht="13.5" customHeight="1" x14ac:dyDescent="0.3">
      <c r="A6247" s="341" t="s">
        <v>392</v>
      </c>
      <c r="B6247" s="331" t="s">
        <v>393</v>
      </c>
      <c r="C6247" s="332" t="s">
        <v>611</v>
      </c>
      <c r="D6247" s="333" t="s">
        <v>765</v>
      </c>
      <c r="E6247" s="334" t="s">
        <v>766</v>
      </c>
      <c r="F6247" s="334" t="s">
        <v>767</v>
      </c>
      <c r="G6247" s="138"/>
      <c r="H6247" s="177"/>
    </row>
    <row r="6248" spans="1:8" s="139" customFormat="1" ht="13.5" customHeight="1" x14ac:dyDescent="0.35">
      <c r="A6248" s="230" t="s">
        <v>424</v>
      </c>
      <c r="B6248" s="349" t="s">
        <v>425</v>
      </c>
      <c r="C6248" s="256"/>
      <c r="D6248" s="146"/>
      <c r="E6248" s="117"/>
      <c r="F6248" s="117"/>
      <c r="G6248" s="138"/>
      <c r="H6248" s="177"/>
    </row>
    <row r="6249" spans="1:8" s="139" customFormat="1" ht="27" customHeight="1" x14ac:dyDescent="0.35">
      <c r="A6249" s="232" t="s">
        <v>1333</v>
      </c>
      <c r="B6249" s="339" t="s">
        <v>687</v>
      </c>
      <c r="C6249" s="256" t="s">
        <v>7</v>
      </c>
      <c r="D6249" s="146"/>
      <c r="E6249" s="117"/>
      <c r="F6249" s="117"/>
      <c r="G6249" s="138"/>
      <c r="H6249" s="177"/>
    </row>
    <row r="6250" spans="1:8" s="139" customFormat="1" ht="13.5" customHeight="1" x14ac:dyDescent="0.35">
      <c r="A6250" s="146"/>
      <c r="B6250" s="112" t="s">
        <v>802</v>
      </c>
      <c r="C6250" s="124"/>
      <c r="D6250" s="146"/>
      <c r="E6250" s="117"/>
      <c r="F6250" s="117"/>
      <c r="G6250" s="138"/>
      <c r="H6250" s="177"/>
    </row>
    <row r="6251" spans="1:8" s="139" customFormat="1" ht="13.5" customHeight="1" x14ac:dyDescent="0.35">
      <c r="A6251" s="146"/>
      <c r="B6251" s="120" t="s">
        <v>1081</v>
      </c>
      <c r="C6251" s="124" t="s">
        <v>27</v>
      </c>
      <c r="D6251" s="146">
        <v>1</v>
      </c>
      <c r="E6251" s="117">
        <v>1510000</v>
      </c>
      <c r="F6251" s="117">
        <f>D6251*E6251</f>
        <v>1510000</v>
      </c>
      <c r="G6251" s="138"/>
      <c r="H6251" s="177"/>
    </row>
    <row r="6252" spans="1:8" s="139" customFormat="1" ht="13.5" customHeight="1" x14ac:dyDescent="0.35">
      <c r="A6252" s="146"/>
      <c r="B6252" s="120" t="s">
        <v>1057</v>
      </c>
      <c r="C6252" s="124"/>
      <c r="D6252" s="146"/>
      <c r="E6252" s="117"/>
      <c r="F6252" s="117">
        <f>0.1*(F6251)</f>
        <v>151000</v>
      </c>
      <c r="G6252" s="138"/>
      <c r="H6252" s="177"/>
    </row>
    <row r="6253" spans="1:8" s="139" customFormat="1" ht="13.5" customHeight="1" x14ac:dyDescent="0.35">
      <c r="A6253" s="146"/>
      <c r="B6253" s="112" t="s">
        <v>769</v>
      </c>
      <c r="C6253" s="124"/>
      <c r="D6253" s="146"/>
      <c r="E6253" s="117"/>
      <c r="F6253" s="110">
        <f>SUM(F6251:F6252)</f>
        <v>1661000</v>
      </c>
      <c r="G6253" s="138"/>
      <c r="H6253" s="177"/>
    </row>
    <row r="6254" spans="1:8" s="139" customFormat="1" ht="13.5" customHeight="1" x14ac:dyDescent="0.35">
      <c r="A6254" s="146"/>
      <c r="B6254" s="112" t="s">
        <v>808</v>
      </c>
      <c r="C6254" s="124"/>
      <c r="D6254" s="146"/>
      <c r="E6254" s="117"/>
      <c r="F6254" s="117"/>
      <c r="G6254" s="138"/>
      <c r="H6254" s="177"/>
    </row>
    <row r="6255" spans="1:8" s="139" customFormat="1" ht="13.5" customHeight="1" x14ac:dyDescent="0.35">
      <c r="A6255" s="146"/>
      <c r="B6255" s="120" t="s">
        <v>787</v>
      </c>
      <c r="C6255" s="124" t="s">
        <v>1043</v>
      </c>
      <c r="D6255" s="146">
        <v>3</v>
      </c>
      <c r="E6255" s="117">
        <v>15000</v>
      </c>
      <c r="F6255" s="117">
        <f>+D6255*E6255</f>
        <v>45000</v>
      </c>
      <c r="G6255" s="138"/>
      <c r="H6255" s="177"/>
    </row>
    <row r="6256" spans="1:8" s="139" customFormat="1" ht="13.5" customHeight="1" x14ac:dyDescent="0.35">
      <c r="A6256" s="146"/>
      <c r="B6256" s="112" t="s">
        <v>774</v>
      </c>
      <c r="C6256" s="124"/>
      <c r="D6256" s="146"/>
      <c r="E6256" s="117"/>
      <c r="F6256" s="117">
        <f>SUM(F6255)</f>
        <v>45000</v>
      </c>
      <c r="G6256" s="138"/>
      <c r="H6256" s="177"/>
    </row>
    <row r="6257" spans="1:8" s="139" customFormat="1" ht="13.5" customHeight="1" x14ac:dyDescent="0.35">
      <c r="A6257" s="146"/>
      <c r="B6257" s="112" t="s">
        <v>775</v>
      </c>
      <c r="C6257" s="124"/>
      <c r="D6257" s="146"/>
      <c r="E6257" s="117"/>
      <c r="F6257" s="117">
        <f>+F6253+F6256</f>
        <v>1706000</v>
      </c>
      <c r="G6257" s="138"/>
      <c r="H6257" s="177"/>
    </row>
    <row r="6258" spans="1:8" s="139" customFormat="1" ht="13.5" customHeight="1" x14ac:dyDescent="0.35">
      <c r="A6258" s="146"/>
      <c r="B6258" s="120" t="s">
        <v>776</v>
      </c>
      <c r="C6258" s="124"/>
      <c r="D6258" s="146">
        <v>1.25</v>
      </c>
      <c r="E6258" s="117"/>
      <c r="F6258" s="117">
        <f>+F6257*D6258</f>
        <v>2132500</v>
      </c>
      <c r="G6258" s="138"/>
      <c r="H6258" s="177"/>
    </row>
    <row r="6259" spans="1:8" s="139" customFormat="1" ht="13.5" customHeight="1" x14ac:dyDescent="0.35">
      <c r="A6259" s="146"/>
      <c r="B6259" s="120" t="s">
        <v>835</v>
      </c>
      <c r="C6259" s="124"/>
      <c r="D6259" s="146">
        <v>1.25</v>
      </c>
      <c r="E6259" s="117"/>
      <c r="F6259" s="117"/>
      <c r="G6259" s="138"/>
      <c r="H6259" s="177"/>
    </row>
    <row r="6260" spans="1:8" s="139" customFormat="1" ht="13.5" customHeight="1" x14ac:dyDescent="0.35">
      <c r="A6260" s="233" t="s">
        <v>1333</v>
      </c>
      <c r="B6260" s="207" t="s">
        <v>778</v>
      </c>
      <c r="C6260" s="233" t="s">
        <v>7</v>
      </c>
      <c r="D6260" s="340"/>
      <c r="E6260" s="209"/>
      <c r="F6260" s="209">
        <f>+D6259*F6258</f>
        <v>2665625</v>
      </c>
      <c r="G6260" s="138"/>
      <c r="H6260" s="177"/>
    </row>
    <row r="6261" spans="1:8" s="139" customFormat="1" ht="13.5" customHeight="1" x14ac:dyDescent="0.35">
      <c r="A6261" s="340"/>
      <c r="B6261" s="207"/>
      <c r="C6261" s="208"/>
      <c r="D6261" s="340"/>
      <c r="E6261" s="210">
        <f>+E6244</f>
        <v>3035.45</v>
      </c>
      <c r="F6261" s="210">
        <f>+F6260/E6261</f>
        <v>878.1646872786572</v>
      </c>
      <c r="G6261" s="138"/>
      <c r="H6261" s="177"/>
    </row>
    <row r="6262" spans="1:8" s="139" customFormat="1" ht="13.5" customHeight="1" x14ac:dyDescent="0.35">
      <c r="A6262" s="163"/>
      <c r="B6262" s="164"/>
      <c r="C6262" s="165"/>
      <c r="E6262" s="166"/>
      <c r="F6262" s="166"/>
      <c r="G6262" s="138"/>
      <c r="H6262" s="177"/>
    </row>
    <row r="6263" spans="1:8" s="139" customFormat="1" ht="13.5" customHeight="1" x14ac:dyDescent="0.35">
      <c r="A6263" s="163"/>
      <c r="B6263" s="164"/>
      <c r="C6263" s="165"/>
      <c r="D6263" s="163"/>
      <c r="E6263" s="166"/>
      <c r="F6263" s="166"/>
      <c r="G6263" s="138"/>
      <c r="H6263" s="177"/>
    </row>
    <row r="6264" spans="1:8" s="139" customFormat="1" ht="13.5" customHeight="1" x14ac:dyDescent="0.3">
      <c r="A6264" s="341" t="s">
        <v>392</v>
      </c>
      <c r="B6264" s="331" t="s">
        <v>393</v>
      </c>
      <c r="C6264" s="332" t="s">
        <v>611</v>
      </c>
      <c r="D6264" s="333" t="s">
        <v>765</v>
      </c>
      <c r="E6264" s="334" t="s">
        <v>766</v>
      </c>
      <c r="F6264" s="334" t="s">
        <v>767</v>
      </c>
      <c r="G6264" s="138"/>
      <c r="H6264" s="177"/>
    </row>
    <row r="6265" spans="1:8" s="139" customFormat="1" ht="13.5" customHeight="1" x14ac:dyDescent="0.35">
      <c r="A6265" s="230" t="s">
        <v>424</v>
      </c>
      <c r="B6265" s="349" t="s">
        <v>425</v>
      </c>
      <c r="C6265" s="256"/>
      <c r="D6265" s="146"/>
      <c r="E6265" s="117"/>
      <c r="F6265" s="117"/>
      <c r="G6265" s="138"/>
      <c r="H6265" s="177"/>
    </row>
    <row r="6266" spans="1:8" s="139" customFormat="1" ht="28.5" customHeight="1" x14ac:dyDescent="0.3">
      <c r="A6266" s="232" t="s">
        <v>1333</v>
      </c>
      <c r="B6266" s="347" t="s">
        <v>718</v>
      </c>
      <c r="C6266" s="256" t="s">
        <v>7</v>
      </c>
      <c r="D6266" s="146"/>
      <c r="E6266" s="117"/>
      <c r="F6266" s="117"/>
      <c r="G6266" s="138"/>
      <c r="H6266" s="177"/>
    </row>
    <row r="6267" spans="1:8" s="139" customFormat="1" ht="13.5" customHeight="1" x14ac:dyDescent="0.35">
      <c r="A6267" s="146"/>
      <c r="B6267" s="112" t="s">
        <v>802</v>
      </c>
      <c r="C6267" s="124"/>
      <c r="D6267" s="146"/>
      <c r="E6267" s="117"/>
      <c r="F6267" s="117"/>
      <c r="G6267" s="138"/>
      <c r="H6267" s="177"/>
    </row>
    <row r="6268" spans="1:8" s="139" customFormat="1" ht="13.5" customHeight="1" x14ac:dyDescent="0.35">
      <c r="A6268" s="146"/>
      <c r="B6268" s="120" t="s">
        <v>1335</v>
      </c>
      <c r="C6268" s="124" t="s">
        <v>27</v>
      </c>
      <c r="D6268" s="146">
        <v>1</v>
      </c>
      <c r="E6268" s="117">
        <v>378000</v>
      </c>
      <c r="F6268" s="117">
        <f>D6268*E6268</f>
        <v>378000</v>
      </c>
      <c r="G6268" s="138"/>
      <c r="H6268" s="177"/>
    </row>
    <row r="6269" spans="1:8" s="139" customFormat="1" ht="13.5" customHeight="1" x14ac:dyDescent="0.35">
      <c r="A6269" s="146"/>
      <c r="B6269" s="120" t="s">
        <v>1057</v>
      </c>
      <c r="C6269" s="124"/>
      <c r="D6269" s="146"/>
      <c r="E6269" s="117"/>
      <c r="F6269" s="117">
        <f>0.1*(F6268)</f>
        <v>37800</v>
      </c>
      <c r="G6269" s="138"/>
      <c r="H6269" s="177"/>
    </row>
    <row r="6270" spans="1:8" s="139" customFormat="1" ht="13.5" customHeight="1" x14ac:dyDescent="0.35">
      <c r="A6270" s="146"/>
      <c r="B6270" s="112" t="s">
        <v>769</v>
      </c>
      <c r="C6270" s="124"/>
      <c r="D6270" s="146"/>
      <c r="E6270" s="117"/>
      <c r="F6270" s="110">
        <f>SUM(F6268:F6269)</f>
        <v>415800</v>
      </c>
      <c r="G6270" s="138"/>
      <c r="H6270" s="177"/>
    </row>
    <row r="6271" spans="1:8" s="139" customFormat="1" ht="13.5" customHeight="1" x14ac:dyDescent="0.35">
      <c r="A6271" s="146"/>
      <c r="B6271" s="112" t="s">
        <v>808</v>
      </c>
      <c r="C6271" s="124"/>
      <c r="D6271" s="146"/>
      <c r="E6271" s="117"/>
      <c r="F6271" s="117"/>
      <c r="G6271" s="138"/>
      <c r="H6271" s="177"/>
    </row>
    <row r="6272" spans="1:8" s="139" customFormat="1" ht="13.5" customHeight="1" x14ac:dyDescent="0.35">
      <c r="A6272" s="146"/>
      <c r="B6272" s="120" t="s">
        <v>787</v>
      </c>
      <c r="C6272" s="124" t="s">
        <v>1043</v>
      </c>
      <c r="D6272" s="146">
        <v>3</v>
      </c>
      <c r="E6272" s="117">
        <v>15000</v>
      </c>
      <c r="F6272" s="117">
        <f>+D6272*E6272</f>
        <v>45000</v>
      </c>
      <c r="G6272" s="138"/>
      <c r="H6272" s="177"/>
    </row>
    <row r="6273" spans="1:8" s="139" customFormat="1" ht="13.5" customHeight="1" x14ac:dyDescent="0.35">
      <c r="A6273" s="146"/>
      <c r="B6273" s="112" t="s">
        <v>774</v>
      </c>
      <c r="C6273" s="124"/>
      <c r="D6273" s="146"/>
      <c r="E6273" s="117"/>
      <c r="F6273" s="117">
        <f>SUM(F6272)</f>
        <v>45000</v>
      </c>
      <c r="G6273" s="138"/>
      <c r="H6273" s="177"/>
    </row>
    <row r="6274" spans="1:8" s="139" customFormat="1" ht="13.5" customHeight="1" x14ac:dyDescent="0.35">
      <c r="A6274" s="146"/>
      <c r="B6274" s="112" t="s">
        <v>775</v>
      </c>
      <c r="C6274" s="124"/>
      <c r="D6274" s="146"/>
      <c r="E6274" s="117"/>
      <c r="F6274" s="117">
        <f>+F6270+F6273</f>
        <v>460800</v>
      </c>
      <c r="G6274" s="138"/>
      <c r="H6274" s="177"/>
    </row>
    <row r="6275" spans="1:8" s="139" customFormat="1" ht="13.5" customHeight="1" x14ac:dyDescent="0.35">
      <c r="A6275" s="146"/>
      <c r="B6275" s="120" t="s">
        <v>776</v>
      </c>
      <c r="C6275" s="124"/>
      <c r="D6275" s="146">
        <v>1.25</v>
      </c>
      <c r="E6275" s="117"/>
      <c r="F6275" s="117">
        <f>+F6274*D6275</f>
        <v>576000</v>
      </c>
      <c r="G6275" s="138"/>
      <c r="H6275" s="177"/>
    </row>
    <row r="6276" spans="1:8" s="139" customFormat="1" ht="13.5" customHeight="1" x14ac:dyDescent="0.35">
      <c r="A6276" s="146"/>
      <c r="B6276" s="120" t="s">
        <v>835</v>
      </c>
      <c r="C6276" s="124"/>
      <c r="D6276" s="146">
        <v>1.25</v>
      </c>
      <c r="E6276" s="117"/>
      <c r="F6276" s="117"/>
      <c r="G6276" s="138"/>
      <c r="H6276" s="177"/>
    </row>
    <row r="6277" spans="1:8" s="139" customFormat="1" ht="13.5" customHeight="1" x14ac:dyDescent="0.35">
      <c r="A6277" s="233" t="s">
        <v>1333</v>
      </c>
      <c r="B6277" s="207" t="s">
        <v>778</v>
      </c>
      <c r="C6277" s="233" t="s">
        <v>7</v>
      </c>
      <c r="D6277" s="340"/>
      <c r="E6277" s="209"/>
      <c r="F6277" s="209">
        <f>+D6276*F6275</f>
        <v>720000</v>
      </c>
      <c r="G6277" s="138"/>
      <c r="H6277" s="177"/>
    </row>
    <row r="6278" spans="1:8" s="139" customFormat="1" ht="13.5" customHeight="1" x14ac:dyDescent="0.35">
      <c r="A6278" s="340"/>
      <c r="B6278" s="207"/>
      <c r="C6278" s="208"/>
      <c r="D6278" s="340"/>
      <c r="E6278" s="210">
        <f>+E6261</f>
        <v>3035.45</v>
      </c>
      <c r="F6278" s="210">
        <f>+F6277/E6278</f>
        <v>237.19712069050718</v>
      </c>
      <c r="G6278" s="138"/>
      <c r="H6278" s="177"/>
    </row>
    <row r="6279" spans="1:8" s="139" customFormat="1" ht="13.5" customHeight="1" x14ac:dyDescent="0.35">
      <c r="A6279" s="163"/>
      <c r="B6279" s="164"/>
      <c r="C6279" s="165"/>
      <c r="E6279" s="166"/>
      <c r="F6279" s="166"/>
      <c r="G6279" s="138"/>
      <c r="H6279" s="177"/>
    </row>
    <row r="6280" spans="1:8" s="139" customFormat="1" ht="13.5" customHeight="1" x14ac:dyDescent="0.35">
      <c r="A6280" s="163"/>
      <c r="B6280" s="164"/>
      <c r="C6280" s="165"/>
      <c r="D6280" s="163"/>
      <c r="E6280" s="166"/>
      <c r="F6280" s="166"/>
      <c r="G6280" s="138"/>
      <c r="H6280" s="177"/>
    </row>
    <row r="6281" spans="1:8" s="139" customFormat="1" ht="13.5" customHeight="1" x14ac:dyDescent="0.3">
      <c r="A6281" s="341" t="s">
        <v>392</v>
      </c>
      <c r="B6281" s="331" t="s">
        <v>393</v>
      </c>
      <c r="C6281" s="332" t="s">
        <v>611</v>
      </c>
      <c r="D6281" s="333" t="s">
        <v>765</v>
      </c>
      <c r="E6281" s="334" t="s">
        <v>766</v>
      </c>
      <c r="F6281" s="334" t="s">
        <v>767</v>
      </c>
      <c r="G6281" s="138"/>
      <c r="H6281" s="177"/>
    </row>
    <row r="6282" spans="1:8" s="139" customFormat="1" ht="13.5" customHeight="1" x14ac:dyDescent="0.35">
      <c r="A6282" s="230" t="s">
        <v>424</v>
      </c>
      <c r="B6282" s="349" t="s">
        <v>425</v>
      </c>
      <c r="C6282" s="256"/>
      <c r="D6282" s="146"/>
      <c r="E6282" s="117"/>
      <c r="F6282" s="117"/>
      <c r="G6282" s="138"/>
      <c r="H6282" s="177"/>
    </row>
    <row r="6283" spans="1:8" s="139" customFormat="1" ht="30" customHeight="1" x14ac:dyDescent="0.3">
      <c r="A6283" s="232" t="s">
        <v>1333</v>
      </c>
      <c r="B6283" s="347" t="s">
        <v>435</v>
      </c>
      <c r="C6283" s="256" t="s">
        <v>7</v>
      </c>
      <c r="D6283" s="146"/>
      <c r="E6283" s="117"/>
      <c r="F6283" s="117"/>
      <c r="G6283" s="138"/>
      <c r="H6283" s="177"/>
    </row>
    <row r="6284" spans="1:8" s="139" customFormat="1" ht="13.5" customHeight="1" x14ac:dyDescent="0.35">
      <c r="A6284" s="146"/>
      <c r="B6284" s="112" t="s">
        <v>802</v>
      </c>
      <c r="C6284" s="124"/>
      <c r="D6284" s="146"/>
      <c r="E6284" s="117"/>
      <c r="F6284" s="117"/>
      <c r="G6284" s="138"/>
      <c r="H6284" s="177"/>
    </row>
    <row r="6285" spans="1:8" s="139" customFormat="1" ht="13.5" customHeight="1" x14ac:dyDescent="0.35">
      <c r="A6285" s="146"/>
      <c r="B6285" s="120" t="s">
        <v>1331</v>
      </c>
      <c r="C6285" s="124" t="s">
        <v>27</v>
      </c>
      <c r="D6285" s="146">
        <v>1</v>
      </c>
      <c r="E6285" s="117">
        <v>527000</v>
      </c>
      <c r="F6285" s="117">
        <f>D6285*E6285</f>
        <v>527000</v>
      </c>
      <c r="G6285" s="138"/>
      <c r="H6285" s="177"/>
    </row>
    <row r="6286" spans="1:8" s="139" customFormat="1" ht="13.5" customHeight="1" x14ac:dyDescent="0.35">
      <c r="A6286" s="146"/>
      <c r="B6286" s="120" t="s">
        <v>1057</v>
      </c>
      <c r="C6286" s="124"/>
      <c r="D6286" s="146"/>
      <c r="E6286" s="117"/>
      <c r="F6286" s="117">
        <f>0.1*(F6285)</f>
        <v>52700</v>
      </c>
      <c r="G6286" s="138"/>
      <c r="H6286" s="177"/>
    </row>
    <row r="6287" spans="1:8" s="139" customFormat="1" ht="13.5" customHeight="1" x14ac:dyDescent="0.35">
      <c r="A6287" s="146"/>
      <c r="B6287" s="112" t="s">
        <v>769</v>
      </c>
      <c r="C6287" s="124"/>
      <c r="D6287" s="146"/>
      <c r="E6287" s="117"/>
      <c r="F6287" s="110">
        <f>SUM(F6285:F6286)</f>
        <v>579700</v>
      </c>
      <c r="G6287" s="138"/>
      <c r="H6287" s="177"/>
    </row>
    <row r="6288" spans="1:8" s="139" customFormat="1" ht="13.5" customHeight="1" x14ac:dyDescent="0.35">
      <c r="A6288" s="146"/>
      <c r="B6288" s="112" t="s">
        <v>808</v>
      </c>
      <c r="C6288" s="124"/>
      <c r="D6288" s="146"/>
      <c r="E6288" s="117"/>
      <c r="F6288" s="117"/>
      <c r="G6288" s="138"/>
      <c r="H6288" s="177"/>
    </row>
    <row r="6289" spans="1:8" s="139" customFormat="1" ht="13.5" customHeight="1" x14ac:dyDescent="0.35">
      <c r="A6289" s="146"/>
      <c r="B6289" s="120" t="s">
        <v>787</v>
      </c>
      <c r="C6289" s="124" t="s">
        <v>1043</v>
      </c>
      <c r="D6289" s="146">
        <v>3</v>
      </c>
      <c r="E6289" s="117">
        <v>15000</v>
      </c>
      <c r="F6289" s="117">
        <f>+D6289*E6289</f>
        <v>45000</v>
      </c>
      <c r="G6289" s="138"/>
      <c r="H6289" s="177"/>
    </row>
    <row r="6290" spans="1:8" s="139" customFormat="1" ht="13.5" customHeight="1" x14ac:dyDescent="0.35">
      <c r="A6290" s="146"/>
      <c r="B6290" s="112" t="s">
        <v>774</v>
      </c>
      <c r="C6290" s="124"/>
      <c r="D6290" s="146"/>
      <c r="E6290" s="117"/>
      <c r="F6290" s="117">
        <f>SUM(F6289)</f>
        <v>45000</v>
      </c>
      <c r="G6290" s="138"/>
      <c r="H6290" s="177"/>
    </row>
    <row r="6291" spans="1:8" s="139" customFormat="1" ht="13.5" customHeight="1" x14ac:dyDescent="0.35">
      <c r="A6291" s="146"/>
      <c r="B6291" s="112" t="s">
        <v>775</v>
      </c>
      <c r="C6291" s="124"/>
      <c r="D6291" s="146"/>
      <c r="E6291" s="117"/>
      <c r="F6291" s="117">
        <f>+F6287+F6290</f>
        <v>624700</v>
      </c>
      <c r="G6291" s="138"/>
      <c r="H6291" s="177"/>
    </row>
    <row r="6292" spans="1:8" s="139" customFormat="1" ht="13.5" customHeight="1" x14ac:dyDescent="0.35">
      <c r="A6292" s="146"/>
      <c r="B6292" s="120" t="s">
        <v>776</v>
      </c>
      <c r="C6292" s="124"/>
      <c r="D6292" s="146">
        <v>1.25</v>
      </c>
      <c r="E6292" s="117"/>
      <c r="F6292" s="117">
        <f>+F6291*D6292</f>
        <v>780875</v>
      </c>
      <c r="G6292" s="138"/>
      <c r="H6292" s="177"/>
    </row>
    <row r="6293" spans="1:8" s="139" customFormat="1" ht="13.5" customHeight="1" x14ac:dyDescent="0.35">
      <c r="A6293" s="146"/>
      <c r="B6293" s="120" t="s">
        <v>835</v>
      </c>
      <c r="C6293" s="124"/>
      <c r="D6293" s="146">
        <v>1.25</v>
      </c>
      <c r="E6293" s="117"/>
      <c r="F6293" s="117"/>
      <c r="G6293" s="138"/>
      <c r="H6293" s="177"/>
    </row>
    <row r="6294" spans="1:8" s="139" customFormat="1" ht="13.5" customHeight="1" x14ac:dyDescent="0.35">
      <c r="A6294" s="233" t="s">
        <v>1333</v>
      </c>
      <c r="B6294" s="207" t="s">
        <v>778</v>
      </c>
      <c r="C6294" s="233" t="s">
        <v>7</v>
      </c>
      <c r="D6294" s="340"/>
      <c r="E6294" s="209"/>
      <c r="F6294" s="209">
        <f>+D6293*F6292</f>
        <v>976093.75</v>
      </c>
      <c r="G6294" s="138"/>
      <c r="H6294" s="177"/>
    </row>
    <row r="6295" spans="1:8" s="139" customFormat="1" ht="13.5" customHeight="1" x14ac:dyDescent="0.35">
      <c r="A6295" s="340"/>
      <c r="B6295" s="207"/>
      <c r="C6295" s="208"/>
      <c r="D6295" s="340"/>
      <c r="E6295" s="210">
        <f>+E6278</f>
        <v>3035.45</v>
      </c>
      <c r="F6295" s="210">
        <f>+F6294/E6295</f>
        <v>321.5647597555552</v>
      </c>
      <c r="G6295" s="138"/>
      <c r="H6295" s="177"/>
    </row>
    <row r="6296" spans="1:8" s="139" customFormat="1" ht="13.5" customHeight="1" x14ac:dyDescent="0.35">
      <c r="A6296" s="163"/>
      <c r="B6296" s="164"/>
      <c r="C6296" s="165"/>
      <c r="E6296" s="166"/>
      <c r="F6296" s="166"/>
      <c r="G6296" s="138"/>
      <c r="H6296" s="177"/>
    </row>
    <row r="6297" spans="1:8" s="139" customFormat="1" ht="13.5" customHeight="1" x14ac:dyDescent="0.35">
      <c r="A6297" s="163"/>
      <c r="B6297" s="164"/>
      <c r="C6297" s="165"/>
      <c r="D6297" s="163"/>
      <c r="E6297" s="166"/>
      <c r="F6297" s="166"/>
      <c r="G6297" s="138"/>
      <c r="H6297" s="177"/>
    </row>
    <row r="6298" spans="1:8" s="139" customFormat="1" ht="13.5" customHeight="1" x14ac:dyDescent="0.3">
      <c r="A6298" s="341" t="s">
        <v>392</v>
      </c>
      <c r="B6298" s="331" t="s">
        <v>393</v>
      </c>
      <c r="C6298" s="332" t="s">
        <v>611</v>
      </c>
      <c r="D6298" s="333" t="s">
        <v>765</v>
      </c>
      <c r="E6298" s="334" t="s">
        <v>766</v>
      </c>
      <c r="F6298" s="334" t="s">
        <v>767</v>
      </c>
      <c r="G6298" s="138"/>
      <c r="H6298" s="177"/>
    </row>
    <row r="6299" spans="1:8" s="139" customFormat="1" ht="13.5" customHeight="1" x14ac:dyDescent="0.35">
      <c r="A6299" s="230" t="s">
        <v>424</v>
      </c>
      <c r="B6299" s="349" t="s">
        <v>425</v>
      </c>
      <c r="C6299" s="256"/>
      <c r="D6299" s="146"/>
      <c r="E6299" s="117"/>
      <c r="F6299" s="117"/>
      <c r="G6299" s="138"/>
      <c r="H6299" s="177"/>
    </row>
    <row r="6300" spans="1:8" s="139" customFormat="1" ht="26.25" customHeight="1" x14ac:dyDescent="0.3">
      <c r="A6300" s="232" t="s">
        <v>1336</v>
      </c>
      <c r="B6300" s="347" t="s">
        <v>726</v>
      </c>
      <c r="C6300" s="256" t="s">
        <v>7</v>
      </c>
      <c r="D6300" s="146"/>
      <c r="E6300" s="117"/>
      <c r="F6300" s="117"/>
      <c r="G6300" s="138"/>
      <c r="H6300" s="177"/>
    </row>
    <row r="6301" spans="1:8" s="139" customFormat="1" ht="13.5" customHeight="1" x14ac:dyDescent="0.35">
      <c r="A6301" s="146"/>
      <c r="B6301" s="112" t="s">
        <v>802</v>
      </c>
      <c r="C6301" s="124"/>
      <c r="D6301" s="146"/>
      <c r="E6301" s="117"/>
      <c r="F6301" s="117"/>
      <c r="G6301" s="138"/>
      <c r="H6301" s="177"/>
    </row>
    <row r="6302" spans="1:8" s="139" customFormat="1" ht="13.5" customHeight="1" x14ac:dyDescent="0.35">
      <c r="A6302" s="146"/>
      <c r="B6302" s="120" t="s">
        <v>1334</v>
      </c>
      <c r="C6302" s="124" t="s">
        <v>27</v>
      </c>
      <c r="D6302" s="146">
        <v>1</v>
      </c>
      <c r="E6302" s="117">
        <v>878400</v>
      </c>
      <c r="F6302" s="117">
        <f>D6302*E6302</f>
        <v>878400</v>
      </c>
      <c r="G6302" s="138"/>
      <c r="H6302" s="177"/>
    </row>
    <row r="6303" spans="1:8" s="139" customFormat="1" ht="13.5" customHeight="1" x14ac:dyDescent="0.35">
      <c r="A6303" s="146"/>
      <c r="B6303" s="120" t="s">
        <v>1057</v>
      </c>
      <c r="C6303" s="124"/>
      <c r="D6303" s="146"/>
      <c r="E6303" s="117"/>
      <c r="F6303" s="117">
        <f>0.1*(F6302)</f>
        <v>87840</v>
      </c>
      <c r="G6303" s="138"/>
      <c r="H6303" s="177"/>
    </row>
    <row r="6304" spans="1:8" s="139" customFormat="1" ht="13.5" customHeight="1" x14ac:dyDescent="0.35">
      <c r="A6304" s="146"/>
      <c r="B6304" s="112" t="s">
        <v>769</v>
      </c>
      <c r="C6304" s="124"/>
      <c r="D6304" s="146"/>
      <c r="E6304" s="117"/>
      <c r="F6304" s="110">
        <f>SUM(F6302:F6303)</f>
        <v>966240</v>
      </c>
      <c r="G6304" s="138"/>
      <c r="H6304" s="177"/>
    </row>
    <row r="6305" spans="1:8" s="139" customFormat="1" ht="13.5" customHeight="1" x14ac:dyDescent="0.35">
      <c r="A6305" s="146"/>
      <c r="B6305" s="112" t="s">
        <v>808</v>
      </c>
      <c r="C6305" s="124"/>
      <c r="D6305" s="146"/>
      <c r="E6305" s="117"/>
      <c r="F6305" s="117"/>
      <c r="G6305" s="138"/>
      <c r="H6305" s="177"/>
    </row>
    <row r="6306" spans="1:8" s="139" customFormat="1" ht="13.5" customHeight="1" x14ac:dyDescent="0.35">
      <c r="A6306" s="146"/>
      <c r="B6306" s="120" t="s">
        <v>787</v>
      </c>
      <c r="C6306" s="124" t="s">
        <v>1043</v>
      </c>
      <c r="D6306" s="146">
        <v>3</v>
      </c>
      <c r="E6306" s="117">
        <v>15000</v>
      </c>
      <c r="F6306" s="117">
        <f>+D6306*E6306</f>
        <v>45000</v>
      </c>
      <c r="G6306" s="138"/>
      <c r="H6306" s="177"/>
    </row>
    <row r="6307" spans="1:8" s="139" customFormat="1" ht="13.5" customHeight="1" x14ac:dyDescent="0.35">
      <c r="A6307" s="146"/>
      <c r="B6307" s="112" t="s">
        <v>774</v>
      </c>
      <c r="C6307" s="124"/>
      <c r="D6307" s="146"/>
      <c r="E6307" s="117"/>
      <c r="F6307" s="117">
        <f>SUM(F6306)</f>
        <v>45000</v>
      </c>
      <c r="G6307" s="138"/>
      <c r="H6307" s="177"/>
    </row>
    <row r="6308" spans="1:8" s="139" customFormat="1" ht="13.5" customHeight="1" x14ac:dyDescent="0.35">
      <c r="A6308" s="146"/>
      <c r="B6308" s="112" t="s">
        <v>775</v>
      </c>
      <c r="C6308" s="124"/>
      <c r="D6308" s="146"/>
      <c r="E6308" s="117"/>
      <c r="F6308" s="117">
        <f>+F6304+F6307</f>
        <v>1011240</v>
      </c>
      <c r="G6308" s="138"/>
      <c r="H6308" s="177"/>
    </row>
    <row r="6309" spans="1:8" s="139" customFormat="1" ht="13.5" customHeight="1" x14ac:dyDescent="0.35">
      <c r="A6309" s="146"/>
      <c r="B6309" s="120" t="s">
        <v>776</v>
      </c>
      <c r="C6309" s="124"/>
      <c r="D6309" s="146">
        <v>1.25</v>
      </c>
      <c r="E6309" s="117"/>
      <c r="F6309" s="117">
        <f>+F6308*D6309</f>
        <v>1264050</v>
      </c>
      <c r="G6309" s="138"/>
      <c r="H6309" s="177"/>
    </row>
    <row r="6310" spans="1:8" s="139" customFormat="1" ht="13.5" customHeight="1" x14ac:dyDescent="0.35">
      <c r="A6310" s="146"/>
      <c r="B6310" s="120" t="s">
        <v>835</v>
      </c>
      <c r="C6310" s="124"/>
      <c r="D6310" s="146">
        <v>1.25</v>
      </c>
      <c r="E6310" s="117"/>
      <c r="F6310" s="117"/>
      <c r="G6310" s="138"/>
      <c r="H6310" s="177"/>
    </row>
    <row r="6311" spans="1:8" s="139" customFormat="1" ht="13.5" customHeight="1" x14ac:dyDescent="0.35">
      <c r="A6311" s="233" t="s">
        <v>1336</v>
      </c>
      <c r="B6311" s="207" t="s">
        <v>778</v>
      </c>
      <c r="C6311" s="233" t="s">
        <v>7</v>
      </c>
      <c r="D6311" s="340"/>
      <c r="E6311" s="209"/>
      <c r="F6311" s="209">
        <f>+D6310*F6309</f>
        <v>1580062.5</v>
      </c>
      <c r="G6311" s="138"/>
      <c r="H6311" s="177"/>
    </row>
    <row r="6312" spans="1:8" s="139" customFormat="1" ht="13.5" customHeight="1" x14ac:dyDescent="0.35">
      <c r="A6312" s="340"/>
      <c r="B6312" s="207"/>
      <c r="C6312" s="208"/>
      <c r="D6312" s="340"/>
      <c r="E6312" s="210">
        <f>+E6295</f>
        <v>3035.45</v>
      </c>
      <c r="F6312" s="210">
        <f>+F6311/E6312</f>
        <v>520.53649376533963</v>
      </c>
      <c r="G6312" s="138"/>
      <c r="H6312" s="177"/>
    </row>
    <row r="6313" spans="1:8" s="139" customFormat="1" ht="13.5" customHeight="1" x14ac:dyDescent="0.35">
      <c r="A6313" s="163"/>
      <c r="B6313" s="164"/>
      <c r="C6313" s="165"/>
      <c r="E6313" s="166"/>
      <c r="F6313" s="166"/>
      <c r="G6313" s="138"/>
      <c r="H6313" s="177"/>
    </row>
    <row r="6314" spans="1:8" s="139" customFormat="1" ht="13.5" customHeight="1" x14ac:dyDescent="0.35">
      <c r="A6314" s="163"/>
      <c r="B6314" s="164"/>
      <c r="C6314" s="165"/>
      <c r="D6314" s="163"/>
      <c r="E6314" s="166"/>
      <c r="F6314" s="166"/>
      <c r="G6314" s="138"/>
      <c r="H6314" s="177"/>
    </row>
    <row r="6315" spans="1:8" s="139" customFormat="1" ht="13.5" customHeight="1" x14ac:dyDescent="0.3">
      <c r="A6315" s="341" t="s">
        <v>392</v>
      </c>
      <c r="B6315" s="331" t="s">
        <v>393</v>
      </c>
      <c r="C6315" s="332" t="s">
        <v>611</v>
      </c>
      <c r="D6315" s="333" t="s">
        <v>765</v>
      </c>
      <c r="E6315" s="334" t="s">
        <v>766</v>
      </c>
      <c r="F6315" s="334" t="s">
        <v>767</v>
      </c>
      <c r="G6315" s="138"/>
      <c r="H6315" s="177"/>
    </row>
    <row r="6316" spans="1:8" s="139" customFormat="1" ht="13.5" customHeight="1" x14ac:dyDescent="0.35">
      <c r="A6316" s="230" t="s">
        <v>424</v>
      </c>
      <c r="B6316" s="349" t="s">
        <v>425</v>
      </c>
      <c r="C6316" s="256"/>
      <c r="D6316" s="146"/>
      <c r="E6316" s="117"/>
      <c r="F6316" s="117"/>
      <c r="G6316" s="138"/>
      <c r="H6316" s="177"/>
    </row>
    <row r="6317" spans="1:8" s="139" customFormat="1" ht="13.5" customHeight="1" x14ac:dyDescent="0.3">
      <c r="A6317" s="232" t="s">
        <v>1337</v>
      </c>
      <c r="B6317" s="347" t="s">
        <v>510</v>
      </c>
      <c r="C6317" s="256" t="s">
        <v>7</v>
      </c>
      <c r="D6317" s="146"/>
      <c r="E6317" s="117"/>
      <c r="F6317" s="117"/>
      <c r="G6317" s="138"/>
      <c r="H6317" s="177"/>
    </row>
    <row r="6318" spans="1:8" s="139" customFormat="1" ht="13.5" customHeight="1" x14ac:dyDescent="0.35">
      <c r="A6318" s="146"/>
      <c r="B6318" s="112" t="s">
        <v>802</v>
      </c>
      <c r="C6318" s="124"/>
      <c r="D6318" s="146"/>
      <c r="E6318" s="117"/>
      <c r="F6318" s="117"/>
      <c r="G6318" s="138"/>
      <c r="H6318" s="177"/>
    </row>
    <row r="6319" spans="1:8" s="139" customFormat="1" ht="13.5" customHeight="1" x14ac:dyDescent="0.35">
      <c r="A6319" s="146"/>
      <c r="B6319" s="120" t="s">
        <v>1338</v>
      </c>
      <c r="C6319" s="124" t="s">
        <v>27</v>
      </c>
      <c r="D6319" s="146">
        <v>1</v>
      </c>
      <c r="E6319" s="117">
        <v>166500</v>
      </c>
      <c r="F6319" s="117">
        <f>D6319*E6319</f>
        <v>166500</v>
      </c>
      <c r="G6319" s="138"/>
      <c r="H6319" s="177"/>
    </row>
    <row r="6320" spans="1:8" s="139" customFormat="1" ht="13.5" customHeight="1" x14ac:dyDescent="0.35">
      <c r="A6320" s="146"/>
      <c r="B6320" s="120" t="s">
        <v>1057</v>
      </c>
      <c r="C6320" s="124"/>
      <c r="D6320" s="146"/>
      <c r="E6320" s="117"/>
      <c r="F6320" s="117">
        <f>0.1*(F6319)</f>
        <v>16650</v>
      </c>
      <c r="G6320" s="138"/>
      <c r="H6320" s="177"/>
    </row>
    <row r="6321" spans="1:8" s="139" customFormat="1" ht="13.5" customHeight="1" x14ac:dyDescent="0.35">
      <c r="A6321" s="146"/>
      <c r="B6321" s="112" t="s">
        <v>769</v>
      </c>
      <c r="C6321" s="124"/>
      <c r="D6321" s="146"/>
      <c r="E6321" s="117"/>
      <c r="F6321" s="110">
        <f>SUM(F6319:F6320)</f>
        <v>183150</v>
      </c>
      <c r="G6321" s="138"/>
      <c r="H6321" s="177"/>
    </row>
    <row r="6322" spans="1:8" s="139" customFormat="1" ht="13.5" customHeight="1" x14ac:dyDescent="0.35">
      <c r="A6322" s="146"/>
      <c r="B6322" s="112" t="s">
        <v>808</v>
      </c>
      <c r="C6322" s="124"/>
      <c r="D6322" s="146"/>
      <c r="E6322" s="117"/>
      <c r="F6322" s="117"/>
      <c r="G6322" s="138"/>
      <c r="H6322" s="177"/>
    </row>
    <row r="6323" spans="1:8" s="139" customFormat="1" ht="13.5" customHeight="1" x14ac:dyDescent="0.35">
      <c r="A6323" s="146"/>
      <c r="B6323" s="120" t="s">
        <v>787</v>
      </c>
      <c r="C6323" s="124" t="s">
        <v>1043</v>
      </c>
      <c r="D6323" s="146">
        <v>3</v>
      </c>
      <c r="E6323" s="117">
        <v>15000</v>
      </c>
      <c r="F6323" s="117">
        <f>+D6323*E6323</f>
        <v>45000</v>
      </c>
      <c r="G6323" s="138"/>
      <c r="H6323" s="177"/>
    </row>
    <row r="6324" spans="1:8" s="139" customFormat="1" ht="13.5" customHeight="1" x14ac:dyDescent="0.35">
      <c r="A6324" s="146"/>
      <c r="B6324" s="112" t="s">
        <v>774</v>
      </c>
      <c r="C6324" s="124"/>
      <c r="D6324" s="146"/>
      <c r="E6324" s="117"/>
      <c r="F6324" s="117">
        <f>SUM(F6323)</f>
        <v>45000</v>
      </c>
      <c r="G6324" s="138"/>
      <c r="H6324" s="177"/>
    </row>
    <row r="6325" spans="1:8" s="139" customFormat="1" ht="13.5" customHeight="1" x14ac:dyDescent="0.35">
      <c r="A6325" s="146"/>
      <c r="B6325" s="112" t="s">
        <v>775</v>
      </c>
      <c r="C6325" s="124"/>
      <c r="D6325" s="146"/>
      <c r="E6325" s="117"/>
      <c r="F6325" s="117">
        <f>+F6321+F6324</f>
        <v>228150</v>
      </c>
      <c r="G6325" s="138"/>
      <c r="H6325" s="177"/>
    </row>
    <row r="6326" spans="1:8" s="139" customFormat="1" ht="13.5" customHeight="1" x14ac:dyDescent="0.35">
      <c r="A6326" s="146"/>
      <c r="B6326" s="120" t="s">
        <v>776</v>
      </c>
      <c r="C6326" s="124"/>
      <c r="D6326" s="146">
        <v>1.25</v>
      </c>
      <c r="E6326" s="117"/>
      <c r="F6326" s="117">
        <f>+F6325*D6326</f>
        <v>285187.5</v>
      </c>
      <c r="G6326" s="138"/>
      <c r="H6326" s="177"/>
    </row>
    <row r="6327" spans="1:8" s="139" customFormat="1" ht="13.5" customHeight="1" x14ac:dyDescent="0.35">
      <c r="A6327" s="146"/>
      <c r="B6327" s="120" t="s">
        <v>835</v>
      </c>
      <c r="C6327" s="124"/>
      <c r="D6327" s="146">
        <v>1.25</v>
      </c>
      <c r="E6327" s="117"/>
      <c r="F6327" s="117"/>
      <c r="G6327" s="138"/>
      <c r="H6327" s="177"/>
    </row>
    <row r="6328" spans="1:8" s="139" customFormat="1" ht="13.5" customHeight="1" x14ac:dyDescent="0.35">
      <c r="A6328" s="233" t="s">
        <v>1337</v>
      </c>
      <c r="B6328" s="207" t="s">
        <v>778</v>
      </c>
      <c r="C6328" s="233" t="s">
        <v>7</v>
      </c>
      <c r="D6328" s="340"/>
      <c r="E6328" s="209"/>
      <c r="F6328" s="209">
        <f>+D6327*F6326</f>
        <v>356484.375</v>
      </c>
      <c r="G6328" s="138"/>
      <c r="H6328" s="177"/>
    </row>
    <row r="6329" spans="1:8" s="139" customFormat="1" ht="13.5" customHeight="1" x14ac:dyDescent="0.35">
      <c r="A6329" s="340"/>
      <c r="B6329" s="207"/>
      <c r="C6329" s="208"/>
      <c r="D6329" s="340"/>
      <c r="E6329" s="210">
        <f>+E6312</f>
        <v>3035.45</v>
      </c>
      <c r="F6329" s="210">
        <f>+F6328/E6329</f>
        <v>117.44037127938198</v>
      </c>
      <c r="G6329" s="138"/>
      <c r="H6329" s="177"/>
    </row>
    <row r="6330" spans="1:8" s="139" customFormat="1" ht="13.5" customHeight="1" x14ac:dyDescent="0.35">
      <c r="A6330" s="163"/>
      <c r="B6330" s="164"/>
      <c r="C6330" s="165"/>
      <c r="E6330" s="166"/>
      <c r="F6330" s="166"/>
      <c r="G6330" s="138"/>
      <c r="H6330" s="177"/>
    </row>
    <row r="6331" spans="1:8" s="139" customFormat="1" ht="13.5" customHeight="1" x14ac:dyDescent="0.35">
      <c r="A6331" s="163"/>
      <c r="B6331" s="164"/>
      <c r="C6331" s="165"/>
      <c r="D6331" s="163"/>
      <c r="E6331" s="166"/>
      <c r="F6331" s="166"/>
      <c r="G6331" s="138"/>
      <c r="H6331" s="177"/>
    </row>
    <row r="6332" spans="1:8" s="139" customFormat="1" ht="13.5" customHeight="1" x14ac:dyDescent="0.3">
      <c r="A6332" s="341" t="s">
        <v>392</v>
      </c>
      <c r="B6332" s="331" t="s">
        <v>393</v>
      </c>
      <c r="C6332" s="332" t="s">
        <v>611</v>
      </c>
      <c r="D6332" s="333" t="s">
        <v>765</v>
      </c>
      <c r="E6332" s="334" t="s">
        <v>766</v>
      </c>
      <c r="F6332" s="334" t="s">
        <v>767</v>
      </c>
      <c r="G6332" s="138"/>
      <c r="H6332" s="177"/>
    </row>
    <row r="6333" spans="1:8" s="139" customFormat="1" ht="13.5" customHeight="1" x14ac:dyDescent="0.35">
      <c r="A6333" s="230" t="s">
        <v>424</v>
      </c>
      <c r="B6333" s="349" t="s">
        <v>425</v>
      </c>
      <c r="C6333" s="256"/>
      <c r="D6333" s="146"/>
      <c r="E6333" s="117"/>
      <c r="F6333" s="117"/>
      <c r="G6333" s="138"/>
      <c r="H6333" s="177"/>
    </row>
    <row r="6334" spans="1:8" s="139" customFormat="1" ht="27.75" customHeight="1" x14ac:dyDescent="0.35">
      <c r="A6334" s="232" t="s">
        <v>1337</v>
      </c>
      <c r="B6334" s="339" t="s">
        <v>1339</v>
      </c>
      <c r="C6334" s="256" t="s">
        <v>7</v>
      </c>
      <c r="D6334" s="146"/>
      <c r="E6334" s="117"/>
      <c r="F6334" s="117"/>
      <c r="G6334" s="138"/>
      <c r="H6334" s="177"/>
    </row>
    <row r="6335" spans="1:8" s="139" customFormat="1" ht="13.5" customHeight="1" x14ac:dyDescent="0.35">
      <c r="A6335" s="146"/>
      <c r="B6335" s="112" t="s">
        <v>802</v>
      </c>
      <c r="C6335" s="124"/>
      <c r="D6335" s="146"/>
      <c r="E6335" s="117"/>
      <c r="F6335" s="117"/>
      <c r="G6335" s="138"/>
      <c r="H6335" s="177"/>
    </row>
    <row r="6336" spans="1:8" s="139" customFormat="1" ht="13.5" customHeight="1" x14ac:dyDescent="0.35">
      <c r="A6336" s="146"/>
      <c r="B6336" s="120" t="s">
        <v>1340</v>
      </c>
      <c r="C6336" s="124" t="s">
        <v>27</v>
      </c>
      <c r="D6336" s="146">
        <v>1</v>
      </c>
      <c r="E6336" s="117">
        <v>482740</v>
      </c>
      <c r="F6336" s="117">
        <f>D6336*E6336</f>
        <v>482740</v>
      </c>
      <c r="G6336" s="138"/>
      <c r="H6336" s="177"/>
    </row>
    <row r="6337" spans="1:8" s="139" customFormat="1" ht="13.5" customHeight="1" x14ac:dyDescent="0.35">
      <c r="A6337" s="146"/>
      <c r="B6337" s="120" t="s">
        <v>1057</v>
      </c>
      <c r="C6337" s="124"/>
      <c r="D6337" s="146"/>
      <c r="E6337" s="117"/>
      <c r="F6337" s="117">
        <f>0.1*(F6336)</f>
        <v>48274</v>
      </c>
      <c r="G6337" s="138"/>
      <c r="H6337" s="177"/>
    </row>
    <row r="6338" spans="1:8" s="139" customFormat="1" ht="13.5" customHeight="1" x14ac:dyDescent="0.35">
      <c r="A6338" s="146"/>
      <c r="B6338" s="112" t="s">
        <v>769</v>
      </c>
      <c r="C6338" s="124"/>
      <c r="D6338" s="146"/>
      <c r="E6338" s="117"/>
      <c r="F6338" s="110">
        <f>SUM(F6336:F6337)</f>
        <v>531014</v>
      </c>
      <c r="G6338" s="138"/>
      <c r="H6338" s="177"/>
    </row>
    <row r="6339" spans="1:8" s="139" customFormat="1" ht="13.5" customHeight="1" x14ac:dyDescent="0.35">
      <c r="A6339" s="146"/>
      <c r="B6339" s="112" t="s">
        <v>808</v>
      </c>
      <c r="C6339" s="124"/>
      <c r="D6339" s="146"/>
      <c r="E6339" s="117"/>
      <c r="F6339" s="117"/>
      <c r="G6339" s="138"/>
      <c r="H6339" s="177"/>
    </row>
    <row r="6340" spans="1:8" s="139" customFormat="1" ht="13.5" customHeight="1" x14ac:dyDescent="0.35">
      <c r="A6340" s="146"/>
      <c r="B6340" s="120" t="s">
        <v>787</v>
      </c>
      <c r="C6340" s="124" t="s">
        <v>1043</v>
      </c>
      <c r="D6340" s="146">
        <v>3</v>
      </c>
      <c r="E6340" s="117">
        <v>15000</v>
      </c>
      <c r="F6340" s="117">
        <f>+D6340*E6340</f>
        <v>45000</v>
      </c>
      <c r="G6340" s="138"/>
      <c r="H6340" s="177"/>
    </row>
    <row r="6341" spans="1:8" s="139" customFormat="1" ht="13.5" customHeight="1" x14ac:dyDescent="0.35">
      <c r="A6341" s="146"/>
      <c r="B6341" s="112" t="s">
        <v>774</v>
      </c>
      <c r="C6341" s="124"/>
      <c r="D6341" s="146"/>
      <c r="E6341" s="117"/>
      <c r="F6341" s="117">
        <f>SUM(F6340)</f>
        <v>45000</v>
      </c>
      <c r="G6341" s="138"/>
      <c r="H6341" s="177"/>
    </row>
    <row r="6342" spans="1:8" s="139" customFormat="1" ht="13.5" customHeight="1" x14ac:dyDescent="0.35">
      <c r="A6342" s="146"/>
      <c r="B6342" s="112" t="s">
        <v>775</v>
      </c>
      <c r="C6342" s="124"/>
      <c r="D6342" s="146"/>
      <c r="E6342" s="117"/>
      <c r="F6342" s="117">
        <f>+F6338+F6341</f>
        <v>576014</v>
      </c>
      <c r="G6342" s="138"/>
      <c r="H6342" s="177"/>
    </row>
    <row r="6343" spans="1:8" s="139" customFormat="1" ht="13.5" customHeight="1" x14ac:dyDescent="0.35">
      <c r="A6343" s="146"/>
      <c r="B6343" s="120" t="s">
        <v>776</v>
      </c>
      <c r="C6343" s="124"/>
      <c r="D6343" s="146">
        <v>1.25</v>
      </c>
      <c r="E6343" s="117"/>
      <c r="F6343" s="117">
        <f>+F6342*D6343</f>
        <v>720017.5</v>
      </c>
      <c r="G6343" s="138"/>
      <c r="H6343" s="177"/>
    </row>
    <row r="6344" spans="1:8" s="139" customFormat="1" ht="13.5" customHeight="1" x14ac:dyDescent="0.35">
      <c r="A6344" s="146"/>
      <c r="B6344" s="120" t="s">
        <v>835</v>
      </c>
      <c r="C6344" s="124"/>
      <c r="D6344" s="146">
        <v>1.25</v>
      </c>
      <c r="E6344" s="117"/>
      <c r="F6344" s="117"/>
      <c r="G6344" s="138"/>
      <c r="H6344" s="177"/>
    </row>
    <row r="6345" spans="1:8" s="139" customFormat="1" ht="13.5" customHeight="1" x14ac:dyDescent="0.35">
      <c r="A6345" s="233" t="s">
        <v>1337</v>
      </c>
      <c r="B6345" s="207" t="s">
        <v>778</v>
      </c>
      <c r="C6345" s="233" t="s">
        <v>7</v>
      </c>
      <c r="D6345" s="340"/>
      <c r="E6345" s="209"/>
      <c r="F6345" s="209">
        <f>+D6344*F6343</f>
        <v>900021.875</v>
      </c>
      <c r="G6345" s="138"/>
      <c r="H6345" s="177"/>
    </row>
    <row r="6346" spans="1:8" s="139" customFormat="1" ht="13.5" customHeight="1" x14ac:dyDescent="0.35">
      <c r="A6346" s="340"/>
      <c r="B6346" s="207"/>
      <c r="C6346" s="208"/>
      <c r="D6346" s="340"/>
      <c r="E6346" s="210">
        <f>+E6329</f>
        <v>3035.45</v>
      </c>
      <c r="F6346" s="210">
        <f>+F6345/E6346</f>
        <v>296.50360737287718</v>
      </c>
      <c r="G6346" s="138"/>
      <c r="H6346" s="177"/>
    </row>
    <row r="6347" spans="1:8" s="139" customFormat="1" ht="13.5" customHeight="1" x14ac:dyDescent="0.35">
      <c r="A6347" s="163"/>
      <c r="B6347" s="164"/>
      <c r="C6347" s="165"/>
      <c r="E6347" s="166"/>
      <c r="F6347" s="166"/>
      <c r="G6347" s="138"/>
      <c r="H6347" s="177"/>
    </row>
    <row r="6348" spans="1:8" s="139" customFormat="1" ht="13.5" customHeight="1" x14ac:dyDescent="0.35">
      <c r="A6348" s="163"/>
      <c r="B6348" s="164"/>
      <c r="C6348" s="165"/>
      <c r="E6348" s="166"/>
      <c r="F6348" s="166"/>
      <c r="G6348" s="138"/>
      <c r="H6348" s="177"/>
    </row>
    <row r="6349" spans="1:8" s="139" customFormat="1" ht="13.5" customHeight="1" x14ac:dyDescent="0.3">
      <c r="A6349" s="341" t="s">
        <v>392</v>
      </c>
      <c r="B6349" s="331" t="s">
        <v>393</v>
      </c>
      <c r="C6349" s="332" t="s">
        <v>611</v>
      </c>
      <c r="D6349" s="333" t="s">
        <v>765</v>
      </c>
      <c r="E6349" s="334" t="s">
        <v>766</v>
      </c>
      <c r="F6349" s="334" t="s">
        <v>767</v>
      </c>
      <c r="G6349" s="138"/>
      <c r="H6349" s="177"/>
    </row>
    <row r="6350" spans="1:8" s="139" customFormat="1" ht="13.5" customHeight="1" x14ac:dyDescent="0.35">
      <c r="A6350" s="230" t="s">
        <v>424</v>
      </c>
      <c r="B6350" s="349" t="s">
        <v>425</v>
      </c>
      <c r="C6350" s="256"/>
      <c r="D6350" s="146"/>
      <c r="E6350" s="117"/>
      <c r="F6350" s="117"/>
      <c r="G6350" s="138"/>
      <c r="H6350" s="177"/>
    </row>
    <row r="6351" spans="1:8" s="139" customFormat="1" ht="28.5" customHeight="1" x14ac:dyDescent="0.35">
      <c r="A6351" s="232" t="s">
        <v>1337</v>
      </c>
      <c r="B6351" s="389" t="s">
        <v>430</v>
      </c>
      <c r="C6351" s="256" t="s">
        <v>7</v>
      </c>
      <c r="D6351" s="146"/>
      <c r="E6351" s="117"/>
      <c r="F6351" s="117"/>
      <c r="G6351" s="138"/>
      <c r="H6351" s="177"/>
    </row>
    <row r="6352" spans="1:8" s="139" customFormat="1" ht="13.5" customHeight="1" x14ac:dyDescent="0.35">
      <c r="A6352" s="146"/>
      <c r="B6352" s="112" t="s">
        <v>802</v>
      </c>
      <c r="C6352" s="124"/>
      <c r="D6352" s="146"/>
      <c r="E6352" s="117"/>
      <c r="F6352" s="117"/>
      <c r="G6352" s="138"/>
      <c r="H6352" s="177"/>
    </row>
    <row r="6353" spans="1:8" s="139" customFormat="1" ht="13.5" customHeight="1" x14ac:dyDescent="0.35">
      <c r="A6353" s="146"/>
      <c r="B6353" s="120" t="s">
        <v>1340</v>
      </c>
      <c r="C6353" s="124" t="s">
        <v>27</v>
      </c>
      <c r="D6353" s="146">
        <v>1</v>
      </c>
      <c r="E6353" s="117">
        <v>2111820</v>
      </c>
      <c r="F6353" s="117">
        <f>D6353*E6353</f>
        <v>2111820</v>
      </c>
      <c r="G6353" s="138"/>
      <c r="H6353" s="177"/>
    </row>
    <row r="6354" spans="1:8" s="139" customFormat="1" ht="13.5" customHeight="1" x14ac:dyDescent="0.35">
      <c r="A6354" s="146"/>
      <c r="B6354" s="120" t="s">
        <v>1057</v>
      </c>
      <c r="C6354" s="124"/>
      <c r="D6354" s="146"/>
      <c r="E6354" s="117"/>
      <c r="F6354" s="117">
        <f>0.1*(F6353)</f>
        <v>211182</v>
      </c>
      <c r="G6354" s="138"/>
      <c r="H6354" s="177"/>
    </row>
    <row r="6355" spans="1:8" s="139" customFormat="1" ht="13.5" customHeight="1" x14ac:dyDescent="0.35">
      <c r="A6355" s="146"/>
      <c r="B6355" s="112" t="s">
        <v>769</v>
      </c>
      <c r="C6355" s="124"/>
      <c r="D6355" s="146"/>
      <c r="E6355" s="117"/>
      <c r="F6355" s="110">
        <f>SUM(F6353:F6354)</f>
        <v>2323002</v>
      </c>
      <c r="G6355" s="138"/>
      <c r="H6355" s="177"/>
    </row>
    <row r="6356" spans="1:8" s="139" customFormat="1" ht="13.5" customHeight="1" x14ac:dyDescent="0.35">
      <c r="A6356" s="146"/>
      <c r="B6356" s="112" t="s">
        <v>808</v>
      </c>
      <c r="C6356" s="124"/>
      <c r="D6356" s="146"/>
      <c r="E6356" s="117"/>
      <c r="F6356" s="117"/>
      <c r="G6356" s="138"/>
      <c r="H6356" s="177"/>
    </row>
    <row r="6357" spans="1:8" s="139" customFormat="1" ht="13.5" customHeight="1" x14ac:dyDescent="0.35">
      <c r="A6357" s="146"/>
      <c r="B6357" s="120" t="s">
        <v>787</v>
      </c>
      <c r="C6357" s="124" t="s">
        <v>1043</v>
      </c>
      <c r="D6357" s="146">
        <v>3</v>
      </c>
      <c r="E6357" s="117">
        <v>15000</v>
      </c>
      <c r="F6357" s="117">
        <f>+D6357*E6357</f>
        <v>45000</v>
      </c>
      <c r="G6357" s="138"/>
      <c r="H6357" s="177"/>
    </row>
    <row r="6358" spans="1:8" s="139" customFormat="1" ht="13.5" customHeight="1" x14ac:dyDescent="0.35">
      <c r="A6358" s="146"/>
      <c r="B6358" s="112" t="s">
        <v>774</v>
      </c>
      <c r="C6358" s="124"/>
      <c r="D6358" s="146"/>
      <c r="E6358" s="117"/>
      <c r="F6358" s="117">
        <f>SUM(F6357)</f>
        <v>45000</v>
      </c>
      <c r="G6358" s="138"/>
      <c r="H6358" s="177"/>
    </row>
    <row r="6359" spans="1:8" s="139" customFormat="1" ht="13.5" customHeight="1" x14ac:dyDescent="0.35">
      <c r="A6359" s="146"/>
      <c r="B6359" s="112" t="s">
        <v>775</v>
      </c>
      <c r="C6359" s="124"/>
      <c r="D6359" s="146"/>
      <c r="E6359" s="117"/>
      <c r="F6359" s="117">
        <f>+F6355+F6358</f>
        <v>2368002</v>
      </c>
      <c r="G6359" s="138"/>
      <c r="H6359" s="177"/>
    </row>
    <row r="6360" spans="1:8" s="139" customFormat="1" ht="13.5" customHeight="1" x14ac:dyDescent="0.35">
      <c r="A6360" s="146"/>
      <c r="B6360" s="120" t="s">
        <v>776</v>
      </c>
      <c r="C6360" s="124"/>
      <c r="D6360" s="146">
        <v>1.25</v>
      </c>
      <c r="E6360" s="117"/>
      <c r="F6360" s="117">
        <f>+F6359*D6360</f>
        <v>2960002.5</v>
      </c>
      <c r="G6360" s="138"/>
      <c r="H6360" s="177"/>
    </row>
    <row r="6361" spans="1:8" s="139" customFormat="1" ht="13.5" customHeight="1" x14ac:dyDescent="0.35">
      <c r="A6361" s="146"/>
      <c r="B6361" s="120" t="s">
        <v>835</v>
      </c>
      <c r="C6361" s="124"/>
      <c r="D6361" s="146">
        <v>1.25</v>
      </c>
      <c r="E6361" s="117"/>
      <c r="F6361" s="117"/>
      <c r="G6361" s="138"/>
      <c r="H6361" s="177"/>
    </row>
    <row r="6362" spans="1:8" s="139" customFormat="1" ht="13.5" customHeight="1" x14ac:dyDescent="0.35">
      <c r="A6362" s="233" t="s">
        <v>1337</v>
      </c>
      <c r="B6362" s="207" t="s">
        <v>778</v>
      </c>
      <c r="C6362" s="233" t="s">
        <v>7</v>
      </c>
      <c r="D6362" s="340"/>
      <c r="E6362" s="209"/>
      <c r="F6362" s="209">
        <f>+D6361*F6360</f>
        <v>3700003.125</v>
      </c>
      <c r="G6362" s="138"/>
      <c r="H6362" s="177"/>
    </row>
    <row r="6363" spans="1:8" s="139" customFormat="1" ht="13.5" customHeight="1" x14ac:dyDescent="0.35">
      <c r="A6363" s="340"/>
      <c r="B6363" s="207"/>
      <c r="C6363" s="208"/>
      <c r="D6363" s="340"/>
      <c r="E6363" s="210">
        <f>+E6346</f>
        <v>3035.45</v>
      </c>
      <c r="F6363" s="210">
        <f>+F6362/E6363</f>
        <v>1218.9306774942761</v>
      </c>
      <c r="G6363" s="138"/>
      <c r="H6363" s="177"/>
    </row>
    <row r="6364" spans="1:8" s="139" customFormat="1" ht="13.5" customHeight="1" x14ac:dyDescent="0.35">
      <c r="A6364" s="163"/>
      <c r="B6364" s="164"/>
      <c r="C6364" s="165"/>
      <c r="E6364" s="166"/>
      <c r="F6364" s="166"/>
      <c r="G6364" s="138"/>
      <c r="H6364" s="177"/>
    </row>
    <row r="6365" spans="1:8" s="139" customFormat="1" ht="13.5" customHeight="1" x14ac:dyDescent="0.35">
      <c r="A6365" s="163"/>
      <c r="B6365" s="164"/>
      <c r="C6365" s="165"/>
      <c r="E6365" s="166"/>
      <c r="F6365" s="166"/>
      <c r="G6365" s="138"/>
      <c r="H6365" s="177"/>
    </row>
    <row r="6366" spans="1:8" s="139" customFormat="1" ht="13.5" customHeight="1" x14ac:dyDescent="0.3">
      <c r="A6366" s="341" t="s">
        <v>392</v>
      </c>
      <c r="B6366" s="331" t="s">
        <v>393</v>
      </c>
      <c r="C6366" s="332" t="s">
        <v>611</v>
      </c>
      <c r="D6366" s="333" t="s">
        <v>765</v>
      </c>
      <c r="E6366" s="334" t="s">
        <v>766</v>
      </c>
      <c r="F6366" s="334" t="s">
        <v>767</v>
      </c>
      <c r="G6366" s="138"/>
      <c r="H6366" s="177"/>
    </row>
    <row r="6367" spans="1:8" s="139" customFormat="1" ht="13.5" customHeight="1" x14ac:dyDescent="0.35">
      <c r="A6367" s="232" t="s">
        <v>443</v>
      </c>
      <c r="B6367" s="353" t="s">
        <v>444</v>
      </c>
      <c r="C6367" s="256"/>
      <c r="D6367" s="146"/>
      <c r="E6367" s="117"/>
      <c r="F6367" s="117"/>
      <c r="G6367" s="138"/>
      <c r="H6367" s="177"/>
    </row>
    <row r="6368" spans="1:8" s="139" customFormat="1" ht="13.5" customHeight="1" x14ac:dyDescent="0.35">
      <c r="A6368" s="232" t="s">
        <v>445</v>
      </c>
      <c r="B6368" s="389" t="s">
        <v>446</v>
      </c>
      <c r="C6368" s="256" t="s">
        <v>7</v>
      </c>
      <c r="D6368" s="146"/>
      <c r="E6368" s="117"/>
      <c r="F6368" s="117"/>
      <c r="G6368" s="138"/>
      <c r="H6368" s="177"/>
    </row>
    <row r="6369" spans="1:8" s="139" customFormat="1" ht="13.5" customHeight="1" x14ac:dyDescent="0.35">
      <c r="A6369" s="146"/>
      <c r="B6369" s="112" t="s">
        <v>802</v>
      </c>
      <c r="C6369" s="124"/>
      <c r="D6369" s="146"/>
      <c r="E6369" s="117"/>
      <c r="F6369" s="117"/>
      <c r="G6369" s="138"/>
      <c r="H6369" s="177"/>
    </row>
    <row r="6370" spans="1:8" s="139" customFormat="1" ht="13.5" customHeight="1" x14ac:dyDescent="0.25">
      <c r="A6370" s="146"/>
      <c r="B6370" s="354" t="s">
        <v>1082</v>
      </c>
      <c r="C6370" s="124" t="s">
        <v>27</v>
      </c>
      <c r="D6370" s="146">
        <v>1</v>
      </c>
      <c r="E6370" s="117">
        <v>3675500</v>
      </c>
      <c r="F6370" s="117">
        <f>D6370*E6370</f>
        <v>3675500</v>
      </c>
      <c r="G6370" s="138"/>
      <c r="H6370" s="177"/>
    </row>
    <row r="6371" spans="1:8" s="139" customFormat="1" ht="13.5" customHeight="1" x14ac:dyDescent="0.35">
      <c r="A6371" s="146"/>
      <c r="B6371" s="120" t="s">
        <v>1057</v>
      </c>
      <c r="C6371" s="124"/>
      <c r="D6371" s="146"/>
      <c r="E6371" s="117"/>
      <c r="F6371" s="117">
        <f>0.1*(F6370)</f>
        <v>367550</v>
      </c>
      <c r="G6371" s="138"/>
      <c r="H6371" s="177"/>
    </row>
    <row r="6372" spans="1:8" s="139" customFormat="1" ht="13.5" customHeight="1" x14ac:dyDescent="0.35">
      <c r="A6372" s="146"/>
      <c r="B6372" s="112" t="s">
        <v>769</v>
      </c>
      <c r="C6372" s="124"/>
      <c r="D6372" s="146"/>
      <c r="E6372" s="117"/>
      <c r="F6372" s="110">
        <f>SUM(F6370:F6371)</f>
        <v>4043050</v>
      </c>
      <c r="G6372" s="138"/>
      <c r="H6372" s="177"/>
    </row>
    <row r="6373" spans="1:8" s="139" customFormat="1" ht="13.5" customHeight="1" x14ac:dyDescent="0.35">
      <c r="A6373" s="146"/>
      <c r="B6373" s="112" t="s">
        <v>808</v>
      </c>
      <c r="C6373" s="124"/>
      <c r="D6373" s="146"/>
      <c r="E6373" s="117"/>
      <c r="F6373" s="117"/>
      <c r="G6373" s="138"/>
      <c r="H6373" s="177"/>
    </row>
    <row r="6374" spans="1:8" s="139" customFormat="1" ht="13.5" customHeight="1" x14ac:dyDescent="0.35">
      <c r="A6374" s="146"/>
      <c r="B6374" s="120" t="s">
        <v>787</v>
      </c>
      <c r="C6374" s="124" t="s">
        <v>1043</v>
      </c>
      <c r="D6374" s="146">
        <v>3</v>
      </c>
      <c r="E6374" s="117">
        <v>15000</v>
      </c>
      <c r="F6374" s="117">
        <f>+D6374*E6374</f>
        <v>45000</v>
      </c>
      <c r="G6374" s="138"/>
      <c r="H6374" s="177"/>
    </row>
    <row r="6375" spans="1:8" s="139" customFormat="1" ht="13.5" customHeight="1" x14ac:dyDescent="0.35">
      <c r="A6375" s="146"/>
      <c r="B6375" s="112" t="s">
        <v>774</v>
      </c>
      <c r="C6375" s="124"/>
      <c r="D6375" s="146"/>
      <c r="E6375" s="117"/>
      <c r="F6375" s="117">
        <f>SUM(F6374)</f>
        <v>45000</v>
      </c>
      <c r="G6375" s="138"/>
      <c r="H6375" s="177"/>
    </row>
    <row r="6376" spans="1:8" s="139" customFormat="1" ht="13.5" customHeight="1" x14ac:dyDescent="0.35">
      <c r="A6376" s="146"/>
      <c r="B6376" s="112" t="s">
        <v>775</v>
      </c>
      <c r="C6376" s="124"/>
      <c r="D6376" s="146"/>
      <c r="E6376" s="117"/>
      <c r="F6376" s="117">
        <f>+F6372+F6375</f>
        <v>4088050</v>
      </c>
      <c r="G6376" s="138"/>
      <c r="H6376" s="177"/>
    </row>
    <row r="6377" spans="1:8" s="139" customFormat="1" ht="13.5" customHeight="1" x14ac:dyDescent="0.35">
      <c r="A6377" s="146"/>
      <c r="B6377" s="120" t="s">
        <v>776</v>
      </c>
      <c r="C6377" s="124"/>
      <c r="D6377" s="146">
        <v>1.25</v>
      </c>
      <c r="E6377" s="117"/>
      <c r="F6377" s="117">
        <f>+F6376*D6377</f>
        <v>5110062.5</v>
      </c>
      <c r="G6377" s="138"/>
      <c r="H6377" s="177"/>
    </row>
    <row r="6378" spans="1:8" s="139" customFormat="1" ht="13.5" customHeight="1" x14ac:dyDescent="0.35">
      <c r="A6378" s="146"/>
      <c r="B6378" s="120" t="s">
        <v>835</v>
      </c>
      <c r="C6378" s="124"/>
      <c r="D6378" s="146">
        <v>1.25</v>
      </c>
      <c r="E6378" s="117"/>
      <c r="F6378" s="117"/>
      <c r="G6378" s="138"/>
      <c r="H6378" s="177"/>
    </row>
    <row r="6379" spans="1:8" s="139" customFormat="1" ht="13.5" customHeight="1" x14ac:dyDescent="0.35">
      <c r="A6379" s="233" t="s">
        <v>445</v>
      </c>
      <c r="B6379" s="207" t="s">
        <v>778</v>
      </c>
      <c r="C6379" s="233" t="s">
        <v>7</v>
      </c>
      <c r="D6379" s="340"/>
      <c r="E6379" s="209"/>
      <c r="F6379" s="209">
        <f>+D6378*F6377</f>
        <v>6387578.125</v>
      </c>
      <c r="G6379" s="138"/>
      <c r="H6379" s="177"/>
    </row>
    <row r="6380" spans="1:8" s="139" customFormat="1" ht="13.5" customHeight="1" x14ac:dyDescent="0.35">
      <c r="A6380" s="340"/>
      <c r="B6380" s="207"/>
      <c r="C6380" s="208"/>
      <c r="D6380" s="340"/>
      <c r="E6380" s="210">
        <f>+E6346</f>
        <v>3035.45</v>
      </c>
      <c r="F6380" s="210">
        <f>+F6379/E6380</f>
        <v>2104.3265825495396</v>
      </c>
      <c r="G6380" s="138"/>
      <c r="H6380" s="177"/>
    </row>
    <row r="6381" spans="1:8" s="139" customFormat="1" ht="13.5" customHeight="1" x14ac:dyDescent="0.35">
      <c r="A6381" s="163"/>
      <c r="B6381" s="164"/>
      <c r="C6381" s="165"/>
      <c r="E6381" s="166"/>
      <c r="F6381" s="166"/>
      <c r="G6381" s="138"/>
      <c r="H6381" s="177"/>
    </row>
    <row r="6382" spans="1:8" s="139" customFormat="1" ht="13.5" customHeight="1" x14ac:dyDescent="0.35">
      <c r="A6382" s="163"/>
      <c r="B6382" s="164"/>
      <c r="C6382" s="165"/>
      <c r="D6382" s="163"/>
      <c r="E6382" s="166"/>
      <c r="F6382" s="166"/>
      <c r="G6382" s="138"/>
      <c r="H6382" s="177"/>
    </row>
    <row r="6383" spans="1:8" s="139" customFormat="1" ht="13.5" customHeight="1" x14ac:dyDescent="0.3">
      <c r="A6383" s="341" t="s">
        <v>392</v>
      </c>
      <c r="B6383" s="331" t="s">
        <v>393</v>
      </c>
      <c r="C6383" s="332" t="s">
        <v>611</v>
      </c>
      <c r="D6383" s="333" t="s">
        <v>765</v>
      </c>
      <c r="E6383" s="334" t="s">
        <v>766</v>
      </c>
      <c r="F6383" s="334" t="s">
        <v>767</v>
      </c>
      <c r="G6383" s="138"/>
      <c r="H6383" s="177"/>
    </row>
    <row r="6384" spans="1:8" s="139" customFormat="1" ht="13.5" customHeight="1" x14ac:dyDescent="0.35">
      <c r="A6384" s="232" t="s">
        <v>443</v>
      </c>
      <c r="B6384" s="353" t="s">
        <v>444</v>
      </c>
      <c r="C6384" s="256"/>
      <c r="D6384" s="146"/>
      <c r="E6384" s="117"/>
      <c r="F6384" s="117"/>
      <c r="G6384" s="138"/>
      <c r="H6384" s="177"/>
    </row>
    <row r="6385" spans="1:8" s="139" customFormat="1" ht="13.5" customHeight="1" x14ac:dyDescent="0.35">
      <c r="A6385" s="232" t="s">
        <v>447</v>
      </c>
      <c r="B6385" s="389" t="s">
        <v>448</v>
      </c>
      <c r="C6385" s="256" t="s">
        <v>7</v>
      </c>
      <c r="D6385" s="146"/>
      <c r="E6385" s="117"/>
      <c r="F6385" s="117"/>
      <c r="G6385" s="138"/>
      <c r="H6385" s="177"/>
    </row>
    <row r="6386" spans="1:8" s="139" customFormat="1" ht="13.5" customHeight="1" x14ac:dyDescent="0.35">
      <c r="A6386" s="146"/>
      <c r="B6386" s="112" t="s">
        <v>802</v>
      </c>
      <c r="C6386" s="124"/>
      <c r="D6386" s="146"/>
      <c r="E6386" s="117"/>
      <c r="F6386" s="117"/>
      <c r="G6386" s="138"/>
      <c r="H6386" s="177"/>
    </row>
    <row r="6387" spans="1:8" s="139" customFormat="1" ht="13.5" customHeight="1" x14ac:dyDescent="0.25">
      <c r="A6387" s="146"/>
      <c r="B6387" s="354" t="s">
        <v>1217</v>
      </c>
      <c r="C6387" s="124" t="s">
        <v>27</v>
      </c>
      <c r="D6387" s="146">
        <v>1</v>
      </c>
      <c r="E6387" s="117">
        <v>3630380</v>
      </c>
      <c r="F6387" s="117">
        <f>D6387*E6387</f>
        <v>3630380</v>
      </c>
      <c r="G6387" s="138"/>
      <c r="H6387" s="177"/>
    </row>
    <row r="6388" spans="1:8" s="139" customFormat="1" ht="13.5" customHeight="1" x14ac:dyDescent="0.35">
      <c r="A6388" s="146"/>
      <c r="B6388" s="120" t="s">
        <v>1057</v>
      </c>
      <c r="C6388" s="124"/>
      <c r="D6388" s="146"/>
      <c r="E6388" s="117"/>
      <c r="F6388" s="117">
        <f>0.1*(F6387)</f>
        <v>363038</v>
      </c>
      <c r="G6388" s="138"/>
      <c r="H6388" s="177"/>
    </row>
    <row r="6389" spans="1:8" s="139" customFormat="1" ht="13.5" customHeight="1" x14ac:dyDescent="0.35">
      <c r="A6389" s="146"/>
      <c r="B6389" s="112" t="s">
        <v>769</v>
      </c>
      <c r="C6389" s="124"/>
      <c r="D6389" s="146"/>
      <c r="E6389" s="117"/>
      <c r="F6389" s="110">
        <f>SUM(F6387:F6388)</f>
        <v>3993418</v>
      </c>
      <c r="G6389" s="138"/>
      <c r="H6389" s="177"/>
    </row>
    <row r="6390" spans="1:8" s="139" customFormat="1" ht="13.5" customHeight="1" x14ac:dyDescent="0.35">
      <c r="A6390" s="146"/>
      <c r="B6390" s="112" t="s">
        <v>808</v>
      </c>
      <c r="C6390" s="124"/>
      <c r="D6390" s="146"/>
      <c r="E6390" s="117"/>
      <c r="F6390" s="117"/>
      <c r="G6390" s="138"/>
      <c r="H6390" s="177"/>
    </row>
    <row r="6391" spans="1:8" s="139" customFormat="1" ht="13.5" customHeight="1" x14ac:dyDescent="0.35">
      <c r="A6391" s="146"/>
      <c r="B6391" s="120" t="s">
        <v>787</v>
      </c>
      <c r="C6391" s="124" t="s">
        <v>1043</v>
      </c>
      <c r="D6391" s="146">
        <v>3</v>
      </c>
      <c r="E6391" s="117">
        <v>15000</v>
      </c>
      <c r="F6391" s="117">
        <f>+D6391*E6391</f>
        <v>45000</v>
      </c>
      <c r="G6391" s="138"/>
      <c r="H6391" s="177"/>
    </row>
    <row r="6392" spans="1:8" s="139" customFormat="1" ht="13.5" customHeight="1" x14ac:dyDescent="0.35">
      <c r="A6392" s="146"/>
      <c r="B6392" s="112" t="s">
        <v>774</v>
      </c>
      <c r="C6392" s="124"/>
      <c r="D6392" s="146"/>
      <c r="E6392" s="117"/>
      <c r="F6392" s="117">
        <f>SUM(F6391)</f>
        <v>45000</v>
      </c>
      <c r="G6392" s="138"/>
      <c r="H6392" s="177"/>
    </row>
    <row r="6393" spans="1:8" s="139" customFormat="1" ht="13.5" customHeight="1" x14ac:dyDescent="0.35">
      <c r="A6393" s="146"/>
      <c r="B6393" s="112" t="s">
        <v>775</v>
      </c>
      <c r="C6393" s="124"/>
      <c r="D6393" s="146"/>
      <c r="E6393" s="117"/>
      <c r="F6393" s="117">
        <f>+F6389+F6392</f>
        <v>4038418</v>
      </c>
      <c r="G6393" s="138"/>
      <c r="H6393" s="177"/>
    </row>
    <row r="6394" spans="1:8" s="139" customFormat="1" ht="13.5" customHeight="1" x14ac:dyDescent="0.35">
      <c r="A6394" s="146"/>
      <c r="B6394" s="120" t="s">
        <v>776</v>
      </c>
      <c r="C6394" s="124"/>
      <c r="D6394" s="146">
        <v>1.25</v>
      </c>
      <c r="E6394" s="117"/>
      <c r="F6394" s="117">
        <f>+F6393*D6394</f>
        <v>5048022.5</v>
      </c>
      <c r="G6394" s="138"/>
      <c r="H6394" s="177"/>
    </row>
    <row r="6395" spans="1:8" s="139" customFormat="1" ht="13.5" customHeight="1" x14ac:dyDescent="0.35">
      <c r="A6395" s="146"/>
      <c r="B6395" s="120" t="s">
        <v>835</v>
      </c>
      <c r="C6395" s="124"/>
      <c r="D6395" s="146">
        <v>1.25</v>
      </c>
      <c r="E6395" s="117"/>
      <c r="F6395" s="117"/>
      <c r="G6395" s="138"/>
      <c r="H6395" s="177"/>
    </row>
    <row r="6396" spans="1:8" s="139" customFormat="1" ht="13.5" customHeight="1" x14ac:dyDescent="0.35">
      <c r="A6396" s="233" t="s">
        <v>447</v>
      </c>
      <c r="B6396" s="207" t="s">
        <v>778</v>
      </c>
      <c r="C6396" s="233" t="s">
        <v>7</v>
      </c>
      <c r="D6396" s="340"/>
      <c r="E6396" s="209"/>
      <c r="F6396" s="209">
        <f>+D6395*F6394</f>
        <v>6310028.125</v>
      </c>
      <c r="G6396" s="138"/>
      <c r="H6396" s="177"/>
    </row>
    <row r="6397" spans="1:8" s="139" customFormat="1" ht="13.5" customHeight="1" x14ac:dyDescent="0.35">
      <c r="A6397" s="340"/>
      <c r="B6397" s="207"/>
      <c r="C6397" s="208"/>
      <c r="D6397" s="340"/>
      <c r="E6397" s="210">
        <f>+E6380</f>
        <v>3035.45</v>
      </c>
      <c r="F6397" s="210">
        <f>+F6396/E6397</f>
        <v>2078.7784760084996</v>
      </c>
      <c r="G6397" s="138"/>
      <c r="H6397" s="177"/>
    </row>
    <row r="6398" spans="1:8" s="139" customFormat="1" ht="13.5" customHeight="1" x14ac:dyDescent="0.35">
      <c r="A6398" s="163"/>
      <c r="B6398" s="164"/>
      <c r="C6398" s="165"/>
      <c r="E6398" s="166"/>
      <c r="F6398" s="166"/>
      <c r="G6398" s="138"/>
      <c r="H6398" s="177"/>
    </row>
    <row r="6399" spans="1:8" s="139" customFormat="1" ht="13.5" customHeight="1" x14ac:dyDescent="0.35">
      <c r="A6399" s="163"/>
      <c r="B6399" s="164"/>
      <c r="C6399" s="165"/>
      <c r="D6399" s="163"/>
      <c r="E6399" s="166"/>
      <c r="F6399" s="166"/>
      <c r="G6399" s="138"/>
      <c r="H6399" s="177"/>
    </row>
    <row r="6400" spans="1:8" s="139" customFormat="1" ht="13.5" customHeight="1" x14ac:dyDescent="0.3">
      <c r="A6400" s="341" t="s">
        <v>392</v>
      </c>
      <c r="B6400" s="331" t="s">
        <v>393</v>
      </c>
      <c r="C6400" s="332" t="s">
        <v>611</v>
      </c>
      <c r="D6400" s="333" t="s">
        <v>765</v>
      </c>
      <c r="E6400" s="334" t="s">
        <v>766</v>
      </c>
      <c r="F6400" s="334" t="s">
        <v>767</v>
      </c>
      <c r="G6400" s="138"/>
      <c r="H6400" s="177"/>
    </row>
    <row r="6401" spans="1:8" s="139" customFormat="1" ht="13.5" customHeight="1" x14ac:dyDescent="0.35">
      <c r="A6401" s="232" t="s">
        <v>443</v>
      </c>
      <c r="B6401" s="353" t="s">
        <v>444</v>
      </c>
      <c r="C6401" s="256"/>
      <c r="D6401" s="146"/>
      <c r="E6401" s="117"/>
      <c r="F6401" s="117"/>
      <c r="G6401" s="138"/>
      <c r="H6401" s="177"/>
    </row>
    <row r="6402" spans="1:8" s="139" customFormat="1" ht="13.5" customHeight="1" x14ac:dyDescent="0.35">
      <c r="A6402" s="232" t="s">
        <v>449</v>
      </c>
      <c r="B6402" s="389" t="s">
        <v>450</v>
      </c>
      <c r="C6402" s="256" t="s">
        <v>7</v>
      </c>
      <c r="D6402" s="146"/>
      <c r="E6402" s="117"/>
      <c r="F6402" s="117"/>
      <c r="G6402" s="138"/>
      <c r="H6402" s="177"/>
    </row>
    <row r="6403" spans="1:8" s="139" customFormat="1" ht="13.5" customHeight="1" x14ac:dyDescent="0.35">
      <c r="A6403" s="146"/>
      <c r="B6403" s="112" t="s">
        <v>802</v>
      </c>
      <c r="C6403" s="124"/>
      <c r="D6403" s="146"/>
      <c r="E6403" s="117"/>
      <c r="F6403" s="117"/>
      <c r="G6403" s="138"/>
      <c r="H6403" s="177"/>
    </row>
    <row r="6404" spans="1:8" s="139" customFormat="1" ht="13.5" customHeight="1" x14ac:dyDescent="0.25">
      <c r="A6404" s="146"/>
      <c r="B6404" s="354" t="s">
        <v>1218</v>
      </c>
      <c r="C6404" s="124" t="s">
        <v>27</v>
      </c>
      <c r="D6404" s="146">
        <v>1</v>
      </c>
      <c r="E6404" s="117">
        <v>3630380</v>
      </c>
      <c r="F6404" s="117">
        <f>D6404*E6404</f>
        <v>3630380</v>
      </c>
      <c r="G6404" s="138"/>
      <c r="H6404" s="177"/>
    </row>
    <row r="6405" spans="1:8" s="139" customFormat="1" ht="13.5" customHeight="1" x14ac:dyDescent="0.35">
      <c r="A6405" s="146"/>
      <c r="B6405" s="120" t="s">
        <v>1057</v>
      </c>
      <c r="C6405" s="124"/>
      <c r="D6405" s="146"/>
      <c r="E6405" s="117"/>
      <c r="F6405" s="117">
        <f>0.1*(F6404)</f>
        <v>363038</v>
      </c>
      <c r="G6405" s="138"/>
      <c r="H6405" s="177"/>
    </row>
    <row r="6406" spans="1:8" s="139" customFormat="1" ht="13.5" customHeight="1" x14ac:dyDescent="0.35">
      <c r="A6406" s="146"/>
      <c r="B6406" s="112" t="s">
        <v>769</v>
      </c>
      <c r="C6406" s="124"/>
      <c r="D6406" s="146"/>
      <c r="E6406" s="117"/>
      <c r="F6406" s="110">
        <f>SUM(F6404:F6405)</f>
        <v>3993418</v>
      </c>
      <c r="G6406" s="138"/>
      <c r="H6406" s="177"/>
    </row>
    <row r="6407" spans="1:8" s="139" customFormat="1" ht="13.5" customHeight="1" x14ac:dyDescent="0.35">
      <c r="A6407" s="146"/>
      <c r="B6407" s="112" t="s">
        <v>808</v>
      </c>
      <c r="C6407" s="124"/>
      <c r="D6407" s="146"/>
      <c r="E6407" s="117"/>
      <c r="F6407" s="117"/>
      <c r="G6407" s="138"/>
      <c r="H6407" s="177"/>
    </row>
    <row r="6408" spans="1:8" s="139" customFormat="1" ht="13.5" customHeight="1" x14ac:dyDescent="0.35">
      <c r="A6408" s="146"/>
      <c r="B6408" s="120" t="s">
        <v>787</v>
      </c>
      <c r="C6408" s="124" t="s">
        <v>1043</v>
      </c>
      <c r="D6408" s="146">
        <v>3</v>
      </c>
      <c r="E6408" s="117">
        <v>15000</v>
      </c>
      <c r="F6408" s="117">
        <f>+D6408*E6408</f>
        <v>45000</v>
      </c>
      <c r="G6408" s="138"/>
      <c r="H6408" s="177"/>
    </row>
    <row r="6409" spans="1:8" s="139" customFormat="1" ht="13.5" customHeight="1" x14ac:dyDescent="0.35">
      <c r="A6409" s="146"/>
      <c r="B6409" s="112" t="s">
        <v>774</v>
      </c>
      <c r="C6409" s="124"/>
      <c r="D6409" s="146"/>
      <c r="E6409" s="117"/>
      <c r="F6409" s="117">
        <f>SUM(F6408)</f>
        <v>45000</v>
      </c>
      <c r="G6409" s="138"/>
      <c r="H6409" s="177"/>
    </row>
    <row r="6410" spans="1:8" s="139" customFormat="1" ht="13.5" customHeight="1" x14ac:dyDescent="0.35">
      <c r="A6410" s="146"/>
      <c r="B6410" s="112" t="s">
        <v>775</v>
      </c>
      <c r="C6410" s="124"/>
      <c r="D6410" s="146"/>
      <c r="E6410" s="117"/>
      <c r="F6410" s="117">
        <f>+F6406+F6409</f>
        <v>4038418</v>
      </c>
      <c r="G6410" s="138"/>
      <c r="H6410" s="177"/>
    </row>
    <row r="6411" spans="1:8" s="139" customFormat="1" ht="13.5" customHeight="1" x14ac:dyDescent="0.35">
      <c r="A6411" s="146"/>
      <c r="B6411" s="120" t="s">
        <v>776</v>
      </c>
      <c r="C6411" s="124"/>
      <c r="D6411" s="146">
        <v>1.25</v>
      </c>
      <c r="E6411" s="117"/>
      <c r="F6411" s="117">
        <f>+F6410*D6411</f>
        <v>5048022.5</v>
      </c>
      <c r="G6411" s="138"/>
      <c r="H6411" s="177"/>
    </row>
    <row r="6412" spans="1:8" s="139" customFormat="1" ht="13.5" customHeight="1" x14ac:dyDescent="0.35">
      <c r="A6412" s="146"/>
      <c r="B6412" s="120" t="s">
        <v>835</v>
      </c>
      <c r="C6412" s="124"/>
      <c r="D6412" s="146">
        <v>1.25</v>
      </c>
      <c r="E6412" s="117"/>
      <c r="F6412" s="117"/>
      <c r="G6412" s="138"/>
      <c r="H6412" s="177"/>
    </row>
    <row r="6413" spans="1:8" s="139" customFormat="1" ht="13.5" customHeight="1" x14ac:dyDescent="0.35">
      <c r="A6413" s="233" t="s">
        <v>449</v>
      </c>
      <c r="B6413" s="207" t="s">
        <v>778</v>
      </c>
      <c r="C6413" s="233" t="s">
        <v>7</v>
      </c>
      <c r="D6413" s="340"/>
      <c r="E6413" s="209"/>
      <c r="F6413" s="209">
        <f>+D6412*F6411</f>
        <v>6310028.125</v>
      </c>
      <c r="G6413" s="138"/>
      <c r="H6413" s="177"/>
    </row>
    <row r="6414" spans="1:8" s="139" customFormat="1" ht="13.5" customHeight="1" x14ac:dyDescent="0.35">
      <c r="A6414" s="340"/>
      <c r="B6414" s="207"/>
      <c r="C6414" s="208"/>
      <c r="D6414" s="340"/>
      <c r="E6414" s="210">
        <f>+E6397</f>
        <v>3035.45</v>
      </c>
      <c r="F6414" s="210">
        <f>+F6413/E6414</f>
        <v>2078.7784760084996</v>
      </c>
      <c r="G6414" s="138"/>
      <c r="H6414" s="177"/>
    </row>
    <row r="6415" spans="1:8" s="139" customFormat="1" ht="13.5" customHeight="1" x14ac:dyDescent="0.35">
      <c r="A6415" s="163"/>
      <c r="B6415" s="164"/>
      <c r="C6415" s="165"/>
      <c r="E6415" s="166"/>
      <c r="F6415" s="166"/>
      <c r="G6415" s="138"/>
      <c r="H6415" s="177"/>
    </row>
    <row r="6416" spans="1:8" s="139" customFormat="1" ht="13.5" customHeight="1" x14ac:dyDescent="0.35">
      <c r="A6416" s="163"/>
      <c r="B6416" s="164"/>
      <c r="C6416" s="165"/>
      <c r="D6416" s="163"/>
      <c r="E6416" s="166"/>
      <c r="F6416" s="166"/>
      <c r="G6416" s="138"/>
      <c r="H6416" s="177"/>
    </row>
    <row r="6417" spans="1:8" s="139" customFormat="1" ht="13.5" customHeight="1" x14ac:dyDescent="0.3">
      <c r="A6417" s="341" t="s">
        <v>392</v>
      </c>
      <c r="B6417" s="331" t="s">
        <v>393</v>
      </c>
      <c r="C6417" s="332" t="s">
        <v>611</v>
      </c>
      <c r="D6417" s="333" t="s">
        <v>765</v>
      </c>
      <c r="E6417" s="334" t="s">
        <v>766</v>
      </c>
      <c r="F6417" s="334" t="s">
        <v>767</v>
      </c>
      <c r="G6417" s="138"/>
      <c r="H6417" s="177"/>
    </row>
    <row r="6418" spans="1:8" s="139" customFormat="1" ht="13.5" customHeight="1" x14ac:dyDescent="0.35">
      <c r="A6418" s="232" t="s">
        <v>443</v>
      </c>
      <c r="B6418" s="353" t="s">
        <v>444</v>
      </c>
      <c r="C6418" s="256"/>
      <c r="D6418" s="146"/>
      <c r="E6418" s="117"/>
      <c r="F6418" s="117"/>
      <c r="G6418" s="138"/>
      <c r="H6418" s="177"/>
    </row>
    <row r="6419" spans="1:8" s="139" customFormat="1" ht="13.5" customHeight="1" x14ac:dyDescent="0.35">
      <c r="A6419" s="232" t="s">
        <v>451</v>
      </c>
      <c r="B6419" s="389" t="s">
        <v>1348</v>
      </c>
      <c r="C6419" s="256" t="s">
        <v>7</v>
      </c>
      <c r="D6419" s="146"/>
      <c r="E6419" s="117"/>
      <c r="F6419" s="117"/>
      <c r="G6419" s="138"/>
      <c r="H6419" s="177"/>
    </row>
    <row r="6420" spans="1:8" s="139" customFormat="1" ht="13.5" customHeight="1" x14ac:dyDescent="0.35">
      <c r="A6420" s="146"/>
      <c r="B6420" s="112" t="s">
        <v>802</v>
      </c>
      <c r="C6420" s="124"/>
      <c r="D6420" s="146"/>
      <c r="E6420" s="117"/>
      <c r="F6420" s="117"/>
      <c r="G6420" s="138"/>
      <c r="H6420" s="177"/>
    </row>
    <row r="6421" spans="1:8" s="139" customFormat="1" ht="13.5" customHeight="1" x14ac:dyDescent="0.25">
      <c r="A6421" s="146"/>
      <c r="B6421" s="354" t="s">
        <v>1218</v>
      </c>
      <c r="C6421" s="124" t="s">
        <v>27</v>
      </c>
      <c r="D6421" s="146">
        <v>1</v>
      </c>
      <c r="E6421" s="117">
        <v>3168400</v>
      </c>
      <c r="F6421" s="117">
        <f>D6421*E6421</f>
        <v>3168400</v>
      </c>
      <c r="G6421" s="138"/>
      <c r="H6421" s="177"/>
    </row>
    <row r="6422" spans="1:8" s="139" customFormat="1" ht="13.5" customHeight="1" x14ac:dyDescent="0.35">
      <c r="A6422" s="146"/>
      <c r="B6422" s="120" t="s">
        <v>1057</v>
      </c>
      <c r="C6422" s="124"/>
      <c r="D6422" s="146"/>
      <c r="E6422" s="117"/>
      <c r="F6422" s="117">
        <f>0.1*(F6421)</f>
        <v>316840</v>
      </c>
      <c r="G6422" s="138"/>
      <c r="H6422" s="177"/>
    </row>
    <row r="6423" spans="1:8" s="139" customFormat="1" ht="13.5" customHeight="1" x14ac:dyDescent="0.35">
      <c r="A6423" s="146"/>
      <c r="B6423" s="112" t="s">
        <v>769</v>
      </c>
      <c r="C6423" s="124"/>
      <c r="D6423" s="146"/>
      <c r="E6423" s="117"/>
      <c r="F6423" s="110">
        <f>SUM(F6421:F6422)</f>
        <v>3485240</v>
      </c>
      <c r="G6423" s="138"/>
      <c r="H6423" s="177"/>
    </row>
    <row r="6424" spans="1:8" s="139" customFormat="1" ht="13.5" customHeight="1" x14ac:dyDescent="0.35">
      <c r="A6424" s="146"/>
      <c r="B6424" s="112" t="s">
        <v>808</v>
      </c>
      <c r="C6424" s="124"/>
      <c r="D6424" s="146"/>
      <c r="E6424" s="117"/>
      <c r="F6424" s="117"/>
      <c r="G6424" s="138"/>
      <c r="H6424" s="177"/>
    </row>
    <row r="6425" spans="1:8" s="139" customFormat="1" ht="13.5" customHeight="1" x14ac:dyDescent="0.35">
      <c r="A6425" s="146"/>
      <c r="B6425" s="120" t="s">
        <v>787</v>
      </c>
      <c r="C6425" s="124" t="s">
        <v>1043</v>
      </c>
      <c r="D6425" s="146">
        <v>3</v>
      </c>
      <c r="E6425" s="117">
        <v>15000</v>
      </c>
      <c r="F6425" s="117">
        <f>+D6425*E6425</f>
        <v>45000</v>
      </c>
      <c r="G6425" s="138"/>
      <c r="H6425" s="177"/>
    </row>
    <row r="6426" spans="1:8" s="139" customFormat="1" ht="13.5" customHeight="1" x14ac:dyDescent="0.35">
      <c r="A6426" s="146"/>
      <c r="B6426" s="112" t="s">
        <v>774</v>
      </c>
      <c r="C6426" s="124"/>
      <c r="D6426" s="146"/>
      <c r="E6426" s="117"/>
      <c r="F6426" s="117">
        <f>SUM(F6425)</f>
        <v>45000</v>
      </c>
      <c r="G6426" s="138"/>
      <c r="H6426" s="177"/>
    </row>
    <row r="6427" spans="1:8" s="139" customFormat="1" ht="13.5" customHeight="1" x14ac:dyDescent="0.35">
      <c r="A6427" s="146"/>
      <c r="B6427" s="112" t="s">
        <v>775</v>
      </c>
      <c r="C6427" s="124"/>
      <c r="D6427" s="146"/>
      <c r="E6427" s="117"/>
      <c r="F6427" s="117">
        <f>+F6423+F6426</f>
        <v>3530240</v>
      </c>
      <c r="G6427" s="138"/>
      <c r="H6427" s="177"/>
    </row>
    <row r="6428" spans="1:8" s="139" customFormat="1" ht="13.5" customHeight="1" x14ac:dyDescent="0.35">
      <c r="A6428" s="146"/>
      <c r="B6428" s="120" t="s">
        <v>776</v>
      </c>
      <c r="C6428" s="124"/>
      <c r="D6428" s="146">
        <v>1.25</v>
      </c>
      <c r="E6428" s="117"/>
      <c r="F6428" s="117">
        <f>+F6427*D6428</f>
        <v>4412800</v>
      </c>
      <c r="G6428" s="138"/>
      <c r="H6428" s="177"/>
    </row>
    <row r="6429" spans="1:8" s="139" customFormat="1" ht="13.5" customHeight="1" x14ac:dyDescent="0.35">
      <c r="A6429" s="146"/>
      <c r="B6429" s="120" t="s">
        <v>835</v>
      </c>
      <c r="C6429" s="124"/>
      <c r="D6429" s="146">
        <v>1.25</v>
      </c>
      <c r="E6429" s="117"/>
      <c r="F6429" s="117"/>
      <c r="G6429" s="138"/>
      <c r="H6429" s="177"/>
    </row>
    <row r="6430" spans="1:8" s="139" customFormat="1" ht="13.5" customHeight="1" x14ac:dyDescent="0.35">
      <c r="A6430" s="233" t="s">
        <v>451</v>
      </c>
      <c r="B6430" s="207" t="s">
        <v>778</v>
      </c>
      <c r="C6430" s="233" t="s">
        <v>7</v>
      </c>
      <c r="D6430" s="340"/>
      <c r="E6430" s="209"/>
      <c r="F6430" s="209">
        <f>+D6429*F6428</f>
        <v>5516000</v>
      </c>
      <c r="G6430" s="138"/>
      <c r="H6430" s="177"/>
    </row>
    <row r="6431" spans="1:8" s="139" customFormat="1" ht="13.5" customHeight="1" x14ac:dyDescent="0.35">
      <c r="A6431" s="340"/>
      <c r="B6431" s="207"/>
      <c r="C6431" s="208"/>
      <c r="D6431" s="340"/>
      <c r="E6431" s="210">
        <f>+E6414</f>
        <v>3035.45</v>
      </c>
      <c r="F6431" s="210">
        <f>+F6430/E6431</f>
        <v>1817.1934968456078</v>
      </c>
      <c r="G6431" s="138"/>
      <c r="H6431" s="177"/>
    </row>
    <row r="6432" spans="1:8" s="139" customFormat="1" ht="13.5" customHeight="1" x14ac:dyDescent="0.35">
      <c r="A6432" s="163"/>
      <c r="B6432" s="164"/>
      <c r="C6432" s="165"/>
      <c r="E6432" s="166"/>
      <c r="F6432" s="166"/>
      <c r="G6432" s="138"/>
      <c r="H6432" s="177"/>
    </row>
    <row r="6433" spans="1:8" s="139" customFormat="1" ht="13.5" customHeight="1" x14ac:dyDescent="0.35">
      <c r="G6433" s="138"/>
      <c r="H6433" s="177"/>
    </row>
    <row r="6434" spans="1:8" s="139" customFormat="1" ht="13.5" customHeight="1" x14ac:dyDescent="0.3">
      <c r="A6434" s="341" t="s">
        <v>392</v>
      </c>
      <c r="B6434" s="331" t="s">
        <v>393</v>
      </c>
      <c r="C6434" s="332" t="s">
        <v>611</v>
      </c>
      <c r="D6434" s="333" t="s">
        <v>765</v>
      </c>
      <c r="E6434" s="334" t="s">
        <v>766</v>
      </c>
      <c r="F6434" s="334" t="s">
        <v>767</v>
      </c>
      <c r="G6434" s="138"/>
      <c r="H6434" s="177"/>
    </row>
    <row r="6435" spans="1:8" s="139" customFormat="1" ht="13.5" customHeight="1" x14ac:dyDescent="0.35">
      <c r="A6435" s="232" t="s">
        <v>443</v>
      </c>
      <c r="B6435" s="353" t="s">
        <v>444</v>
      </c>
      <c r="C6435" s="256"/>
      <c r="D6435" s="146"/>
      <c r="E6435" s="117"/>
      <c r="F6435" s="117"/>
      <c r="G6435" s="138"/>
      <c r="H6435" s="177"/>
    </row>
    <row r="6436" spans="1:8" s="139" customFormat="1" ht="13.5" customHeight="1" x14ac:dyDescent="0.35">
      <c r="A6436" s="232" t="s">
        <v>452</v>
      </c>
      <c r="B6436" s="389" t="s">
        <v>453</v>
      </c>
      <c r="C6436" s="256" t="s">
        <v>7</v>
      </c>
      <c r="D6436" s="146"/>
      <c r="E6436" s="117"/>
      <c r="F6436" s="117"/>
      <c r="G6436" s="138"/>
      <c r="H6436" s="177"/>
    </row>
    <row r="6437" spans="1:8" s="139" customFormat="1" ht="13.5" customHeight="1" x14ac:dyDescent="0.35">
      <c r="A6437" s="146"/>
      <c r="B6437" s="112" t="s">
        <v>802</v>
      </c>
      <c r="C6437" s="124"/>
      <c r="D6437" s="146"/>
      <c r="E6437" s="117"/>
      <c r="F6437" s="117"/>
      <c r="G6437" s="138"/>
      <c r="H6437" s="177"/>
    </row>
    <row r="6438" spans="1:8" s="139" customFormat="1" ht="13.5" customHeight="1" x14ac:dyDescent="0.25">
      <c r="A6438" s="146"/>
      <c r="B6438" s="354" t="s">
        <v>1218</v>
      </c>
      <c r="C6438" s="124" t="s">
        <v>27</v>
      </c>
      <c r="D6438" s="146">
        <v>1</v>
      </c>
      <c r="E6438" s="117">
        <v>1792400</v>
      </c>
      <c r="F6438" s="117">
        <f>D6438*E6438</f>
        <v>1792400</v>
      </c>
      <c r="G6438" s="138"/>
      <c r="H6438" s="177"/>
    </row>
    <row r="6439" spans="1:8" s="139" customFormat="1" ht="13.5" customHeight="1" x14ac:dyDescent="0.35">
      <c r="A6439" s="146"/>
      <c r="B6439" s="120" t="s">
        <v>1057</v>
      </c>
      <c r="C6439" s="124"/>
      <c r="D6439" s="146"/>
      <c r="E6439" s="117"/>
      <c r="F6439" s="117">
        <f>0.1*(F6438)</f>
        <v>179240</v>
      </c>
      <c r="G6439" s="138"/>
      <c r="H6439" s="177"/>
    </row>
    <row r="6440" spans="1:8" s="139" customFormat="1" ht="13.5" customHeight="1" x14ac:dyDescent="0.35">
      <c r="A6440" s="146"/>
      <c r="B6440" s="112" t="s">
        <v>769</v>
      </c>
      <c r="C6440" s="124"/>
      <c r="D6440" s="146"/>
      <c r="E6440" s="117"/>
      <c r="F6440" s="110">
        <f>SUM(F6438:F6439)</f>
        <v>1971640</v>
      </c>
      <c r="G6440" s="138"/>
      <c r="H6440" s="177"/>
    </row>
    <row r="6441" spans="1:8" s="139" customFormat="1" ht="13.5" customHeight="1" x14ac:dyDescent="0.35">
      <c r="A6441" s="146"/>
      <c r="B6441" s="112" t="s">
        <v>808</v>
      </c>
      <c r="C6441" s="124"/>
      <c r="D6441" s="146"/>
      <c r="E6441" s="117"/>
      <c r="F6441" s="117"/>
      <c r="G6441" s="138"/>
      <c r="H6441" s="177"/>
    </row>
    <row r="6442" spans="1:8" s="139" customFormat="1" ht="13.5" customHeight="1" x14ac:dyDescent="0.35">
      <c r="A6442" s="146"/>
      <c r="B6442" s="120" t="s">
        <v>787</v>
      </c>
      <c r="C6442" s="124" t="s">
        <v>1043</v>
      </c>
      <c r="D6442" s="146">
        <v>3</v>
      </c>
      <c r="E6442" s="117">
        <v>15000</v>
      </c>
      <c r="F6442" s="117">
        <f>+D6442*E6442</f>
        <v>45000</v>
      </c>
      <c r="G6442" s="138"/>
      <c r="H6442" s="177"/>
    </row>
    <row r="6443" spans="1:8" s="139" customFormat="1" ht="13.5" customHeight="1" x14ac:dyDescent="0.35">
      <c r="A6443" s="146"/>
      <c r="B6443" s="112" t="s">
        <v>774</v>
      </c>
      <c r="C6443" s="124"/>
      <c r="D6443" s="146"/>
      <c r="E6443" s="117"/>
      <c r="F6443" s="117">
        <f>SUM(F6442)</f>
        <v>45000</v>
      </c>
      <c r="G6443" s="138"/>
      <c r="H6443" s="177"/>
    </row>
    <row r="6444" spans="1:8" s="139" customFormat="1" ht="13.5" customHeight="1" x14ac:dyDescent="0.35">
      <c r="A6444" s="146"/>
      <c r="B6444" s="112" t="s">
        <v>775</v>
      </c>
      <c r="C6444" s="124"/>
      <c r="D6444" s="146"/>
      <c r="E6444" s="117"/>
      <c r="F6444" s="117">
        <f>+F6440+F6443</f>
        <v>2016640</v>
      </c>
      <c r="G6444" s="138"/>
      <c r="H6444" s="177"/>
    </row>
    <row r="6445" spans="1:8" s="139" customFormat="1" ht="13.5" customHeight="1" x14ac:dyDescent="0.35">
      <c r="A6445" s="146"/>
      <c r="B6445" s="120" t="s">
        <v>776</v>
      </c>
      <c r="C6445" s="124"/>
      <c r="D6445" s="146">
        <v>1.25</v>
      </c>
      <c r="E6445" s="117"/>
      <c r="F6445" s="117">
        <f>+F6444*D6445</f>
        <v>2520800</v>
      </c>
      <c r="G6445" s="138"/>
      <c r="H6445" s="177"/>
    </row>
    <row r="6446" spans="1:8" s="139" customFormat="1" ht="13.5" customHeight="1" x14ac:dyDescent="0.35">
      <c r="A6446" s="146"/>
      <c r="B6446" s="120" t="s">
        <v>835</v>
      </c>
      <c r="C6446" s="124"/>
      <c r="D6446" s="146">
        <v>1.25</v>
      </c>
      <c r="E6446" s="117"/>
      <c r="F6446" s="117"/>
      <c r="G6446" s="138"/>
      <c r="H6446" s="177"/>
    </row>
    <row r="6447" spans="1:8" s="139" customFormat="1" ht="13.5" customHeight="1" x14ac:dyDescent="0.35">
      <c r="A6447" s="233" t="s">
        <v>452</v>
      </c>
      <c r="B6447" s="207" t="s">
        <v>778</v>
      </c>
      <c r="C6447" s="233" t="s">
        <v>7</v>
      </c>
      <c r="D6447" s="340"/>
      <c r="E6447" s="209"/>
      <c r="F6447" s="209">
        <f>+D6446*F6445</f>
        <v>3151000</v>
      </c>
      <c r="G6447" s="138"/>
      <c r="H6447" s="177"/>
    </row>
    <row r="6448" spans="1:8" s="139" customFormat="1" ht="13.5" customHeight="1" x14ac:dyDescent="0.35">
      <c r="A6448" s="340"/>
      <c r="B6448" s="207"/>
      <c r="C6448" s="208"/>
      <c r="D6448" s="340"/>
      <c r="E6448" s="210">
        <f>+E6431</f>
        <v>3035.45</v>
      </c>
      <c r="F6448" s="210">
        <f>+F6447/E6448</f>
        <v>1038.0668434663723</v>
      </c>
      <c r="G6448" s="138"/>
      <c r="H6448" s="177"/>
    </row>
    <row r="6449" spans="1:8" s="139" customFormat="1" ht="13.5" customHeight="1" x14ac:dyDescent="0.35">
      <c r="A6449" s="163"/>
      <c r="B6449" s="164"/>
      <c r="C6449" s="165"/>
      <c r="E6449" s="166"/>
      <c r="F6449" s="166"/>
      <c r="G6449" s="138"/>
      <c r="H6449" s="177"/>
    </row>
    <row r="6450" spans="1:8" s="139" customFormat="1" ht="13.5" customHeight="1" x14ac:dyDescent="0.35">
      <c r="A6450" s="163"/>
      <c r="B6450" s="164"/>
      <c r="C6450" s="165"/>
      <c r="E6450" s="166"/>
      <c r="F6450" s="166"/>
      <c r="G6450" s="138"/>
      <c r="H6450" s="177"/>
    </row>
    <row r="6451" spans="1:8" s="139" customFormat="1" ht="13.5" customHeight="1" x14ac:dyDescent="0.3">
      <c r="A6451" s="341" t="s">
        <v>392</v>
      </c>
      <c r="B6451" s="331" t="s">
        <v>393</v>
      </c>
      <c r="C6451" s="332" t="s">
        <v>611</v>
      </c>
      <c r="D6451" s="333" t="s">
        <v>765</v>
      </c>
      <c r="E6451" s="334" t="s">
        <v>766</v>
      </c>
      <c r="F6451" s="334" t="s">
        <v>767</v>
      </c>
      <c r="G6451" s="138"/>
      <c r="H6451" s="177"/>
    </row>
    <row r="6452" spans="1:8" s="139" customFormat="1" ht="13.5" customHeight="1" x14ac:dyDescent="0.35">
      <c r="A6452" s="232" t="s">
        <v>443</v>
      </c>
      <c r="B6452" s="353" t="s">
        <v>444</v>
      </c>
      <c r="C6452" s="256"/>
      <c r="D6452" s="146"/>
      <c r="E6452" s="117"/>
      <c r="F6452" s="117"/>
      <c r="G6452" s="138"/>
      <c r="H6452" s="177"/>
    </row>
    <row r="6453" spans="1:8" s="139" customFormat="1" ht="13.5" customHeight="1" x14ac:dyDescent="0.35">
      <c r="A6453" s="232" t="s">
        <v>454</v>
      </c>
      <c r="B6453" s="389" t="s">
        <v>453</v>
      </c>
      <c r="C6453" s="256" t="s">
        <v>7</v>
      </c>
      <c r="D6453" s="146"/>
      <c r="E6453" s="117"/>
      <c r="F6453" s="117"/>
      <c r="G6453" s="138"/>
      <c r="H6453" s="177"/>
    </row>
    <row r="6454" spans="1:8" s="139" customFormat="1" ht="13.5" customHeight="1" x14ac:dyDescent="0.35">
      <c r="A6454" s="146"/>
      <c r="B6454" s="112" t="s">
        <v>802</v>
      </c>
      <c r="C6454" s="124"/>
      <c r="D6454" s="146"/>
      <c r="E6454" s="117"/>
      <c r="F6454" s="117"/>
      <c r="G6454" s="138"/>
      <c r="H6454" s="177"/>
    </row>
    <row r="6455" spans="1:8" s="139" customFormat="1" ht="13.5" customHeight="1" x14ac:dyDescent="0.25">
      <c r="A6455" s="146"/>
      <c r="B6455" s="354" t="s">
        <v>1218</v>
      </c>
      <c r="C6455" s="124" t="s">
        <v>27</v>
      </c>
      <c r="D6455" s="146">
        <v>1</v>
      </c>
      <c r="E6455" s="117">
        <v>4388182</v>
      </c>
      <c r="F6455" s="117">
        <f>D6455*E6455</f>
        <v>4388182</v>
      </c>
      <c r="G6455" s="138"/>
      <c r="H6455" s="177"/>
    </row>
    <row r="6456" spans="1:8" s="139" customFormat="1" ht="13.5" customHeight="1" x14ac:dyDescent="0.35">
      <c r="A6456" s="146"/>
      <c r="B6456" s="120" t="s">
        <v>1057</v>
      </c>
      <c r="C6456" s="124"/>
      <c r="D6456" s="146"/>
      <c r="E6456" s="117"/>
      <c r="F6456" s="117">
        <f>0.1*(F6455)</f>
        <v>438818.2</v>
      </c>
      <c r="G6456" s="138"/>
      <c r="H6456" s="177"/>
    </row>
    <row r="6457" spans="1:8" s="139" customFormat="1" ht="13.5" customHeight="1" x14ac:dyDescent="0.35">
      <c r="A6457" s="146"/>
      <c r="B6457" s="112" t="s">
        <v>769</v>
      </c>
      <c r="C6457" s="124"/>
      <c r="D6457" s="146"/>
      <c r="E6457" s="117"/>
      <c r="F6457" s="110">
        <f>SUM(F6455:F6456)</f>
        <v>4827000.2</v>
      </c>
      <c r="G6457" s="138"/>
      <c r="H6457" s="177"/>
    </row>
    <row r="6458" spans="1:8" s="139" customFormat="1" ht="13.5" customHeight="1" x14ac:dyDescent="0.35">
      <c r="A6458" s="146"/>
      <c r="B6458" s="112" t="s">
        <v>808</v>
      </c>
      <c r="C6458" s="124"/>
      <c r="D6458" s="146"/>
      <c r="E6458" s="117"/>
      <c r="F6458" s="117"/>
      <c r="G6458" s="138"/>
      <c r="H6458" s="177"/>
    </row>
    <row r="6459" spans="1:8" s="139" customFormat="1" ht="13.5" customHeight="1" x14ac:dyDescent="0.35">
      <c r="A6459" s="146"/>
      <c r="B6459" s="120" t="s">
        <v>787</v>
      </c>
      <c r="C6459" s="124" t="s">
        <v>1043</v>
      </c>
      <c r="D6459" s="146">
        <v>3</v>
      </c>
      <c r="E6459" s="117">
        <v>15000</v>
      </c>
      <c r="F6459" s="117">
        <f>+D6459*E6459</f>
        <v>45000</v>
      </c>
      <c r="G6459" s="138"/>
      <c r="H6459" s="177"/>
    </row>
    <row r="6460" spans="1:8" s="139" customFormat="1" ht="13.5" customHeight="1" x14ac:dyDescent="0.35">
      <c r="A6460" s="146"/>
      <c r="B6460" s="112" t="s">
        <v>774</v>
      </c>
      <c r="C6460" s="124"/>
      <c r="D6460" s="146"/>
      <c r="E6460" s="117"/>
      <c r="F6460" s="117">
        <f>SUM(F6459)</f>
        <v>45000</v>
      </c>
      <c r="G6460" s="138"/>
      <c r="H6460" s="177"/>
    </row>
    <row r="6461" spans="1:8" s="139" customFormat="1" ht="13.5" customHeight="1" x14ac:dyDescent="0.35">
      <c r="A6461" s="146"/>
      <c r="B6461" s="112" t="s">
        <v>775</v>
      </c>
      <c r="C6461" s="124"/>
      <c r="D6461" s="146"/>
      <c r="E6461" s="117"/>
      <c r="F6461" s="117">
        <f>+F6457+F6460</f>
        <v>4872000.2</v>
      </c>
      <c r="G6461" s="138"/>
      <c r="H6461" s="177"/>
    </row>
    <row r="6462" spans="1:8" s="139" customFormat="1" ht="13.5" customHeight="1" x14ac:dyDescent="0.35">
      <c r="A6462" s="146"/>
      <c r="B6462" s="120" t="s">
        <v>776</v>
      </c>
      <c r="C6462" s="124"/>
      <c r="D6462" s="146">
        <v>1.25</v>
      </c>
      <c r="E6462" s="117"/>
      <c r="F6462" s="117">
        <f>+F6461*D6462</f>
        <v>6090000.25</v>
      </c>
      <c r="G6462" s="138"/>
      <c r="H6462" s="177"/>
    </row>
    <row r="6463" spans="1:8" s="139" customFormat="1" ht="13.5" customHeight="1" x14ac:dyDescent="0.35">
      <c r="A6463" s="146"/>
      <c r="B6463" s="120" t="s">
        <v>835</v>
      </c>
      <c r="C6463" s="124"/>
      <c r="D6463" s="146">
        <v>1.25</v>
      </c>
      <c r="E6463" s="117"/>
      <c r="F6463" s="117"/>
      <c r="G6463" s="138"/>
      <c r="H6463" s="177"/>
    </row>
    <row r="6464" spans="1:8" s="139" customFormat="1" ht="13.5" customHeight="1" x14ac:dyDescent="0.35">
      <c r="A6464" s="233" t="str">
        <f>+A6453</f>
        <v>13.06.6</v>
      </c>
      <c r="B6464" s="207" t="s">
        <v>778</v>
      </c>
      <c r="C6464" s="233" t="s">
        <v>7</v>
      </c>
      <c r="D6464" s="340"/>
      <c r="E6464" s="209"/>
      <c r="F6464" s="209">
        <f>+D6463*F6462</f>
        <v>7612500.3125</v>
      </c>
      <c r="G6464" s="138"/>
      <c r="H6464" s="177"/>
    </row>
    <row r="6465" spans="1:8" s="139" customFormat="1" ht="13.5" customHeight="1" x14ac:dyDescent="0.35">
      <c r="A6465" s="340"/>
      <c r="B6465" s="207"/>
      <c r="C6465" s="208"/>
      <c r="D6465" s="340"/>
      <c r="E6465" s="210">
        <f>+E6448</f>
        <v>3035.45</v>
      </c>
      <c r="F6465" s="210">
        <f>+F6464/E6465</f>
        <v>2507.8654935841473</v>
      </c>
      <c r="G6465" s="138"/>
      <c r="H6465" s="177"/>
    </row>
    <row r="6466" spans="1:8" s="139" customFormat="1" ht="13.5" customHeight="1" x14ac:dyDescent="0.35">
      <c r="A6466" s="163"/>
      <c r="B6466" s="164"/>
      <c r="C6466" s="165"/>
      <c r="E6466" s="166"/>
      <c r="F6466" s="166"/>
      <c r="G6466" s="138"/>
      <c r="H6466" s="177"/>
    </row>
    <row r="6467" spans="1:8" s="139" customFormat="1" ht="13.5" customHeight="1" x14ac:dyDescent="0.35">
      <c r="A6467" s="163"/>
      <c r="B6467" s="164"/>
      <c r="C6467" s="165"/>
      <c r="E6467" s="166"/>
      <c r="F6467" s="166"/>
      <c r="G6467" s="138"/>
      <c r="H6467" s="177"/>
    </row>
    <row r="6468" spans="1:8" s="139" customFormat="1" ht="13.5" customHeight="1" x14ac:dyDescent="0.3">
      <c r="A6468" s="341" t="s">
        <v>392</v>
      </c>
      <c r="B6468" s="331" t="s">
        <v>393</v>
      </c>
      <c r="C6468" s="332" t="s">
        <v>611</v>
      </c>
      <c r="D6468" s="333" t="s">
        <v>765</v>
      </c>
      <c r="E6468" s="334" t="s">
        <v>766</v>
      </c>
      <c r="F6468" s="334" t="s">
        <v>767</v>
      </c>
      <c r="G6468" s="138"/>
      <c r="H6468" s="177"/>
    </row>
    <row r="6469" spans="1:8" s="139" customFormat="1" ht="13.5" customHeight="1" x14ac:dyDescent="0.35">
      <c r="A6469" s="232" t="s">
        <v>443</v>
      </c>
      <c r="B6469" s="353" t="s">
        <v>444</v>
      </c>
      <c r="C6469" s="256"/>
      <c r="D6469" s="146"/>
      <c r="E6469" s="117"/>
      <c r="F6469" s="117"/>
      <c r="G6469" s="138"/>
      <c r="H6469" s="177"/>
    </row>
    <row r="6470" spans="1:8" s="139" customFormat="1" ht="13.5" customHeight="1" x14ac:dyDescent="0.35">
      <c r="A6470" s="232" t="s">
        <v>456</v>
      </c>
      <c r="B6470" s="390" t="s">
        <v>457</v>
      </c>
      <c r="C6470" s="256" t="s">
        <v>7</v>
      </c>
      <c r="D6470" s="146"/>
      <c r="E6470" s="117"/>
      <c r="F6470" s="117"/>
      <c r="G6470" s="138"/>
      <c r="H6470" s="177"/>
    </row>
    <row r="6471" spans="1:8" s="139" customFormat="1" ht="13.5" customHeight="1" x14ac:dyDescent="0.35">
      <c r="A6471" s="146"/>
      <c r="B6471" s="112" t="s">
        <v>802</v>
      </c>
      <c r="C6471" s="124"/>
      <c r="D6471" s="146"/>
      <c r="E6471" s="117"/>
      <c r="F6471" s="117"/>
      <c r="G6471" s="138"/>
      <c r="H6471" s="177"/>
    </row>
    <row r="6472" spans="1:8" s="139" customFormat="1" ht="13.5" customHeight="1" x14ac:dyDescent="0.25">
      <c r="A6472" s="146"/>
      <c r="B6472" s="354" t="s">
        <v>1218</v>
      </c>
      <c r="C6472" s="124" t="s">
        <v>27</v>
      </c>
      <c r="D6472" s="146">
        <v>1</v>
      </c>
      <c r="E6472" s="117">
        <v>4561300</v>
      </c>
      <c r="F6472" s="117">
        <f>D6472*E6472</f>
        <v>4561300</v>
      </c>
      <c r="G6472" s="138"/>
      <c r="H6472" s="177"/>
    </row>
    <row r="6473" spans="1:8" s="139" customFormat="1" ht="13.5" customHeight="1" x14ac:dyDescent="0.35">
      <c r="A6473" s="146"/>
      <c r="B6473" s="120" t="s">
        <v>1057</v>
      </c>
      <c r="C6473" s="124"/>
      <c r="D6473" s="146"/>
      <c r="E6473" s="117"/>
      <c r="F6473" s="117">
        <f>0.1*(F6472)</f>
        <v>456130</v>
      </c>
      <c r="G6473" s="138"/>
      <c r="H6473" s="177"/>
    </row>
    <row r="6474" spans="1:8" s="139" customFormat="1" ht="13.5" customHeight="1" x14ac:dyDescent="0.35">
      <c r="A6474" s="146"/>
      <c r="B6474" s="112" t="s">
        <v>769</v>
      </c>
      <c r="C6474" s="124"/>
      <c r="D6474" s="146"/>
      <c r="E6474" s="117"/>
      <c r="F6474" s="110">
        <f>SUM(F6472:F6473)</f>
        <v>5017430</v>
      </c>
      <c r="G6474" s="138"/>
      <c r="H6474" s="177"/>
    </row>
    <row r="6475" spans="1:8" s="139" customFormat="1" ht="13.5" customHeight="1" x14ac:dyDescent="0.35">
      <c r="A6475" s="146"/>
      <c r="B6475" s="112" t="s">
        <v>808</v>
      </c>
      <c r="C6475" s="124"/>
      <c r="D6475" s="146"/>
      <c r="E6475" s="117"/>
      <c r="F6475" s="117"/>
      <c r="G6475" s="138"/>
      <c r="H6475" s="177"/>
    </row>
    <row r="6476" spans="1:8" s="139" customFormat="1" ht="13.5" customHeight="1" x14ac:dyDescent="0.35">
      <c r="A6476" s="146"/>
      <c r="B6476" s="120" t="s">
        <v>787</v>
      </c>
      <c r="C6476" s="124" t="s">
        <v>1043</v>
      </c>
      <c r="D6476" s="146">
        <v>3</v>
      </c>
      <c r="E6476" s="117">
        <v>15000</v>
      </c>
      <c r="F6476" s="117">
        <f>+D6476*E6476</f>
        <v>45000</v>
      </c>
      <c r="G6476" s="138"/>
      <c r="H6476" s="177"/>
    </row>
    <row r="6477" spans="1:8" s="139" customFormat="1" ht="13.5" customHeight="1" x14ac:dyDescent="0.35">
      <c r="A6477" s="146"/>
      <c r="B6477" s="112" t="s">
        <v>774</v>
      </c>
      <c r="C6477" s="124"/>
      <c r="D6477" s="146"/>
      <c r="E6477" s="117"/>
      <c r="F6477" s="117">
        <f>SUM(F6476)</f>
        <v>45000</v>
      </c>
      <c r="G6477" s="138"/>
      <c r="H6477" s="177"/>
    </row>
    <row r="6478" spans="1:8" s="139" customFormat="1" ht="13.5" customHeight="1" x14ac:dyDescent="0.35">
      <c r="A6478" s="146"/>
      <c r="B6478" s="112" t="s">
        <v>775</v>
      </c>
      <c r="C6478" s="124"/>
      <c r="D6478" s="146"/>
      <c r="E6478" s="117"/>
      <c r="F6478" s="117">
        <f>+F6474+F6477</f>
        <v>5062430</v>
      </c>
      <c r="G6478" s="138"/>
      <c r="H6478" s="177"/>
    </row>
    <row r="6479" spans="1:8" s="139" customFormat="1" ht="13.5" customHeight="1" x14ac:dyDescent="0.35">
      <c r="A6479" s="146"/>
      <c r="B6479" s="120" t="s">
        <v>776</v>
      </c>
      <c r="C6479" s="124"/>
      <c r="D6479" s="146">
        <v>1.25</v>
      </c>
      <c r="E6479" s="117"/>
      <c r="F6479" s="117">
        <f>+F6478*D6479</f>
        <v>6328037.5</v>
      </c>
      <c r="G6479" s="138"/>
      <c r="H6479" s="177"/>
    </row>
    <row r="6480" spans="1:8" s="139" customFormat="1" ht="13.5" customHeight="1" x14ac:dyDescent="0.35">
      <c r="A6480" s="146"/>
      <c r="B6480" s="120" t="s">
        <v>835</v>
      </c>
      <c r="C6480" s="124"/>
      <c r="D6480" s="146">
        <v>1.25</v>
      </c>
      <c r="E6480" s="117"/>
      <c r="F6480" s="117"/>
      <c r="G6480" s="138"/>
      <c r="H6480" s="177"/>
    </row>
    <row r="6481" spans="1:8" s="139" customFormat="1" ht="13.5" customHeight="1" x14ac:dyDescent="0.35">
      <c r="A6481" s="233" t="str">
        <f>+A6470</f>
        <v>13.06.7</v>
      </c>
      <c r="B6481" s="207" t="s">
        <v>778</v>
      </c>
      <c r="C6481" s="233" t="s">
        <v>7</v>
      </c>
      <c r="D6481" s="340"/>
      <c r="E6481" s="209"/>
      <c r="F6481" s="209">
        <f>+D6480*F6479</f>
        <v>7910046.875</v>
      </c>
      <c r="G6481" s="138"/>
      <c r="H6481" s="177"/>
    </row>
    <row r="6482" spans="1:8" s="139" customFormat="1" ht="13.5" customHeight="1" x14ac:dyDescent="0.35">
      <c r="A6482" s="340"/>
      <c r="B6482" s="207"/>
      <c r="C6482" s="208"/>
      <c r="D6482" s="340"/>
      <c r="E6482" s="210">
        <f>+E6465</f>
        <v>3035.45</v>
      </c>
      <c r="F6482" s="210">
        <f>+F6481/E6482</f>
        <v>2605.8893656624227</v>
      </c>
      <c r="G6482" s="138"/>
      <c r="H6482" s="177"/>
    </row>
    <row r="6483" spans="1:8" s="139" customFormat="1" ht="13.5" customHeight="1" x14ac:dyDescent="0.35">
      <c r="A6483" s="163"/>
      <c r="B6483" s="164"/>
      <c r="C6483" s="165"/>
      <c r="E6483" s="166"/>
      <c r="F6483" s="166"/>
      <c r="G6483" s="138"/>
      <c r="H6483" s="177"/>
    </row>
    <row r="6484" spans="1:8" s="139" customFormat="1" ht="13.5" customHeight="1" x14ac:dyDescent="0.35">
      <c r="A6484" s="163"/>
      <c r="B6484" s="164"/>
      <c r="C6484" s="165"/>
      <c r="E6484" s="166"/>
      <c r="F6484" s="166"/>
      <c r="G6484" s="138"/>
      <c r="H6484" s="177"/>
    </row>
    <row r="6485" spans="1:8" s="139" customFormat="1" ht="13.5" customHeight="1" x14ac:dyDescent="0.3">
      <c r="A6485" s="341" t="s">
        <v>392</v>
      </c>
      <c r="B6485" s="331" t="s">
        <v>393</v>
      </c>
      <c r="C6485" s="332" t="s">
        <v>611</v>
      </c>
      <c r="D6485" s="333" t="s">
        <v>765</v>
      </c>
      <c r="E6485" s="334" t="s">
        <v>766</v>
      </c>
      <c r="F6485" s="334" t="s">
        <v>767</v>
      </c>
      <c r="G6485" s="138"/>
      <c r="H6485" s="177"/>
    </row>
    <row r="6486" spans="1:8" s="139" customFormat="1" ht="13.5" customHeight="1" x14ac:dyDescent="0.35">
      <c r="A6486" s="232" t="s">
        <v>443</v>
      </c>
      <c r="B6486" s="353" t="s">
        <v>444</v>
      </c>
      <c r="C6486" s="256"/>
      <c r="D6486" s="146"/>
      <c r="E6486" s="117"/>
      <c r="F6486" s="117"/>
      <c r="G6486" s="138"/>
      <c r="H6486" s="177"/>
    </row>
    <row r="6487" spans="1:8" s="139" customFormat="1" ht="13.5" customHeight="1" x14ac:dyDescent="0.35">
      <c r="A6487" s="232" t="s">
        <v>458</v>
      </c>
      <c r="B6487" s="390" t="s">
        <v>1349</v>
      </c>
      <c r="C6487" s="256" t="s">
        <v>7</v>
      </c>
      <c r="D6487" s="146"/>
      <c r="E6487" s="117"/>
      <c r="F6487" s="117"/>
      <c r="G6487" s="138"/>
      <c r="H6487" s="177"/>
    </row>
    <row r="6488" spans="1:8" s="139" customFormat="1" ht="13.5" customHeight="1" x14ac:dyDescent="0.35">
      <c r="A6488" s="146"/>
      <c r="B6488" s="112" t="s">
        <v>802</v>
      </c>
      <c r="C6488" s="124"/>
      <c r="D6488" s="146"/>
      <c r="E6488" s="117"/>
      <c r="F6488" s="117"/>
      <c r="G6488" s="138"/>
      <c r="H6488" s="177"/>
    </row>
    <row r="6489" spans="1:8" s="139" customFormat="1" ht="13.5" customHeight="1" x14ac:dyDescent="0.25">
      <c r="A6489" s="146"/>
      <c r="B6489" s="354" t="s">
        <v>1218</v>
      </c>
      <c r="C6489" s="124" t="s">
        <v>27</v>
      </c>
      <c r="D6489" s="146">
        <v>1</v>
      </c>
      <c r="E6489" s="117">
        <v>3042800</v>
      </c>
      <c r="F6489" s="117">
        <f>D6489*E6489</f>
        <v>3042800</v>
      </c>
      <c r="G6489" s="138"/>
      <c r="H6489" s="177"/>
    </row>
    <row r="6490" spans="1:8" s="139" customFormat="1" ht="13.5" customHeight="1" x14ac:dyDescent="0.35">
      <c r="A6490" s="146"/>
      <c r="B6490" s="120" t="s">
        <v>1057</v>
      </c>
      <c r="C6490" s="124"/>
      <c r="D6490" s="146"/>
      <c r="E6490" s="117"/>
      <c r="F6490" s="117">
        <f>0.1*(F6489)</f>
        <v>304280</v>
      </c>
      <c r="G6490" s="138"/>
      <c r="H6490" s="177"/>
    </row>
    <row r="6491" spans="1:8" s="139" customFormat="1" ht="13.5" customHeight="1" x14ac:dyDescent="0.35">
      <c r="A6491" s="146"/>
      <c r="B6491" s="112" t="s">
        <v>769</v>
      </c>
      <c r="C6491" s="124"/>
      <c r="D6491" s="146"/>
      <c r="E6491" s="117"/>
      <c r="F6491" s="110">
        <f>SUM(F6489:F6490)</f>
        <v>3347080</v>
      </c>
      <c r="G6491" s="138"/>
      <c r="H6491" s="177"/>
    </row>
    <row r="6492" spans="1:8" s="139" customFormat="1" ht="13.5" customHeight="1" x14ac:dyDescent="0.35">
      <c r="A6492" s="146"/>
      <c r="B6492" s="112" t="s">
        <v>808</v>
      </c>
      <c r="C6492" s="124"/>
      <c r="D6492" s="146"/>
      <c r="E6492" s="117"/>
      <c r="F6492" s="117"/>
      <c r="G6492" s="138"/>
      <c r="H6492" s="177"/>
    </row>
    <row r="6493" spans="1:8" s="139" customFormat="1" ht="13.5" customHeight="1" x14ac:dyDescent="0.35">
      <c r="A6493" s="146"/>
      <c r="B6493" s="120" t="s">
        <v>787</v>
      </c>
      <c r="C6493" s="124" t="s">
        <v>1043</v>
      </c>
      <c r="D6493" s="146">
        <v>3</v>
      </c>
      <c r="E6493" s="117">
        <v>15000</v>
      </c>
      <c r="F6493" s="117">
        <f>+D6493*E6493</f>
        <v>45000</v>
      </c>
      <c r="G6493" s="138"/>
      <c r="H6493" s="177"/>
    </row>
    <row r="6494" spans="1:8" s="139" customFormat="1" ht="13.5" customHeight="1" x14ac:dyDescent="0.35">
      <c r="A6494" s="146"/>
      <c r="B6494" s="112" t="s">
        <v>774</v>
      </c>
      <c r="C6494" s="124"/>
      <c r="D6494" s="146"/>
      <c r="E6494" s="117"/>
      <c r="F6494" s="117">
        <f>SUM(F6493)</f>
        <v>45000</v>
      </c>
      <c r="G6494" s="138"/>
      <c r="H6494" s="177"/>
    </row>
    <row r="6495" spans="1:8" s="139" customFormat="1" ht="13.5" customHeight="1" x14ac:dyDescent="0.35">
      <c r="A6495" s="146"/>
      <c r="B6495" s="112" t="s">
        <v>775</v>
      </c>
      <c r="C6495" s="124"/>
      <c r="D6495" s="146"/>
      <c r="E6495" s="117"/>
      <c r="F6495" s="117">
        <f>+F6491+F6494</f>
        <v>3392080</v>
      </c>
      <c r="G6495" s="138"/>
      <c r="H6495" s="177"/>
    </row>
    <row r="6496" spans="1:8" s="139" customFormat="1" ht="13.5" customHeight="1" x14ac:dyDescent="0.35">
      <c r="A6496" s="146"/>
      <c r="B6496" s="120" t="s">
        <v>776</v>
      </c>
      <c r="C6496" s="124"/>
      <c r="D6496" s="146">
        <v>1.25</v>
      </c>
      <c r="E6496" s="117"/>
      <c r="F6496" s="117">
        <f>+F6495*D6496</f>
        <v>4240100</v>
      </c>
      <c r="G6496" s="138"/>
      <c r="H6496" s="177"/>
    </row>
    <row r="6497" spans="1:8" s="139" customFormat="1" ht="13.5" customHeight="1" x14ac:dyDescent="0.35">
      <c r="A6497" s="146"/>
      <c r="B6497" s="120" t="s">
        <v>835</v>
      </c>
      <c r="C6497" s="124"/>
      <c r="D6497" s="146">
        <v>1.25</v>
      </c>
      <c r="E6497" s="117"/>
      <c r="F6497" s="117"/>
      <c r="G6497" s="138"/>
      <c r="H6497" s="177"/>
    </row>
    <row r="6498" spans="1:8" s="139" customFormat="1" ht="13.5" customHeight="1" x14ac:dyDescent="0.35">
      <c r="A6498" s="233" t="str">
        <f>+A6487</f>
        <v>13.06.8</v>
      </c>
      <c r="B6498" s="207" t="s">
        <v>778</v>
      </c>
      <c r="C6498" s="233" t="s">
        <v>7</v>
      </c>
      <c r="D6498" s="340"/>
      <c r="E6498" s="209"/>
      <c r="F6498" s="209">
        <f>+D6497*F6496</f>
        <v>5300125</v>
      </c>
      <c r="G6498" s="138"/>
      <c r="H6498" s="177"/>
    </row>
    <row r="6499" spans="1:8" s="139" customFormat="1" ht="13.5" customHeight="1" x14ac:dyDescent="0.35">
      <c r="A6499" s="340"/>
      <c r="B6499" s="207"/>
      <c r="C6499" s="208"/>
      <c r="D6499" s="340"/>
      <c r="E6499" s="210">
        <f>+E6482</f>
        <v>3035.45</v>
      </c>
      <c r="F6499" s="210">
        <f>+F6498/E6499</f>
        <v>1746.0755406941312</v>
      </c>
      <c r="G6499" s="138"/>
      <c r="H6499" s="177"/>
    </row>
    <row r="6500" spans="1:8" s="139" customFormat="1" ht="13.5" customHeight="1" x14ac:dyDescent="0.35">
      <c r="A6500" s="163"/>
      <c r="B6500" s="164"/>
      <c r="C6500" s="165"/>
      <c r="E6500" s="166"/>
      <c r="F6500" s="166"/>
      <c r="G6500" s="138"/>
      <c r="H6500" s="177"/>
    </row>
    <row r="6501" spans="1:8" s="139" customFormat="1" ht="13.5" customHeight="1" x14ac:dyDescent="0.35">
      <c r="A6501" s="163"/>
      <c r="B6501" s="164"/>
      <c r="C6501" s="165"/>
      <c r="E6501" s="166"/>
      <c r="F6501" s="166"/>
      <c r="G6501" s="138"/>
      <c r="H6501" s="177"/>
    </row>
    <row r="6502" spans="1:8" s="139" customFormat="1" ht="13.5" customHeight="1" x14ac:dyDescent="0.3">
      <c r="A6502" s="341" t="s">
        <v>392</v>
      </c>
      <c r="B6502" s="331" t="s">
        <v>393</v>
      </c>
      <c r="C6502" s="332" t="s">
        <v>611</v>
      </c>
      <c r="D6502" s="333" t="s">
        <v>765</v>
      </c>
      <c r="E6502" s="334" t="s">
        <v>766</v>
      </c>
      <c r="F6502" s="334" t="s">
        <v>767</v>
      </c>
      <c r="G6502" s="138"/>
      <c r="H6502" s="177"/>
    </row>
    <row r="6503" spans="1:8" s="139" customFormat="1" ht="13.5" customHeight="1" x14ac:dyDescent="0.35">
      <c r="A6503" s="232" t="s">
        <v>443</v>
      </c>
      <c r="B6503" s="353" t="s">
        <v>444</v>
      </c>
      <c r="C6503" s="256"/>
      <c r="D6503" s="146"/>
      <c r="E6503" s="117"/>
      <c r="F6503" s="117"/>
      <c r="G6503" s="138"/>
      <c r="H6503" s="177"/>
    </row>
    <row r="6504" spans="1:8" s="139" customFormat="1" ht="13.5" customHeight="1" x14ac:dyDescent="0.35">
      <c r="A6504" s="232" t="s">
        <v>459</v>
      </c>
      <c r="B6504" s="389" t="s">
        <v>460</v>
      </c>
      <c r="C6504" s="256" t="s">
        <v>7</v>
      </c>
      <c r="D6504" s="146"/>
      <c r="E6504" s="117"/>
      <c r="F6504" s="117"/>
      <c r="G6504" s="138"/>
      <c r="H6504" s="177"/>
    </row>
    <row r="6505" spans="1:8" s="139" customFormat="1" ht="13.5" customHeight="1" x14ac:dyDescent="0.35">
      <c r="A6505" s="146"/>
      <c r="B6505" s="112" t="s">
        <v>802</v>
      </c>
      <c r="C6505" s="124"/>
      <c r="D6505" s="146"/>
      <c r="E6505" s="117"/>
      <c r="F6505" s="117"/>
      <c r="G6505" s="138"/>
      <c r="H6505" s="177"/>
    </row>
    <row r="6506" spans="1:8" s="139" customFormat="1" ht="13.5" customHeight="1" x14ac:dyDescent="0.25">
      <c r="A6506" s="146"/>
      <c r="B6506" s="354" t="s">
        <v>1218</v>
      </c>
      <c r="C6506" s="124" t="s">
        <v>27</v>
      </c>
      <c r="D6506" s="146">
        <v>1</v>
      </c>
      <c r="E6506" s="117">
        <v>3583850</v>
      </c>
      <c r="F6506" s="117">
        <f>D6506*E6506</f>
        <v>3583850</v>
      </c>
      <c r="G6506" s="138"/>
      <c r="H6506" s="177"/>
    </row>
    <row r="6507" spans="1:8" s="139" customFormat="1" ht="13.5" customHeight="1" x14ac:dyDescent="0.35">
      <c r="A6507" s="146"/>
      <c r="B6507" s="120" t="s">
        <v>1057</v>
      </c>
      <c r="C6507" s="124"/>
      <c r="D6507" s="146"/>
      <c r="E6507" s="117"/>
      <c r="F6507" s="117">
        <f>0.1*(F6506)</f>
        <v>358385</v>
      </c>
      <c r="G6507" s="138"/>
      <c r="H6507" s="177"/>
    </row>
    <row r="6508" spans="1:8" s="139" customFormat="1" ht="13.5" customHeight="1" x14ac:dyDescent="0.35">
      <c r="A6508" s="146"/>
      <c r="B6508" s="112" t="s">
        <v>769</v>
      </c>
      <c r="C6508" s="124"/>
      <c r="D6508" s="146"/>
      <c r="E6508" s="117"/>
      <c r="F6508" s="110">
        <f>SUM(F6506:F6507)</f>
        <v>3942235</v>
      </c>
      <c r="G6508" s="138"/>
      <c r="H6508" s="177"/>
    </row>
    <row r="6509" spans="1:8" s="139" customFormat="1" ht="13.5" customHeight="1" x14ac:dyDescent="0.35">
      <c r="A6509" s="146"/>
      <c r="B6509" s="112" t="s">
        <v>808</v>
      </c>
      <c r="C6509" s="124"/>
      <c r="D6509" s="146"/>
      <c r="E6509" s="117"/>
      <c r="F6509" s="117"/>
      <c r="G6509" s="138"/>
      <c r="H6509" s="177"/>
    </row>
    <row r="6510" spans="1:8" s="139" customFormat="1" ht="13.5" customHeight="1" x14ac:dyDescent="0.35">
      <c r="A6510" s="146"/>
      <c r="B6510" s="120" t="s">
        <v>787</v>
      </c>
      <c r="C6510" s="124" t="s">
        <v>1043</v>
      </c>
      <c r="D6510" s="146">
        <v>3</v>
      </c>
      <c r="E6510" s="117">
        <v>15000</v>
      </c>
      <c r="F6510" s="117">
        <f>+D6510*E6510</f>
        <v>45000</v>
      </c>
      <c r="G6510" s="138"/>
      <c r="H6510" s="177"/>
    </row>
    <row r="6511" spans="1:8" s="139" customFormat="1" ht="13.5" customHeight="1" x14ac:dyDescent="0.35">
      <c r="A6511" s="146"/>
      <c r="B6511" s="112" t="s">
        <v>774</v>
      </c>
      <c r="C6511" s="124"/>
      <c r="D6511" s="146"/>
      <c r="E6511" s="117"/>
      <c r="F6511" s="117">
        <f>SUM(F6510)</f>
        <v>45000</v>
      </c>
      <c r="G6511" s="138"/>
      <c r="H6511" s="177"/>
    </row>
    <row r="6512" spans="1:8" s="139" customFormat="1" ht="13.5" customHeight="1" x14ac:dyDescent="0.35">
      <c r="A6512" s="146"/>
      <c r="B6512" s="112" t="s">
        <v>775</v>
      </c>
      <c r="C6512" s="124"/>
      <c r="D6512" s="146"/>
      <c r="E6512" s="117"/>
      <c r="F6512" s="117">
        <f>+F6508+F6511</f>
        <v>3987235</v>
      </c>
      <c r="G6512" s="138"/>
      <c r="H6512" s="177"/>
    </row>
    <row r="6513" spans="1:8" s="139" customFormat="1" ht="13.5" customHeight="1" x14ac:dyDescent="0.35">
      <c r="A6513" s="146"/>
      <c r="B6513" s="120" t="s">
        <v>776</v>
      </c>
      <c r="C6513" s="124"/>
      <c r="D6513" s="146">
        <v>1.25</v>
      </c>
      <c r="E6513" s="117"/>
      <c r="F6513" s="117">
        <f>+F6512*D6513</f>
        <v>4984043.75</v>
      </c>
      <c r="G6513" s="138"/>
      <c r="H6513" s="177"/>
    </row>
    <row r="6514" spans="1:8" s="139" customFormat="1" ht="13.5" customHeight="1" x14ac:dyDescent="0.35">
      <c r="A6514" s="146"/>
      <c r="B6514" s="120" t="s">
        <v>835</v>
      </c>
      <c r="C6514" s="124"/>
      <c r="D6514" s="146">
        <v>1.25</v>
      </c>
      <c r="E6514" s="117"/>
      <c r="F6514" s="117"/>
      <c r="G6514" s="138"/>
      <c r="H6514" s="177"/>
    </row>
    <row r="6515" spans="1:8" s="139" customFormat="1" ht="13.5" customHeight="1" x14ac:dyDescent="0.35">
      <c r="A6515" s="233" t="str">
        <f>+A6504</f>
        <v>13.06.9</v>
      </c>
      <c r="B6515" s="207" t="s">
        <v>778</v>
      </c>
      <c r="C6515" s="233" t="s">
        <v>7</v>
      </c>
      <c r="D6515" s="340"/>
      <c r="E6515" s="209"/>
      <c r="F6515" s="209">
        <f>+D6514*F6513</f>
        <v>6230054.6875</v>
      </c>
      <c r="G6515" s="138"/>
      <c r="H6515" s="177"/>
    </row>
    <row r="6516" spans="1:8" s="139" customFormat="1" ht="13.5" customHeight="1" x14ac:dyDescent="0.35">
      <c r="A6516" s="340"/>
      <c r="B6516" s="207"/>
      <c r="C6516" s="208"/>
      <c r="D6516" s="340"/>
      <c r="E6516" s="210">
        <f>+E6499</f>
        <v>3035.45</v>
      </c>
      <c r="F6516" s="210">
        <f>+F6515/E6516</f>
        <v>2052.4319911380521</v>
      </c>
      <c r="G6516" s="138"/>
      <c r="H6516" s="177"/>
    </row>
    <row r="6517" spans="1:8" s="139" customFormat="1" ht="13.5" customHeight="1" x14ac:dyDescent="0.35">
      <c r="A6517" s="163"/>
      <c r="B6517" s="164"/>
      <c r="C6517" s="165"/>
      <c r="E6517" s="166"/>
      <c r="F6517" s="166"/>
      <c r="G6517" s="138"/>
      <c r="H6517" s="177"/>
    </row>
    <row r="6518" spans="1:8" s="139" customFormat="1" ht="13.5" customHeight="1" x14ac:dyDescent="0.35">
      <c r="A6518" s="163"/>
      <c r="B6518" s="164"/>
      <c r="C6518" s="165"/>
      <c r="E6518" s="166"/>
      <c r="F6518" s="166"/>
      <c r="G6518" s="138"/>
      <c r="H6518" s="177"/>
    </row>
    <row r="6519" spans="1:8" s="139" customFormat="1" ht="13.5" customHeight="1" x14ac:dyDescent="0.3">
      <c r="A6519" s="341" t="s">
        <v>392</v>
      </c>
      <c r="B6519" s="331" t="s">
        <v>393</v>
      </c>
      <c r="C6519" s="332" t="s">
        <v>611</v>
      </c>
      <c r="D6519" s="333" t="s">
        <v>765</v>
      </c>
      <c r="E6519" s="334" t="s">
        <v>766</v>
      </c>
      <c r="F6519" s="334" t="s">
        <v>767</v>
      </c>
      <c r="G6519" s="138"/>
      <c r="H6519" s="177"/>
    </row>
    <row r="6520" spans="1:8" s="139" customFormat="1" ht="13.5" customHeight="1" x14ac:dyDescent="0.35">
      <c r="A6520" s="232" t="s">
        <v>443</v>
      </c>
      <c r="B6520" s="353" t="s">
        <v>444</v>
      </c>
      <c r="C6520" s="256"/>
      <c r="D6520" s="146"/>
      <c r="E6520" s="117"/>
      <c r="F6520" s="117"/>
      <c r="G6520" s="138"/>
      <c r="H6520" s="177"/>
    </row>
    <row r="6521" spans="1:8" s="139" customFormat="1" ht="13.5" customHeight="1" x14ac:dyDescent="0.35">
      <c r="A6521" s="232" t="s">
        <v>461</v>
      </c>
      <c r="B6521" s="389" t="s">
        <v>1350</v>
      </c>
      <c r="C6521" s="256" t="s">
        <v>7</v>
      </c>
      <c r="D6521" s="146"/>
      <c r="E6521" s="117"/>
      <c r="F6521" s="117"/>
      <c r="G6521" s="138"/>
      <c r="H6521" s="177"/>
    </row>
    <row r="6522" spans="1:8" s="139" customFormat="1" ht="13.5" customHeight="1" x14ac:dyDescent="0.35">
      <c r="A6522" s="146"/>
      <c r="B6522" s="112" t="s">
        <v>802</v>
      </c>
      <c r="C6522" s="124"/>
      <c r="D6522" s="146"/>
      <c r="E6522" s="117"/>
      <c r="F6522" s="117"/>
      <c r="G6522" s="138"/>
      <c r="H6522" s="177"/>
    </row>
    <row r="6523" spans="1:8" s="139" customFormat="1" ht="13.5" customHeight="1" x14ac:dyDescent="0.25">
      <c r="A6523" s="146"/>
      <c r="B6523" s="354" t="s">
        <v>1218</v>
      </c>
      <c r="C6523" s="124" t="s">
        <v>27</v>
      </c>
      <c r="D6523" s="146">
        <v>1</v>
      </c>
      <c r="E6523" s="117">
        <v>3583850</v>
      </c>
      <c r="F6523" s="117">
        <f>D6523*E6523</f>
        <v>3583850</v>
      </c>
      <c r="G6523" s="138"/>
      <c r="H6523" s="177"/>
    </row>
    <row r="6524" spans="1:8" s="139" customFormat="1" ht="13.5" customHeight="1" x14ac:dyDescent="0.35">
      <c r="A6524" s="146"/>
      <c r="B6524" s="120" t="s">
        <v>1057</v>
      </c>
      <c r="C6524" s="124"/>
      <c r="D6524" s="146"/>
      <c r="E6524" s="117"/>
      <c r="F6524" s="117">
        <f>0.1*(F6523)</f>
        <v>358385</v>
      </c>
      <c r="G6524" s="138"/>
      <c r="H6524" s="177"/>
    </row>
    <row r="6525" spans="1:8" s="139" customFormat="1" ht="13.5" customHeight="1" x14ac:dyDescent="0.35">
      <c r="A6525" s="146"/>
      <c r="B6525" s="112" t="s">
        <v>769</v>
      </c>
      <c r="C6525" s="124"/>
      <c r="D6525" s="146"/>
      <c r="E6525" s="117"/>
      <c r="F6525" s="110">
        <f>SUM(F6523:F6524)</f>
        <v>3942235</v>
      </c>
      <c r="G6525" s="138"/>
      <c r="H6525" s="177"/>
    </row>
    <row r="6526" spans="1:8" s="139" customFormat="1" ht="13.5" customHeight="1" x14ac:dyDescent="0.35">
      <c r="A6526" s="146"/>
      <c r="B6526" s="112" t="s">
        <v>808</v>
      </c>
      <c r="C6526" s="124"/>
      <c r="D6526" s="146"/>
      <c r="E6526" s="117"/>
      <c r="F6526" s="117"/>
      <c r="G6526" s="138"/>
      <c r="H6526" s="177"/>
    </row>
    <row r="6527" spans="1:8" s="139" customFormat="1" ht="13.5" customHeight="1" x14ac:dyDescent="0.35">
      <c r="A6527" s="146"/>
      <c r="B6527" s="120" t="s">
        <v>787</v>
      </c>
      <c r="C6527" s="124" t="s">
        <v>1043</v>
      </c>
      <c r="D6527" s="146">
        <v>3</v>
      </c>
      <c r="E6527" s="117">
        <v>15000</v>
      </c>
      <c r="F6527" s="117">
        <f>+D6527*E6527</f>
        <v>45000</v>
      </c>
      <c r="G6527" s="138"/>
      <c r="H6527" s="177"/>
    </row>
    <row r="6528" spans="1:8" s="139" customFormat="1" ht="13.5" customHeight="1" x14ac:dyDescent="0.35">
      <c r="A6528" s="146"/>
      <c r="B6528" s="112" t="s">
        <v>774</v>
      </c>
      <c r="C6528" s="124"/>
      <c r="D6528" s="146"/>
      <c r="E6528" s="117"/>
      <c r="F6528" s="117">
        <f>SUM(F6527)</f>
        <v>45000</v>
      </c>
      <c r="G6528" s="138"/>
      <c r="H6528" s="177"/>
    </row>
    <row r="6529" spans="1:8" s="139" customFormat="1" ht="13.5" customHeight="1" x14ac:dyDescent="0.35">
      <c r="A6529" s="146"/>
      <c r="B6529" s="112" t="s">
        <v>775</v>
      </c>
      <c r="C6529" s="124"/>
      <c r="D6529" s="146"/>
      <c r="E6529" s="117"/>
      <c r="F6529" s="117">
        <f>+F6525+F6528</f>
        <v>3987235</v>
      </c>
      <c r="G6529" s="138"/>
      <c r="H6529" s="177"/>
    </row>
    <row r="6530" spans="1:8" s="139" customFormat="1" ht="13.5" customHeight="1" x14ac:dyDescent="0.35">
      <c r="A6530" s="146"/>
      <c r="B6530" s="120" t="s">
        <v>776</v>
      </c>
      <c r="C6530" s="124"/>
      <c r="D6530" s="146">
        <v>1.25</v>
      </c>
      <c r="E6530" s="117"/>
      <c r="F6530" s="117">
        <f>+F6529*D6530</f>
        <v>4984043.75</v>
      </c>
      <c r="G6530" s="138"/>
      <c r="H6530" s="177"/>
    </row>
    <row r="6531" spans="1:8" s="139" customFormat="1" ht="13.5" customHeight="1" x14ac:dyDescent="0.35">
      <c r="A6531" s="146"/>
      <c r="B6531" s="120" t="s">
        <v>835</v>
      </c>
      <c r="C6531" s="124"/>
      <c r="D6531" s="146">
        <v>1.25</v>
      </c>
      <c r="E6531" s="117"/>
      <c r="F6531" s="117"/>
      <c r="G6531" s="138"/>
      <c r="H6531" s="177"/>
    </row>
    <row r="6532" spans="1:8" s="139" customFormat="1" ht="13.5" customHeight="1" x14ac:dyDescent="0.35">
      <c r="A6532" s="233" t="str">
        <f>+A6521</f>
        <v>13.06.10</v>
      </c>
      <c r="B6532" s="207" t="s">
        <v>778</v>
      </c>
      <c r="C6532" s="233" t="s">
        <v>7</v>
      </c>
      <c r="D6532" s="340"/>
      <c r="E6532" s="209"/>
      <c r="F6532" s="209">
        <f>+D6531*F6530</f>
        <v>6230054.6875</v>
      </c>
      <c r="G6532" s="138"/>
      <c r="H6532" s="177"/>
    </row>
    <row r="6533" spans="1:8" s="139" customFormat="1" ht="13.5" customHeight="1" x14ac:dyDescent="0.35">
      <c r="A6533" s="340"/>
      <c r="B6533" s="207"/>
      <c r="C6533" s="208"/>
      <c r="D6533" s="340"/>
      <c r="E6533" s="210">
        <f>+E6516</f>
        <v>3035.45</v>
      </c>
      <c r="F6533" s="210">
        <f>+F6532/E6533</f>
        <v>2052.4319911380521</v>
      </c>
      <c r="G6533" s="138"/>
      <c r="H6533" s="177"/>
    </row>
    <row r="6534" spans="1:8" s="139" customFormat="1" ht="13.5" customHeight="1" x14ac:dyDescent="0.35">
      <c r="A6534" s="163"/>
      <c r="B6534" s="164"/>
      <c r="C6534" s="165"/>
      <c r="E6534" s="166"/>
      <c r="F6534" s="166"/>
      <c r="G6534" s="138"/>
      <c r="H6534" s="177"/>
    </row>
    <row r="6535" spans="1:8" s="139" customFormat="1" ht="13.5" customHeight="1" x14ac:dyDescent="0.35">
      <c r="A6535" s="163"/>
      <c r="B6535" s="164"/>
      <c r="C6535" s="165"/>
      <c r="E6535" s="166"/>
      <c r="F6535" s="166"/>
      <c r="G6535" s="138"/>
      <c r="H6535" s="177"/>
    </row>
    <row r="6536" spans="1:8" s="139" customFormat="1" ht="13.5" customHeight="1" x14ac:dyDescent="0.3">
      <c r="A6536" s="341" t="s">
        <v>392</v>
      </c>
      <c r="B6536" s="331" t="s">
        <v>393</v>
      </c>
      <c r="C6536" s="332" t="s">
        <v>611</v>
      </c>
      <c r="D6536" s="333" t="s">
        <v>765</v>
      </c>
      <c r="E6536" s="334" t="s">
        <v>766</v>
      </c>
      <c r="F6536" s="334" t="s">
        <v>767</v>
      </c>
      <c r="G6536" s="138"/>
      <c r="H6536" s="177"/>
    </row>
    <row r="6537" spans="1:8" s="139" customFormat="1" ht="13.5" customHeight="1" x14ac:dyDescent="0.35">
      <c r="A6537" s="232" t="s">
        <v>443</v>
      </c>
      <c r="B6537" s="353" t="s">
        <v>444</v>
      </c>
      <c r="C6537" s="256"/>
      <c r="D6537" s="146"/>
      <c r="E6537" s="117"/>
      <c r="F6537" s="117"/>
      <c r="G6537" s="138"/>
      <c r="H6537" s="177"/>
    </row>
    <row r="6538" spans="1:8" s="139" customFormat="1" ht="13.5" customHeight="1" x14ac:dyDescent="0.35">
      <c r="A6538" s="232" t="s">
        <v>462</v>
      </c>
      <c r="B6538" s="389" t="s">
        <v>463</v>
      </c>
      <c r="C6538" s="256" t="s">
        <v>7</v>
      </c>
      <c r="D6538" s="146"/>
      <c r="E6538" s="117"/>
      <c r="F6538" s="117"/>
      <c r="G6538" s="138"/>
      <c r="H6538" s="177"/>
    </row>
    <row r="6539" spans="1:8" s="139" customFormat="1" ht="13.5" customHeight="1" x14ac:dyDescent="0.35">
      <c r="A6539" s="146"/>
      <c r="B6539" s="112" t="s">
        <v>802</v>
      </c>
      <c r="C6539" s="124"/>
      <c r="D6539" s="146"/>
      <c r="E6539" s="117"/>
      <c r="F6539" s="117"/>
      <c r="G6539" s="138"/>
      <c r="H6539" s="177"/>
    </row>
    <row r="6540" spans="1:8" s="139" customFormat="1" ht="13.5" customHeight="1" x14ac:dyDescent="0.25">
      <c r="A6540" s="146"/>
      <c r="B6540" s="354" t="s">
        <v>1218</v>
      </c>
      <c r="C6540" s="124" t="s">
        <v>27</v>
      </c>
      <c r="D6540" s="146">
        <v>1</v>
      </c>
      <c r="E6540" s="117">
        <v>922600</v>
      </c>
      <c r="F6540" s="117">
        <f>D6540*E6540</f>
        <v>922600</v>
      </c>
      <c r="G6540" s="138"/>
      <c r="H6540" s="177"/>
    </row>
    <row r="6541" spans="1:8" s="139" customFormat="1" ht="13.5" customHeight="1" x14ac:dyDescent="0.35">
      <c r="A6541" s="146"/>
      <c r="B6541" s="120" t="s">
        <v>1057</v>
      </c>
      <c r="C6541" s="124"/>
      <c r="D6541" s="146"/>
      <c r="E6541" s="117"/>
      <c r="F6541" s="117">
        <f>0.1*(F6540)</f>
        <v>92260</v>
      </c>
      <c r="G6541" s="138"/>
      <c r="H6541" s="177"/>
    </row>
    <row r="6542" spans="1:8" s="139" customFormat="1" ht="13.5" customHeight="1" x14ac:dyDescent="0.35">
      <c r="A6542" s="146"/>
      <c r="B6542" s="112" t="s">
        <v>769</v>
      </c>
      <c r="C6542" s="124"/>
      <c r="D6542" s="146"/>
      <c r="E6542" s="117"/>
      <c r="F6542" s="110">
        <f>SUM(F6540:F6541)</f>
        <v>1014860</v>
      </c>
      <c r="G6542" s="138"/>
      <c r="H6542" s="177"/>
    </row>
    <row r="6543" spans="1:8" s="139" customFormat="1" ht="13.5" customHeight="1" x14ac:dyDescent="0.35">
      <c r="A6543" s="146"/>
      <c r="B6543" s="112" t="s">
        <v>808</v>
      </c>
      <c r="C6543" s="124"/>
      <c r="D6543" s="146"/>
      <c r="E6543" s="117"/>
      <c r="F6543" s="117"/>
      <c r="G6543" s="138"/>
      <c r="H6543" s="177"/>
    </row>
    <row r="6544" spans="1:8" s="139" customFormat="1" ht="13.5" customHeight="1" x14ac:dyDescent="0.35">
      <c r="A6544" s="146"/>
      <c r="B6544" s="120" t="s">
        <v>787</v>
      </c>
      <c r="C6544" s="124" t="s">
        <v>1043</v>
      </c>
      <c r="D6544" s="146">
        <v>3</v>
      </c>
      <c r="E6544" s="117">
        <v>15000</v>
      </c>
      <c r="F6544" s="117">
        <f>+D6544*E6544</f>
        <v>45000</v>
      </c>
      <c r="G6544" s="138"/>
      <c r="H6544" s="177"/>
    </row>
    <row r="6545" spans="1:8" s="139" customFormat="1" ht="13.5" customHeight="1" x14ac:dyDescent="0.35">
      <c r="A6545" s="146"/>
      <c r="B6545" s="112" t="s">
        <v>774</v>
      </c>
      <c r="C6545" s="124"/>
      <c r="D6545" s="146"/>
      <c r="E6545" s="117"/>
      <c r="F6545" s="117">
        <f>SUM(F6544)</f>
        <v>45000</v>
      </c>
      <c r="G6545" s="138"/>
      <c r="H6545" s="177"/>
    </row>
    <row r="6546" spans="1:8" s="139" customFormat="1" ht="13.5" customHeight="1" x14ac:dyDescent="0.35">
      <c r="A6546" s="146"/>
      <c r="B6546" s="112" t="s">
        <v>775</v>
      </c>
      <c r="C6546" s="124"/>
      <c r="D6546" s="146"/>
      <c r="E6546" s="117"/>
      <c r="F6546" s="117">
        <f>+F6542+F6545</f>
        <v>1059860</v>
      </c>
      <c r="G6546" s="138"/>
      <c r="H6546" s="177"/>
    </row>
    <row r="6547" spans="1:8" s="139" customFormat="1" ht="13.5" customHeight="1" x14ac:dyDescent="0.35">
      <c r="A6547" s="146"/>
      <c r="B6547" s="120" t="s">
        <v>776</v>
      </c>
      <c r="C6547" s="124"/>
      <c r="D6547" s="146">
        <v>1.25</v>
      </c>
      <c r="E6547" s="117"/>
      <c r="F6547" s="117">
        <f>+F6546*D6547</f>
        <v>1324825</v>
      </c>
      <c r="G6547" s="138"/>
      <c r="H6547" s="177"/>
    </row>
    <row r="6548" spans="1:8" s="139" customFormat="1" ht="13.5" customHeight="1" x14ac:dyDescent="0.35">
      <c r="A6548" s="146"/>
      <c r="B6548" s="120" t="s">
        <v>835</v>
      </c>
      <c r="C6548" s="124"/>
      <c r="D6548" s="146">
        <v>1.25</v>
      </c>
      <c r="E6548" s="117"/>
      <c r="F6548" s="117"/>
      <c r="G6548" s="138"/>
      <c r="H6548" s="177"/>
    </row>
    <row r="6549" spans="1:8" s="139" customFormat="1" ht="13.5" customHeight="1" x14ac:dyDescent="0.35">
      <c r="A6549" s="233" t="str">
        <f>+A6538</f>
        <v>13.06.11</v>
      </c>
      <c r="B6549" s="207" t="s">
        <v>778</v>
      </c>
      <c r="C6549" s="233" t="s">
        <v>7</v>
      </c>
      <c r="D6549" s="340"/>
      <c r="E6549" s="209"/>
      <c r="F6549" s="209">
        <f>+D6548*F6547</f>
        <v>1656031.25</v>
      </c>
      <c r="G6549" s="138"/>
      <c r="H6549" s="177"/>
    </row>
    <row r="6550" spans="1:8" s="139" customFormat="1" ht="13.5" customHeight="1" x14ac:dyDescent="0.35">
      <c r="A6550" s="340"/>
      <c r="B6550" s="207"/>
      <c r="C6550" s="208"/>
      <c r="D6550" s="340"/>
      <c r="E6550" s="210">
        <f>+E6533</f>
        <v>3035.45</v>
      </c>
      <c r="F6550" s="210">
        <f>+F6549/E6550</f>
        <v>545.56367260208538</v>
      </c>
      <c r="G6550" s="138"/>
      <c r="H6550" s="177"/>
    </row>
    <row r="6551" spans="1:8" s="139" customFormat="1" ht="13.5" customHeight="1" x14ac:dyDescent="0.35">
      <c r="A6551" s="163"/>
      <c r="B6551" s="164"/>
      <c r="C6551" s="165"/>
      <c r="E6551" s="166"/>
      <c r="F6551" s="166"/>
      <c r="G6551" s="138"/>
      <c r="H6551" s="177"/>
    </row>
    <row r="6552" spans="1:8" s="139" customFormat="1" ht="13.5" customHeight="1" x14ac:dyDescent="0.35">
      <c r="A6552" s="163"/>
      <c r="B6552" s="164"/>
      <c r="C6552" s="165"/>
      <c r="E6552" s="166"/>
      <c r="F6552" s="166"/>
      <c r="G6552" s="138"/>
      <c r="H6552" s="177"/>
    </row>
    <row r="6553" spans="1:8" s="139" customFormat="1" ht="13.5" customHeight="1" x14ac:dyDescent="0.3">
      <c r="A6553" s="341" t="s">
        <v>392</v>
      </c>
      <c r="B6553" s="331" t="s">
        <v>393</v>
      </c>
      <c r="C6553" s="332" t="s">
        <v>611</v>
      </c>
      <c r="D6553" s="333" t="s">
        <v>765</v>
      </c>
      <c r="E6553" s="334" t="s">
        <v>766</v>
      </c>
      <c r="F6553" s="334" t="s">
        <v>767</v>
      </c>
      <c r="G6553" s="138"/>
      <c r="H6553" s="177"/>
    </row>
    <row r="6554" spans="1:8" s="139" customFormat="1" ht="13.5" customHeight="1" x14ac:dyDescent="0.35">
      <c r="A6554" s="232" t="s">
        <v>443</v>
      </c>
      <c r="B6554" s="353" t="s">
        <v>444</v>
      </c>
      <c r="C6554" s="256"/>
      <c r="D6554" s="146"/>
      <c r="E6554" s="117"/>
      <c r="F6554" s="117"/>
      <c r="G6554" s="138"/>
      <c r="H6554" s="177"/>
    </row>
    <row r="6555" spans="1:8" s="139" customFormat="1" ht="13.5" customHeight="1" x14ac:dyDescent="0.35">
      <c r="A6555" s="232" t="s">
        <v>464</v>
      </c>
      <c r="B6555" s="389" t="s">
        <v>465</v>
      </c>
      <c r="C6555" s="256" t="s">
        <v>7</v>
      </c>
      <c r="D6555" s="146"/>
      <c r="E6555" s="117"/>
      <c r="F6555" s="117"/>
      <c r="G6555" s="138"/>
      <c r="H6555" s="177"/>
    </row>
    <row r="6556" spans="1:8" s="139" customFormat="1" ht="13.5" customHeight="1" x14ac:dyDescent="0.35">
      <c r="A6556" s="146"/>
      <c r="B6556" s="112" t="s">
        <v>802</v>
      </c>
      <c r="C6556" s="124"/>
      <c r="D6556" s="146"/>
      <c r="E6556" s="117"/>
      <c r="F6556" s="117"/>
      <c r="G6556" s="138"/>
      <c r="H6556" s="177"/>
    </row>
    <row r="6557" spans="1:8" s="139" customFormat="1" ht="13.5" customHeight="1" x14ac:dyDescent="0.25">
      <c r="A6557" s="146"/>
      <c r="B6557" s="354" t="s">
        <v>1218</v>
      </c>
      <c r="C6557" s="124" t="s">
        <v>27</v>
      </c>
      <c r="D6557" s="146">
        <v>1</v>
      </c>
      <c r="E6557" s="117">
        <v>3631528</v>
      </c>
      <c r="F6557" s="117">
        <f>D6557*E6557</f>
        <v>3631528</v>
      </c>
      <c r="G6557" s="138"/>
      <c r="H6557" s="177"/>
    </row>
    <row r="6558" spans="1:8" s="139" customFormat="1" ht="13.5" customHeight="1" x14ac:dyDescent="0.35">
      <c r="A6558" s="146"/>
      <c r="B6558" s="120" t="s">
        <v>1057</v>
      </c>
      <c r="C6558" s="124"/>
      <c r="D6558" s="146"/>
      <c r="E6558" s="117"/>
      <c r="F6558" s="117">
        <f>0.1*(F6557)</f>
        <v>363152.80000000005</v>
      </c>
      <c r="G6558" s="138"/>
      <c r="H6558" s="177"/>
    </row>
    <row r="6559" spans="1:8" s="139" customFormat="1" ht="13.5" customHeight="1" x14ac:dyDescent="0.35">
      <c r="A6559" s="146"/>
      <c r="B6559" s="112" t="s">
        <v>769</v>
      </c>
      <c r="C6559" s="124"/>
      <c r="D6559" s="146"/>
      <c r="E6559" s="117"/>
      <c r="F6559" s="110">
        <f>SUM(F6557:F6558)</f>
        <v>3994680.8</v>
      </c>
      <c r="G6559" s="138"/>
      <c r="H6559" s="177"/>
    </row>
    <row r="6560" spans="1:8" s="139" customFormat="1" ht="13.5" customHeight="1" x14ac:dyDescent="0.35">
      <c r="A6560" s="146"/>
      <c r="B6560" s="112" t="s">
        <v>808</v>
      </c>
      <c r="C6560" s="124"/>
      <c r="D6560" s="146"/>
      <c r="E6560" s="117"/>
      <c r="F6560" s="117"/>
      <c r="G6560" s="138"/>
      <c r="H6560" s="177"/>
    </row>
    <row r="6561" spans="1:8" s="139" customFormat="1" ht="13.5" customHeight="1" x14ac:dyDescent="0.35">
      <c r="A6561" s="146"/>
      <c r="B6561" s="120" t="s">
        <v>787</v>
      </c>
      <c r="C6561" s="124" t="s">
        <v>1043</v>
      </c>
      <c r="D6561" s="146">
        <v>3</v>
      </c>
      <c r="E6561" s="117">
        <v>15000</v>
      </c>
      <c r="F6561" s="117">
        <f>+D6561*E6561</f>
        <v>45000</v>
      </c>
      <c r="G6561" s="138"/>
      <c r="H6561" s="177"/>
    </row>
    <row r="6562" spans="1:8" s="139" customFormat="1" ht="13.5" customHeight="1" x14ac:dyDescent="0.35">
      <c r="A6562" s="146"/>
      <c r="B6562" s="112" t="s">
        <v>774</v>
      </c>
      <c r="C6562" s="124"/>
      <c r="D6562" s="146"/>
      <c r="E6562" s="117"/>
      <c r="F6562" s="117">
        <f>SUM(F6561)</f>
        <v>45000</v>
      </c>
      <c r="G6562" s="138"/>
      <c r="H6562" s="177"/>
    </row>
    <row r="6563" spans="1:8" s="139" customFormat="1" ht="13.5" customHeight="1" x14ac:dyDescent="0.35">
      <c r="A6563" s="146"/>
      <c r="B6563" s="112" t="s">
        <v>775</v>
      </c>
      <c r="C6563" s="124"/>
      <c r="D6563" s="146"/>
      <c r="E6563" s="117"/>
      <c r="F6563" s="117">
        <f>+F6559+F6562</f>
        <v>4039680.8</v>
      </c>
      <c r="G6563" s="138"/>
      <c r="H6563" s="177"/>
    </row>
    <row r="6564" spans="1:8" s="139" customFormat="1" ht="13.5" customHeight="1" x14ac:dyDescent="0.35">
      <c r="A6564" s="146"/>
      <c r="B6564" s="120" t="s">
        <v>776</v>
      </c>
      <c r="C6564" s="124"/>
      <c r="D6564" s="146">
        <v>1.25</v>
      </c>
      <c r="E6564" s="117"/>
      <c r="F6564" s="117">
        <f>+F6563*D6564</f>
        <v>5049601</v>
      </c>
      <c r="G6564" s="138"/>
      <c r="H6564" s="177"/>
    </row>
    <row r="6565" spans="1:8" s="139" customFormat="1" ht="13.5" customHeight="1" x14ac:dyDescent="0.35">
      <c r="A6565" s="146"/>
      <c r="B6565" s="120" t="s">
        <v>835</v>
      </c>
      <c r="C6565" s="124"/>
      <c r="D6565" s="146">
        <v>1.25</v>
      </c>
      <c r="E6565" s="117"/>
      <c r="F6565" s="117"/>
      <c r="G6565" s="138"/>
      <c r="H6565" s="177"/>
    </row>
    <row r="6566" spans="1:8" s="139" customFormat="1" ht="13.5" customHeight="1" x14ac:dyDescent="0.35">
      <c r="A6566" s="233" t="str">
        <f>+A6555</f>
        <v>13.06.12</v>
      </c>
      <c r="B6566" s="207" t="s">
        <v>778</v>
      </c>
      <c r="C6566" s="233" t="s">
        <v>7</v>
      </c>
      <c r="D6566" s="340"/>
      <c r="E6566" s="209"/>
      <c r="F6566" s="209">
        <f>+D6565*F6564</f>
        <v>6312001.25</v>
      </c>
      <c r="G6566" s="138"/>
      <c r="H6566" s="177"/>
    </row>
    <row r="6567" spans="1:8" s="139" customFormat="1" ht="13.5" customHeight="1" x14ac:dyDescent="0.35">
      <c r="A6567" s="340"/>
      <c r="B6567" s="207"/>
      <c r="C6567" s="208"/>
      <c r="D6567" s="340"/>
      <c r="E6567" s="210">
        <f>+E6550</f>
        <v>3035.45</v>
      </c>
      <c r="F6567" s="210">
        <f>+F6566/E6567</f>
        <v>2079.4285031873364</v>
      </c>
      <c r="G6567" s="138"/>
      <c r="H6567" s="177"/>
    </row>
    <row r="6568" spans="1:8" s="139" customFormat="1" ht="13.5" customHeight="1" x14ac:dyDescent="0.35">
      <c r="A6568" s="163"/>
      <c r="B6568" s="164"/>
      <c r="C6568" s="165"/>
      <c r="E6568" s="166"/>
      <c r="F6568" s="166"/>
      <c r="G6568" s="138"/>
      <c r="H6568" s="177"/>
    </row>
    <row r="6569" spans="1:8" s="139" customFormat="1" ht="13.5" customHeight="1" x14ac:dyDescent="0.35">
      <c r="A6569" s="163"/>
      <c r="B6569" s="164"/>
      <c r="C6569" s="165"/>
      <c r="E6569" s="166"/>
      <c r="F6569" s="166"/>
      <c r="G6569" s="138"/>
      <c r="H6569" s="177"/>
    </row>
    <row r="6570" spans="1:8" s="139" customFormat="1" ht="13.5" customHeight="1" x14ac:dyDescent="0.3">
      <c r="A6570" s="341" t="s">
        <v>392</v>
      </c>
      <c r="B6570" s="331" t="s">
        <v>393</v>
      </c>
      <c r="C6570" s="332" t="s">
        <v>611</v>
      </c>
      <c r="D6570" s="333" t="s">
        <v>765</v>
      </c>
      <c r="E6570" s="334" t="s">
        <v>766</v>
      </c>
      <c r="F6570" s="334" t="s">
        <v>767</v>
      </c>
      <c r="G6570" s="138"/>
      <c r="H6570" s="177"/>
    </row>
    <row r="6571" spans="1:8" s="139" customFormat="1" ht="13.5" customHeight="1" x14ac:dyDescent="0.35">
      <c r="A6571" s="232" t="s">
        <v>443</v>
      </c>
      <c r="B6571" s="353" t="s">
        <v>444</v>
      </c>
      <c r="C6571" s="256"/>
      <c r="D6571" s="146"/>
      <c r="E6571" s="117"/>
      <c r="F6571" s="117"/>
      <c r="G6571" s="138"/>
      <c r="H6571" s="177"/>
    </row>
    <row r="6572" spans="1:8" s="139" customFormat="1" ht="13.5" customHeight="1" x14ac:dyDescent="0.35">
      <c r="A6572" s="232" t="s">
        <v>466</v>
      </c>
      <c r="B6572" s="389" t="s">
        <v>467</v>
      </c>
      <c r="C6572" s="256" t="s">
        <v>7</v>
      </c>
      <c r="D6572" s="146"/>
      <c r="E6572" s="117"/>
      <c r="F6572" s="117"/>
      <c r="G6572" s="138"/>
      <c r="H6572" s="177"/>
    </row>
    <row r="6573" spans="1:8" s="139" customFormat="1" ht="13.5" customHeight="1" x14ac:dyDescent="0.35">
      <c r="A6573" s="146"/>
      <c r="B6573" s="112" t="s">
        <v>802</v>
      </c>
      <c r="C6573" s="124"/>
      <c r="D6573" s="146"/>
      <c r="E6573" s="117"/>
      <c r="F6573" s="117"/>
      <c r="G6573" s="138"/>
      <c r="H6573" s="177"/>
    </row>
    <row r="6574" spans="1:8" s="139" customFormat="1" ht="13.5" customHeight="1" x14ac:dyDescent="0.25">
      <c r="A6574" s="146"/>
      <c r="B6574" s="354" t="s">
        <v>1218</v>
      </c>
      <c r="C6574" s="124" t="s">
        <v>27</v>
      </c>
      <c r="D6574" s="146">
        <v>1</v>
      </c>
      <c r="E6574" s="117">
        <v>1840691</v>
      </c>
      <c r="F6574" s="117">
        <f>D6574*E6574</f>
        <v>1840691</v>
      </c>
      <c r="G6574" s="138"/>
      <c r="H6574" s="177"/>
    </row>
    <row r="6575" spans="1:8" s="139" customFormat="1" ht="13.5" customHeight="1" x14ac:dyDescent="0.35">
      <c r="A6575" s="146"/>
      <c r="B6575" s="120" t="s">
        <v>1057</v>
      </c>
      <c r="C6575" s="124"/>
      <c r="D6575" s="146"/>
      <c r="E6575" s="117"/>
      <c r="F6575" s="117">
        <f>0.1*(F6574)</f>
        <v>184069.1</v>
      </c>
      <c r="G6575" s="138"/>
      <c r="H6575" s="177"/>
    </row>
    <row r="6576" spans="1:8" s="139" customFormat="1" ht="13.5" customHeight="1" x14ac:dyDescent="0.35">
      <c r="A6576" s="146"/>
      <c r="B6576" s="112" t="s">
        <v>769</v>
      </c>
      <c r="C6576" s="124"/>
      <c r="D6576" s="146"/>
      <c r="E6576" s="117"/>
      <c r="F6576" s="110">
        <f>SUM(F6574:F6575)</f>
        <v>2024760.1</v>
      </c>
      <c r="G6576" s="138"/>
      <c r="H6576" s="177"/>
    </row>
    <row r="6577" spans="1:8" s="139" customFormat="1" ht="13.5" customHeight="1" x14ac:dyDescent="0.35">
      <c r="A6577" s="146"/>
      <c r="B6577" s="112" t="s">
        <v>808</v>
      </c>
      <c r="C6577" s="124"/>
      <c r="D6577" s="146"/>
      <c r="E6577" s="117"/>
      <c r="F6577" s="117"/>
      <c r="G6577" s="138"/>
      <c r="H6577" s="177"/>
    </row>
    <row r="6578" spans="1:8" s="139" customFormat="1" ht="13.5" customHeight="1" x14ac:dyDescent="0.35">
      <c r="A6578" s="146"/>
      <c r="B6578" s="120" t="s">
        <v>787</v>
      </c>
      <c r="C6578" s="124" t="s">
        <v>1043</v>
      </c>
      <c r="D6578" s="146">
        <v>3</v>
      </c>
      <c r="E6578" s="117">
        <v>15000</v>
      </c>
      <c r="F6578" s="117">
        <f>+D6578*E6578</f>
        <v>45000</v>
      </c>
      <c r="G6578" s="138"/>
      <c r="H6578" s="177"/>
    </row>
    <row r="6579" spans="1:8" s="139" customFormat="1" ht="13.5" customHeight="1" x14ac:dyDescent="0.35">
      <c r="A6579" s="146"/>
      <c r="B6579" s="112" t="s">
        <v>774</v>
      </c>
      <c r="C6579" s="124"/>
      <c r="D6579" s="146"/>
      <c r="E6579" s="117"/>
      <c r="F6579" s="117">
        <f>SUM(F6578)</f>
        <v>45000</v>
      </c>
      <c r="G6579" s="138"/>
      <c r="H6579" s="177"/>
    </row>
    <row r="6580" spans="1:8" s="139" customFormat="1" ht="13.5" customHeight="1" x14ac:dyDescent="0.35">
      <c r="A6580" s="146"/>
      <c r="B6580" s="112" t="s">
        <v>775</v>
      </c>
      <c r="C6580" s="124"/>
      <c r="D6580" s="146"/>
      <c r="E6580" s="117"/>
      <c r="F6580" s="117">
        <f>+F6576+F6579</f>
        <v>2069760.1</v>
      </c>
      <c r="G6580" s="138"/>
      <c r="H6580" s="177"/>
    </row>
    <row r="6581" spans="1:8" s="139" customFormat="1" ht="13.5" customHeight="1" x14ac:dyDescent="0.35">
      <c r="A6581" s="146"/>
      <c r="B6581" s="120" t="s">
        <v>776</v>
      </c>
      <c r="C6581" s="124"/>
      <c r="D6581" s="146">
        <v>1.25</v>
      </c>
      <c r="E6581" s="117"/>
      <c r="F6581" s="117">
        <f>+F6580*D6581</f>
        <v>2587200.125</v>
      </c>
      <c r="G6581" s="138"/>
      <c r="H6581" s="177"/>
    </row>
    <row r="6582" spans="1:8" s="139" customFormat="1" ht="13.5" customHeight="1" x14ac:dyDescent="0.35">
      <c r="A6582" s="146"/>
      <c r="B6582" s="120" t="s">
        <v>835</v>
      </c>
      <c r="C6582" s="124"/>
      <c r="D6582" s="146">
        <v>1.25</v>
      </c>
      <c r="E6582" s="117"/>
      <c r="F6582" s="117"/>
      <c r="G6582" s="138"/>
      <c r="H6582" s="177"/>
    </row>
    <row r="6583" spans="1:8" s="139" customFormat="1" ht="13.5" customHeight="1" x14ac:dyDescent="0.35">
      <c r="A6583" s="233" t="str">
        <f>+A6572</f>
        <v>13.06.13</v>
      </c>
      <c r="B6583" s="207" t="s">
        <v>778</v>
      </c>
      <c r="C6583" s="233" t="s">
        <v>7</v>
      </c>
      <c r="D6583" s="340"/>
      <c r="E6583" s="209"/>
      <c r="F6583" s="209">
        <f>+D6582*F6581</f>
        <v>3234000.15625</v>
      </c>
      <c r="G6583" s="138"/>
      <c r="H6583" s="177"/>
    </row>
    <row r="6584" spans="1:8" s="139" customFormat="1" ht="13.5" customHeight="1" x14ac:dyDescent="0.35">
      <c r="A6584" s="340"/>
      <c r="B6584" s="207"/>
      <c r="C6584" s="208"/>
      <c r="D6584" s="340"/>
      <c r="E6584" s="210">
        <f>+E6567</f>
        <v>3035.45</v>
      </c>
      <c r="F6584" s="210">
        <f>+F6583/E6584</f>
        <v>1065.410451909931</v>
      </c>
      <c r="G6584" s="138"/>
      <c r="H6584" s="177"/>
    </row>
    <row r="6585" spans="1:8" s="139" customFormat="1" ht="13.5" customHeight="1" x14ac:dyDescent="0.35">
      <c r="A6585" s="163"/>
      <c r="B6585" s="164"/>
      <c r="C6585" s="165"/>
      <c r="E6585" s="166"/>
      <c r="F6585" s="166"/>
      <c r="G6585" s="138"/>
      <c r="H6585" s="177"/>
    </row>
    <row r="6586" spans="1:8" s="139" customFormat="1" ht="13.5" customHeight="1" x14ac:dyDescent="0.35">
      <c r="A6586" s="163"/>
      <c r="B6586" s="164"/>
      <c r="C6586" s="165"/>
      <c r="E6586" s="166"/>
      <c r="F6586" s="166"/>
      <c r="G6586" s="138"/>
      <c r="H6586" s="177"/>
    </row>
    <row r="6587" spans="1:8" s="139" customFormat="1" ht="13.5" customHeight="1" x14ac:dyDescent="0.3">
      <c r="A6587" s="341" t="s">
        <v>392</v>
      </c>
      <c r="B6587" s="331" t="s">
        <v>393</v>
      </c>
      <c r="C6587" s="332" t="s">
        <v>611</v>
      </c>
      <c r="D6587" s="333" t="s">
        <v>765</v>
      </c>
      <c r="E6587" s="334" t="s">
        <v>766</v>
      </c>
      <c r="F6587" s="334" t="s">
        <v>767</v>
      </c>
      <c r="G6587" s="138"/>
      <c r="H6587" s="177"/>
    </row>
    <row r="6588" spans="1:8" s="139" customFormat="1" ht="13.5" customHeight="1" x14ac:dyDescent="0.35">
      <c r="A6588" s="232" t="s">
        <v>443</v>
      </c>
      <c r="B6588" s="353" t="s">
        <v>444</v>
      </c>
      <c r="C6588" s="256"/>
      <c r="D6588" s="146"/>
      <c r="E6588" s="117"/>
      <c r="F6588" s="117"/>
      <c r="G6588" s="138"/>
      <c r="H6588" s="177"/>
    </row>
    <row r="6589" spans="1:8" s="139" customFormat="1" ht="13.5" customHeight="1" x14ac:dyDescent="0.35">
      <c r="A6589" s="232" t="s">
        <v>468</v>
      </c>
      <c r="B6589" s="389" t="s">
        <v>469</v>
      </c>
      <c r="C6589" s="256" t="s">
        <v>7</v>
      </c>
      <c r="D6589" s="146"/>
      <c r="E6589" s="117"/>
      <c r="F6589" s="117"/>
      <c r="G6589" s="138"/>
      <c r="H6589" s="177"/>
    </row>
    <row r="6590" spans="1:8" s="139" customFormat="1" ht="13.5" customHeight="1" x14ac:dyDescent="0.35">
      <c r="A6590" s="146"/>
      <c r="B6590" s="112" t="s">
        <v>802</v>
      </c>
      <c r="C6590" s="124"/>
      <c r="D6590" s="146"/>
      <c r="E6590" s="117"/>
      <c r="F6590" s="117"/>
      <c r="G6590" s="138"/>
      <c r="H6590" s="177"/>
    </row>
    <row r="6591" spans="1:8" s="139" customFormat="1" ht="13.5" customHeight="1" x14ac:dyDescent="0.25">
      <c r="A6591" s="146"/>
      <c r="B6591" s="354" t="s">
        <v>1218</v>
      </c>
      <c r="C6591" s="124" t="s">
        <v>27</v>
      </c>
      <c r="D6591" s="146">
        <v>1</v>
      </c>
      <c r="E6591" s="117">
        <v>595000</v>
      </c>
      <c r="F6591" s="117">
        <f>D6591*E6591</f>
        <v>595000</v>
      </c>
      <c r="G6591" s="138"/>
      <c r="H6591" s="177"/>
    </row>
    <row r="6592" spans="1:8" s="139" customFormat="1" ht="13.5" customHeight="1" x14ac:dyDescent="0.35">
      <c r="A6592" s="146"/>
      <c r="B6592" s="120" t="s">
        <v>1057</v>
      </c>
      <c r="C6592" s="124"/>
      <c r="D6592" s="146"/>
      <c r="E6592" s="117"/>
      <c r="F6592" s="117">
        <f>0.1*(F6591)</f>
        <v>59500</v>
      </c>
      <c r="G6592" s="138"/>
      <c r="H6592" s="177"/>
    </row>
    <row r="6593" spans="1:8" s="139" customFormat="1" ht="13.5" customHeight="1" x14ac:dyDescent="0.35">
      <c r="A6593" s="146"/>
      <c r="B6593" s="112" t="s">
        <v>769</v>
      </c>
      <c r="C6593" s="124"/>
      <c r="D6593" s="146"/>
      <c r="E6593" s="117"/>
      <c r="F6593" s="110">
        <f>SUM(F6591:F6592)</f>
        <v>654500</v>
      </c>
      <c r="G6593" s="138"/>
      <c r="H6593" s="177"/>
    </row>
    <row r="6594" spans="1:8" s="139" customFormat="1" ht="13.5" customHeight="1" x14ac:dyDescent="0.35">
      <c r="A6594" s="146"/>
      <c r="B6594" s="112" t="s">
        <v>808</v>
      </c>
      <c r="C6594" s="124"/>
      <c r="D6594" s="146"/>
      <c r="E6594" s="117"/>
      <c r="F6594" s="117"/>
      <c r="G6594" s="138"/>
      <c r="H6594" s="177"/>
    </row>
    <row r="6595" spans="1:8" s="139" customFormat="1" ht="13.5" customHeight="1" x14ac:dyDescent="0.35">
      <c r="A6595" s="146"/>
      <c r="B6595" s="120" t="s">
        <v>787</v>
      </c>
      <c r="C6595" s="124" t="s">
        <v>1043</v>
      </c>
      <c r="D6595" s="146">
        <v>3</v>
      </c>
      <c r="E6595" s="117">
        <v>15000</v>
      </c>
      <c r="F6595" s="117">
        <f>+D6595*E6595</f>
        <v>45000</v>
      </c>
      <c r="G6595" s="138"/>
      <c r="H6595" s="177"/>
    </row>
    <row r="6596" spans="1:8" s="139" customFormat="1" ht="13.5" customHeight="1" x14ac:dyDescent="0.35">
      <c r="A6596" s="146"/>
      <c r="B6596" s="112" t="s">
        <v>774</v>
      </c>
      <c r="C6596" s="124"/>
      <c r="D6596" s="146"/>
      <c r="E6596" s="117"/>
      <c r="F6596" s="117">
        <f>SUM(F6595)</f>
        <v>45000</v>
      </c>
      <c r="G6596" s="138"/>
      <c r="H6596" s="177"/>
    </row>
    <row r="6597" spans="1:8" s="139" customFormat="1" ht="13.5" customHeight="1" x14ac:dyDescent="0.35">
      <c r="A6597" s="146"/>
      <c r="B6597" s="112" t="s">
        <v>775</v>
      </c>
      <c r="C6597" s="124"/>
      <c r="D6597" s="146"/>
      <c r="E6597" s="117"/>
      <c r="F6597" s="117">
        <f>+F6593+F6596</f>
        <v>699500</v>
      </c>
      <c r="G6597" s="138"/>
      <c r="H6597" s="177"/>
    </row>
    <row r="6598" spans="1:8" s="139" customFormat="1" ht="13.5" customHeight="1" x14ac:dyDescent="0.35">
      <c r="A6598" s="146"/>
      <c r="B6598" s="120" t="s">
        <v>776</v>
      </c>
      <c r="C6598" s="124"/>
      <c r="D6598" s="146">
        <v>1.25</v>
      </c>
      <c r="E6598" s="117"/>
      <c r="F6598" s="117">
        <f>+F6597*D6598</f>
        <v>874375</v>
      </c>
      <c r="G6598" s="138"/>
      <c r="H6598" s="177"/>
    </row>
    <row r="6599" spans="1:8" s="139" customFormat="1" ht="13.5" customHeight="1" x14ac:dyDescent="0.35">
      <c r="A6599" s="146"/>
      <c r="B6599" s="120" t="s">
        <v>835</v>
      </c>
      <c r="C6599" s="124"/>
      <c r="D6599" s="146">
        <v>1.25</v>
      </c>
      <c r="E6599" s="117"/>
      <c r="F6599" s="117"/>
      <c r="G6599" s="138"/>
      <c r="H6599" s="177"/>
    </row>
    <row r="6600" spans="1:8" s="139" customFormat="1" ht="13.5" customHeight="1" x14ac:dyDescent="0.35">
      <c r="A6600" s="233" t="str">
        <f>+A6589</f>
        <v>13.06.14</v>
      </c>
      <c r="B6600" s="207" t="s">
        <v>778</v>
      </c>
      <c r="C6600" s="233" t="s">
        <v>7</v>
      </c>
      <c r="D6600" s="340"/>
      <c r="E6600" s="209"/>
      <c r="F6600" s="209">
        <f>+D6599*F6598</f>
        <v>1092968.75</v>
      </c>
      <c r="G6600" s="138"/>
      <c r="H6600" s="177"/>
    </row>
    <row r="6601" spans="1:8" s="139" customFormat="1" ht="13.5" customHeight="1" x14ac:dyDescent="0.35">
      <c r="A6601" s="340"/>
      <c r="B6601" s="207"/>
      <c r="C6601" s="208"/>
      <c r="D6601" s="340"/>
      <c r="E6601" s="210">
        <f>+E6584</f>
        <v>3035.45</v>
      </c>
      <c r="F6601" s="210" t="e">
        <f>+#REF!</f>
        <v>#REF!</v>
      </c>
      <c r="G6601" s="138"/>
      <c r="H6601" s="177"/>
    </row>
    <row r="6602" spans="1:8" s="139" customFormat="1" ht="13.5" customHeight="1" x14ac:dyDescent="0.35">
      <c r="A6602" s="163"/>
      <c r="B6602" s="164"/>
      <c r="C6602" s="165"/>
      <c r="E6602" s="166"/>
      <c r="F6602" s="166"/>
      <c r="G6602" s="138"/>
      <c r="H6602" s="177"/>
    </row>
    <row r="6603" spans="1:8" s="139" customFormat="1" ht="13.5" customHeight="1" x14ac:dyDescent="0.35">
      <c r="A6603" s="163"/>
      <c r="B6603" s="164"/>
      <c r="C6603" s="165"/>
      <c r="E6603" s="166"/>
      <c r="F6603" s="166"/>
      <c r="G6603" s="138"/>
      <c r="H6603" s="177"/>
    </row>
    <row r="6604" spans="1:8" s="139" customFormat="1" ht="13.5" customHeight="1" x14ac:dyDescent="0.3">
      <c r="A6604" s="341" t="s">
        <v>392</v>
      </c>
      <c r="B6604" s="331" t="s">
        <v>393</v>
      </c>
      <c r="C6604" s="332" t="s">
        <v>611</v>
      </c>
      <c r="D6604" s="333" t="s">
        <v>765</v>
      </c>
      <c r="E6604" s="334" t="s">
        <v>766</v>
      </c>
      <c r="F6604" s="334" t="s">
        <v>767</v>
      </c>
      <c r="G6604" s="138"/>
      <c r="H6604" s="177"/>
    </row>
    <row r="6605" spans="1:8" s="139" customFormat="1" ht="13.5" customHeight="1" x14ac:dyDescent="0.35">
      <c r="A6605" s="232" t="s">
        <v>443</v>
      </c>
      <c r="B6605" s="353" t="s">
        <v>444</v>
      </c>
      <c r="C6605" s="256"/>
      <c r="D6605" s="146"/>
      <c r="E6605" s="117"/>
      <c r="F6605" s="117"/>
      <c r="G6605" s="138"/>
      <c r="H6605" s="177"/>
    </row>
    <row r="6606" spans="1:8" s="139" customFormat="1" ht="13.5" customHeight="1" x14ac:dyDescent="0.35">
      <c r="A6606" s="232" t="s">
        <v>470</v>
      </c>
      <c r="B6606" s="389" t="s">
        <v>471</v>
      </c>
      <c r="C6606" s="256" t="s">
        <v>7</v>
      </c>
      <c r="D6606" s="146"/>
      <c r="E6606" s="117"/>
      <c r="F6606" s="117"/>
      <c r="G6606" s="138"/>
      <c r="H6606" s="177"/>
    </row>
    <row r="6607" spans="1:8" s="139" customFormat="1" ht="13.5" customHeight="1" x14ac:dyDescent="0.35">
      <c r="A6607" s="146"/>
      <c r="B6607" s="112" t="s">
        <v>802</v>
      </c>
      <c r="C6607" s="124"/>
      <c r="D6607" s="146"/>
      <c r="E6607" s="117"/>
      <c r="F6607" s="117"/>
      <c r="G6607" s="138"/>
      <c r="H6607" s="177"/>
    </row>
    <row r="6608" spans="1:8" s="139" customFormat="1" ht="13.5" customHeight="1" x14ac:dyDescent="0.25">
      <c r="A6608" s="146"/>
      <c r="B6608" s="354" t="s">
        <v>1218</v>
      </c>
      <c r="C6608" s="124" t="s">
        <v>27</v>
      </c>
      <c r="D6608" s="146">
        <v>1</v>
      </c>
      <c r="E6608" s="117">
        <v>37932</v>
      </c>
      <c r="F6608" s="117">
        <f>D6608*E6608</f>
        <v>37932</v>
      </c>
      <c r="G6608" s="138"/>
      <c r="H6608" s="177"/>
    </row>
    <row r="6609" spans="1:8" s="139" customFormat="1" ht="13.5" customHeight="1" x14ac:dyDescent="0.35">
      <c r="A6609" s="146"/>
      <c r="B6609" s="120" t="s">
        <v>1057</v>
      </c>
      <c r="C6609" s="124"/>
      <c r="D6609" s="146"/>
      <c r="E6609" s="117"/>
      <c r="F6609" s="117">
        <f>0.1*(F6608)</f>
        <v>3793.2000000000003</v>
      </c>
      <c r="G6609" s="138"/>
      <c r="H6609" s="177"/>
    </row>
    <row r="6610" spans="1:8" s="139" customFormat="1" ht="13.5" customHeight="1" x14ac:dyDescent="0.35">
      <c r="A6610" s="146"/>
      <c r="B6610" s="112" t="s">
        <v>769</v>
      </c>
      <c r="C6610" s="124"/>
      <c r="D6610" s="146"/>
      <c r="E6610" s="117"/>
      <c r="F6610" s="110">
        <f>SUM(F6608:F6609)</f>
        <v>41725.199999999997</v>
      </c>
      <c r="G6610" s="138"/>
      <c r="H6610" s="177"/>
    </row>
    <row r="6611" spans="1:8" s="139" customFormat="1" ht="13.5" customHeight="1" x14ac:dyDescent="0.35">
      <c r="A6611" s="146"/>
      <c r="B6611" s="112" t="s">
        <v>808</v>
      </c>
      <c r="C6611" s="124"/>
      <c r="D6611" s="146"/>
      <c r="E6611" s="117"/>
      <c r="F6611" s="117"/>
      <c r="G6611" s="138"/>
      <c r="H6611" s="177"/>
    </row>
    <row r="6612" spans="1:8" s="139" customFormat="1" ht="13.5" customHeight="1" x14ac:dyDescent="0.35">
      <c r="A6612" s="146"/>
      <c r="B6612" s="120" t="s">
        <v>787</v>
      </c>
      <c r="C6612" s="124" t="s">
        <v>1043</v>
      </c>
      <c r="D6612" s="146">
        <v>3</v>
      </c>
      <c r="E6612" s="117">
        <v>15000</v>
      </c>
      <c r="F6612" s="117">
        <f>+D6612*E6612</f>
        <v>45000</v>
      </c>
      <c r="G6612" s="138"/>
      <c r="H6612" s="177"/>
    </row>
    <row r="6613" spans="1:8" s="139" customFormat="1" ht="13.5" customHeight="1" x14ac:dyDescent="0.35">
      <c r="A6613" s="146"/>
      <c r="B6613" s="112" t="s">
        <v>774</v>
      </c>
      <c r="C6613" s="124"/>
      <c r="D6613" s="146"/>
      <c r="E6613" s="117"/>
      <c r="F6613" s="117">
        <f>SUM(F6612)</f>
        <v>45000</v>
      </c>
      <c r="G6613" s="138"/>
      <c r="H6613" s="177"/>
    </row>
    <row r="6614" spans="1:8" s="139" customFormat="1" ht="13.5" customHeight="1" x14ac:dyDescent="0.35">
      <c r="A6614" s="146"/>
      <c r="B6614" s="112" t="s">
        <v>775</v>
      </c>
      <c r="C6614" s="124"/>
      <c r="D6614" s="146"/>
      <c r="E6614" s="117"/>
      <c r="F6614" s="117">
        <f>+F6610+F6613</f>
        <v>86725.2</v>
      </c>
      <c r="G6614" s="138"/>
      <c r="H6614" s="177"/>
    </row>
    <row r="6615" spans="1:8" s="139" customFormat="1" ht="13.5" customHeight="1" x14ac:dyDescent="0.35">
      <c r="A6615" s="146"/>
      <c r="B6615" s="120" t="s">
        <v>776</v>
      </c>
      <c r="C6615" s="124"/>
      <c r="D6615" s="146">
        <v>1.25</v>
      </c>
      <c r="E6615" s="117"/>
      <c r="F6615" s="117">
        <f>+F6614*D6615</f>
        <v>108406.5</v>
      </c>
      <c r="G6615" s="138"/>
      <c r="H6615" s="177"/>
    </row>
    <row r="6616" spans="1:8" s="139" customFormat="1" ht="13.5" customHeight="1" x14ac:dyDescent="0.35">
      <c r="A6616" s="146"/>
      <c r="B6616" s="120" t="s">
        <v>835</v>
      </c>
      <c r="C6616" s="124"/>
      <c r="D6616" s="146">
        <v>1.25</v>
      </c>
      <c r="E6616" s="117"/>
      <c r="F6616" s="117"/>
      <c r="G6616" s="138"/>
      <c r="H6616" s="177"/>
    </row>
    <row r="6617" spans="1:8" s="139" customFormat="1" ht="13.5" customHeight="1" x14ac:dyDescent="0.35">
      <c r="A6617" s="233" t="str">
        <f>+A6606</f>
        <v>13.06.15</v>
      </c>
      <c r="B6617" s="207" t="s">
        <v>778</v>
      </c>
      <c r="C6617" s="233" t="s">
        <v>7</v>
      </c>
      <c r="D6617" s="340"/>
      <c r="E6617" s="209"/>
      <c r="F6617" s="209">
        <f>+D6616*F6615</f>
        <v>135508.125</v>
      </c>
      <c r="G6617" s="138"/>
      <c r="H6617" s="177"/>
    </row>
    <row r="6618" spans="1:8" s="139" customFormat="1" ht="13.5" customHeight="1" x14ac:dyDescent="0.35">
      <c r="A6618" s="340"/>
      <c r="B6618" s="207"/>
      <c r="C6618" s="208"/>
      <c r="D6618" s="340"/>
      <c r="E6618" s="210">
        <f>+E6601</f>
        <v>3035.45</v>
      </c>
      <c r="F6618" s="210">
        <f>+F6617/E6618</f>
        <v>44.641857055790744</v>
      </c>
      <c r="G6618" s="138"/>
      <c r="H6618" s="177"/>
    </row>
    <row r="6619" spans="1:8" s="139" customFormat="1" ht="13.5" customHeight="1" x14ac:dyDescent="0.35">
      <c r="A6619" s="163"/>
      <c r="B6619" s="164"/>
      <c r="C6619" s="165"/>
      <c r="E6619" s="166"/>
      <c r="F6619" s="166"/>
      <c r="G6619" s="138"/>
      <c r="H6619" s="177"/>
    </row>
    <row r="6620" spans="1:8" s="139" customFormat="1" ht="13.5" customHeight="1" x14ac:dyDescent="0.35">
      <c r="A6620" s="163"/>
      <c r="B6620" s="164"/>
      <c r="C6620" s="165"/>
      <c r="E6620" s="166"/>
      <c r="F6620" s="166"/>
      <c r="G6620" s="138"/>
      <c r="H6620" s="177"/>
    </row>
    <row r="6621" spans="1:8" s="139" customFormat="1" ht="13.5" customHeight="1" x14ac:dyDescent="0.3">
      <c r="A6621" s="341" t="s">
        <v>392</v>
      </c>
      <c r="B6621" s="331" t="s">
        <v>393</v>
      </c>
      <c r="C6621" s="332" t="s">
        <v>611</v>
      </c>
      <c r="D6621" s="333" t="s">
        <v>765</v>
      </c>
      <c r="E6621" s="334" t="s">
        <v>766</v>
      </c>
      <c r="F6621" s="334" t="s">
        <v>767</v>
      </c>
      <c r="G6621" s="138"/>
      <c r="H6621" s="177"/>
    </row>
    <row r="6622" spans="1:8" s="139" customFormat="1" ht="13.5" customHeight="1" x14ac:dyDescent="0.3">
      <c r="A6622" s="232" t="s">
        <v>472</v>
      </c>
      <c r="B6622" s="355" t="s">
        <v>473</v>
      </c>
      <c r="C6622" s="256"/>
      <c r="D6622" s="146"/>
      <c r="E6622" s="117"/>
      <c r="F6622" s="117"/>
      <c r="G6622" s="138"/>
      <c r="H6622" s="177"/>
    </row>
    <row r="6623" spans="1:8" s="139" customFormat="1" ht="13.5" customHeight="1" x14ac:dyDescent="0.3">
      <c r="A6623" s="232" t="s">
        <v>474</v>
      </c>
      <c r="B6623" s="352" t="s">
        <v>475</v>
      </c>
      <c r="C6623" s="256"/>
      <c r="D6623" s="146"/>
      <c r="E6623" s="117"/>
      <c r="F6623" s="117"/>
      <c r="G6623" s="138"/>
      <c r="H6623" s="177"/>
    </row>
    <row r="6624" spans="1:8" s="139" customFormat="1" ht="13.5" customHeight="1" x14ac:dyDescent="0.35">
      <c r="A6624" s="146"/>
      <c r="B6624" s="112" t="s">
        <v>802</v>
      </c>
      <c r="C6624" s="124"/>
      <c r="D6624" s="146"/>
      <c r="E6624" s="117"/>
      <c r="F6624" s="117"/>
      <c r="G6624" s="138"/>
      <c r="H6624" s="177"/>
    </row>
    <row r="6625" spans="1:8" s="139" customFormat="1" ht="13.5" customHeight="1" x14ac:dyDescent="0.25">
      <c r="A6625" s="146"/>
      <c r="B6625" s="354" t="s">
        <v>1083</v>
      </c>
      <c r="C6625" s="124" t="s">
        <v>27</v>
      </c>
      <c r="D6625" s="146">
        <v>1</v>
      </c>
      <c r="E6625" s="117">
        <v>655530</v>
      </c>
      <c r="F6625" s="117">
        <f>D6625*E6625</f>
        <v>655530</v>
      </c>
      <c r="G6625" s="138"/>
      <c r="H6625" s="177"/>
    </row>
    <row r="6626" spans="1:8" s="139" customFormat="1" ht="13.5" customHeight="1" x14ac:dyDescent="0.35">
      <c r="A6626" s="146"/>
      <c r="B6626" s="120" t="s">
        <v>1057</v>
      </c>
      <c r="C6626" s="124"/>
      <c r="D6626" s="146"/>
      <c r="E6626" s="117"/>
      <c r="F6626" s="117">
        <f>0.1*(F6625)</f>
        <v>65553</v>
      </c>
      <c r="G6626" s="138"/>
      <c r="H6626" s="177"/>
    </row>
    <row r="6627" spans="1:8" s="139" customFormat="1" ht="13.5" customHeight="1" x14ac:dyDescent="0.35">
      <c r="A6627" s="146"/>
      <c r="B6627" s="112" t="s">
        <v>769</v>
      </c>
      <c r="C6627" s="124"/>
      <c r="D6627" s="146"/>
      <c r="E6627" s="117"/>
      <c r="F6627" s="110">
        <f>SUM(F6625:F6626)</f>
        <v>721083</v>
      </c>
      <c r="G6627" s="138"/>
      <c r="H6627" s="177"/>
    </row>
    <row r="6628" spans="1:8" s="139" customFormat="1" ht="13.5" customHeight="1" x14ac:dyDescent="0.35">
      <c r="A6628" s="146"/>
      <c r="B6628" s="112" t="s">
        <v>808</v>
      </c>
      <c r="C6628" s="124"/>
      <c r="D6628" s="146"/>
      <c r="E6628" s="117"/>
      <c r="F6628" s="117"/>
      <c r="G6628" s="138"/>
      <c r="H6628" s="177"/>
    </row>
    <row r="6629" spans="1:8" s="139" customFormat="1" ht="13.5" customHeight="1" x14ac:dyDescent="0.35">
      <c r="A6629" s="146"/>
      <c r="B6629" s="120" t="s">
        <v>787</v>
      </c>
      <c r="C6629" s="124" t="s">
        <v>1043</v>
      </c>
      <c r="D6629" s="146">
        <v>3</v>
      </c>
      <c r="E6629" s="117">
        <v>15000</v>
      </c>
      <c r="F6629" s="117">
        <f>+D6629*E6629</f>
        <v>45000</v>
      </c>
      <c r="G6629" s="138"/>
      <c r="H6629" s="177"/>
    </row>
    <row r="6630" spans="1:8" s="139" customFormat="1" ht="13.5" customHeight="1" x14ac:dyDescent="0.35">
      <c r="A6630" s="146"/>
      <c r="B6630" s="112" t="s">
        <v>774</v>
      </c>
      <c r="C6630" s="124"/>
      <c r="D6630" s="146"/>
      <c r="E6630" s="117"/>
      <c r="F6630" s="117">
        <f>SUM(F6629)</f>
        <v>45000</v>
      </c>
      <c r="G6630" s="138"/>
      <c r="H6630" s="177"/>
    </row>
    <row r="6631" spans="1:8" s="139" customFormat="1" ht="13.5" customHeight="1" x14ac:dyDescent="0.35">
      <c r="A6631" s="146"/>
      <c r="B6631" s="112" t="s">
        <v>775</v>
      </c>
      <c r="C6631" s="124"/>
      <c r="D6631" s="146"/>
      <c r="E6631" s="117"/>
      <c r="F6631" s="117">
        <f>+F6627+F6630</f>
        <v>766083</v>
      </c>
      <c r="G6631" s="138"/>
      <c r="H6631" s="177"/>
    </row>
    <row r="6632" spans="1:8" s="139" customFormat="1" ht="13.5" customHeight="1" x14ac:dyDescent="0.35">
      <c r="A6632" s="146"/>
      <c r="B6632" s="120" t="s">
        <v>776</v>
      </c>
      <c r="C6632" s="124"/>
      <c r="D6632" s="146">
        <v>1.25</v>
      </c>
      <c r="E6632" s="117"/>
      <c r="F6632" s="117">
        <f>+F6631*D6632</f>
        <v>957603.75</v>
      </c>
      <c r="G6632" s="138"/>
      <c r="H6632" s="177"/>
    </row>
    <row r="6633" spans="1:8" s="139" customFormat="1" ht="13.5" customHeight="1" x14ac:dyDescent="0.35">
      <c r="A6633" s="146"/>
      <c r="B6633" s="120" t="s">
        <v>835</v>
      </c>
      <c r="C6633" s="124"/>
      <c r="D6633" s="146">
        <v>1.25</v>
      </c>
      <c r="E6633" s="117"/>
      <c r="F6633" s="117"/>
      <c r="G6633" s="138"/>
      <c r="H6633" s="177"/>
    </row>
    <row r="6634" spans="1:8" s="139" customFormat="1" ht="13.5" customHeight="1" x14ac:dyDescent="0.35">
      <c r="A6634" s="233" t="s">
        <v>474</v>
      </c>
      <c r="B6634" s="207" t="s">
        <v>778</v>
      </c>
      <c r="C6634" s="233" t="s">
        <v>7</v>
      </c>
      <c r="D6634" s="340"/>
      <c r="E6634" s="209"/>
      <c r="F6634" s="209">
        <f>+D6633*F6632</f>
        <v>1197004.6875</v>
      </c>
      <c r="G6634" s="138"/>
      <c r="H6634" s="177"/>
    </row>
    <row r="6635" spans="1:8" s="139" customFormat="1" ht="13.5" customHeight="1" x14ac:dyDescent="0.35">
      <c r="A6635" s="340"/>
      <c r="B6635" s="207"/>
      <c r="C6635" s="208"/>
      <c r="D6635" s="340"/>
      <c r="E6635" s="210">
        <f>+E6431</f>
        <v>3035.45</v>
      </c>
      <c r="F6635" s="210">
        <f>+F6634/E6635</f>
        <v>394.34175740005605</v>
      </c>
      <c r="G6635" s="138"/>
      <c r="H6635" s="177"/>
    </row>
    <row r="6636" spans="1:8" s="139" customFormat="1" ht="13.5" customHeight="1" x14ac:dyDescent="0.35">
      <c r="A6636" s="163"/>
      <c r="B6636" s="164"/>
      <c r="C6636" s="165"/>
      <c r="E6636" s="166"/>
      <c r="F6636" s="166"/>
      <c r="G6636" s="138"/>
      <c r="H6636" s="177"/>
    </row>
    <row r="6637" spans="1:8" s="139" customFormat="1" ht="13.5" customHeight="1" x14ac:dyDescent="0.35">
      <c r="A6637" s="163"/>
      <c r="B6637" s="164"/>
      <c r="C6637" s="165"/>
      <c r="E6637" s="166"/>
      <c r="F6637" s="166"/>
      <c r="G6637" s="138"/>
      <c r="H6637" s="177"/>
    </row>
    <row r="6638" spans="1:8" s="139" customFormat="1" ht="13.5" customHeight="1" x14ac:dyDescent="0.3">
      <c r="A6638" s="341" t="s">
        <v>392</v>
      </c>
      <c r="B6638" s="331" t="s">
        <v>393</v>
      </c>
      <c r="C6638" s="332" t="s">
        <v>611</v>
      </c>
      <c r="D6638" s="333" t="s">
        <v>765</v>
      </c>
      <c r="E6638" s="334" t="s">
        <v>766</v>
      </c>
      <c r="F6638" s="334" t="s">
        <v>767</v>
      </c>
      <c r="G6638" s="138"/>
      <c r="H6638" s="177"/>
    </row>
    <row r="6639" spans="1:8" s="139" customFormat="1" ht="13.5" customHeight="1" x14ac:dyDescent="0.3">
      <c r="A6639" s="232" t="s">
        <v>472</v>
      </c>
      <c r="B6639" s="355" t="s">
        <v>473</v>
      </c>
      <c r="C6639" s="256"/>
      <c r="D6639" s="146"/>
      <c r="E6639" s="117"/>
      <c r="F6639" s="117"/>
      <c r="G6639" s="138"/>
      <c r="H6639" s="177"/>
    </row>
    <row r="6640" spans="1:8" s="139" customFormat="1" ht="13.5" customHeight="1" x14ac:dyDescent="0.3">
      <c r="A6640" s="232" t="s">
        <v>476</v>
      </c>
      <c r="B6640" s="352" t="s">
        <v>653</v>
      </c>
      <c r="C6640" s="256"/>
      <c r="D6640" s="146"/>
      <c r="E6640" s="117"/>
      <c r="F6640" s="117"/>
      <c r="G6640" s="138"/>
      <c r="H6640" s="177"/>
    </row>
    <row r="6641" spans="1:8" s="139" customFormat="1" ht="13.5" customHeight="1" x14ac:dyDescent="0.35">
      <c r="A6641" s="146"/>
      <c r="B6641" s="112" t="s">
        <v>802</v>
      </c>
      <c r="C6641" s="124"/>
      <c r="D6641" s="146"/>
      <c r="E6641" s="117"/>
      <c r="F6641" s="117"/>
      <c r="G6641" s="138"/>
      <c r="H6641" s="177"/>
    </row>
    <row r="6642" spans="1:8" s="139" customFormat="1" ht="13.5" customHeight="1" x14ac:dyDescent="0.25">
      <c r="A6642" s="146"/>
      <c r="B6642" s="354" t="s">
        <v>1084</v>
      </c>
      <c r="C6642" s="124" t="s">
        <v>27</v>
      </c>
      <c r="D6642" s="146">
        <v>1</v>
      </c>
      <c r="E6642" s="117">
        <v>1518370</v>
      </c>
      <c r="F6642" s="117">
        <f>D6642*E6642</f>
        <v>1518370</v>
      </c>
      <c r="G6642" s="138"/>
      <c r="H6642" s="177"/>
    </row>
    <row r="6643" spans="1:8" s="139" customFormat="1" ht="13.5" customHeight="1" x14ac:dyDescent="0.35">
      <c r="A6643" s="146"/>
      <c r="B6643" s="120" t="s">
        <v>1057</v>
      </c>
      <c r="C6643" s="124"/>
      <c r="D6643" s="146"/>
      <c r="E6643" s="117"/>
      <c r="F6643" s="117">
        <f>0.1*(F6642)</f>
        <v>151837</v>
      </c>
      <c r="G6643" s="138"/>
      <c r="H6643" s="177"/>
    </row>
    <row r="6644" spans="1:8" s="139" customFormat="1" ht="13.5" customHeight="1" x14ac:dyDescent="0.35">
      <c r="A6644" s="146"/>
      <c r="B6644" s="112" t="s">
        <v>769</v>
      </c>
      <c r="C6644" s="124"/>
      <c r="D6644" s="146"/>
      <c r="E6644" s="117"/>
      <c r="F6644" s="110">
        <f>SUM(F6642:F6643)</f>
        <v>1670207</v>
      </c>
      <c r="G6644" s="138"/>
      <c r="H6644" s="177"/>
    </row>
    <row r="6645" spans="1:8" s="139" customFormat="1" ht="13.5" customHeight="1" x14ac:dyDescent="0.35">
      <c r="A6645" s="146"/>
      <c r="B6645" s="112" t="s">
        <v>808</v>
      </c>
      <c r="C6645" s="124"/>
      <c r="D6645" s="146"/>
      <c r="E6645" s="117"/>
      <c r="F6645" s="117"/>
      <c r="G6645" s="138"/>
      <c r="H6645" s="177"/>
    </row>
    <row r="6646" spans="1:8" s="139" customFormat="1" ht="13.5" customHeight="1" x14ac:dyDescent="0.35">
      <c r="A6646" s="146"/>
      <c r="B6646" s="120" t="s">
        <v>787</v>
      </c>
      <c r="C6646" s="124" t="s">
        <v>1043</v>
      </c>
      <c r="D6646" s="146">
        <v>3</v>
      </c>
      <c r="E6646" s="117">
        <v>15000</v>
      </c>
      <c r="F6646" s="117">
        <f>+D6646*E6646</f>
        <v>45000</v>
      </c>
      <c r="G6646" s="138"/>
      <c r="H6646" s="177"/>
    </row>
    <row r="6647" spans="1:8" s="139" customFormat="1" ht="13.5" customHeight="1" x14ac:dyDescent="0.35">
      <c r="A6647" s="146"/>
      <c r="B6647" s="112" t="s">
        <v>774</v>
      </c>
      <c r="C6647" s="124"/>
      <c r="D6647" s="146"/>
      <c r="E6647" s="117"/>
      <c r="F6647" s="117">
        <f>SUM(F6646)</f>
        <v>45000</v>
      </c>
      <c r="G6647" s="138"/>
      <c r="H6647" s="177"/>
    </row>
    <row r="6648" spans="1:8" s="139" customFormat="1" ht="13.5" customHeight="1" x14ac:dyDescent="0.35">
      <c r="A6648" s="146"/>
      <c r="B6648" s="112" t="s">
        <v>775</v>
      </c>
      <c r="C6648" s="124"/>
      <c r="D6648" s="146"/>
      <c r="E6648" s="117"/>
      <c r="F6648" s="117">
        <f>+F6644+F6647</f>
        <v>1715207</v>
      </c>
      <c r="G6648" s="138"/>
      <c r="H6648" s="177"/>
    </row>
    <row r="6649" spans="1:8" s="139" customFormat="1" ht="13.5" customHeight="1" x14ac:dyDescent="0.35">
      <c r="A6649" s="146"/>
      <c r="B6649" s="120" t="s">
        <v>776</v>
      </c>
      <c r="C6649" s="124"/>
      <c r="D6649" s="146">
        <v>1.25</v>
      </c>
      <c r="E6649" s="117"/>
      <c r="F6649" s="117">
        <f>+F6648*D6649</f>
        <v>2144008.75</v>
      </c>
      <c r="G6649" s="138"/>
      <c r="H6649" s="177"/>
    </row>
    <row r="6650" spans="1:8" s="139" customFormat="1" ht="13.5" customHeight="1" x14ac:dyDescent="0.35">
      <c r="A6650" s="146"/>
      <c r="B6650" s="120" t="s">
        <v>835</v>
      </c>
      <c r="C6650" s="124"/>
      <c r="D6650" s="146">
        <v>1.25</v>
      </c>
      <c r="E6650" s="117"/>
      <c r="F6650" s="117"/>
      <c r="G6650" s="138"/>
      <c r="H6650" s="177"/>
    </row>
    <row r="6651" spans="1:8" s="139" customFormat="1" ht="13.5" customHeight="1" x14ac:dyDescent="0.35">
      <c r="A6651" s="233" t="s">
        <v>476</v>
      </c>
      <c r="B6651" s="207" t="s">
        <v>778</v>
      </c>
      <c r="C6651" s="233" t="s">
        <v>7</v>
      </c>
      <c r="D6651" s="340"/>
      <c r="E6651" s="209"/>
      <c r="F6651" s="209">
        <f>+D6650*F6649</f>
        <v>2680010.9375</v>
      </c>
      <c r="G6651" s="138"/>
      <c r="H6651" s="177"/>
    </row>
    <row r="6652" spans="1:8" s="139" customFormat="1" ht="13.5" customHeight="1" x14ac:dyDescent="0.35">
      <c r="A6652" s="340"/>
      <c r="B6652" s="207"/>
      <c r="C6652" s="208"/>
      <c r="D6652" s="340"/>
      <c r="E6652" s="210">
        <f>+E6635</f>
        <v>3035.45</v>
      </c>
      <c r="F6652" s="210">
        <f>+F6651/E6652</f>
        <v>882.90399693620395</v>
      </c>
      <c r="G6652" s="138"/>
      <c r="H6652" s="177"/>
    </row>
    <row r="6653" spans="1:8" s="139" customFormat="1" ht="13.5" customHeight="1" x14ac:dyDescent="0.35">
      <c r="A6653" s="163"/>
      <c r="B6653" s="164"/>
      <c r="C6653" s="165"/>
      <c r="E6653" s="166"/>
      <c r="F6653" s="166"/>
      <c r="G6653" s="138"/>
      <c r="H6653" s="177"/>
    </row>
    <row r="6654" spans="1:8" s="139" customFormat="1" ht="13.5" customHeight="1" x14ac:dyDescent="0.35">
      <c r="A6654" s="163"/>
      <c r="B6654" s="164"/>
      <c r="C6654" s="165"/>
      <c r="D6654" s="163"/>
      <c r="E6654" s="166"/>
      <c r="F6654" s="166"/>
      <c r="G6654" s="138"/>
      <c r="H6654" s="177"/>
    </row>
    <row r="6655" spans="1:8" s="139" customFormat="1" ht="13.5" customHeight="1" x14ac:dyDescent="0.3">
      <c r="A6655" s="341" t="s">
        <v>392</v>
      </c>
      <c r="B6655" s="331" t="s">
        <v>393</v>
      </c>
      <c r="C6655" s="332" t="s">
        <v>611</v>
      </c>
      <c r="D6655" s="333" t="s">
        <v>765</v>
      </c>
      <c r="E6655" s="334" t="s">
        <v>766</v>
      </c>
      <c r="F6655" s="334" t="s">
        <v>767</v>
      </c>
      <c r="G6655" s="138"/>
      <c r="H6655" s="177"/>
    </row>
    <row r="6656" spans="1:8" s="139" customFormat="1" ht="13.5" customHeight="1" x14ac:dyDescent="0.3">
      <c r="A6656" s="232" t="s">
        <v>472</v>
      </c>
      <c r="B6656" s="355" t="s">
        <v>473</v>
      </c>
      <c r="C6656" s="256"/>
      <c r="D6656" s="146"/>
      <c r="E6656" s="117"/>
      <c r="F6656" s="117"/>
      <c r="G6656" s="138"/>
      <c r="H6656" s="177"/>
    </row>
    <row r="6657" spans="1:8" s="139" customFormat="1" ht="13.5" customHeight="1" x14ac:dyDescent="0.35">
      <c r="A6657" s="232" t="s">
        <v>478</v>
      </c>
      <c r="B6657" s="346" t="s">
        <v>492</v>
      </c>
      <c r="C6657" s="256"/>
      <c r="D6657" s="146"/>
      <c r="E6657" s="117"/>
      <c r="F6657" s="117"/>
      <c r="G6657" s="138"/>
      <c r="H6657" s="177"/>
    </row>
    <row r="6658" spans="1:8" s="139" customFormat="1" ht="13.5" customHeight="1" x14ac:dyDescent="0.35">
      <c r="A6658" s="146"/>
      <c r="B6658" s="112" t="s">
        <v>802</v>
      </c>
      <c r="C6658" s="124"/>
      <c r="D6658" s="146"/>
      <c r="E6658" s="117"/>
      <c r="F6658" s="117"/>
      <c r="G6658" s="138"/>
      <c r="H6658" s="177"/>
    </row>
    <row r="6659" spans="1:8" s="139" customFormat="1" ht="13.5" customHeight="1" x14ac:dyDescent="0.25">
      <c r="A6659" s="146"/>
      <c r="B6659" s="354" t="s">
        <v>1085</v>
      </c>
      <c r="C6659" s="124" t="s">
        <v>27</v>
      </c>
      <c r="D6659" s="146">
        <v>1</v>
      </c>
      <c r="E6659" s="117">
        <v>1055820</v>
      </c>
      <c r="F6659" s="117">
        <f>D6659*E6659</f>
        <v>1055820</v>
      </c>
      <c r="G6659" s="138"/>
      <c r="H6659" s="177"/>
    </row>
    <row r="6660" spans="1:8" s="139" customFormat="1" ht="13.5" customHeight="1" x14ac:dyDescent="0.35">
      <c r="A6660" s="146"/>
      <c r="B6660" s="120" t="s">
        <v>1057</v>
      </c>
      <c r="C6660" s="124"/>
      <c r="D6660" s="146"/>
      <c r="E6660" s="117"/>
      <c r="F6660" s="117">
        <f>0.1*(F6659)</f>
        <v>105582</v>
      </c>
      <c r="G6660" s="138"/>
      <c r="H6660" s="177"/>
    </row>
    <row r="6661" spans="1:8" s="139" customFormat="1" ht="13.5" customHeight="1" x14ac:dyDescent="0.35">
      <c r="A6661" s="146"/>
      <c r="B6661" s="112" t="s">
        <v>769</v>
      </c>
      <c r="C6661" s="124"/>
      <c r="D6661" s="146"/>
      <c r="E6661" s="117"/>
      <c r="F6661" s="110">
        <f>SUM(F6659:F6660)</f>
        <v>1161402</v>
      </c>
      <c r="G6661" s="138"/>
      <c r="H6661" s="177"/>
    </row>
    <row r="6662" spans="1:8" s="139" customFormat="1" ht="13.5" customHeight="1" x14ac:dyDescent="0.35">
      <c r="A6662" s="146"/>
      <c r="B6662" s="112" t="s">
        <v>808</v>
      </c>
      <c r="C6662" s="124"/>
      <c r="D6662" s="146"/>
      <c r="E6662" s="117"/>
      <c r="F6662" s="117"/>
      <c r="G6662" s="138"/>
      <c r="H6662" s="177"/>
    </row>
    <row r="6663" spans="1:8" s="139" customFormat="1" ht="13.5" customHeight="1" x14ac:dyDescent="0.35">
      <c r="A6663" s="146"/>
      <c r="B6663" s="120" t="s">
        <v>787</v>
      </c>
      <c r="C6663" s="124" t="s">
        <v>1043</v>
      </c>
      <c r="D6663" s="146">
        <v>3</v>
      </c>
      <c r="E6663" s="117">
        <v>15000</v>
      </c>
      <c r="F6663" s="117">
        <f>+D6663*E6663</f>
        <v>45000</v>
      </c>
      <c r="G6663" s="138"/>
      <c r="H6663" s="177"/>
    </row>
    <row r="6664" spans="1:8" s="139" customFormat="1" ht="13.5" customHeight="1" x14ac:dyDescent="0.35">
      <c r="A6664" s="146"/>
      <c r="B6664" s="112" t="s">
        <v>774</v>
      </c>
      <c r="C6664" s="124"/>
      <c r="D6664" s="146"/>
      <c r="E6664" s="117"/>
      <c r="F6664" s="117">
        <f>SUM(F6663)</f>
        <v>45000</v>
      </c>
      <c r="G6664" s="138"/>
      <c r="H6664" s="177"/>
    </row>
    <row r="6665" spans="1:8" s="139" customFormat="1" ht="13.5" customHeight="1" x14ac:dyDescent="0.35">
      <c r="A6665" s="146"/>
      <c r="B6665" s="112" t="s">
        <v>775</v>
      </c>
      <c r="C6665" s="124"/>
      <c r="D6665" s="146"/>
      <c r="E6665" s="117"/>
      <c r="F6665" s="117">
        <f>+F6661+F6664</f>
        <v>1206402</v>
      </c>
      <c r="G6665" s="138"/>
      <c r="H6665" s="177"/>
    </row>
    <row r="6666" spans="1:8" s="139" customFormat="1" ht="13.5" customHeight="1" x14ac:dyDescent="0.35">
      <c r="A6666" s="146"/>
      <c r="B6666" s="120" t="s">
        <v>776</v>
      </c>
      <c r="C6666" s="124"/>
      <c r="D6666" s="146">
        <v>1.25</v>
      </c>
      <c r="E6666" s="117"/>
      <c r="F6666" s="117">
        <f>+F6665*D6666</f>
        <v>1508002.5</v>
      </c>
      <c r="G6666" s="138"/>
      <c r="H6666" s="177"/>
    </row>
    <row r="6667" spans="1:8" s="139" customFormat="1" ht="13.5" customHeight="1" x14ac:dyDescent="0.35">
      <c r="A6667" s="146"/>
      <c r="B6667" s="120" t="s">
        <v>835</v>
      </c>
      <c r="C6667" s="124"/>
      <c r="D6667" s="146">
        <v>1.25</v>
      </c>
      <c r="E6667" s="117"/>
      <c r="F6667" s="117"/>
      <c r="G6667" s="138"/>
      <c r="H6667" s="177"/>
    </row>
    <row r="6668" spans="1:8" s="139" customFormat="1" ht="13.5" customHeight="1" x14ac:dyDescent="0.35">
      <c r="A6668" s="233" t="s">
        <v>478</v>
      </c>
      <c r="B6668" s="207" t="s">
        <v>778</v>
      </c>
      <c r="C6668" s="233" t="s">
        <v>7</v>
      </c>
      <c r="D6668" s="340"/>
      <c r="E6668" s="209"/>
      <c r="F6668" s="209">
        <f>+D6667*F6666</f>
        <v>1885003.125</v>
      </c>
      <c r="G6668" s="138"/>
      <c r="H6668" s="177"/>
    </row>
    <row r="6669" spans="1:8" s="139" customFormat="1" ht="13.5" customHeight="1" x14ac:dyDescent="0.35">
      <c r="A6669" s="340"/>
      <c r="B6669" s="207"/>
      <c r="C6669" s="208"/>
      <c r="D6669" s="340"/>
      <c r="E6669" s="210">
        <f>+E6652</f>
        <v>3035.45</v>
      </c>
      <c r="F6669" s="210">
        <f>+F6668/E6669</f>
        <v>620.99626908695586</v>
      </c>
      <c r="G6669" s="138"/>
      <c r="H6669" s="177"/>
    </row>
    <row r="6670" spans="1:8" s="139" customFormat="1" ht="13.5" customHeight="1" x14ac:dyDescent="0.35">
      <c r="A6670" s="163"/>
      <c r="B6670" s="164"/>
      <c r="C6670" s="165"/>
      <c r="E6670" s="166"/>
      <c r="F6670" s="166"/>
      <c r="G6670" s="138"/>
      <c r="H6670" s="177"/>
    </row>
    <row r="6671" spans="1:8" s="139" customFormat="1" ht="13.5" customHeight="1" x14ac:dyDescent="0.35">
      <c r="A6671" s="163"/>
      <c r="B6671" s="164"/>
      <c r="C6671" s="165"/>
      <c r="D6671" s="163"/>
      <c r="E6671" s="166"/>
      <c r="F6671" s="166"/>
      <c r="G6671" s="138"/>
      <c r="H6671" s="177"/>
    </row>
    <row r="6672" spans="1:8" s="139" customFormat="1" ht="13.5" customHeight="1" x14ac:dyDescent="0.3">
      <c r="A6672" s="341" t="s">
        <v>1052</v>
      </c>
      <c r="B6672" s="331" t="s">
        <v>393</v>
      </c>
      <c r="C6672" s="332" t="s">
        <v>611</v>
      </c>
      <c r="D6672" s="333" t="s">
        <v>765</v>
      </c>
      <c r="E6672" s="334" t="s">
        <v>766</v>
      </c>
      <c r="F6672" s="334" t="s">
        <v>767</v>
      </c>
      <c r="G6672" s="138"/>
      <c r="H6672" s="177"/>
    </row>
    <row r="6673" spans="1:8" s="139" customFormat="1" ht="13.5" customHeight="1" x14ac:dyDescent="0.3">
      <c r="A6673" s="232" t="s">
        <v>472</v>
      </c>
      <c r="B6673" s="355" t="s">
        <v>473</v>
      </c>
      <c r="C6673" s="256"/>
      <c r="D6673" s="146"/>
      <c r="E6673" s="117"/>
      <c r="F6673" s="117"/>
      <c r="G6673" s="138"/>
      <c r="H6673" s="177"/>
    </row>
    <row r="6674" spans="1:8" s="139" customFormat="1" ht="13.5" customHeight="1" x14ac:dyDescent="0.3">
      <c r="A6674" s="232" t="s">
        <v>480</v>
      </c>
      <c r="B6674" s="352" t="s">
        <v>479</v>
      </c>
      <c r="C6674" s="256"/>
      <c r="D6674" s="146"/>
      <c r="E6674" s="117"/>
      <c r="F6674" s="117"/>
      <c r="G6674" s="138"/>
      <c r="H6674" s="177"/>
    </row>
    <row r="6675" spans="1:8" s="139" customFormat="1" ht="13.5" customHeight="1" x14ac:dyDescent="0.35">
      <c r="A6675" s="146"/>
      <c r="B6675" s="112" t="s">
        <v>802</v>
      </c>
      <c r="C6675" s="124"/>
      <c r="D6675" s="146"/>
      <c r="E6675" s="117"/>
      <c r="F6675" s="117"/>
      <c r="G6675" s="138"/>
      <c r="H6675" s="177"/>
    </row>
    <row r="6676" spans="1:8" s="139" customFormat="1" ht="13.5" customHeight="1" x14ac:dyDescent="0.25">
      <c r="A6676" s="146"/>
      <c r="B6676" s="354" t="s">
        <v>479</v>
      </c>
      <c r="C6676" s="124" t="s">
        <v>27</v>
      </c>
      <c r="D6676" s="146">
        <v>1</v>
      </c>
      <c r="E6676" s="117">
        <v>1326370</v>
      </c>
      <c r="F6676" s="117">
        <f>D6676*E6676</f>
        <v>1326370</v>
      </c>
      <c r="G6676" s="138"/>
      <c r="H6676" s="177"/>
    </row>
    <row r="6677" spans="1:8" s="139" customFormat="1" ht="13.5" customHeight="1" x14ac:dyDescent="0.35">
      <c r="A6677" s="146"/>
      <c r="B6677" s="120" t="s">
        <v>1057</v>
      </c>
      <c r="C6677" s="124"/>
      <c r="D6677" s="146"/>
      <c r="E6677" s="117"/>
      <c r="F6677" s="117">
        <f>0.1*(F6676)</f>
        <v>132637</v>
      </c>
      <c r="G6677" s="138"/>
      <c r="H6677" s="177"/>
    </row>
    <row r="6678" spans="1:8" s="139" customFormat="1" ht="13.5" customHeight="1" x14ac:dyDescent="0.35">
      <c r="A6678" s="146"/>
      <c r="B6678" s="112" t="s">
        <v>769</v>
      </c>
      <c r="C6678" s="124"/>
      <c r="D6678" s="146"/>
      <c r="E6678" s="117"/>
      <c r="F6678" s="110">
        <f>SUM(F6676:F6677)</f>
        <v>1459007</v>
      </c>
      <c r="G6678" s="138"/>
      <c r="H6678" s="177"/>
    </row>
    <row r="6679" spans="1:8" s="139" customFormat="1" ht="13.5" customHeight="1" x14ac:dyDescent="0.35">
      <c r="A6679" s="146"/>
      <c r="B6679" s="112" t="s">
        <v>808</v>
      </c>
      <c r="C6679" s="124"/>
      <c r="D6679" s="146"/>
      <c r="E6679" s="117"/>
      <c r="F6679" s="117"/>
      <c r="G6679" s="138"/>
      <c r="H6679" s="177"/>
    </row>
    <row r="6680" spans="1:8" s="139" customFormat="1" ht="13.5" customHeight="1" x14ac:dyDescent="0.35">
      <c r="A6680" s="146"/>
      <c r="B6680" s="120" t="s">
        <v>787</v>
      </c>
      <c r="C6680" s="124" t="s">
        <v>1043</v>
      </c>
      <c r="D6680" s="146">
        <v>3</v>
      </c>
      <c r="E6680" s="117">
        <v>15000</v>
      </c>
      <c r="F6680" s="117">
        <f>+D6680*E6680</f>
        <v>45000</v>
      </c>
      <c r="G6680" s="138"/>
      <c r="H6680" s="177"/>
    </row>
    <row r="6681" spans="1:8" s="139" customFormat="1" ht="13.5" customHeight="1" x14ac:dyDescent="0.35">
      <c r="A6681" s="146"/>
      <c r="B6681" s="112" t="s">
        <v>774</v>
      </c>
      <c r="C6681" s="124"/>
      <c r="D6681" s="146"/>
      <c r="E6681" s="117"/>
      <c r="F6681" s="117">
        <f>SUM(F6680)</f>
        <v>45000</v>
      </c>
      <c r="G6681" s="138"/>
      <c r="H6681" s="177"/>
    </row>
    <row r="6682" spans="1:8" s="139" customFormat="1" ht="13.5" customHeight="1" x14ac:dyDescent="0.35">
      <c r="A6682" s="146"/>
      <c r="B6682" s="112" t="s">
        <v>775</v>
      </c>
      <c r="C6682" s="124"/>
      <c r="D6682" s="146"/>
      <c r="E6682" s="117"/>
      <c r="F6682" s="117">
        <f>+F6678+F6681</f>
        <v>1504007</v>
      </c>
      <c r="G6682" s="138"/>
      <c r="H6682" s="177"/>
    </row>
    <row r="6683" spans="1:8" s="139" customFormat="1" ht="13.5" customHeight="1" x14ac:dyDescent="0.35">
      <c r="A6683" s="146"/>
      <c r="B6683" s="120" t="s">
        <v>776</v>
      </c>
      <c r="C6683" s="124"/>
      <c r="D6683" s="146">
        <v>1.25</v>
      </c>
      <c r="E6683" s="117"/>
      <c r="F6683" s="117">
        <f>+F6682*D6683</f>
        <v>1880008.75</v>
      </c>
      <c r="G6683" s="138"/>
      <c r="H6683" s="177"/>
    </row>
    <row r="6684" spans="1:8" s="139" customFormat="1" ht="13.5" customHeight="1" x14ac:dyDescent="0.35">
      <c r="A6684" s="146"/>
      <c r="B6684" s="120" t="s">
        <v>835</v>
      </c>
      <c r="C6684" s="124"/>
      <c r="D6684" s="146">
        <v>1.25</v>
      </c>
      <c r="E6684" s="117"/>
      <c r="F6684" s="117"/>
      <c r="G6684" s="138"/>
      <c r="H6684" s="177"/>
    </row>
    <row r="6685" spans="1:8" s="139" customFormat="1" ht="13.5" customHeight="1" x14ac:dyDescent="0.35">
      <c r="A6685" s="233" t="s">
        <v>480</v>
      </c>
      <c r="B6685" s="207" t="s">
        <v>778</v>
      </c>
      <c r="C6685" s="233" t="s">
        <v>7</v>
      </c>
      <c r="D6685" s="340"/>
      <c r="E6685" s="209"/>
      <c r="F6685" s="209">
        <f>+D6684*F6683</f>
        <v>2350010.9375</v>
      </c>
      <c r="G6685" s="138"/>
      <c r="H6685" s="177"/>
    </row>
    <row r="6686" spans="1:8" s="139" customFormat="1" ht="13.5" customHeight="1" x14ac:dyDescent="0.35">
      <c r="A6686" s="340"/>
      <c r="B6686" s="207"/>
      <c r="C6686" s="208"/>
      <c r="D6686" s="340"/>
      <c r="E6686" s="210">
        <f>+E6669</f>
        <v>3035.45</v>
      </c>
      <c r="F6686" s="210">
        <f>+F6685/E6686</f>
        <v>774.18864995305478</v>
      </c>
      <c r="G6686" s="138"/>
      <c r="H6686" s="177"/>
    </row>
    <row r="6687" spans="1:8" s="139" customFormat="1" ht="13.5" customHeight="1" x14ac:dyDescent="0.35">
      <c r="A6687" s="163"/>
      <c r="B6687" s="164"/>
      <c r="C6687" s="165"/>
      <c r="E6687" s="166"/>
      <c r="F6687" s="166"/>
      <c r="G6687" s="138"/>
      <c r="H6687" s="177"/>
    </row>
    <row r="6688" spans="1:8" s="139" customFormat="1" ht="13.5" customHeight="1" x14ac:dyDescent="0.35">
      <c r="A6688" s="163"/>
      <c r="B6688" s="164"/>
      <c r="C6688" s="165"/>
      <c r="D6688" s="163"/>
      <c r="E6688" s="166"/>
      <c r="F6688" s="166"/>
      <c r="G6688" s="138"/>
      <c r="H6688" s="177"/>
    </row>
    <row r="6689" spans="1:8" s="139" customFormat="1" ht="13.5" customHeight="1" x14ac:dyDescent="0.3">
      <c r="A6689" s="341" t="s">
        <v>1052</v>
      </c>
      <c r="B6689" s="331" t="s">
        <v>393</v>
      </c>
      <c r="C6689" s="332" t="s">
        <v>611</v>
      </c>
      <c r="D6689" s="333" t="s">
        <v>765</v>
      </c>
      <c r="E6689" s="334" t="s">
        <v>766</v>
      </c>
      <c r="F6689" s="334" t="s">
        <v>767</v>
      </c>
      <c r="G6689" s="138"/>
      <c r="H6689" s="177"/>
    </row>
    <row r="6690" spans="1:8" s="139" customFormat="1" ht="13.5" customHeight="1" x14ac:dyDescent="0.3">
      <c r="A6690" s="232" t="s">
        <v>472</v>
      </c>
      <c r="B6690" s="355" t="s">
        <v>473</v>
      </c>
      <c r="C6690" s="256"/>
      <c r="D6690" s="146"/>
      <c r="E6690" s="117"/>
      <c r="F6690" s="117"/>
      <c r="G6690" s="138"/>
      <c r="H6690" s="177"/>
    </row>
    <row r="6691" spans="1:8" s="139" customFormat="1" ht="13.5" customHeight="1" x14ac:dyDescent="0.3">
      <c r="A6691" s="232" t="s">
        <v>482</v>
      </c>
      <c r="B6691" s="356" t="s">
        <v>508</v>
      </c>
      <c r="C6691" s="256" t="s">
        <v>7</v>
      </c>
      <c r="D6691" s="146"/>
      <c r="E6691" s="117"/>
      <c r="F6691" s="117"/>
      <c r="G6691" s="138"/>
      <c r="H6691" s="177"/>
    </row>
    <row r="6692" spans="1:8" s="139" customFormat="1" ht="13.5" customHeight="1" x14ac:dyDescent="0.35">
      <c r="A6692" s="146"/>
      <c r="B6692" s="112" t="s">
        <v>802</v>
      </c>
      <c r="C6692" s="124"/>
      <c r="D6692" s="146"/>
      <c r="E6692" s="117"/>
      <c r="F6692" s="117"/>
      <c r="G6692" s="138"/>
      <c r="H6692" s="177"/>
    </row>
    <row r="6693" spans="1:8" s="139" customFormat="1" ht="13.5" customHeight="1" x14ac:dyDescent="0.25">
      <c r="A6693" s="146"/>
      <c r="B6693" s="357" t="s">
        <v>1086</v>
      </c>
      <c r="C6693" s="124" t="s">
        <v>27</v>
      </c>
      <c r="D6693" s="146">
        <v>1</v>
      </c>
      <c r="E6693" s="117">
        <v>469640</v>
      </c>
      <c r="F6693" s="117">
        <f>D6693*E6693</f>
        <v>469640</v>
      </c>
      <c r="G6693" s="138"/>
      <c r="H6693" s="177"/>
    </row>
    <row r="6694" spans="1:8" s="139" customFormat="1" ht="13.5" customHeight="1" x14ac:dyDescent="0.35">
      <c r="A6694" s="146"/>
      <c r="B6694" s="120" t="s">
        <v>1057</v>
      </c>
      <c r="C6694" s="124"/>
      <c r="D6694" s="146"/>
      <c r="E6694" s="117"/>
      <c r="F6694" s="117">
        <f>0.1*(F6693)</f>
        <v>46964</v>
      </c>
      <c r="G6694" s="138"/>
      <c r="H6694" s="177"/>
    </row>
    <row r="6695" spans="1:8" s="139" customFormat="1" ht="13.5" customHeight="1" x14ac:dyDescent="0.35">
      <c r="A6695" s="146"/>
      <c r="B6695" s="112" t="s">
        <v>769</v>
      </c>
      <c r="C6695" s="124"/>
      <c r="D6695" s="146"/>
      <c r="E6695" s="117"/>
      <c r="F6695" s="110">
        <f>SUM(F6693:F6694)</f>
        <v>516604</v>
      </c>
      <c r="G6695" s="138"/>
      <c r="H6695" s="177"/>
    </row>
    <row r="6696" spans="1:8" s="139" customFormat="1" ht="13.5" customHeight="1" x14ac:dyDescent="0.35">
      <c r="A6696" s="146"/>
      <c r="B6696" s="112" t="s">
        <v>808</v>
      </c>
      <c r="C6696" s="124"/>
      <c r="D6696" s="146"/>
      <c r="E6696" s="117"/>
      <c r="F6696" s="117"/>
      <c r="G6696" s="138"/>
      <c r="H6696" s="177"/>
    </row>
    <row r="6697" spans="1:8" s="139" customFormat="1" ht="13.5" customHeight="1" x14ac:dyDescent="0.35">
      <c r="A6697" s="146"/>
      <c r="B6697" s="120" t="s">
        <v>787</v>
      </c>
      <c r="C6697" s="124" t="s">
        <v>1043</v>
      </c>
      <c r="D6697" s="146">
        <v>3</v>
      </c>
      <c r="E6697" s="117">
        <v>15000</v>
      </c>
      <c r="F6697" s="117">
        <f>+D6697*E6697</f>
        <v>45000</v>
      </c>
      <c r="G6697" s="138"/>
      <c r="H6697" s="177"/>
    </row>
    <row r="6698" spans="1:8" s="139" customFormat="1" ht="13.5" customHeight="1" x14ac:dyDescent="0.35">
      <c r="A6698" s="146"/>
      <c r="B6698" s="112" t="s">
        <v>774</v>
      </c>
      <c r="C6698" s="124"/>
      <c r="D6698" s="146"/>
      <c r="E6698" s="117"/>
      <c r="F6698" s="117">
        <f>SUM(F6697)</f>
        <v>45000</v>
      </c>
      <c r="G6698" s="138"/>
      <c r="H6698" s="177"/>
    </row>
    <row r="6699" spans="1:8" s="139" customFormat="1" ht="13.5" customHeight="1" x14ac:dyDescent="0.35">
      <c r="A6699" s="146"/>
      <c r="B6699" s="112" t="s">
        <v>775</v>
      </c>
      <c r="C6699" s="124"/>
      <c r="D6699" s="146"/>
      <c r="E6699" s="117"/>
      <c r="F6699" s="117">
        <f>+F6695+F6698</f>
        <v>561604</v>
      </c>
      <c r="G6699" s="138"/>
      <c r="H6699" s="177"/>
    </row>
    <row r="6700" spans="1:8" s="139" customFormat="1" ht="13.5" customHeight="1" x14ac:dyDescent="0.35">
      <c r="A6700" s="146"/>
      <c r="B6700" s="120" t="s">
        <v>776</v>
      </c>
      <c r="C6700" s="124"/>
      <c r="D6700" s="146">
        <v>1.25</v>
      </c>
      <c r="E6700" s="117"/>
      <c r="F6700" s="117">
        <f>+F6699*D6700</f>
        <v>702005</v>
      </c>
      <c r="G6700" s="138"/>
      <c r="H6700" s="177"/>
    </row>
    <row r="6701" spans="1:8" s="139" customFormat="1" ht="13.5" customHeight="1" x14ac:dyDescent="0.35">
      <c r="A6701" s="146"/>
      <c r="B6701" s="120" t="s">
        <v>835</v>
      </c>
      <c r="C6701" s="124"/>
      <c r="D6701" s="146">
        <v>1.25</v>
      </c>
      <c r="E6701" s="117"/>
      <c r="F6701" s="117"/>
      <c r="G6701" s="138"/>
      <c r="H6701" s="177"/>
    </row>
    <row r="6702" spans="1:8" s="139" customFormat="1" ht="13.5" customHeight="1" x14ac:dyDescent="0.35">
      <c r="A6702" s="233" t="s">
        <v>482</v>
      </c>
      <c r="B6702" s="207" t="s">
        <v>778</v>
      </c>
      <c r="C6702" s="233" t="s">
        <v>7</v>
      </c>
      <c r="D6702" s="340"/>
      <c r="E6702" s="209"/>
      <c r="F6702" s="209">
        <f>+D6701*F6700</f>
        <v>877506.25</v>
      </c>
      <c r="G6702" s="138"/>
      <c r="H6702" s="177"/>
    </row>
    <row r="6703" spans="1:8" s="139" customFormat="1" ht="13.5" customHeight="1" x14ac:dyDescent="0.35">
      <c r="A6703" s="340"/>
      <c r="B6703" s="207"/>
      <c r="C6703" s="208"/>
      <c r="D6703" s="340"/>
      <c r="E6703" s="210">
        <f>+E6686</f>
        <v>3035.45</v>
      </c>
      <c r="F6703" s="210">
        <f>+F6702/E6703</f>
        <v>289.08604984433941</v>
      </c>
      <c r="G6703" s="138"/>
      <c r="H6703" s="177"/>
    </row>
    <row r="6704" spans="1:8" s="139" customFormat="1" ht="13.5" customHeight="1" x14ac:dyDescent="0.35">
      <c r="A6704" s="163"/>
      <c r="B6704" s="164"/>
      <c r="C6704" s="165"/>
      <c r="E6704" s="166"/>
      <c r="F6704" s="166"/>
      <c r="G6704" s="138"/>
      <c r="H6704" s="177"/>
    </row>
    <row r="6705" spans="1:8" s="139" customFormat="1" ht="13.5" customHeight="1" x14ac:dyDescent="0.35">
      <c r="A6705" s="163"/>
      <c r="B6705" s="164"/>
      <c r="C6705" s="165"/>
      <c r="D6705" s="163"/>
      <c r="E6705" s="166"/>
      <c r="F6705" s="166"/>
      <c r="G6705" s="138"/>
      <c r="H6705" s="177"/>
    </row>
    <row r="6706" spans="1:8" s="139" customFormat="1" ht="13.5" customHeight="1" x14ac:dyDescent="0.3">
      <c r="A6706" s="341" t="s">
        <v>392</v>
      </c>
      <c r="B6706" s="331" t="s">
        <v>393</v>
      </c>
      <c r="C6706" s="332" t="s">
        <v>611</v>
      </c>
      <c r="D6706" s="333" t="s">
        <v>765</v>
      </c>
      <c r="E6706" s="334" t="s">
        <v>766</v>
      </c>
      <c r="F6706" s="334" t="s">
        <v>767</v>
      </c>
      <c r="G6706" s="138"/>
      <c r="H6706" s="177"/>
    </row>
    <row r="6707" spans="1:8" s="139" customFormat="1" ht="13.5" customHeight="1" x14ac:dyDescent="0.3">
      <c r="A6707" s="232" t="s">
        <v>472</v>
      </c>
      <c r="B6707" s="355" t="s">
        <v>473</v>
      </c>
      <c r="C6707" s="256"/>
      <c r="D6707" s="146"/>
      <c r="E6707" s="117"/>
      <c r="F6707" s="117"/>
      <c r="G6707" s="138"/>
      <c r="H6707" s="177"/>
    </row>
    <row r="6708" spans="1:8" s="139" customFormat="1" ht="13.5" customHeight="1" x14ac:dyDescent="0.3">
      <c r="A6708" s="232" t="s">
        <v>1219</v>
      </c>
      <c r="B6708" s="358" t="s">
        <v>481</v>
      </c>
      <c r="C6708" s="256"/>
      <c r="D6708" s="146"/>
      <c r="E6708" s="117"/>
      <c r="F6708" s="117"/>
      <c r="G6708" s="138"/>
      <c r="H6708" s="177"/>
    </row>
    <row r="6709" spans="1:8" s="139" customFormat="1" ht="13.5" customHeight="1" x14ac:dyDescent="0.35">
      <c r="A6709" s="146"/>
      <c r="B6709" s="112" t="s">
        <v>802</v>
      </c>
      <c r="C6709" s="124"/>
      <c r="D6709" s="146"/>
      <c r="E6709" s="117"/>
      <c r="F6709" s="117"/>
      <c r="G6709" s="138"/>
      <c r="H6709" s="177"/>
    </row>
    <row r="6710" spans="1:8" s="139" customFormat="1" ht="13.5" customHeight="1" x14ac:dyDescent="0.25">
      <c r="A6710" s="146"/>
      <c r="B6710" s="359" t="s">
        <v>481</v>
      </c>
      <c r="C6710" s="124" t="s">
        <v>27</v>
      </c>
      <c r="D6710" s="146">
        <v>1</v>
      </c>
      <c r="E6710" s="117">
        <v>238370</v>
      </c>
      <c r="F6710" s="117">
        <f>D6710*E6710</f>
        <v>238370</v>
      </c>
      <c r="G6710" s="138"/>
      <c r="H6710" s="177"/>
    </row>
    <row r="6711" spans="1:8" s="139" customFormat="1" ht="13.5" customHeight="1" x14ac:dyDescent="0.35">
      <c r="A6711" s="146"/>
      <c r="B6711" s="120" t="s">
        <v>1057</v>
      </c>
      <c r="C6711" s="124"/>
      <c r="D6711" s="146"/>
      <c r="E6711" s="117"/>
      <c r="F6711" s="117">
        <f>0.1*(F6710)</f>
        <v>23837</v>
      </c>
      <c r="G6711" s="138"/>
      <c r="H6711" s="177"/>
    </row>
    <row r="6712" spans="1:8" s="139" customFormat="1" ht="13.5" customHeight="1" x14ac:dyDescent="0.35">
      <c r="A6712" s="146"/>
      <c r="B6712" s="112" t="s">
        <v>769</v>
      </c>
      <c r="C6712" s="124"/>
      <c r="D6712" s="146"/>
      <c r="E6712" s="117"/>
      <c r="F6712" s="110">
        <f>SUM(F6710:F6711)</f>
        <v>262207</v>
      </c>
      <c r="G6712" s="138"/>
      <c r="H6712" s="177"/>
    </row>
    <row r="6713" spans="1:8" s="139" customFormat="1" ht="13.5" customHeight="1" x14ac:dyDescent="0.35">
      <c r="A6713" s="146"/>
      <c r="B6713" s="112" t="s">
        <v>808</v>
      </c>
      <c r="C6713" s="124"/>
      <c r="D6713" s="146"/>
      <c r="E6713" s="117"/>
      <c r="F6713" s="117"/>
      <c r="G6713" s="138"/>
      <c r="H6713" s="177"/>
    </row>
    <row r="6714" spans="1:8" s="139" customFormat="1" ht="13.5" customHeight="1" x14ac:dyDescent="0.35">
      <c r="A6714" s="146"/>
      <c r="B6714" s="120" t="s">
        <v>787</v>
      </c>
      <c r="C6714" s="124" t="s">
        <v>1043</v>
      </c>
      <c r="D6714" s="146">
        <v>3</v>
      </c>
      <c r="E6714" s="117">
        <v>15000</v>
      </c>
      <c r="F6714" s="117">
        <f>+D6714*E6714</f>
        <v>45000</v>
      </c>
      <c r="G6714" s="138"/>
      <c r="H6714" s="177"/>
    </row>
    <row r="6715" spans="1:8" s="139" customFormat="1" ht="13.5" customHeight="1" x14ac:dyDescent="0.35">
      <c r="A6715" s="146"/>
      <c r="B6715" s="112" t="s">
        <v>774</v>
      </c>
      <c r="C6715" s="124"/>
      <c r="D6715" s="146"/>
      <c r="E6715" s="117"/>
      <c r="F6715" s="117">
        <f>SUM(F6714)</f>
        <v>45000</v>
      </c>
      <c r="G6715" s="138"/>
      <c r="H6715" s="177"/>
    </row>
    <row r="6716" spans="1:8" s="139" customFormat="1" ht="13.5" customHeight="1" x14ac:dyDescent="0.35">
      <c r="A6716" s="146"/>
      <c r="B6716" s="112" t="s">
        <v>775</v>
      </c>
      <c r="C6716" s="124"/>
      <c r="D6716" s="146"/>
      <c r="E6716" s="117"/>
      <c r="F6716" s="117">
        <f>+F6712+F6715</f>
        <v>307207</v>
      </c>
      <c r="G6716" s="138"/>
      <c r="H6716" s="177"/>
    </row>
    <row r="6717" spans="1:8" s="139" customFormat="1" ht="13.5" customHeight="1" x14ac:dyDescent="0.35">
      <c r="A6717" s="146"/>
      <c r="B6717" s="120" t="s">
        <v>776</v>
      </c>
      <c r="C6717" s="124"/>
      <c r="D6717" s="146">
        <v>1.25</v>
      </c>
      <c r="E6717" s="117"/>
      <c r="F6717" s="117">
        <f>+F6716*D6717</f>
        <v>384008.75</v>
      </c>
      <c r="G6717" s="138"/>
      <c r="H6717" s="177"/>
    </row>
    <row r="6718" spans="1:8" s="139" customFormat="1" ht="13.5" customHeight="1" x14ac:dyDescent="0.35">
      <c r="A6718" s="146"/>
      <c r="B6718" s="120" t="s">
        <v>835</v>
      </c>
      <c r="C6718" s="124"/>
      <c r="D6718" s="146">
        <v>1.25</v>
      </c>
      <c r="E6718" s="117"/>
      <c r="F6718" s="117"/>
      <c r="G6718" s="138"/>
      <c r="H6718" s="177"/>
    </row>
    <row r="6719" spans="1:8" s="139" customFormat="1" ht="13.5" customHeight="1" x14ac:dyDescent="0.35">
      <c r="A6719" s="233" t="s">
        <v>1219</v>
      </c>
      <c r="B6719" s="207" t="s">
        <v>778</v>
      </c>
      <c r="C6719" s="233" t="s">
        <v>7</v>
      </c>
      <c r="D6719" s="340"/>
      <c r="E6719" s="209"/>
      <c r="F6719" s="209">
        <f>+D6718*F6717</f>
        <v>480010.9375</v>
      </c>
      <c r="G6719" s="138"/>
      <c r="H6719" s="177"/>
    </row>
    <row r="6720" spans="1:8" s="139" customFormat="1" ht="13.5" customHeight="1" x14ac:dyDescent="0.35">
      <c r="A6720" s="340"/>
      <c r="B6720" s="207"/>
      <c r="C6720" s="208"/>
      <c r="D6720" s="340"/>
      <c r="E6720" s="210">
        <f>+E6703</f>
        <v>3035.45</v>
      </c>
      <c r="F6720" s="210">
        <f>+F6719/E6720</f>
        <v>158.13501704854306</v>
      </c>
      <c r="G6720" s="138"/>
      <c r="H6720" s="177"/>
    </row>
    <row r="6721" spans="1:8" s="139" customFormat="1" ht="13.5" customHeight="1" x14ac:dyDescent="0.35">
      <c r="A6721" s="163"/>
      <c r="B6721" s="164"/>
      <c r="C6721" s="165"/>
      <c r="E6721" s="166"/>
      <c r="F6721" s="166"/>
      <c r="G6721" s="138"/>
      <c r="H6721" s="177"/>
    </row>
    <row r="6722" spans="1:8" s="139" customFormat="1" ht="13.5" customHeight="1" x14ac:dyDescent="0.35">
      <c r="A6722" s="163"/>
      <c r="B6722" s="164"/>
      <c r="C6722" s="165"/>
      <c r="D6722" s="163"/>
      <c r="E6722" s="166"/>
      <c r="F6722" s="166"/>
      <c r="G6722" s="138"/>
      <c r="H6722" s="177"/>
    </row>
    <row r="6723" spans="1:8" s="139" customFormat="1" ht="13.5" customHeight="1" x14ac:dyDescent="0.3">
      <c r="A6723" s="341" t="s">
        <v>392</v>
      </c>
      <c r="B6723" s="331" t="s">
        <v>393</v>
      </c>
      <c r="C6723" s="332" t="s">
        <v>611</v>
      </c>
      <c r="D6723" s="333" t="s">
        <v>765</v>
      </c>
      <c r="E6723" s="334" t="s">
        <v>766</v>
      </c>
      <c r="F6723" s="334" t="s">
        <v>767</v>
      </c>
      <c r="G6723" s="138"/>
      <c r="H6723" s="177"/>
    </row>
    <row r="6724" spans="1:8" s="139" customFormat="1" ht="13.5" customHeight="1" x14ac:dyDescent="0.3">
      <c r="A6724" s="232" t="s">
        <v>472</v>
      </c>
      <c r="B6724" s="355" t="s">
        <v>473</v>
      </c>
      <c r="C6724" s="256"/>
      <c r="D6724" s="146"/>
      <c r="E6724" s="117"/>
      <c r="F6724" s="117"/>
      <c r="G6724" s="138"/>
      <c r="H6724" s="177"/>
    </row>
    <row r="6725" spans="1:8" s="139" customFormat="1" ht="13.5" customHeight="1" x14ac:dyDescent="0.3">
      <c r="A6725" s="232" t="s">
        <v>1220</v>
      </c>
      <c r="B6725" s="356" t="s">
        <v>510</v>
      </c>
      <c r="C6725" s="256"/>
      <c r="D6725" s="146"/>
      <c r="E6725" s="117"/>
      <c r="F6725" s="117"/>
      <c r="G6725" s="138"/>
      <c r="H6725" s="177"/>
    </row>
    <row r="6726" spans="1:8" s="139" customFormat="1" ht="13.5" customHeight="1" x14ac:dyDescent="0.35">
      <c r="A6726" s="146"/>
      <c r="B6726" s="112" t="s">
        <v>802</v>
      </c>
      <c r="C6726" s="124"/>
      <c r="D6726" s="146"/>
      <c r="E6726" s="117"/>
      <c r="F6726" s="117"/>
      <c r="G6726" s="138"/>
      <c r="H6726" s="177"/>
    </row>
    <row r="6727" spans="1:8" s="139" customFormat="1" ht="13.5" customHeight="1" x14ac:dyDescent="0.25">
      <c r="A6727" s="146"/>
      <c r="B6727" s="359" t="s">
        <v>481</v>
      </c>
      <c r="C6727" s="124" t="s">
        <v>27</v>
      </c>
      <c r="D6727" s="146">
        <v>1</v>
      </c>
      <c r="E6727" s="117">
        <v>526500</v>
      </c>
      <c r="F6727" s="117">
        <f>D6727*E6727</f>
        <v>526500</v>
      </c>
      <c r="G6727" s="138"/>
      <c r="H6727" s="177"/>
    </row>
    <row r="6728" spans="1:8" s="139" customFormat="1" ht="13.5" customHeight="1" x14ac:dyDescent="0.35">
      <c r="A6728" s="146"/>
      <c r="B6728" s="120" t="s">
        <v>1057</v>
      </c>
      <c r="C6728" s="124"/>
      <c r="D6728" s="146"/>
      <c r="E6728" s="117"/>
      <c r="F6728" s="117">
        <f>0.1*(F6727)</f>
        <v>52650</v>
      </c>
      <c r="G6728" s="138"/>
      <c r="H6728" s="177"/>
    </row>
    <row r="6729" spans="1:8" s="139" customFormat="1" ht="13.5" customHeight="1" x14ac:dyDescent="0.35">
      <c r="A6729" s="146"/>
      <c r="B6729" s="112" t="s">
        <v>769</v>
      </c>
      <c r="C6729" s="124"/>
      <c r="D6729" s="146"/>
      <c r="E6729" s="117"/>
      <c r="F6729" s="110">
        <f>SUM(F6727:F6728)</f>
        <v>579150</v>
      </c>
      <c r="G6729" s="138"/>
      <c r="H6729" s="177"/>
    </row>
    <row r="6730" spans="1:8" s="139" customFormat="1" ht="13.5" customHeight="1" x14ac:dyDescent="0.35">
      <c r="A6730" s="146"/>
      <c r="B6730" s="112" t="s">
        <v>808</v>
      </c>
      <c r="C6730" s="124"/>
      <c r="D6730" s="146"/>
      <c r="E6730" s="117"/>
      <c r="F6730" s="117"/>
      <c r="G6730" s="138"/>
      <c r="H6730" s="177"/>
    </row>
    <row r="6731" spans="1:8" s="139" customFormat="1" ht="13.5" customHeight="1" x14ac:dyDescent="0.35">
      <c r="A6731" s="146"/>
      <c r="B6731" s="120" t="s">
        <v>787</v>
      </c>
      <c r="C6731" s="124" t="s">
        <v>1043</v>
      </c>
      <c r="D6731" s="146">
        <v>3</v>
      </c>
      <c r="E6731" s="117">
        <v>15000</v>
      </c>
      <c r="F6731" s="117">
        <f>+D6731*E6731</f>
        <v>45000</v>
      </c>
      <c r="G6731" s="138"/>
      <c r="H6731" s="177"/>
    </row>
    <row r="6732" spans="1:8" s="139" customFormat="1" ht="13.5" customHeight="1" x14ac:dyDescent="0.35">
      <c r="A6732" s="146"/>
      <c r="B6732" s="112" t="s">
        <v>774</v>
      </c>
      <c r="C6732" s="124"/>
      <c r="D6732" s="146"/>
      <c r="E6732" s="117"/>
      <c r="F6732" s="117">
        <f>SUM(F6731)</f>
        <v>45000</v>
      </c>
      <c r="G6732" s="138"/>
      <c r="H6732" s="177"/>
    </row>
    <row r="6733" spans="1:8" s="139" customFormat="1" ht="13.5" customHeight="1" x14ac:dyDescent="0.35">
      <c r="A6733" s="146"/>
      <c r="B6733" s="112" t="s">
        <v>775</v>
      </c>
      <c r="C6733" s="124"/>
      <c r="D6733" s="146"/>
      <c r="E6733" s="117"/>
      <c r="F6733" s="117">
        <f>+F6729+F6732</f>
        <v>624150</v>
      </c>
      <c r="G6733" s="138"/>
      <c r="H6733" s="177"/>
    </row>
    <row r="6734" spans="1:8" s="139" customFormat="1" ht="13.5" customHeight="1" x14ac:dyDescent="0.35">
      <c r="A6734" s="146"/>
      <c r="B6734" s="120" t="s">
        <v>776</v>
      </c>
      <c r="C6734" s="124"/>
      <c r="D6734" s="146">
        <v>1.25</v>
      </c>
      <c r="E6734" s="117"/>
      <c r="F6734" s="117">
        <f>+F6733*D6734</f>
        <v>780187.5</v>
      </c>
      <c r="G6734" s="138"/>
      <c r="H6734" s="177"/>
    </row>
    <row r="6735" spans="1:8" s="139" customFormat="1" ht="13.5" customHeight="1" x14ac:dyDescent="0.35">
      <c r="A6735" s="146"/>
      <c r="B6735" s="120" t="s">
        <v>835</v>
      </c>
      <c r="C6735" s="124"/>
      <c r="D6735" s="146">
        <v>1.25</v>
      </c>
      <c r="E6735" s="117"/>
      <c r="F6735" s="117"/>
      <c r="G6735" s="138"/>
      <c r="H6735" s="177"/>
    </row>
    <row r="6736" spans="1:8" s="139" customFormat="1" ht="13.5" customHeight="1" x14ac:dyDescent="0.35">
      <c r="A6736" s="233" t="s">
        <v>1220</v>
      </c>
      <c r="B6736" s="207" t="s">
        <v>778</v>
      </c>
      <c r="C6736" s="233" t="s">
        <v>7</v>
      </c>
      <c r="D6736" s="340"/>
      <c r="E6736" s="209"/>
      <c r="F6736" s="209">
        <f>+D6735*F6734</f>
        <v>975234.375</v>
      </c>
      <c r="G6736" s="138"/>
      <c r="H6736" s="177"/>
    </row>
    <row r="6737" spans="1:8" s="139" customFormat="1" ht="13.5" customHeight="1" x14ac:dyDescent="0.35">
      <c r="A6737" s="340"/>
      <c r="B6737" s="207"/>
      <c r="C6737" s="208"/>
      <c r="D6737" s="340"/>
      <c r="E6737" s="210">
        <f>+E6720</f>
        <v>3035.45</v>
      </c>
      <c r="F6737" s="210">
        <f>+F6736/E6737</f>
        <v>321.28164687278661</v>
      </c>
      <c r="G6737" s="138"/>
      <c r="H6737" s="177"/>
    </row>
    <row r="6738" spans="1:8" s="139" customFormat="1" ht="13.5" customHeight="1" x14ac:dyDescent="0.35">
      <c r="A6738" s="163"/>
      <c r="B6738" s="164"/>
      <c r="C6738" s="165"/>
      <c r="E6738" s="166"/>
      <c r="F6738" s="166"/>
      <c r="G6738" s="138"/>
      <c r="H6738" s="177"/>
    </row>
    <row r="6739" spans="1:8" s="139" customFormat="1" ht="13.5" customHeight="1" x14ac:dyDescent="0.35">
      <c r="A6739" s="163"/>
      <c r="B6739" s="164"/>
      <c r="C6739" s="165"/>
      <c r="D6739" s="163"/>
      <c r="E6739" s="166"/>
      <c r="F6739" s="166"/>
      <c r="G6739" s="138"/>
      <c r="H6739" s="177"/>
    </row>
    <row r="6740" spans="1:8" s="139" customFormat="1" ht="13.5" customHeight="1" x14ac:dyDescent="0.3">
      <c r="A6740" s="341" t="s">
        <v>392</v>
      </c>
      <c r="B6740" s="331" t="s">
        <v>393</v>
      </c>
      <c r="C6740" s="332" t="s">
        <v>611</v>
      </c>
      <c r="D6740" s="333" t="s">
        <v>765</v>
      </c>
      <c r="E6740" s="334" t="s">
        <v>766</v>
      </c>
      <c r="F6740" s="334" t="s">
        <v>767</v>
      </c>
      <c r="G6740" s="138"/>
      <c r="H6740" s="177"/>
    </row>
    <row r="6741" spans="1:8" s="139" customFormat="1" ht="13.5" customHeight="1" x14ac:dyDescent="0.3">
      <c r="A6741" s="232" t="s">
        <v>472</v>
      </c>
      <c r="B6741" s="355" t="s">
        <v>473</v>
      </c>
      <c r="C6741" s="256"/>
      <c r="D6741" s="146"/>
      <c r="E6741" s="117"/>
      <c r="F6741" s="117"/>
      <c r="G6741" s="138"/>
      <c r="H6741" s="177"/>
    </row>
    <row r="6742" spans="1:8" s="139" customFormat="1" ht="13.5" customHeight="1" x14ac:dyDescent="0.3">
      <c r="A6742" s="232" t="s">
        <v>1221</v>
      </c>
      <c r="B6742" s="356" t="s">
        <v>509</v>
      </c>
      <c r="C6742" s="256"/>
      <c r="D6742" s="146"/>
      <c r="E6742" s="117"/>
      <c r="F6742" s="117"/>
      <c r="G6742" s="138"/>
      <c r="H6742" s="177"/>
    </row>
    <row r="6743" spans="1:8" s="139" customFormat="1" ht="13.5" customHeight="1" x14ac:dyDescent="0.35">
      <c r="A6743" s="146"/>
      <c r="B6743" s="112" t="s">
        <v>802</v>
      </c>
      <c r="C6743" s="124"/>
      <c r="D6743" s="146"/>
      <c r="E6743" s="117"/>
      <c r="F6743" s="117"/>
      <c r="G6743" s="138"/>
      <c r="H6743" s="177"/>
    </row>
    <row r="6744" spans="1:8" s="139" customFormat="1" ht="13.5" customHeight="1" x14ac:dyDescent="0.25">
      <c r="A6744" s="146"/>
      <c r="B6744" s="357" t="s">
        <v>509</v>
      </c>
      <c r="C6744" s="124" t="s">
        <v>27</v>
      </c>
      <c r="D6744" s="146">
        <v>1</v>
      </c>
      <c r="E6744" s="117">
        <v>177280</v>
      </c>
      <c r="F6744" s="117">
        <f>D6744*E6744</f>
        <v>177280</v>
      </c>
      <c r="G6744" s="138"/>
      <c r="H6744" s="177"/>
    </row>
    <row r="6745" spans="1:8" s="139" customFormat="1" ht="13.5" customHeight="1" x14ac:dyDescent="0.35">
      <c r="A6745" s="146"/>
      <c r="B6745" s="120" t="s">
        <v>1057</v>
      </c>
      <c r="C6745" s="124"/>
      <c r="D6745" s="146"/>
      <c r="E6745" s="117"/>
      <c r="F6745" s="117">
        <f>0.1*(F6744)</f>
        <v>17728</v>
      </c>
      <c r="G6745" s="138"/>
      <c r="H6745" s="177"/>
    </row>
    <row r="6746" spans="1:8" s="139" customFormat="1" ht="13.5" customHeight="1" x14ac:dyDescent="0.35">
      <c r="A6746" s="146"/>
      <c r="B6746" s="112" t="s">
        <v>769</v>
      </c>
      <c r="C6746" s="124"/>
      <c r="D6746" s="146"/>
      <c r="E6746" s="117"/>
      <c r="F6746" s="110">
        <f>SUM(F6744:F6745)</f>
        <v>195008</v>
      </c>
      <c r="G6746" s="138"/>
      <c r="H6746" s="177"/>
    </row>
    <row r="6747" spans="1:8" s="139" customFormat="1" ht="13.5" customHeight="1" x14ac:dyDescent="0.35">
      <c r="A6747" s="146"/>
      <c r="B6747" s="112" t="s">
        <v>808</v>
      </c>
      <c r="C6747" s="124"/>
      <c r="D6747" s="146"/>
      <c r="E6747" s="117"/>
      <c r="F6747" s="117"/>
      <c r="G6747" s="138"/>
      <c r="H6747" s="177"/>
    </row>
    <row r="6748" spans="1:8" s="139" customFormat="1" ht="13.5" customHeight="1" x14ac:dyDescent="0.35">
      <c r="A6748" s="146"/>
      <c r="B6748" s="120" t="s">
        <v>787</v>
      </c>
      <c r="C6748" s="124" t="s">
        <v>1043</v>
      </c>
      <c r="D6748" s="146">
        <v>3</v>
      </c>
      <c r="E6748" s="117">
        <v>15000</v>
      </c>
      <c r="F6748" s="117">
        <f>+D6748*E6748</f>
        <v>45000</v>
      </c>
      <c r="G6748" s="138"/>
      <c r="H6748" s="177"/>
    </row>
    <row r="6749" spans="1:8" s="139" customFormat="1" ht="13.5" customHeight="1" x14ac:dyDescent="0.35">
      <c r="A6749" s="146"/>
      <c r="B6749" s="112" t="s">
        <v>774</v>
      </c>
      <c r="C6749" s="124"/>
      <c r="D6749" s="146"/>
      <c r="E6749" s="117"/>
      <c r="F6749" s="117">
        <f>SUM(F6748)</f>
        <v>45000</v>
      </c>
      <c r="G6749" s="138"/>
      <c r="H6749" s="177"/>
    </row>
    <row r="6750" spans="1:8" s="139" customFormat="1" ht="13.5" customHeight="1" x14ac:dyDescent="0.35">
      <c r="A6750" s="146"/>
      <c r="B6750" s="112" t="s">
        <v>775</v>
      </c>
      <c r="C6750" s="124"/>
      <c r="D6750" s="146"/>
      <c r="E6750" s="117"/>
      <c r="F6750" s="117">
        <f>+F6746+F6749</f>
        <v>240008</v>
      </c>
      <c r="G6750" s="138"/>
      <c r="H6750" s="177"/>
    </row>
    <row r="6751" spans="1:8" s="139" customFormat="1" ht="13.5" customHeight="1" x14ac:dyDescent="0.35">
      <c r="A6751" s="146"/>
      <c r="B6751" s="120" t="s">
        <v>776</v>
      </c>
      <c r="C6751" s="124"/>
      <c r="D6751" s="146">
        <v>1.25</v>
      </c>
      <c r="E6751" s="117"/>
      <c r="F6751" s="117">
        <f>+F6750*D6751</f>
        <v>300010</v>
      </c>
      <c r="G6751" s="138"/>
      <c r="H6751" s="177"/>
    </row>
    <row r="6752" spans="1:8" s="139" customFormat="1" ht="13.5" customHeight="1" x14ac:dyDescent="0.35">
      <c r="A6752" s="146"/>
      <c r="B6752" s="120" t="s">
        <v>835</v>
      </c>
      <c r="C6752" s="124"/>
      <c r="D6752" s="146">
        <v>1.25</v>
      </c>
      <c r="E6752" s="117"/>
      <c r="F6752" s="117"/>
      <c r="G6752" s="138"/>
      <c r="H6752" s="177"/>
    </row>
    <row r="6753" spans="1:8" s="139" customFormat="1" ht="13.5" customHeight="1" x14ac:dyDescent="0.35">
      <c r="A6753" s="233" t="s">
        <v>1221</v>
      </c>
      <c r="B6753" s="207" t="s">
        <v>778</v>
      </c>
      <c r="C6753" s="233" t="s">
        <v>7</v>
      </c>
      <c r="D6753" s="340"/>
      <c r="E6753" s="209"/>
      <c r="F6753" s="209">
        <f>+D6752*F6751</f>
        <v>375012.5</v>
      </c>
      <c r="G6753" s="138"/>
      <c r="H6753" s="177"/>
    </row>
    <row r="6754" spans="1:8" s="139" customFormat="1" ht="13.5" customHeight="1" x14ac:dyDescent="0.35">
      <c r="A6754" s="340"/>
      <c r="B6754" s="207"/>
      <c r="C6754" s="208"/>
      <c r="D6754" s="340"/>
      <c r="E6754" s="210">
        <f>+E6737</f>
        <v>3035.45</v>
      </c>
      <c r="F6754" s="210">
        <f>+F6753/E6754</f>
        <v>123.54428503187337</v>
      </c>
      <c r="G6754" s="138"/>
      <c r="H6754" s="177"/>
    </row>
    <row r="6755" spans="1:8" s="139" customFormat="1" ht="13.5" customHeight="1" x14ac:dyDescent="0.35">
      <c r="A6755" s="163"/>
      <c r="B6755" s="164"/>
      <c r="C6755" s="165"/>
      <c r="E6755" s="166"/>
      <c r="F6755" s="166"/>
      <c r="G6755" s="138"/>
      <c r="H6755" s="177"/>
    </row>
    <row r="6756" spans="1:8" s="139" customFormat="1" ht="13.5" customHeight="1" x14ac:dyDescent="0.35">
      <c r="A6756" s="163"/>
      <c r="B6756" s="164"/>
      <c r="C6756" s="165"/>
      <c r="D6756" s="163"/>
      <c r="E6756" s="166"/>
      <c r="F6756" s="166"/>
      <c r="G6756" s="138"/>
      <c r="H6756" s="177"/>
    </row>
    <row r="6757" spans="1:8" s="139" customFormat="1" ht="13.5" customHeight="1" x14ac:dyDescent="0.3">
      <c r="A6757" s="341" t="s">
        <v>392</v>
      </c>
      <c r="B6757" s="331" t="s">
        <v>393</v>
      </c>
      <c r="C6757" s="332" t="s">
        <v>611</v>
      </c>
      <c r="D6757" s="333" t="s">
        <v>765</v>
      </c>
      <c r="E6757" s="334" t="s">
        <v>766</v>
      </c>
      <c r="F6757" s="334" t="s">
        <v>767</v>
      </c>
      <c r="G6757" s="138"/>
      <c r="H6757" s="177"/>
    </row>
    <row r="6758" spans="1:8" s="139" customFormat="1" ht="13.5" customHeight="1" x14ac:dyDescent="0.3">
      <c r="A6758" s="232" t="s">
        <v>472</v>
      </c>
      <c r="B6758" s="355" t="s">
        <v>473</v>
      </c>
      <c r="C6758" s="256"/>
      <c r="D6758" s="146"/>
      <c r="E6758" s="117"/>
      <c r="F6758" s="117"/>
      <c r="G6758" s="138"/>
      <c r="H6758" s="177"/>
    </row>
    <row r="6759" spans="1:8" s="139" customFormat="1" ht="13.5" customHeight="1" x14ac:dyDescent="0.3">
      <c r="A6759" s="232" t="s">
        <v>1222</v>
      </c>
      <c r="B6759" s="356" t="s">
        <v>483</v>
      </c>
      <c r="C6759" s="256" t="s">
        <v>7</v>
      </c>
      <c r="D6759" s="146"/>
      <c r="E6759" s="117"/>
      <c r="F6759" s="117"/>
      <c r="G6759" s="138"/>
      <c r="H6759" s="177"/>
    </row>
    <row r="6760" spans="1:8" s="139" customFormat="1" ht="13.5" customHeight="1" x14ac:dyDescent="0.35">
      <c r="A6760" s="146"/>
      <c r="B6760" s="112" t="s">
        <v>802</v>
      </c>
      <c r="C6760" s="124"/>
      <c r="D6760" s="146"/>
      <c r="E6760" s="117"/>
      <c r="F6760" s="117"/>
      <c r="G6760" s="138"/>
      <c r="H6760" s="177"/>
    </row>
    <row r="6761" spans="1:8" s="139" customFormat="1" ht="13.5" customHeight="1" x14ac:dyDescent="0.25">
      <c r="A6761" s="146"/>
      <c r="B6761" s="357" t="s">
        <v>483</v>
      </c>
      <c r="C6761" s="124" t="s">
        <v>27</v>
      </c>
      <c r="D6761" s="146">
        <v>1</v>
      </c>
      <c r="E6761" s="117">
        <v>287820</v>
      </c>
      <c r="F6761" s="117">
        <f>D6761*E6761</f>
        <v>287820</v>
      </c>
      <c r="G6761" s="138"/>
      <c r="H6761" s="177"/>
    </row>
    <row r="6762" spans="1:8" s="139" customFormat="1" ht="13.5" customHeight="1" x14ac:dyDescent="0.35">
      <c r="A6762" s="146"/>
      <c r="B6762" s="120" t="s">
        <v>1057</v>
      </c>
      <c r="C6762" s="124"/>
      <c r="D6762" s="146"/>
      <c r="E6762" s="117"/>
      <c r="F6762" s="117">
        <f>0.1*(F6761)</f>
        <v>28782</v>
      </c>
      <c r="G6762" s="138"/>
      <c r="H6762" s="177"/>
    </row>
    <row r="6763" spans="1:8" s="139" customFormat="1" ht="13.5" customHeight="1" x14ac:dyDescent="0.35">
      <c r="A6763" s="146"/>
      <c r="B6763" s="112" t="s">
        <v>769</v>
      </c>
      <c r="C6763" s="124"/>
      <c r="D6763" s="146"/>
      <c r="E6763" s="117"/>
      <c r="F6763" s="110">
        <f>SUM(F6761:F6762)</f>
        <v>316602</v>
      </c>
      <c r="G6763" s="138"/>
      <c r="H6763" s="177"/>
    </row>
    <row r="6764" spans="1:8" s="139" customFormat="1" ht="13.5" customHeight="1" x14ac:dyDescent="0.35">
      <c r="A6764" s="146"/>
      <c r="B6764" s="112" t="s">
        <v>808</v>
      </c>
      <c r="C6764" s="124"/>
      <c r="D6764" s="146"/>
      <c r="E6764" s="117"/>
      <c r="F6764" s="117"/>
      <c r="G6764" s="138"/>
      <c r="H6764" s="177"/>
    </row>
    <row r="6765" spans="1:8" s="139" customFormat="1" ht="13.5" customHeight="1" x14ac:dyDescent="0.35">
      <c r="A6765" s="146"/>
      <c r="B6765" s="120" t="s">
        <v>787</v>
      </c>
      <c r="C6765" s="124" t="s">
        <v>1043</v>
      </c>
      <c r="D6765" s="146">
        <v>3</v>
      </c>
      <c r="E6765" s="117">
        <v>15000</v>
      </c>
      <c r="F6765" s="117">
        <f>+D6765*E6765</f>
        <v>45000</v>
      </c>
      <c r="G6765" s="138"/>
      <c r="H6765" s="177"/>
    </row>
    <row r="6766" spans="1:8" s="139" customFormat="1" ht="13.5" customHeight="1" x14ac:dyDescent="0.35">
      <c r="A6766" s="146"/>
      <c r="B6766" s="112" t="s">
        <v>774</v>
      </c>
      <c r="C6766" s="124"/>
      <c r="D6766" s="146"/>
      <c r="E6766" s="117"/>
      <c r="F6766" s="117">
        <f>SUM(F6765)</f>
        <v>45000</v>
      </c>
      <c r="G6766" s="138"/>
      <c r="H6766" s="177"/>
    </row>
    <row r="6767" spans="1:8" s="139" customFormat="1" ht="13.5" customHeight="1" x14ac:dyDescent="0.35">
      <c r="A6767" s="146"/>
      <c r="B6767" s="112" t="s">
        <v>775</v>
      </c>
      <c r="C6767" s="124"/>
      <c r="D6767" s="146"/>
      <c r="E6767" s="117"/>
      <c r="F6767" s="117">
        <f>+F6763+F6766</f>
        <v>361602</v>
      </c>
      <c r="G6767" s="138"/>
      <c r="H6767" s="177"/>
    </row>
    <row r="6768" spans="1:8" s="139" customFormat="1" ht="13.5" customHeight="1" x14ac:dyDescent="0.35">
      <c r="A6768" s="146"/>
      <c r="B6768" s="120" t="s">
        <v>776</v>
      </c>
      <c r="C6768" s="124"/>
      <c r="D6768" s="146">
        <v>1.25</v>
      </c>
      <c r="E6768" s="117"/>
      <c r="F6768" s="117">
        <f>+F6767*D6768</f>
        <v>452002.5</v>
      </c>
      <c r="G6768" s="138"/>
      <c r="H6768" s="177"/>
    </row>
    <row r="6769" spans="1:8" s="139" customFormat="1" ht="13.5" customHeight="1" x14ac:dyDescent="0.35">
      <c r="A6769" s="146"/>
      <c r="B6769" s="120" t="s">
        <v>835</v>
      </c>
      <c r="C6769" s="124"/>
      <c r="D6769" s="146">
        <v>1.25</v>
      </c>
      <c r="E6769" s="117"/>
      <c r="F6769" s="117"/>
      <c r="G6769" s="138"/>
      <c r="H6769" s="177"/>
    </row>
    <row r="6770" spans="1:8" s="139" customFormat="1" ht="13.5" customHeight="1" x14ac:dyDescent="0.35">
      <c r="A6770" s="233" t="s">
        <v>1222</v>
      </c>
      <c r="B6770" s="207" t="s">
        <v>778</v>
      </c>
      <c r="C6770" s="233" t="s">
        <v>7</v>
      </c>
      <c r="D6770" s="340"/>
      <c r="E6770" s="209"/>
      <c r="F6770" s="209">
        <f>+D6769*F6768</f>
        <v>565003.125</v>
      </c>
      <c r="G6770" s="138"/>
      <c r="H6770" s="177"/>
    </row>
    <row r="6771" spans="1:8" s="139" customFormat="1" ht="13.5" customHeight="1" x14ac:dyDescent="0.35">
      <c r="A6771" s="340"/>
      <c r="B6771" s="207"/>
      <c r="C6771" s="208"/>
      <c r="D6771" s="340"/>
      <c r="E6771" s="210">
        <f>+E6754</f>
        <v>3035.45</v>
      </c>
      <c r="F6771" s="210">
        <f>+F6770/E6771</f>
        <v>186.13488115435933</v>
      </c>
      <c r="G6771" s="138"/>
      <c r="H6771" s="177"/>
    </row>
    <row r="6772" spans="1:8" s="139" customFormat="1" ht="13.5" customHeight="1" x14ac:dyDescent="0.35">
      <c r="A6772" s="163"/>
      <c r="B6772" s="164"/>
      <c r="C6772" s="165"/>
      <c r="E6772" s="166"/>
      <c r="F6772" s="166"/>
      <c r="G6772" s="138"/>
      <c r="H6772" s="177"/>
    </row>
    <row r="6773" spans="1:8" s="139" customFormat="1" ht="13.5" customHeight="1" x14ac:dyDescent="0.35">
      <c r="A6773" s="163"/>
      <c r="B6773" s="164"/>
      <c r="C6773" s="165"/>
      <c r="D6773" s="163"/>
      <c r="E6773" s="166"/>
      <c r="F6773" s="166"/>
      <c r="G6773" s="138"/>
      <c r="H6773" s="177"/>
    </row>
    <row r="6774" spans="1:8" s="139" customFormat="1" ht="13.5" customHeight="1" x14ac:dyDescent="0.3">
      <c r="A6774" s="341" t="s">
        <v>392</v>
      </c>
      <c r="B6774" s="331" t="s">
        <v>393</v>
      </c>
      <c r="C6774" s="332" t="s">
        <v>611</v>
      </c>
      <c r="D6774" s="333" t="s">
        <v>765</v>
      </c>
      <c r="E6774" s="334" t="s">
        <v>766</v>
      </c>
      <c r="F6774" s="334" t="s">
        <v>767</v>
      </c>
      <c r="G6774" s="138"/>
      <c r="H6774" s="177"/>
    </row>
    <row r="6775" spans="1:8" s="139" customFormat="1" ht="13.5" customHeight="1" x14ac:dyDescent="0.3">
      <c r="A6775" s="232" t="s">
        <v>484</v>
      </c>
      <c r="B6775" s="355" t="s">
        <v>485</v>
      </c>
      <c r="C6775" s="256"/>
      <c r="D6775" s="146"/>
      <c r="E6775" s="117"/>
      <c r="F6775" s="117"/>
      <c r="G6775" s="138"/>
      <c r="H6775" s="177"/>
    </row>
    <row r="6776" spans="1:8" s="139" customFormat="1" ht="13.5" customHeight="1" x14ac:dyDescent="0.3">
      <c r="A6776" s="232" t="s">
        <v>486</v>
      </c>
      <c r="B6776" s="352" t="s">
        <v>487</v>
      </c>
      <c r="C6776" s="256" t="s">
        <v>7</v>
      </c>
      <c r="D6776" s="146"/>
      <c r="E6776" s="117"/>
      <c r="F6776" s="117"/>
      <c r="G6776" s="138"/>
      <c r="H6776" s="177"/>
    </row>
    <row r="6777" spans="1:8" s="139" customFormat="1" ht="13.5" customHeight="1" x14ac:dyDescent="0.35">
      <c r="A6777" s="146"/>
      <c r="B6777" s="112" t="s">
        <v>802</v>
      </c>
      <c r="C6777" s="124"/>
      <c r="D6777" s="146"/>
      <c r="E6777" s="117"/>
      <c r="F6777" s="117"/>
      <c r="G6777" s="138"/>
      <c r="H6777" s="177"/>
    </row>
    <row r="6778" spans="1:8" s="139" customFormat="1" ht="13.5" customHeight="1" x14ac:dyDescent="0.25">
      <c r="A6778" s="146"/>
      <c r="B6778" s="357" t="s">
        <v>1087</v>
      </c>
      <c r="C6778" s="124" t="s">
        <v>27</v>
      </c>
      <c r="D6778" s="146">
        <v>1</v>
      </c>
      <c r="E6778" s="117">
        <v>1617280</v>
      </c>
      <c r="F6778" s="117">
        <f>D6778*E6778</f>
        <v>1617280</v>
      </c>
      <c r="G6778" s="138"/>
      <c r="H6778" s="177"/>
    </row>
    <row r="6779" spans="1:8" s="139" customFormat="1" ht="13.5" customHeight="1" x14ac:dyDescent="0.35">
      <c r="A6779" s="146"/>
      <c r="B6779" s="120" t="s">
        <v>1057</v>
      </c>
      <c r="C6779" s="124"/>
      <c r="D6779" s="146"/>
      <c r="E6779" s="117"/>
      <c r="F6779" s="117">
        <f>0.1*(F6778)</f>
        <v>161728</v>
      </c>
      <c r="G6779" s="138"/>
      <c r="H6779" s="177"/>
    </row>
    <row r="6780" spans="1:8" s="139" customFormat="1" ht="13.5" customHeight="1" x14ac:dyDescent="0.35">
      <c r="A6780" s="146"/>
      <c r="B6780" s="112" t="s">
        <v>769</v>
      </c>
      <c r="C6780" s="124"/>
      <c r="D6780" s="146"/>
      <c r="E6780" s="117"/>
      <c r="F6780" s="110">
        <f>SUM(F6778:F6779)</f>
        <v>1779008</v>
      </c>
      <c r="G6780" s="138"/>
      <c r="H6780" s="177"/>
    </row>
    <row r="6781" spans="1:8" s="139" customFormat="1" ht="13.5" customHeight="1" x14ac:dyDescent="0.35">
      <c r="A6781" s="146"/>
      <c r="B6781" s="112" t="s">
        <v>808</v>
      </c>
      <c r="C6781" s="124"/>
      <c r="D6781" s="146"/>
      <c r="E6781" s="117"/>
      <c r="F6781" s="117"/>
      <c r="G6781" s="138"/>
      <c r="H6781" s="177"/>
    </row>
    <row r="6782" spans="1:8" s="139" customFormat="1" ht="13.5" customHeight="1" x14ac:dyDescent="0.35">
      <c r="A6782" s="146"/>
      <c r="B6782" s="120" t="s">
        <v>787</v>
      </c>
      <c r="C6782" s="124" t="s">
        <v>1043</v>
      </c>
      <c r="D6782" s="146">
        <v>3</v>
      </c>
      <c r="E6782" s="117">
        <v>15000</v>
      </c>
      <c r="F6782" s="117">
        <f>+D6782*E6782</f>
        <v>45000</v>
      </c>
      <c r="G6782" s="138"/>
      <c r="H6782" s="177"/>
    </row>
    <row r="6783" spans="1:8" s="139" customFormat="1" ht="13.5" customHeight="1" x14ac:dyDescent="0.35">
      <c r="A6783" s="146"/>
      <c r="B6783" s="112" t="s">
        <v>774</v>
      </c>
      <c r="C6783" s="124"/>
      <c r="D6783" s="146"/>
      <c r="E6783" s="117"/>
      <c r="F6783" s="117">
        <f>SUM(F6782)</f>
        <v>45000</v>
      </c>
      <c r="G6783" s="138"/>
      <c r="H6783" s="177"/>
    </row>
    <row r="6784" spans="1:8" s="139" customFormat="1" ht="13.5" customHeight="1" x14ac:dyDescent="0.35">
      <c r="A6784" s="146"/>
      <c r="B6784" s="112" t="s">
        <v>775</v>
      </c>
      <c r="C6784" s="124"/>
      <c r="D6784" s="146"/>
      <c r="E6784" s="117"/>
      <c r="F6784" s="117">
        <f>+F6780+F6783</f>
        <v>1824008</v>
      </c>
      <c r="G6784" s="138"/>
      <c r="H6784" s="177"/>
    </row>
    <row r="6785" spans="1:8" s="139" customFormat="1" ht="13.5" customHeight="1" x14ac:dyDescent="0.35">
      <c r="A6785" s="146"/>
      <c r="B6785" s="120" t="s">
        <v>776</v>
      </c>
      <c r="C6785" s="124"/>
      <c r="D6785" s="146">
        <v>1.25</v>
      </c>
      <c r="E6785" s="117"/>
      <c r="F6785" s="117">
        <f>+F6784*D6785</f>
        <v>2280010</v>
      </c>
      <c r="G6785" s="138"/>
      <c r="H6785" s="177"/>
    </row>
    <row r="6786" spans="1:8" s="139" customFormat="1" ht="13.5" customHeight="1" x14ac:dyDescent="0.35">
      <c r="A6786" s="146"/>
      <c r="B6786" s="120" t="s">
        <v>835</v>
      </c>
      <c r="C6786" s="124"/>
      <c r="D6786" s="146">
        <v>1.25</v>
      </c>
      <c r="E6786" s="117"/>
      <c r="F6786" s="117"/>
      <c r="G6786" s="138"/>
      <c r="H6786" s="177"/>
    </row>
    <row r="6787" spans="1:8" s="139" customFormat="1" ht="13.5" customHeight="1" x14ac:dyDescent="0.35">
      <c r="A6787" s="233" t="s">
        <v>486</v>
      </c>
      <c r="B6787" s="207" t="s">
        <v>778</v>
      </c>
      <c r="C6787" s="233" t="s">
        <v>7</v>
      </c>
      <c r="D6787" s="340"/>
      <c r="E6787" s="209"/>
      <c r="F6787" s="209">
        <f>+D6786*F6785</f>
        <v>2850012.5</v>
      </c>
      <c r="G6787" s="138"/>
      <c r="H6787" s="177"/>
    </row>
    <row r="6788" spans="1:8" s="139" customFormat="1" ht="13.5" customHeight="1" x14ac:dyDescent="0.35">
      <c r="A6788" s="340"/>
      <c r="B6788" s="207"/>
      <c r="C6788" s="208"/>
      <c r="D6788" s="340"/>
      <c r="E6788" s="210">
        <f>+E6771</f>
        <v>3035.45</v>
      </c>
      <c r="F6788" s="210">
        <f>+F6787/E6788</f>
        <v>938.90938740549188</v>
      </c>
      <c r="G6788" s="138"/>
      <c r="H6788" s="177"/>
    </row>
    <row r="6789" spans="1:8" s="139" customFormat="1" ht="13.5" customHeight="1" x14ac:dyDescent="0.35">
      <c r="A6789" s="163"/>
      <c r="B6789" s="164"/>
      <c r="C6789" s="165"/>
      <c r="E6789" s="166"/>
      <c r="F6789" s="166"/>
      <c r="G6789" s="138"/>
      <c r="H6789" s="177"/>
    </row>
    <row r="6790" spans="1:8" s="139" customFormat="1" ht="13.5" customHeight="1" x14ac:dyDescent="0.35">
      <c r="A6790" s="163"/>
      <c r="B6790" s="164"/>
      <c r="C6790" s="165"/>
      <c r="D6790" s="163"/>
      <c r="E6790" s="166"/>
      <c r="F6790" s="166"/>
      <c r="G6790" s="138"/>
      <c r="H6790" s="177"/>
    </row>
    <row r="6791" spans="1:8" s="139" customFormat="1" ht="13.5" customHeight="1" x14ac:dyDescent="0.3">
      <c r="A6791" s="341" t="s">
        <v>392</v>
      </c>
      <c r="B6791" s="331" t="s">
        <v>393</v>
      </c>
      <c r="C6791" s="332" t="s">
        <v>611</v>
      </c>
      <c r="D6791" s="333" t="s">
        <v>765</v>
      </c>
      <c r="E6791" s="334" t="s">
        <v>766</v>
      </c>
      <c r="F6791" s="334" t="s">
        <v>767</v>
      </c>
      <c r="G6791" s="138"/>
      <c r="H6791" s="177"/>
    </row>
    <row r="6792" spans="1:8" s="139" customFormat="1" ht="13.5" customHeight="1" x14ac:dyDescent="0.3">
      <c r="A6792" s="232" t="s">
        <v>488</v>
      </c>
      <c r="B6792" s="355" t="s">
        <v>511</v>
      </c>
      <c r="C6792" s="256"/>
      <c r="D6792" s="146"/>
      <c r="E6792" s="117"/>
      <c r="F6792" s="117"/>
      <c r="G6792" s="138"/>
      <c r="H6792" s="177"/>
    </row>
    <row r="6793" spans="1:8" s="139" customFormat="1" ht="13.5" customHeight="1" x14ac:dyDescent="0.3">
      <c r="A6793" s="232" t="s">
        <v>489</v>
      </c>
      <c r="B6793" s="352" t="s">
        <v>512</v>
      </c>
      <c r="C6793" s="256" t="s">
        <v>59</v>
      </c>
      <c r="D6793" s="146"/>
      <c r="E6793" s="117"/>
      <c r="F6793" s="117"/>
      <c r="G6793" s="138"/>
      <c r="H6793" s="177"/>
    </row>
    <row r="6794" spans="1:8" s="139" customFormat="1" ht="13.5" customHeight="1" x14ac:dyDescent="0.35">
      <c r="A6794" s="146"/>
      <c r="B6794" s="112" t="s">
        <v>802</v>
      </c>
      <c r="C6794" s="124"/>
      <c r="D6794" s="146"/>
      <c r="E6794" s="117"/>
      <c r="F6794" s="117"/>
      <c r="G6794" s="138"/>
      <c r="H6794" s="177"/>
    </row>
    <row r="6795" spans="1:8" s="139" customFormat="1" ht="13.5" customHeight="1" x14ac:dyDescent="0.25">
      <c r="A6795" s="146"/>
      <c r="B6795" s="354" t="s">
        <v>1088</v>
      </c>
      <c r="C6795" s="124" t="s">
        <v>59</v>
      </c>
      <c r="D6795" s="146">
        <v>1</v>
      </c>
      <c r="E6795" s="117">
        <v>88520</v>
      </c>
      <c r="F6795" s="117">
        <f>D6795*E6795</f>
        <v>88520</v>
      </c>
      <c r="G6795" s="138"/>
      <c r="H6795" s="177"/>
    </row>
    <row r="6796" spans="1:8" s="139" customFormat="1" ht="13.5" customHeight="1" x14ac:dyDescent="0.35">
      <c r="A6796" s="146"/>
      <c r="B6796" s="120" t="s">
        <v>1057</v>
      </c>
      <c r="C6796" s="124"/>
      <c r="D6796" s="146"/>
      <c r="E6796" s="117"/>
      <c r="F6796" s="117">
        <f>0.1*(F6795)</f>
        <v>8852</v>
      </c>
      <c r="G6796" s="138"/>
      <c r="H6796" s="177"/>
    </row>
    <row r="6797" spans="1:8" s="139" customFormat="1" ht="13.5" customHeight="1" x14ac:dyDescent="0.35">
      <c r="A6797" s="146"/>
      <c r="B6797" s="112" t="s">
        <v>769</v>
      </c>
      <c r="C6797" s="124"/>
      <c r="D6797" s="146"/>
      <c r="E6797" s="117"/>
      <c r="F6797" s="110">
        <f>SUM(F6795:F6796)</f>
        <v>97372</v>
      </c>
      <c r="G6797" s="138"/>
      <c r="H6797" s="177"/>
    </row>
    <row r="6798" spans="1:8" s="139" customFormat="1" ht="13.5" customHeight="1" x14ac:dyDescent="0.35">
      <c r="A6798" s="146"/>
      <c r="B6798" s="112" t="s">
        <v>808</v>
      </c>
      <c r="C6798" s="124"/>
      <c r="D6798" s="146"/>
      <c r="E6798" s="117"/>
      <c r="F6798" s="117"/>
      <c r="G6798" s="138"/>
      <c r="H6798" s="177"/>
    </row>
    <row r="6799" spans="1:8" s="139" customFormat="1" ht="13.5" customHeight="1" x14ac:dyDescent="0.35">
      <c r="A6799" s="146"/>
      <c r="B6799" s="120" t="s">
        <v>787</v>
      </c>
      <c r="C6799" s="124" t="s">
        <v>1043</v>
      </c>
      <c r="D6799" s="146">
        <v>0.25</v>
      </c>
      <c r="E6799" s="117">
        <v>15000</v>
      </c>
      <c r="F6799" s="117">
        <f>+D6799*E6799</f>
        <v>3750</v>
      </c>
      <c r="G6799" s="138"/>
      <c r="H6799" s="177"/>
    </row>
    <row r="6800" spans="1:8" s="139" customFormat="1" ht="13.5" customHeight="1" x14ac:dyDescent="0.35">
      <c r="A6800" s="146"/>
      <c r="B6800" s="112" t="s">
        <v>774</v>
      </c>
      <c r="C6800" s="124"/>
      <c r="D6800" s="146"/>
      <c r="E6800" s="117"/>
      <c r="F6800" s="117">
        <f>SUM(F6799)</f>
        <v>3750</v>
      </c>
      <c r="G6800" s="138"/>
      <c r="H6800" s="177"/>
    </row>
    <row r="6801" spans="1:8" s="139" customFormat="1" ht="13.5" customHeight="1" x14ac:dyDescent="0.35">
      <c r="A6801" s="146"/>
      <c r="B6801" s="112" t="s">
        <v>775</v>
      </c>
      <c r="C6801" s="124"/>
      <c r="D6801" s="146"/>
      <c r="E6801" s="117"/>
      <c r="F6801" s="117">
        <f>+F6797+F6800</f>
        <v>101122</v>
      </c>
      <c r="G6801" s="138"/>
      <c r="H6801" s="177"/>
    </row>
    <row r="6802" spans="1:8" s="139" customFormat="1" ht="13.5" customHeight="1" x14ac:dyDescent="0.35">
      <c r="A6802" s="146"/>
      <c r="B6802" s="120" t="s">
        <v>776</v>
      </c>
      <c r="C6802" s="124"/>
      <c r="D6802" s="146">
        <v>1.25</v>
      </c>
      <c r="E6802" s="117"/>
      <c r="F6802" s="117">
        <f>+F6801*D6802</f>
        <v>126402.5</v>
      </c>
      <c r="G6802" s="138"/>
      <c r="H6802" s="177"/>
    </row>
    <row r="6803" spans="1:8" s="139" customFormat="1" ht="13.5" customHeight="1" x14ac:dyDescent="0.35">
      <c r="A6803" s="146"/>
      <c r="B6803" s="120" t="s">
        <v>835</v>
      </c>
      <c r="C6803" s="124"/>
      <c r="D6803" s="146">
        <v>1.25</v>
      </c>
      <c r="E6803" s="117"/>
      <c r="F6803" s="117"/>
      <c r="G6803" s="138"/>
      <c r="H6803" s="177"/>
    </row>
    <row r="6804" spans="1:8" s="139" customFormat="1" ht="13.5" customHeight="1" x14ac:dyDescent="0.35">
      <c r="A6804" s="233" t="s">
        <v>489</v>
      </c>
      <c r="B6804" s="207" t="s">
        <v>785</v>
      </c>
      <c r="C6804" s="233" t="s">
        <v>59</v>
      </c>
      <c r="D6804" s="340"/>
      <c r="E6804" s="209"/>
      <c r="F6804" s="209">
        <f>+D6803*F6802</f>
        <v>158003.125</v>
      </c>
      <c r="G6804" s="138"/>
      <c r="H6804" s="177"/>
    </row>
    <row r="6805" spans="1:8" s="139" customFormat="1" ht="13.5" customHeight="1" x14ac:dyDescent="0.35">
      <c r="A6805" s="340"/>
      <c r="B6805" s="207"/>
      <c r="C6805" s="208"/>
      <c r="D6805" s="340"/>
      <c r="E6805" s="210">
        <f>+E6788</f>
        <v>3035.45</v>
      </c>
      <c r="F6805" s="210">
        <f>+F6804/E6805</f>
        <v>52.052619875142071</v>
      </c>
      <c r="G6805" s="138"/>
      <c r="H6805" s="177"/>
    </row>
    <row r="6806" spans="1:8" s="139" customFormat="1" ht="13.5" customHeight="1" x14ac:dyDescent="0.35">
      <c r="A6806" s="163"/>
      <c r="B6806" s="164"/>
      <c r="C6806" s="165"/>
      <c r="E6806" s="166"/>
      <c r="F6806" s="166"/>
      <c r="G6806" s="138"/>
      <c r="H6806" s="177"/>
    </row>
    <row r="6807" spans="1:8" s="139" customFormat="1" ht="13.5" customHeight="1" x14ac:dyDescent="0.35">
      <c r="A6807" s="163"/>
      <c r="B6807" s="164"/>
      <c r="C6807" s="165"/>
      <c r="D6807" s="163"/>
      <c r="E6807" s="166"/>
      <c r="F6807" s="166"/>
      <c r="G6807" s="138"/>
      <c r="H6807" s="177"/>
    </row>
    <row r="6808" spans="1:8" s="139" customFormat="1" ht="13.5" customHeight="1" x14ac:dyDescent="0.3">
      <c r="A6808" s="341" t="s">
        <v>392</v>
      </c>
      <c r="B6808" s="331" t="s">
        <v>393</v>
      </c>
      <c r="C6808" s="332" t="s">
        <v>611</v>
      </c>
      <c r="D6808" s="333" t="s">
        <v>765</v>
      </c>
      <c r="E6808" s="334" t="s">
        <v>766</v>
      </c>
      <c r="F6808" s="334" t="s">
        <v>767</v>
      </c>
      <c r="G6808" s="138"/>
      <c r="H6808" s="177"/>
    </row>
    <row r="6809" spans="1:8" s="139" customFormat="1" ht="13.5" customHeight="1" x14ac:dyDescent="0.3">
      <c r="A6809" s="232" t="s">
        <v>488</v>
      </c>
      <c r="B6809" s="355" t="s">
        <v>511</v>
      </c>
      <c r="C6809" s="256"/>
      <c r="D6809" s="146"/>
      <c r="E6809" s="117"/>
      <c r="F6809" s="117"/>
      <c r="G6809" s="138"/>
      <c r="H6809" s="177"/>
    </row>
    <row r="6810" spans="1:8" s="139" customFormat="1" ht="13.5" customHeight="1" x14ac:dyDescent="0.3">
      <c r="A6810" s="232" t="s">
        <v>490</v>
      </c>
      <c r="B6810" s="352" t="s">
        <v>513</v>
      </c>
      <c r="C6810" s="256" t="s">
        <v>59</v>
      </c>
      <c r="D6810" s="146"/>
      <c r="E6810" s="117"/>
      <c r="F6810" s="117"/>
      <c r="G6810" s="138"/>
      <c r="H6810" s="177"/>
    </row>
    <row r="6811" spans="1:8" s="139" customFormat="1" ht="13.5" customHeight="1" x14ac:dyDescent="0.35">
      <c r="A6811" s="146"/>
      <c r="B6811" s="112" t="s">
        <v>802</v>
      </c>
      <c r="C6811" s="124"/>
      <c r="D6811" s="146"/>
      <c r="E6811" s="117"/>
      <c r="F6811" s="117"/>
      <c r="G6811" s="138"/>
      <c r="H6811" s="177"/>
    </row>
    <row r="6812" spans="1:8" s="139" customFormat="1" ht="13.5" customHeight="1" x14ac:dyDescent="0.25">
      <c r="A6812" s="146"/>
      <c r="B6812" s="354" t="s">
        <v>1089</v>
      </c>
      <c r="C6812" s="124" t="s">
        <v>59</v>
      </c>
      <c r="D6812" s="146">
        <v>1</v>
      </c>
      <c r="E6812" s="117">
        <v>38490</v>
      </c>
      <c r="F6812" s="117">
        <f>D6812*E6812</f>
        <v>38490</v>
      </c>
      <c r="G6812" s="138"/>
      <c r="H6812" s="177"/>
    </row>
    <row r="6813" spans="1:8" s="139" customFormat="1" ht="13.5" customHeight="1" x14ac:dyDescent="0.35">
      <c r="A6813" s="146"/>
      <c r="B6813" s="120" t="s">
        <v>1057</v>
      </c>
      <c r="C6813" s="124"/>
      <c r="D6813" s="146"/>
      <c r="E6813" s="117"/>
      <c r="F6813" s="117">
        <f>0.1*(F6812)</f>
        <v>3849</v>
      </c>
      <c r="G6813" s="138"/>
      <c r="H6813" s="177"/>
    </row>
    <row r="6814" spans="1:8" s="139" customFormat="1" ht="13.5" customHeight="1" x14ac:dyDescent="0.35">
      <c r="A6814" s="146"/>
      <c r="B6814" s="112" t="s">
        <v>769</v>
      </c>
      <c r="C6814" s="124"/>
      <c r="D6814" s="146"/>
      <c r="E6814" s="117"/>
      <c r="F6814" s="110">
        <f>SUM(F6812:F6813)</f>
        <v>42339</v>
      </c>
      <c r="G6814" s="138"/>
      <c r="H6814" s="177"/>
    </row>
    <row r="6815" spans="1:8" s="139" customFormat="1" ht="13.5" customHeight="1" x14ac:dyDescent="0.35">
      <c r="A6815" s="146"/>
      <c r="B6815" s="112" t="s">
        <v>808</v>
      </c>
      <c r="C6815" s="124"/>
      <c r="D6815" s="146"/>
      <c r="E6815" s="117"/>
      <c r="F6815" s="117"/>
      <c r="G6815" s="138"/>
      <c r="H6815" s="177"/>
    </row>
    <row r="6816" spans="1:8" s="139" customFormat="1" ht="13.5" customHeight="1" x14ac:dyDescent="0.35">
      <c r="A6816" s="146"/>
      <c r="B6816" s="120" t="s">
        <v>787</v>
      </c>
      <c r="C6816" s="124" t="s">
        <v>1043</v>
      </c>
      <c r="D6816" s="146">
        <v>0.25</v>
      </c>
      <c r="E6816" s="117">
        <v>15000</v>
      </c>
      <c r="F6816" s="117">
        <f>+D6816*E6816</f>
        <v>3750</v>
      </c>
      <c r="G6816" s="138"/>
      <c r="H6816" s="177"/>
    </row>
    <row r="6817" spans="1:8" s="139" customFormat="1" ht="13.5" customHeight="1" x14ac:dyDescent="0.35">
      <c r="A6817" s="146"/>
      <c r="B6817" s="112" t="s">
        <v>774</v>
      </c>
      <c r="C6817" s="124"/>
      <c r="D6817" s="146"/>
      <c r="E6817" s="117"/>
      <c r="F6817" s="117">
        <f>SUM(F6816)</f>
        <v>3750</v>
      </c>
      <c r="G6817" s="138"/>
      <c r="H6817" s="177"/>
    </row>
    <row r="6818" spans="1:8" s="139" customFormat="1" ht="13.5" customHeight="1" x14ac:dyDescent="0.35">
      <c r="A6818" s="146"/>
      <c r="B6818" s="112" t="s">
        <v>775</v>
      </c>
      <c r="C6818" s="124"/>
      <c r="D6818" s="146"/>
      <c r="E6818" s="117"/>
      <c r="F6818" s="117">
        <f>+F6814+F6817</f>
        <v>46089</v>
      </c>
      <c r="G6818" s="138"/>
      <c r="H6818" s="177"/>
    </row>
    <row r="6819" spans="1:8" s="139" customFormat="1" ht="13.5" customHeight="1" x14ac:dyDescent="0.35">
      <c r="A6819" s="146"/>
      <c r="B6819" s="120" t="s">
        <v>776</v>
      </c>
      <c r="C6819" s="124"/>
      <c r="D6819" s="146">
        <v>1.25</v>
      </c>
      <c r="E6819" s="117"/>
      <c r="F6819" s="117">
        <f>+F6818*D6819</f>
        <v>57611.25</v>
      </c>
      <c r="G6819" s="138"/>
      <c r="H6819" s="177"/>
    </row>
    <row r="6820" spans="1:8" s="139" customFormat="1" ht="13.5" customHeight="1" x14ac:dyDescent="0.35">
      <c r="A6820" s="146"/>
      <c r="B6820" s="120" t="s">
        <v>835</v>
      </c>
      <c r="C6820" s="124"/>
      <c r="D6820" s="146">
        <v>1.25</v>
      </c>
      <c r="E6820" s="117"/>
      <c r="F6820" s="117"/>
      <c r="G6820" s="138"/>
      <c r="H6820" s="177"/>
    </row>
    <row r="6821" spans="1:8" s="139" customFormat="1" ht="13.5" customHeight="1" x14ac:dyDescent="0.35">
      <c r="A6821" s="233" t="s">
        <v>490</v>
      </c>
      <c r="B6821" s="207" t="s">
        <v>785</v>
      </c>
      <c r="C6821" s="233" t="s">
        <v>59</v>
      </c>
      <c r="D6821" s="340"/>
      <c r="E6821" s="209"/>
      <c r="F6821" s="209">
        <f>+D6820*F6819</f>
        <v>72014.0625</v>
      </c>
      <c r="G6821" s="138"/>
      <c r="H6821" s="177"/>
    </row>
    <row r="6822" spans="1:8" s="139" customFormat="1" ht="13.5" customHeight="1" x14ac:dyDescent="0.35">
      <c r="A6822" s="340"/>
      <c r="B6822" s="207"/>
      <c r="C6822" s="208"/>
      <c r="D6822" s="340"/>
      <c r="E6822" s="210">
        <f>+E6805</f>
        <v>3035.45</v>
      </c>
      <c r="F6822" s="210">
        <f>+F6821/E6822</f>
        <v>23.724344825314205</v>
      </c>
      <c r="G6822" s="138"/>
      <c r="H6822" s="177"/>
    </row>
    <row r="6823" spans="1:8" s="139" customFormat="1" ht="13.5" customHeight="1" x14ac:dyDescent="0.35">
      <c r="A6823" s="163"/>
      <c r="B6823" s="164"/>
      <c r="C6823" s="165"/>
      <c r="E6823" s="166"/>
      <c r="F6823" s="166"/>
      <c r="G6823" s="138"/>
      <c r="H6823" s="177"/>
    </row>
    <row r="6824" spans="1:8" s="139" customFormat="1" ht="13.5" customHeight="1" x14ac:dyDescent="0.35">
      <c r="A6824" s="163"/>
      <c r="B6824" s="164"/>
      <c r="C6824" s="165"/>
      <c r="D6824" s="163"/>
      <c r="E6824" s="166"/>
      <c r="F6824" s="166"/>
      <c r="G6824" s="138"/>
      <c r="H6824" s="177"/>
    </row>
    <row r="6825" spans="1:8" s="139" customFormat="1" ht="13.5" customHeight="1" x14ac:dyDescent="0.3">
      <c r="A6825" s="341" t="s">
        <v>392</v>
      </c>
      <c r="B6825" s="331" t="s">
        <v>393</v>
      </c>
      <c r="C6825" s="332" t="s">
        <v>611</v>
      </c>
      <c r="D6825" s="333" t="s">
        <v>765</v>
      </c>
      <c r="E6825" s="334" t="s">
        <v>766</v>
      </c>
      <c r="F6825" s="334" t="s">
        <v>767</v>
      </c>
      <c r="G6825" s="138"/>
      <c r="H6825" s="177"/>
    </row>
    <row r="6826" spans="1:8" s="139" customFormat="1" ht="13.5" customHeight="1" x14ac:dyDescent="0.3">
      <c r="A6826" s="232" t="s">
        <v>488</v>
      </c>
      <c r="B6826" s="355" t="s">
        <v>511</v>
      </c>
      <c r="C6826" s="256"/>
      <c r="D6826" s="146"/>
      <c r="E6826" s="117"/>
      <c r="F6826" s="117"/>
      <c r="G6826" s="138"/>
      <c r="H6826" s="177"/>
    </row>
    <row r="6827" spans="1:8" s="139" customFormat="1" ht="24.75" customHeight="1" x14ac:dyDescent="0.35">
      <c r="A6827" s="232" t="s">
        <v>491</v>
      </c>
      <c r="B6827" s="219" t="s">
        <v>1090</v>
      </c>
      <c r="C6827" s="256" t="s">
        <v>59</v>
      </c>
      <c r="D6827" s="146"/>
      <c r="E6827" s="117"/>
      <c r="F6827" s="117"/>
      <c r="G6827" s="138"/>
      <c r="H6827" s="177"/>
    </row>
    <row r="6828" spans="1:8" s="139" customFormat="1" ht="13.5" customHeight="1" x14ac:dyDescent="0.35">
      <c r="A6828" s="146"/>
      <c r="B6828" s="112" t="s">
        <v>802</v>
      </c>
      <c r="C6828" s="124"/>
      <c r="D6828" s="146"/>
      <c r="E6828" s="117"/>
      <c r="F6828" s="117"/>
      <c r="G6828" s="138"/>
      <c r="H6828" s="177"/>
    </row>
    <row r="6829" spans="1:8" s="139" customFormat="1" ht="13.5" customHeight="1" x14ac:dyDescent="0.35">
      <c r="A6829" s="146"/>
      <c r="B6829" s="120" t="s">
        <v>1091</v>
      </c>
      <c r="C6829" s="124" t="s">
        <v>59</v>
      </c>
      <c r="D6829" s="146">
        <v>1</v>
      </c>
      <c r="E6829" s="117">
        <v>70490</v>
      </c>
      <c r="F6829" s="117">
        <f>D6829*E6829</f>
        <v>70490</v>
      </c>
      <c r="G6829" s="138"/>
      <c r="H6829" s="177"/>
    </row>
    <row r="6830" spans="1:8" s="139" customFormat="1" ht="13.5" customHeight="1" x14ac:dyDescent="0.35">
      <c r="A6830" s="146"/>
      <c r="B6830" s="120" t="s">
        <v>1057</v>
      </c>
      <c r="C6830" s="124"/>
      <c r="D6830" s="146"/>
      <c r="E6830" s="117"/>
      <c r="F6830" s="117">
        <f>0.1*(F6829)</f>
        <v>7049</v>
      </c>
      <c r="G6830" s="138"/>
      <c r="H6830" s="177"/>
    </row>
    <row r="6831" spans="1:8" s="139" customFormat="1" ht="13.5" customHeight="1" x14ac:dyDescent="0.35">
      <c r="A6831" s="146"/>
      <c r="B6831" s="112" t="s">
        <v>769</v>
      </c>
      <c r="C6831" s="124"/>
      <c r="D6831" s="146"/>
      <c r="E6831" s="117"/>
      <c r="F6831" s="110">
        <f>SUM(F6829:F6830)</f>
        <v>77539</v>
      </c>
      <c r="G6831" s="138"/>
      <c r="H6831" s="177"/>
    </row>
    <row r="6832" spans="1:8" s="139" customFormat="1" ht="13.5" customHeight="1" x14ac:dyDescent="0.35">
      <c r="A6832" s="146"/>
      <c r="B6832" s="112" t="s">
        <v>808</v>
      </c>
      <c r="C6832" s="124"/>
      <c r="D6832" s="146"/>
      <c r="E6832" s="117"/>
      <c r="F6832" s="117"/>
      <c r="G6832" s="138"/>
      <c r="H6832" s="177"/>
    </row>
    <row r="6833" spans="1:8" s="139" customFormat="1" ht="13.5" customHeight="1" x14ac:dyDescent="0.35">
      <c r="A6833" s="146"/>
      <c r="B6833" s="120" t="s">
        <v>787</v>
      </c>
      <c r="C6833" s="124" t="s">
        <v>1043</v>
      </c>
      <c r="D6833" s="146">
        <v>0.25</v>
      </c>
      <c r="E6833" s="117">
        <v>15000</v>
      </c>
      <c r="F6833" s="117">
        <f>+D6833*E6833</f>
        <v>3750</v>
      </c>
      <c r="G6833" s="138"/>
      <c r="H6833" s="177"/>
    </row>
    <row r="6834" spans="1:8" s="139" customFormat="1" ht="13.5" customHeight="1" x14ac:dyDescent="0.35">
      <c r="A6834" s="146"/>
      <c r="B6834" s="112" t="s">
        <v>774</v>
      </c>
      <c r="C6834" s="124"/>
      <c r="D6834" s="146"/>
      <c r="E6834" s="117"/>
      <c r="F6834" s="117">
        <f>SUM(F6833)</f>
        <v>3750</v>
      </c>
      <c r="G6834" s="138"/>
      <c r="H6834" s="177"/>
    </row>
    <row r="6835" spans="1:8" s="139" customFormat="1" ht="13.5" customHeight="1" x14ac:dyDescent="0.35">
      <c r="A6835" s="146"/>
      <c r="B6835" s="112" t="s">
        <v>775</v>
      </c>
      <c r="C6835" s="124"/>
      <c r="D6835" s="146"/>
      <c r="E6835" s="117"/>
      <c r="F6835" s="117">
        <f>+F6831+F6834</f>
        <v>81289</v>
      </c>
      <c r="G6835" s="138"/>
      <c r="H6835" s="177"/>
    </row>
    <row r="6836" spans="1:8" s="139" customFormat="1" ht="13.5" customHeight="1" x14ac:dyDescent="0.35">
      <c r="A6836" s="146"/>
      <c r="B6836" s="120" t="s">
        <v>776</v>
      </c>
      <c r="C6836" s="124"/>
      <c r="D6836" s="146">
        <v>1.25</v>
      </c>
      <c r="E6836" s="117"/>
      <c r="F6836" s="117">
        <f>+F6835*D6836</f>
        <v>101611.25</v>
      </c>
      <c r="G6836" s="138"/>
      <c r="H6836" s="177"/>
    </row>
    <row r="6837" spans="1:8" s="139" customFormat="1" ht="13.5" customHeight="1" x14ac:dyDescent="0.35">
      <c r="A6837" s="146"/>
      <c r="B6837" s="120" t="s">
        <v>835</v>
      </c>
      <c r="C6837" s="124"/>
      <c r="D6837" s="146">
        <v>1.25</v>
      </c>
      <c r="E6837" s="117"/>
      <c r="F6837" s="117"/>
      <c r="G6837" s="138"/>
      <c r="H6837" s="177"/>
    </row>
    <row r="6838" spans="1:8" s="139" customFormat="1" ht="13.5" customHeight="1" x14ac:dyDescent="0.35">
      <c r="A6838" s="233" t="s">
        <v>491</v>
      </c>
      <c r="B6838" s="207" t="s">
        <v>785</v>
      </c>
      <c r="C6838" s="233" t="s">
        <v>59</v>
      </c>
      <c r="D6838" s="340"/>
      <c r="E6838" s="209"/>
      <c r="F6838" s="209">
        <f>+D6837*F6836</f>
        <v>127014.0625</v>
      </c>
      <c r="G6838" s="138"/>
      <c r="H6838" s="177"/>
    </row>
    <row r="6839" spans="1:8" s="139" customFormat="1" ht="13.5" customHeight="1" x14ac:dyDescent="0.35">
      <c r="A6839" s="340"/>
      <c r="B6839" s="207"/>
      <c r="C6839" s="208"/>
      <c r="D6839" s="340"/>
      <c r="E6839" s="210">
        <f>+E6822</f>
        <v>3035.45</v>
      </c>
      <c r="F6839" s="210">
        <f>+F6838/E6839</f>
        <v>41.843569322505729</v>
      </c>
      <c r="G6839" s="138"/>
      <c r="H6839" s="177"/>
    </row>
    <row r="6840" spans="1:8" s="139" customFormat="1" ht="13.5" customHeight="1" x14ac:dyDescent="0.35">
      <c r="A6840" s="163"/>
      <c r="B6840" s="164"/>
      <c r="C6840" s="165"/>
      <c r="E6840" s="166"/>
      <c r="F6840" s="166"/>
      <c r="G6840" s="138"/>
      <c r="H6840" s="177"/>
    </row>
    <row r="6841" spans="1:8" s="139" customFormat="1" ht="13.5" customHeight="1" x14ac:dyDescent="0.35">
      <c r="A6841" s="163"/>
      <c r="B6841" s="164"/>
      <c r="C6841" s="165"/>
      <c r="D6841" s="163"/>
      <c r="E6841" s="166"/>
      <c r="F6841" s="166"/>
      <c r="G6841" s="138"/>
      <c r="H6841" s="177"/>
    </row>
    <row r="6842" spans="1:8" s="139" customFormat="1" ht="13.5" customHeight="1" x14ac:dyDescent="0.3">
      <c r="A6842" s="341" t="s">
        <v>392</v>
      </c>
      <c r="B6842" s="331" t="s">
        <v>393</v>
      </c>
      <c r="C6842" s="332" t="s">
        <v>611</v>
      </c>
      <c r="D6842" s="333" t="s">
        <v>765</v>
      </c>
      <c r="E6842" s="334" t="s">
        <v>766</v>
      </c>
      <c r="F6842" s="334" t="s">
        <v>767</v>
      </c>
      <c r="G6842" s="138"/>
      <c r="H6842" s="177"/>
    </row>
    <row r="6843" spans="1:8" s="139" customFormat="1" ht="13.5" customHeight="1" x14ac:dyDescent="0.3">
      <c r="A6843" s="232" t="s">
        <v>488</v>
      </c>
      <c r="B6843" s="355" t="s">
        <v>511</v>
      </c>
      <c r="C6843" s="256"/>
      <c r="D6843" s="146"/>
      <c r="E6843" s="117"/>
      <c r="F6843" s="117"/>
      <c r="G6843" s="138"/>
      <c r="H6843" s="177"/>
    </row>
    <row r="6844" spans="1:8" s="139" customFormat="1" ht="13.5" customHeight="1" x14ac:dyDescent="0.3">
      <c r="A6844" s="232" t="s">
        <v>493</v>
      </c>
      <c r="B6844" s="355" t="s">
        <v>515</v>
      </c>
      <c r="C6844" s="256" t="s">
        <v>59</v>
      </c>
      <c r="D6844" s="146"/>
      <c r="E6844" s="117"/>
      <c r="F6844" s="117"/>
      <c r="G6844" s="138"/>
      <c r="H6844" s="177"/>
    </row>
    <row r="6845" spans="1:8" s="139" customFormat="1" ht="13.5" customHeight="1" x14ac:dyDescent="0.3">
      <c r="A6845" s="232" t="s">
        <v>494</v>
      </c>
      <c r="B6845" s="355" t="s">
        <v>516</v>
      </c>
      <c r="C6845" s="256" t="s">
        <v>59</v>
      </c>
      <c r="D6845" s="146"/>
      <c r="E6845" s="117"/>
      <c r="F6845" s="117"/>
      <c r="G6845" s="138"/>
      <c r="H6845" s="177"/>
    </row>
    <row r="6846" spans="1:8" s="139" customFormat="1" ht="13.5" customHeight="1" x14ac:dyDescent="0.35">
      <c r="A6846" s="146"/>
      <c r="B6846" s="112" t="s">
        <v>802</v>
      </c>
      <c r="C6846" s="124"/>
      <c r="D6846" s="146"/>
      <c r="E6846" s="117"/>
      <c r="F6846" s="117"/>
      <c r="G6846" s="138"/>
      <c r="H6846" s="177"/>
    </row>
    <row r="6847" spans="1:8" s="139" customFormat="1" ht="13.5" customHeight="1" x14ac:dyDescent="0.25">
      <c r="A6847" s="146"/>
      <c r="B6847" s="360" t="s">
        <v>515</v>
      </c>
      <c r="C6847" s="124" t="s">
        <v>59</v>
      </c>
      <c r="D6847" s="146">
        <v>1</v>
      </c>
      <c r="E6847" s="117">
        <v>21610</v>
      </c>
      <c r="F6847" s="117">
        <f>D6847*E6847</f>
        <v>21610</v>
      </c>
      <c r="G6847" s="138"/>
      <c r="H6847" s="177"/>
    </row>
    <row r="6848" spans="1:8" s="139" customFormat="1" ht="13.5" customHeight="1" x14ac:dyDescent="0.35">
      <c r="A6848" s="146"/>
      <c r="B6848" s="120" t="s">
        <v>1057</v>
      </c>
      <c r="C6848" s="124"/>
      <c r="D6848" s="146"/>
      <c r="E6848" s="117"/>
      <c r="F6848" s="117">
        <f>0.1*(F6847)</f>
        <v>2161</v>
      </c>
      <c r="G6848" s="138"/>
      <c r="H6848" s="177"/>
    </row>
    <row r="6849" spans="1:8" s="139" customFormat="1" ht="13.5" customHeight="1" x14ac:dyDescent="0.35">
      <c r="A6849" s="146"/>
      <c r="B6849" s="112" t="s">
        <v>769</v>
      </c>
      <c r="C6849" s="124"/>
      <c r="D6849" s="146"/>
      <c r="E6849" s="117"/>
      <c r="F6849" s="110">
        <f>SUM(F6847:F6848)</f>
        <v>23771</v>
      </c>
      <c r="G6849" s="138"/>
      <c r="H6849" s="177"/>
    </row>
    <row r="6850" spans="1:8" s="139" customFormat="1" ht="13.5" customHeight="1" x14ac:dyDescent="0.35">
      <c r="A6850" s="146"/>
      <c r="B6850" s="112" t="s">
        <v>808</v>
      </c>
      <c r="C6850" s="124"/>
      <c r="D6850" s="146"/>
      <c r="E6850" s="117"/>
      <c r="F6850" s="117"/>
      <c r="G6850" s="138"/>
      <c r="H6850" s="177"/>
    </row>
    <row r="6851" spans="1:8" s="139" customFormat="1" ht="13.5" customHeight="1" x14ac:dyDescent="0.35">
      <c r="A6851" s="146"/>
      <c r="B6851" s="120" t="s">
        <v>787</v>
      </c>
      <c r="C6851" s="124" t="s">
        <v>1043</v>
      </c>
      <c r="D6851" s="146">
        <v>0.25</v>
      </c>
      <c r="E6851" s="117">
        <v>15000</v>
      </c>
      <c r="F6851" s="117">
        <f>+D6851*E6851</f>
        <v>3750</v>
      </c>
      <c r="G6851" s="138"/>
      <c r="H6851" s="177"/>
    </row>
    <row r="6852" spans="1:8" s="139" customFormat="1" ht="13.5" customHeight="1" x14ac:dyDescent="0.35">
      <c r="A6852" s="146"/>
      <c r="B6852" s="112" t="s">
        <v>774</v>
      </c>
      <c r="C6852" s="124"/>
      <c r="D6852" s="146"/>
      <c r="E6852" s="117"/>
      <c r="F6852" s="117">
        <f>SUM(F6851)</f>
        <v>3750</v>
      </c>
      <c r="G6852" s="138"/>
      <c r="H6852" s="177"/>
    </row>
    <row r="6853" spans="1:8" s="139" customFormat="1" ht="13.5" customHeight="1" x14ac:dyDescent="0.35">
      <c r="A6853" s="146"/>
      <c r="B6853" s="112" t="s">
        <v>775</v>
      </c>
      <c r="C6853" s="124"/>
      <c r="D6853" s="146"/>
      <c r="E6853" s="117"/>
      <c r="F6853" s="117">
        <f>+F6849+F6852</f>
        <v>27521</v>
      </c>
      <c r="G6853" s="138"/>
      <c r="H6853" s="177"/>
    </row>
    <row r="6854" spans="1:8" s="139" customFormat="1" ht="13.5" customHeight="1" x14ac:dyDescent="0.35">
      <c r="A6854" s="146"/>
      <c r="B6854" s="120" t="s">
        <v>776</v>
      </c>
      <c r="C6854" s="124"/>
      <c r="D6854" s="146">
        <v>1.25</v>
      </c>
      <c r="E6854" s="117"/>
      <c r="F6854" s="117">
        <f>+F6853*D6854</f>
        <v>34401.25</v>
      </c>
      <c r="G6854" s="138"/>
      <c r="H6854" s="177"/>
    </row>
    <row r="6855" spans="1:8" s="139" customFormat="1" ht="13.5" customHeight="1" x14ac:dyDescent="0.35">
      <c r="A6855" s="146"/>
      <c r="B6855" s="120" t="s">
        <v>835</v>
      </c>
      <c r="C6855" s="124"/>
      <c r="D6855" s="146">
        <v>1.25</v>
      </c>
      <c r="E6855" s="117"/>
      <c r="F6855" s="117"/>
      <c r="G6855" s="138"/>
      <c r="H6855" s="177"/>
    </row>
    <row r="6856" spans="1:8" s="139" customFormat="1" ht="29.25" customHeight="1" x14ac:dyDescent="0.35">
      <c r="A6856" s="241" t="s">
        <v>1223</v>
      </c>
      <c r="B6856" s="207" t="s">
        <v>785</v>
      </c>
      <c r="C6856" s="233" t="s">
        <v>59</v>
      </c>
      <c r="D6856" s="340"/>
      <c r="E6856" s="209"/>
      <c r="F6856" s="209">
        <f>+D6855*F6854</f>
        <v>43001.5625</v>
      </c>
      <c r="G6856" s="138"/>
      <c r="H6856" s="177"/>
    </row>
    <row r="6857" spans="1:8" s="139" customFormat="1" ht="13.5" customHeight="1" x14ac:dyDescent="0.35">
      <c r="A6857" s="340"/>
      <c r="B6857" s="207"/>
      <c r="C6857" s="208"/>
      <c r="D6857" s="340"/>
      <c r="E6857" s="210">
        <f>+E6839</f>
        <v>3035.45</v>
      </c>
      <c r="F6857" s="210">
        <f>+F6856/E6857</f>
        <v>14.166453903045678</v>
      </c>
      <c r="G6857" s="138"/>
      <c r="H6857" s="177"/>
    </row>
    <row r="6858" spans="1:8" s="139" customFormat="1" ht="13.5" customHeight="1" x14ac:dyDescent="0.35">
      <c r="A6858" s="163"/>
      <c r="B6858" s="164"/>
      <c r="C6858" s="165"/>
      <c r="E6858" s="166"/>
      <c r="F6858" s="166"/>
      <c r="G6858" s="138"/>
      <c r="H6858" s="177"/>
    </row>
    <row r="6859" spans="1:8" s="139" customFormat="1" ht="13.5" customHeight="1" x14ac:dyDescent="0.35">
      <c r="A6859" s="163"/>
      <c r="B6859" s="164"/>
      <c r="C6859" s="165"/>
      <c r="D6859" s="163"/>
      <c r="E6859" s="166"/>
      <c r="F6859" s="166"/>
      <c r="G6859" s="138"/>
      <c r="H6859" s="177"/>
    </row>
    <row r="6860" spans="1:8" s="139" customFormat="1" ht="13.5" customHeight="1" x14ac:dyDescent="0.3">
      <c r="A6860" s="341" t="s">
        <v>392</v>
      </c>
      <c r="B6860" s="331" t="s">
        <v>393</v>
      </c>
      <c r="C6860" s="332" t="s">
        <v>611</v>
      </c>
      <c r="D6860" s="333" t="s">
        <v>765</v>
      </c>
      <c r="E6860" s="334" t="s">
        <v>766</v>
      </c>
      <c r="F6860" s="334" t="s">
        <v>767</v>
      </c>
      <c r="G6860" s="138"/>
      <c r="H6860" s="177"/>
    </row>
    <row r="6861" spans="1:8" s="139" customFormat="1" ht="13.5" customHeight="1" x14ac:dyDescent="0.3">
      <c r="A6861" s="232" t="s">
        <v>488</v>
      </c>
      <c r="B6861" s="355" t="s">
        <v>511</v>
      </c>
      <c r="C6861" s="256"/>
      <c r="D6861" s="146"/>
      <c r="E6861" s="117"/>
      <c r="F6861" s="117"/>
      <c r="G6861" s="138"/>
      <c r="H6861" s="177"/>
    </row>
    <row r="6862" spans="1:8" s="139" customFormat="1" ht="13.5" customHeight="1" x14ac:dyDescent="0.3">
      <c r="A6862" s="232" t="s">
        <v>1224</v>
      </c>
      <c r="B6862" s="352" t="s">
        <v>1092</v>
      </c>
      <c r="C6862" s="256" t="s">
        <v>59</v>
      </c>
      <c r="D6862" s="146"/>
      <c r="E6862" s="117"/>
      <c r="F6862" s="117"/>
      <c r="G6862" s="138"/>
      <c r="H6862" s="177"/>
    </row>
    <row r="6863" spans="1:8" s="139" customFormat="1" ht="13.5" customHeight="1" x14ac:dyDescent="0.35">
      <c r="A6863" s="146"/>
      <c r="B6863" s="112" t="s">
        <v>802</v>
      </c>
      <c r="C6863" s="124"/>
      <c r="D6863" s="146"/>
      <c r="E6863" s="117"/>
      <c r="F6863" s="117"/>
      <c r="G6863" s="138"/>
      <c r="H6863" s="177"/>
    </row>
    <row r="6864" spans="1:8" s="139" customFormat="1" ht="13.5" customHeight="1" x14ac:dyDescent="0.25">
      <c r="A6864" s="146"/>
      <c r="B6864" s="354" t="s">
        <v>1093</v>
      </c>
      <c r="C6864" s="124" t="s">
        <v>59</v>
      </c>
      <c r="D6864" s="146">
        <v>1</v>
      </c>
      <c r="E6864" s="117">
        <v>87360</v>
      </c>
      <c r="F6864" s="117">
        <f>D6864*E6864</f>
        <v>87360</v>
      </c>
      <c r="G6864" s="138"/>
      <c r="H6864" s="177"/>
    </row>
    <row r="6865" spans="1:8" s="139" customFormat="1" ht="13.5" customHeight="1" x14ac:dyDescent="0.35">
      <c r="A6865" s="146"/>
      <c r="B6865" s="120" t="s">
        <v>1057</v>
      </c>
      <c r="C6865" s="124"/>
      <c r="D6865" s="146"/>
      <c r="E6865" s="117"/>
      <c r="F6865" s="117">
        <f>0.1*(F6864)</f>
        <v>8736</v>
      </c>
      <c r="G6865" s="138"/>
      <c r="H6865" s="177"/>
    </row>
    <row r="6866" spans="1:8" s="139" customFormat="1" ht="13.5" customHeight="1" x14ac:dyDescent="0.35">
      <c r="A6866" s="146"/>
      <c r="B6866" s="112" t="s">
        <v>769</v>
      </c>
      <c r="C6866" s="124"/>
      <c r="D6866" s="146"/>
      <c r="E6866" s="117"/>
      <c r="F6866" s="110">
        <f>SUM(F6864:F6865)</f>
        <v>96096</v>
      </c>
      <c r="G6866" s="138"/>
      <c r="H6866" s="177"/>
    </row>
    <row r="6867" spans="1:8" s="139" customFormat="1" ht="13.5" customHeight="1" x14ac:dyDescent="0.35">
      <c r="A6867" s="146"/>
      <c r="B6867" s="112" t="s">
        <v>808</v>
      </c>
      <c r="C6867" s="124"/>
      <c r="D6867" s="146"/>
      <c r="E6867" s="117"/>
      <c r="F6867" s="117"/>
      <c r="G6867" s="138"/>
      <c r="H6867" s="177"/>
    </row>
    <row r="6868" spans="1:8" s="139" customFormat="1" ht="13.5" customHeight="1" x14ac:dyDescent="0.35">
      <c r="A6868" s="146"/>
      <c r="B6868" s="120" t="s">
        <v>787</v>
      </c>
      <c r="C6868" s="124" t="s">
        <v>1043</v>
      </c>
      <c r="D6868" s="146">
        <v>0.25</v>
      </c>
      <c r="E6868" s="117">
        <v>15000</v>
      </c>
      <c r="F6868" s="117">
        <f>+D6868*E6868</f>
        <v>3750</v>
      </c>
      <c r="G6868" s="138"/>
      <c r="H6868" s="177"/>
    </row>
    <row r="6869" spans="1:8" s="139" customFormat="1" ht="13.5" customHeight="1" x14ac:dyDescent="0.35">
      <c r="A6869" s="146"/>
      <c r="B6869" s="112" t="s">
        <v>774</v>
      </c>
      <c r="C6869" s="124"/>
      <c r="D6869" s="146"/>
      <c r="E6869" s="117"/>
      <c r="F6869" s="117">
        <f>SUM(F6868)</f>
        <v>3750</v>
      </c>
      <c r="G6869" s="138"/>
      <c r="H6869" s="177"/>
    </row>
    <row r="6870" spans="1:8" s="139" customFormat="1" ht="13.5" customHeight="1" x14ac:dyDescent="0.35">
      <c r="A6870" s="146"/>
      <c r="B6870" s="112" t="s">
        <v>775</v>
      </c>
      <c r="C6870" s="124"/>
      <c r="D6870" s="146"/>
      <c r="E6870" s="117"/>
      <c r="F6870" s="117">
        <f>+F6866+F6869</f>
        <v>99846</v>
      </c>
      <c r="G6870" s="138"/>
      <c r="H6870" s="177"/>
    </row>
    <row r="6871" spans="1:8" s="139" customFormat="1" ht="13.5" customHeight="1" x14ac:dyDescent="0.35">
      <c r="A6871" s="146"/>
      <c r="B6871" s="120" t="s">
        <v>776</v>
      </c>
      <c r="C6871" s="124"/>
      <c r="D6871" s="146">
        <v>1.25</v>
      </c>
      <c r="E6871" s="117"/>
      <c r="F6871" s="117">
        <f>+F6870*D6871</f>
        <v>124807.5</v>
      </c>
      <c r="G6871" s="138"/>
      <c r="H6871" s="177"/>
    </row>
    <row r="6872" spans="1:8" s="139" customFormat="1" ht="13.5" customHeight="1" x14ac:dyDescent="0.35">
      <c r="A6872" s="146"/>
      <c r="B6872" s="120" t="s">
        <v>835</v>
      </c>
      <c r="C6872" s="124"/>
      <c r="D6872" s="146">
        <v>1.25</v>
      </c>
      <c r="E6872" s="117"/>
      <c r="F6872" s="117"/>
      <c r="G6872" s="138"/>
      <c r="H6872" s="177"/>
    </row>
    <row r="6873" spans="1:8" s="139" customFormat="1" ht="13.5" customHeight="1" x14ac:dyDescent="0.35">
      <c r="A6873" s="233" t="s">
        <v>1224</v>
      </c>
      <c r="B6873" s="207" t="s">
        <v>785</v>
      </c>
      <c r="C6873" s="233" t="s">
        <v>59</v>
      </c>
      <c r="D6873" s="340"/>
      <c r="E6873" s="209"/>
      <c r="F6873" s="209">
        <f>+D6872*F6871</f>
        <v>156009.375</v>
      </c>
      <c r="G6873" s="138"/>
      <c r="H6873" s="177"/>
    </row>
    <row r="6874" spans="1:8" s="139" customFormat="1" ht="13.5" customHeight="1" x14ac:dyDescent="0.35">
      <c r="A6874" s="340"/>
      <c r="B6874" s="207"/>
      <c r="C6874" s="208"/>
      <c r="D6874" s="340"/>
      <c r="E6874" s="210">
        <f>+E6857</f>
        <v>3035.45</v>
      </c>
      <c r="F6874" s="210">
        <f>+F6873/E6874</f>
        <v>51.395797987118883</v>
      </c>
      <c r="G6874" s="138"/>
      <c r="H6874" s="177"/>
    </row>
    <row r="6875" spans="1:8" s="139" customFormat="1" ht="13.5" customHeight="1" x14ac:dyDescent="0.35">
      <c r="A6875" s="163"/>
      <c r="B6875" s="164"/>
      <c r="C6875" s="165"/>
      <c r="E6875" s="166"/>
      <c r="F6875" s="166"/>
      <c r="G6875" s="138"/>
      <c r="H6875" s="177"/>
    </row>
    <row r="6876" spans="1:8" s="139" customFormat="1" ht="13.5" customHeight="1" x14ac:dyDescent="0.35">
      <c r="A6876" s="183"/>
      <c r="D6876" s="163"/>
      <c r="G6876" s="138"/>
      <c r="H6876" s="177"/>
    </row>
    <row r="6877" spans="1:8" s="139" customFormat="1" ht="13.5" customHeight="1" x14ac:dyDescent="0.3">
      <c r="A6877" s="341" t="s">
        <v>392</v>
      </c>
      <c r="B6877" s="331" t="s">
        <v>393</v>
      </c>
      <c r="C6877" s="332" t="s">
        <v>611</v>
      </c>
      <c r="D6877" s="333" t="s">
        <v>765</v>
      </c>
      <c r="E6877" s="334" t="s">
        <v>766</v>
      </c>
      <c r="F6877" s="334" t="s">
        <v>767</v>
      </c>
      <c r="G6877" s="138"/>
      <c r="H6877" s="177"/>
    </row>
    <row r="6878" spans="1:8" s="139" customFormat="1" ht="13.5" customHeight="1" x14ac:dyDescent="0.3">
      <c r="A6878" s="232" t="s">
        <v>495</v>
      </c>
      <c r="B6878" s="355" t="s">
        <v>517</v>
      </c>
      <c r="C6878" s="256"/>
      <c r="D6878" s="146"/>
      <c r="E6878" s="117"/>
      <c r="F6878" s="117"/>
      <c r="G6878" s="138"/>
      <c r="H6878" s="177"/>
    </row>
    <row r="6879" spans="1:8" s="139" customFormat="1" ht="13.5" customHeight="1" x14ac:dyDescent="0.3">
      <c r="A6879" s="232" t="s">
        <v>496</v>
      </c>
      <c r="B6879" s="355" t="s">
        <v>518</v>
      </c>
      <c r="C6879" s="256" t="s">
        <v>59</v>
      </c>
      <c r="D6879" s="146"/>
      <c r="E6879" s="117"/>
      <c r="F6879" s="117"/>
      <c r="G6879" s="138"/>
      <c r="H6879" s="177"/>
    </row>
    <row r="6880" spans="1:8" s="139" customFormat="1" ht="13.5" customHeight="1" x14ac:dyDescent="0.35">
      <c r="A6880" s="146"/>
      <c r="B6880" s="112" t="s">
        <v>802</v>
      </c>
      <c r="C6880" s="124"/>
      <c r="D6880" s="146"/>
      <c r="E6880" s="117"/>
      <c r="F6880" s="117"/>
      <c r="G6880" s="138"/>
      <c r="H6880" s="177"/>
    </row>
    <row r="6881" spans="1:8" s="139" customFormat="1" ht="13.5" customHeight="1" x14ac:dyDescent="0.25">
      <c r="A6881" s="146"/>
      <c r="B6881" s="360" t="s">
        <v>518</v>
      </c>
      <c r="C6881" s="124" t="s">
        <v>59</v>
      </c>
      <c r="D6881" s="146">
        <v>1</v>
      </c>
      <c r="E6881" s="117">
        <v>15500</v>
      </c>
      <c r="F6881" s="117">
        <f>D6881*E6881</f>
        <v>15500</v>
      </c>
      <c r="G6881" s="138"/>
      <c r="H6881" s="177"/>
    </row>
    <row r="6882" spans="1:8" s="139" customFormat="1" ht="13.5" customHeight="1" x14ac:dyDescent="0.35">
      <c r="A6882" s="146"/>
      <c r="B6882" s="120" t="s">
        <v>1057</v>
      </c>
      <c r="C6882" s="124"/>
      <c r="D6882" s="146"/>
      <c r="E6882" s="117"/>
      <c r="F6882" s="117">
        <f>0.1*(F6881)</f>
        <v>1550</v>
      </c>
      <c r="G6882" s="138"/>
      <c r="H6882" s="177"/>
    </row>
    <row r="6883" spans="1:8" s="139" customFormat="1" ht="13.5" customHeight="1" x14ac:dyDescent="0.35">
      <c r="A6883" s="146"/>
      <c r="B6883" s="112" t="s">
        <v>769</v>
      </c>
      <c r="C6883" s="124"/>
      <c r="D6883" s="146"/>
      <c r="E6883" s="117"/>
      <c r="F6883" s="110">
        <f>SUM(F6881:F6882)</f>
        <v>17050</v>
      </c>
      <c r="G6883" s="138"/>
      <c r="H6883" s="177"/>
    </row>
    <row r="6884" spans="1:8" s="139" customFormat="1" ht="13.5" customHeight="1" x14ac:dyDescent="0.35">
      <c r="A6884" s="146"/>
      <c r="B6884" s="112" t="s">
        <v>808</v>
      </c>
      <c r="C6884" s="124"/>
      <c r="D6884" s="146"/>
      <c r="E6884" s="117"/>
      <c r="F6884" s="117"/>
      <c r="G6884" s="138"/>
      <c r="H6884" s="177"/>
    </row>
    <row r="6885" spans="1:8" s="139" customFormat="1" ht="13.5" customHeight="1" x14ac:dyDescent="0.35">
      <c r="A6885" s="146"/>
      <c r="B6885" s="120" t="s">
        <v>787</v>
      </c>
      <c r="C6885" s="124" t="s">
        <v>1043</v>
      </c>
      <c r="D6885" s="146">
        <v>0.25</v>
      </c>
      <c r="E6885" s="117">
        <v>15000</v>
      </c>
      <c r="F6885" s="117">
        <f>+D6885*E6885</f>
        <v>3750</v>
      </c>
      <c r="G6885" s="138"/>
      <c r="H6885" s="177"/>
    </row>
    <row r="6886" spans="1:8" s="139" customFormat="1" ht="13.5" customHeight="1" x14ac:dyDescent="0.35">
      <c r="A6886" s="146"/>
      <c r="B6886" s="112" t="s">
        <v>774</v>
      </c>
      <c r="C6886" s="124"/>
      <c r="D6886" s="146"/>
      <c r="E6886" s="117"/>
      <c r="F6886" s="117">
        <f>SUM(F6885)</f>
        <v>3750</v>
      </c>
      <c r="G6886" s="138"/>
      <c r="H6886" s="177"/>
    </row>
    <row r="6887" spans="1:8" s="139" customFormat="1" ht="13.5" customHeight="1" x14ac:dyDescent="0.35">
      <c r="A6887" s="146"/>
      <c r="B6887" s="112" t="s">
        <v>775</v>
      </c>
      <c r="C6887" s="124"/>
      <c r="D6887" s="146"/>
      <c r="E6887" s="117"/>
      <c r="F6887" s="117">
        <f>+F6883+F6886</f>
        <v>20800</v>
      </c>
      <c r="G6887" s="138"/>
      <c r="H6887" s="177"/>
    </row>
    <row r="6888" spans="1:8" s="139" customFormat="1" ht="13.5" customHeight="1" x14ac:dyDescent="0.35">
      <c r="A6888" s="146"/>
      <c r="B6888" s="120" t="s">
        <v>776</v>
      </c>
      <c r="C6888" s="124"/>
      <c r="D6888" s="146">
        <v>1.25</v>
      </c>
      <c r="E6888" s="117"/>
      <c r="F6888" s="117">
        <f>+F6887*D6888</f>
        <v>26000</v>
      </c>
      <c r="G6888" s="138"/>
      <c r="H6888" s="177"/>
    </row>
    <row r="6889" spans="1:8" s="139" customFormat="1" ht="13.5" customHeight="1" x14ac:dyDescent="0.35">
      <c r="A6889" s="146"/>
      <c r="B6889" s="120" t="s">
        <v>835</v>
      </c>
      <c r="C6889" s="124"/>
      <c r="D6889" s="146">
        <v>1.25</v>
      </c>
      <c r="E6889" s="117"/>
      <c r="F6889" s="117"/>
      <c r="G6889" s="138"/>
      <c r="H6889" s="177"/>
    </row>
    <row r="6890" spans="1:8" s="139" customFormat="1" ht="13.5" customHeight="1" x14ac:dyDescent="0.35">
      <c r="A6890" s="233" t="s">
        <v>496</v>
      </c>
      <c r="B6890" s="207" t="s">
        <v>785</v>
      </c>
      <c r="C6890" s="233" t="s">
        <v>59</v>
      </c>
      <c r="D6890" s="340"/>
      <c r="E6890" s="209"/>
      <c r="F6890" s="209">
        <f>+D6889*F6888</f>
        <v>32500</v>
      </c>
      <c r="G6890" s="138"/>
      <c r="H6890" s="177"/>
    </row>
    <row r="6891" spans="1:8" s="139" customFormat="1" ht="13.5" customHeight="1" x14ac:dyDescent="0.35">
      <c r="A6891" s="340"/>
      <c r="B6891" s="207"/>
      <c r="C6891" s="208"/>
      <c r="D6891" s="340"/>
      <c r="E6891" s="210">
        <f>+E6874</f>
        <v>3035.45</v>
      </c>
      <c r="F6891" s="210">
        <f>+F6890/E6891</f>
        <v>10.706814475613172</v>
      </c>
      <c r="G6891" s="138"/>
      <c r="H6891" s="177"/>
    </row>
    <row r="6892" spans="1:8" s="139" customFormat="1" ht="13.5" customHeight="1" x14ac:dyDescent="0.35">
      <c r="A6892" s="163"/>
      <c r="B6892" s="164"/>
      <c r="C6892" s="165"/>
      <c r="E6892" s="166"/>
      <c r="F6892" s="166"/>
      <c r="G6892" s="138"/>
      <c r="H6892" s="177"/>
    </row>
    <row r="6893" spans="1:8" s="139" customFormat="1" ht="13.5" customHeight="1" x14ac:dyDescent="0.35">
      <c r="A6893" s="163"/>
      <c r="B6893" s="164"/>
      <c r="C6893" s="165"/>
      <c r="D6893" s="163"/>
      <c r="E6893" s="166"/>
      <c r="F6893" s="166"/>
      <c r="G6893" s="138"/>
      <c r="H6893" s="177"/>
    </row>
    <row r="6894" spans="1:8" s="139" customFormat="1" ht="13.5" customHeight="1" x14ac:dyDescent="0.3">
      <c r="A6894" s="341" t="s">
        <v>392</v>
      </c>
      <c r="B6894" s="331" t="s">
        <v>393</v>
      </c>
      <c r="C6894" s="332" t="s">
        <v>611</v>
      </c>
      <c r="D6894" s="333" t="s">
        <v>765</v>
      </c>
      <c r="E6894" s="334" t="s">
        <v>766</v>
      </c>
      <c r="F6894" s="334" t="s">
        <v>767</v>
      </c>
      <c r="G6894" s="138"/>
      <c r="H6894" s="177"/>
    </row>
    <row r="6895" spans="1:8" s="139" customFormat="1" ht="13.5" customHeight="1" x14ac:dyDescent="0.3">
      <c r="A6895" s="232" t="s">
        <v>495</v>
      </c>
      <c r="B6895" s="355" t="s">
        <v>517</v>
      </c>
      <c r="C6895" s="256"/>
      <c r="D6895" s="146"/>
      <c r="E6895" s="117"/>
      <c r="F6895" s="117"/>
      <c r="G6895" s="138"/>
      <c r="H6895" s="177"/>
    </row>
    <row r="6896" spans="1:8" s="139" customFormat="1" ht="13.5" customHeight="1" x14ac:dyDescent="0.3">
      <c r="A6896" s="232" t="s">
        <v>497</v>
      </c>
      <c r="B6896" s="355" t="s">
        <v>519</v>
      </c>
      <c r="C6896" s="256" t="s">
        <v>59</v>
      </c>
      <c r="D6896" s="146"/>
      <c r="E6896" s="117"/>
      <c r="F6896" s="117"/>
      <c r="G6896" s="138"/>
      <c r="H6896" s="177"/>
    </row>
    <row r="6897" spans="1:8" s="139" customFormat="1" ht="13.5" customHeight="1" x14ac:dyDescent="0.35">
      <c r="A6897" s="146"/>
      <c r="B6897" s="112" t="s">
        <v>802</v>
      </c>
      <c r="C6897" s="124"/>
      <c r="D6897" s="146"/>
      <c r="E6897" s="117"/>
      <c r="F6897" s="117"/>
      <c r="G6897" s="138"/>
      <c r="H6897" s="177"/>
    </row>
    <row r="6898" spans="1:8" s="139" customFormat="1" ht="13.5" customHeight="1" x14ac:dyDescent="0.25">
      <c r="A6898" s="146"/>
      <c r="B6898" s="360" t="s">
        <v>519</v>
      </c>
      <c r="C6898" s="124" t="s">
        <v>59</v>
      </c>
      <c r="D6898" s="146">
        <v>1</v>
      </c>
      <c r="E6898" s="117">
        <v>10000</v>
      </c>
      <c r="F6898" s="117">
        <f>D6898*E6898</f>
        <v>10000</v>
      </c>
      <c r="G6898" s="138"/>
      <c r="H6898" s="177"/>
    </row>
    <row r="6899" spans="1:8" s="139" customFormat="1" ht="13.5" customHeight="1" x14ac:dyDescent="0.35">
      <c r="A6899" s="146"/>
      <c r="B6899" s="120" t="s">
        <v>1057</v>
      </c>
      <c r="C6899" s="124"/>
      <c r="D6899" s="146"/>
      <c r="E6899" s="117"/>
      <c r="F6899" s="117">
        <f>0.1*(F6898)</f>
        <v>1000</v>
      </c>
      <c r="G6899" s="138"/>
      <c r="H6899" s="177"/>
    </row>
    <row r="6900" spans="1:8" s="139" customFormat="1" ht="13.5" customHeight="1" x14ac:dyDescent="0.35">
      <c r="A6900" s="146"/>
      <c r="B6900" s="112" t="s">
        <v>769</v>
      </c>
      <c r="C6900" s="124"/>
      <c r="D6900" s="146"/>
      <c r="E6900" s="117"/>
      <c r="F6900" s="110">
        <f>SUM(F6898:F6899)</f>
        <v>11000</v>
      </c>
      <c r="G6900" s="138"/>
      <c r="H6900" s="177"/>
    </row>
    <row r="6901" spans="1:8" s="139" customFormat="1" ht="13.5" customHeight="1" x14ac:dyDescent="0.35">
      <c r="A6901" s="146"/>
      <c r="B6901" s="112" t="s">
        <v>808</v>
      </c>
      <c r="C6901" s="124"/>
      <c r="D6901" s="146"/>
      <c r="E6901" s="117"/>
      <c r="F6901" s="117"/>
      <c r="G6901" s="138"/>
      <c r="H6901" s="177"/>
    </row>
    <row r="6902" spans="1:8" s="139" customFormat="1" ht="13.5" customHeight="1" x14ac:dyDescent="0.35">
      <c r="A6902" s="146"/>
      <c r="B6902" s="120" t="s">
        <v>787</v>
      </c>
      <c r="C6902" s="124" t="s">
        <v>1043</v>
      </c>
      <c r="D6902" s="146">
        <v>0.25</v>
      </c>
      <c r="E6902" s="117">
        <v>16200</v>
      </c>
      <c r="F6902" s="117">
        <f>+D6902*E6902</f>
        <v>4050</v>
      </c>
      <c r="G6902" s="138"/>
      <c r="H6902" s="177"/>
    </row>
    <row r="6903" spans="1:8" s="139" customFormat="1" ht="13.5" customHeight="1" x14ac:dyDescent="0.35">
      <c r="A6903" s="146"/>
      <c r="B6903" s="112" t="s">
        <v>774</v>
      </c>
      <c r="C6903" s="124"/>
      <c r="D6903" s="146"/>
      <c r="E6903" s="117"/>
      <c r="F6903" s="117">
        <f>SUM(F6902)</f>
        <v>4050</v>
      </c>
      <c r="G6903" s="138"/>
      <c r="H6903" s="177"/>
    </row>
    <row r="6904" spans="1:8" s="139" customFormat="1" ht="13.5" customHeight="1" x14ac:dyDescent="0.35">
      <c r="A6904" s="146"/>
      <c r="B6904" s="112" t="s">
        <v>775</v>
      </c>
      <c r="C6904" s="124"/>
      <c r="D6904" s="146"/>
      <c r="E6904" s="117"/>
      <c r="F6904" s="117">
        <f>+F6900+F6903</f>
        <v>15050</v>
      </c>
      <c r="G6904" s="138"/>
      <c r="H6904" s="177"/>
    </row>
    <row r="6905" spans="1:8" s="139" customFormat="1" ht="13.5" customHeight="1" x14ac:dyDescent="0.35">
      <c r="A6905" s="146"/>
      <c r="B6905" s="120" t="s">
        <v>776</v>
      </c>
      <c r="C6905" s="124"/>
      <c r="D6905" s="146">
        <v>1.25</v>
      </c>
      <c r="E6905" s="117"/>
      <c r="F6905" s="117">
        <f>+F6904*D6905</f>
        <v>18812.5</v>
      </c>
      <c r="G6905" s="138"/>
      <c r="H6905" s="177"/>
    </row>
    <row r="6906" spans="1:8" s="139" customFormat="1" ht="13.5" customHeight="1" x14ac:dyDescent="0.35">
      <c r="A6906" s="146"/>
      <c r="B6906" s="120" t="s">
        <v>835</v>
      </c>
      <c r="C6906" s="124"/>
      <c r="D6906" s="146">
        <v>1.25</v>
      </c>
      <c r="E6906" s="117"/>
      <c r="F6906" s="117"/>
      <c r="G6906" s="138"/>
      <c r="H6906" s="177"/>
    </row>
    <row r="6907" spans="1:8" s="139" customFormat="1" ht="13.5" customHeight="1" x14ac:dyDescent="0.35">
      <c r="A6907" s="233" t="s">
        <v>497</v>
      </c>
      <c r="B6907" s="207" t="s">
        <v>785</v>
      </c>
      <c r="C6907" s="233" t="s">
        <v>59</v>
      </c>
      <c r="D6907" s="340"/>
      <c r="E6907" s="209"/>
      <c r="F6907" s="209">
        <f>+D6906*F6905</f>
        <v>23515.625</v>
      </c>
      <c r="G6907" s="138"/>
      <c r="H6907" s="177"/>
    </row>
    <row r="6908" spans="1:8" s="139" customFormat="1" ht="13.5" customHeight="1" x14ac:dyDescent="0.35">
      <c r="A6908" s="340"/>
      <c r="B6908" s="207"/>
      <c r="C6908" s="208"/>
      <c r="D6908" s="340"/>
      <c r="E6908" s="210">
        <f>+E6891</f>
        <v>3035.45</v>
      </c>
      <c r="F6908" s="210">
        <f>+F6907/E6908</f>
        <v>7.7469979739412613</v>
      </c>
      <c r="G6908" s="138"/>
      <c r="H6908" s="177"/>
    </row>
    <row r="6909" spans="1:8" s="139" customFormat="1" ht="13.5" customHeight="1" x14ac:dyDescent="0.35">
      <c r="A6909" s="163"/>
      <c r="B6909" s="164"/>
      <c r="C6909" s="165"/>
      <c r="E6909" s="166"/>
      <c r="F6909" s="166"/>
      <c r="G6909" s="138"/>
      <c r="H6909" s="177"/>
    </row>
    <row r="6910" spans="1:8" s="139" customFormat="1" ht="13.5" customHeight="1" x14ac:dyDescent="0.35">
      <c r="A6910" s="163"/>
      <c r="B6910" s="164"/>
      <c r="C6910" s="165"/>
      <c r="D6910" s="163"/>
      <c r="E6910" s="166"/>
      <c r="F6910" s="166"/>
      <c r="G6910" s="138"/>
      <c r="H6910" s="177"/>
    </row>
    <row r="6911" spans="1:8" s="139" customFormat="1" ht="13.5" customHeight="1" x14ac:dyDescent="0.3">
      <c r="A6911" s="341" t="s">
        <v>392</v>
      </c>
      <c r="B6911" s="331" t="s">
        <v>393</v>
      </c>
      <c r="C6911" s="332" t="s">
        <v>611</v>
      </c>
      <c r="D6911" s="333" t="s">
        <v>765</v>
      </c>
      <c r="E6911" s="334" t="s">
        <v>766</v>
      </c>
      <c r="F6911" s="334" t="s">
        <v>767</v>
      </c>
      <c r="G6911" s="138"/>
      <c r="H6911" s="177"/>
    </row>
    <row r="6912" spans="1:8" s="139" customFormat="1" ht="13.5" customHeight="1" x14ac:dyDescent="0.3">
      <c r="A6912" s="232" t="s">
        <v>495</v>
      </c>
      <c r="B6912" s="355" t="s">
        <v>517</v>
      </c>
      <c r="C6912" s="256"/>
      <c r="D6912" s="146"/>
      <c r="E6912" s="117"/>
      <c r="F6912" s="117"/>
      <c r="G6912" s="138"/>
      <c r="H6912" s="177"/>
    </row>
    <row r="6913" spans="1:8" s="139" customFormat="1" ht="13.5" customHeight="1" x14ac:dyDescent="0.3">
      <c r="A6913" s="232" t="s">
        <v>498</v>
      </c>
      <c r="B6913" s="355" t="s">
        <v>520</v>
      </c>
      <c r="C6913" s="256" t="s">
        <v>59</v>
      </c>
      <c r="D6913" s="146"/>
      <c r="E6913" s="117"/>
      <c r="F6913" s="117"/>
      <c r="G6913" s="138"/>
      <c r="H6913" s="177"/>
    </row>
    <row r="6914" spans="1:8" s="139" customFormat="1" ht="13.5" customHeight="1" x14ac:dyDescent="0.35">
      <c r="A6914" s="146"/>
      <c r="B6914" s="112" t="s">
        <v>802</v>
      </c>
      <c r="C6914" s="124"/>
      <c r="D6914" s="146"/>
      <c r="E6914" s="117"/>
      <c r="F6914" s="117"/>
      <c r="G6914" s="138"/>
      <c r="H6914" s="177"/>
    </row>
    <row r="6915" spans="1:8" s="139" customFormat="1" ht="13.5" customHeight="1" x14ac:dyDescent="0.25">
      <c r="A6915" s="146"/>
      <c r="B6915" s="360" t="s">
        <v>520</v>
      </c>
      <c r="C6915" s="124" t="s">
        <v>59</v>
      </c>
      <c r="D6915" s="146">
        <v>1</v>
      </c>
      <c r="E6915" s="117">
        <v>63800</v>
      </c>
      <c r="F6915" s="117">
        <f>D6915*E6915</f>
        <v>63800</v>
      </c>
      <c r="G6915" s="138"/>
      <c r="H6915" s="177"/>
    </row>
    <row r="6916" spans="1:8" s="139" customFormat="1" ht="13.5" customHeight="1" x14ac:dyDescent="0.35">
      <c r="A6916" s="146"/>
      <c r="B6916" s="120" t="s">
        <v>1057</v>
      </c>
      <c r="C6916" s="124"/>
      <c r="D6916" s="146"/>
      <c r="E6916" s="117"/>
      <c r="F6916" s="117">
        <f>0.1*(F6915)</f>
        <v>6380</v>
      </c>
      <c r="G6916" s="138"/>
      <c r="H6916" s="177"/>
    </row>
    <row r="6917" spans="1:8" s="139" customFormat="1" ht="13.5" customHeight="1" x14ac:dyDescent="0.35">
      <c r="A6917" s="146"/>
      <c r="B6917" s="112" t="s">
        <v>769</v>
      </c>
      <c r="C6917" s="124"/>
      <c r="D6917" s="146"/>
      <c r="E6917" s="117"/>
      <c r="F6917" s="110">
        <f>SUM(F6915:F6916)</f>
        <v>70180</v>
      </c>
      <c r="G6917" s="138"/>
      <c r="H6917" s="177"/>
    </row>
    <row r="6918" spans="1:8" s="139" customFormat="1" ht="13.5" customHeight="1" x14ac:dyDescent="0.35">
      <c r="A6918" s="146"/>
      <c r="B6918" s="112" t="s">
        <v>808</v>
      </c>
      <c r="C6918" s="124"/>
      <c r="D6918" s="146"/>
      <c r="E6918" s="117"/>
      <c r="F6918" s="117"/>
      <c r="G6918" s="138"/>
      <c r="H6918" s="177"/>
    </row>
    <row r="6919" spans="1:8" s="139" customFormat="1" ht="13.5" customHeight="1" x14ac:dyDescent="0.35">
      <c r="A6919" s="146"/>
      <c r="B6919" s="120" t="s">
        <v>787</v>
      </c>
      <c r="C6919" s="124" t="s">
        <v>1043</v>
      </c>
      <c r="D6919" s="146">
        <v>0.25</v>
      </c>
      <c r="E6919" s="117">
        <v>15000</v>
      </c>
      <c r="F6919" s="117">
        <f>+D6919*E6919</f>
        <v>3750</v>
      </c>
      <c r="G6919" s="138"/>
      <c r="H6919" s="177"/>
    </row>
    <row r="6920" spans="1:8" s="139" customFormat="1" ht="13.5" customHeight="1" x14ac:dyDescent="0.35">
      <c r="A6920" s="146"/>
      <c r="B6920" s="112" t="s">
        <v>774</v>
      </c>
      <c r="C6920" s="124"/>
      <c r="D6920" s="146"/>
      <c r="E6920" s="117"/>
      <c r="F6920" s="117">
        <f>SUM(F6919)</f>
        <v>3750</v>
      </c>
      <c r="G6920" s="138"/>
      <c r="H6920" s="177"/>
    </row>
    <row r="6921" spans="1:8" s="139" customFormat="1" ht="13.5" customHeight="1" x14ac:dyDescent="0.35">
      <c r="A6921" s="146"/>
      <c r="B6921" s="112" t="s">
        <v>775</v>
      </c>
      <c r="C6921" s="124"/>
      <c r="D6921" s="146"/>
      <c r="E6921" s="117"/>
      <c r="F6921" s="117">
        <f>+F6917+F6920</f>
        <v>73930</v>
      </c>
      <c r="G6921" s="138"/>
      <c r="H6921" s="177"/>
    </row>
    <row r="6922" spans="1:8" s="139" customFormat="1" ht="13.5" customHeight="1" x14ac:dyDescent="0.35">
      <c r="A6922" s="146"/>
      <c r="B6922" s="120" t="s">
        <v>776</v>
      </c>
      <c r="C6922" s="124"/>
      <c r="D6922" s="146">
        <v>1.25</v>
      </c>
      <c r="E6922" s="117"/>
      <c r="F6922" s="117">
        <f>+F6921*D6922</f>
        <v>92412.5</v>
      </c>
      <c r="G6922" s="138"/>
      <c r="H6922" s="177"/>
    </row>
    <row r="6923" spans="1:8" s="139" customFormat="1" ht="13.5" customHeight="1" x14ac:dyDescent="0.35">
      <c r="A6923" s="146"/>
      <c r="B6923" s="120" t="s">
        <v>835</v>
      </c>
      <c r="C6923" s="124"/>
      <c r="D6923" s="146">
        <v>1.25</v>
      </c>
      <c r="E6923" s="117"/>
      <c r="F6923" s="117"/>
      <c r="G6923" s="138"/>
      <c r="H6923" s="177"/>
    </row>
    <row r="6924" spans="1:8" s="139" customFormat="1" ht="13.5" customHeight="1" x14ac:dyDescent="0.35">
      <c r="A6924" s="233" t="s">
        <v>498</v>
      </c>
      <c r="B6924" s="207" t="s">
        <v>785</v>
      </c>
      <c r="C6924" s="233" t="s">
        <v>59</v>
      </c>
      <c r="D6924" s="340"/>
      <c r="E6924" s="209"/>
      <c r="F6924" s="209">
        <f>+D6923*F6922</f>
        <v>115515.625</v>
      </c>
      <c r="G6924" s="138"/>
      <c r="H6924" s="177"/>
    </row>
    <row r="6925" spans="1:8" s="139" customFormat="1" ht="13.5" customHeight="1" x14ac:dyDescent="0.35">
      <c r="A6925" s="340"/>
      <c r="B6925" s="207"/>
      <c r="C6925" s="208"/>
      <c r="D6925" s="340"/>
      <c r="E6925" s="210">
        <f>+E6908</f>
        <v>3035.45</v>
      </c>
      <c r="F6925" s="210">
        <f>+F6924/E6925</f>
        <v>38.055518951061622</v>
      </c>
      <c r="G6925" s="138"/>
      <c r="H6925" s="177"/>
    </row>
    <row r="6926" spans="1:8" s="139" customFormat="1" ht="13.5" customHeight="1" x14ac:dyDescent="0.35">
      <c r="A6926" s="163"/>
      <c r="B6926" s="164"/>
      <c r="C6926" s="165"/>
      <c r="E6926" s="166"/>
      <c r="F6926" s="166"/>
      <c r="G6926" s="138"/>
      <c r="H6926" s="177"/>
    </row>
    <row r="6927" spans="1:8" s="139" customFormat="1" ht="13.5" customHeight="1" x14ac:dyDescent="0.35">
      <c r="A6927" s="163"/>
      <c r="B6927" s="164"/>
      <c r="C6927" s="165"/>
      <c r="D6927" s="163"/>
      <c r="E6927" s="166"/>
      <c r="F6927" s="166"/>
      <c r="G6927" s="138"/>
      <c r="H6927" s="177"/>
    </row>
    <row r="6928" spans="1:8" s="139" customFormat="1" ht="13.5" customHeight="1" x14ac:dyDescent="0.3">
      <c r="A6928" s="341" t="s">
        <v>392</v>
      </c>
      <c r="B6928" s="331" t="s">
        <v>393</v>
      </c>
      <c r="C6928" s="332" t="s">
        <v>611</v>
      </c>
      <c r="D6928" s="333" t="s">
        <v>765</v>
      </c>
      <c r="E6928" s="334" t="s">
        <v>766</v>
      </c>
      <c r="F6928" s="334" t="s">
        <v>767</v>
      </c>
      <c r="G6928" s="138"/>
      <c r="H6928" s="177"/>
    </row>
    <row r="6929" spans="1:8" s="139" customFormat="1" ht="13.5" customHeight="1" x14ac:dyDescent="0.3">
      <c r="A6929" s="232" t="s">
        <v>495</v>
      </c>
      <c r="B6929" s="355" t="s">
        <v>517</v>
      </c>
      <c r="C6929" s="256"/>
      <c r="D6929" s="146"/>
      <c r="E6929" s="117"/>
      <c r="F6929" s="117"/>
      <c r="G6929" s="138"/>
      <c r="H6929" s="177"/>
    </row>
    <row r="6930" spans="1:8" s="139" customFormat="1" ht="13.5" customHeight="1" x14ac:dyDescent="0.35">
      <c r="A6930" s="232" t="s">
        <v>500</v>
      </c>
      <c r="B6930" s="346" t="s">
        <v>521</v>
      </c>
      <c r="C6930" s="256" t="s">
        <v>59</v>
      </c>
      <c r="D6930" s="146"/>
      <c r="E6930" s="117"/>
      <c r="F6930" s="117"/>
      <c r="G6930" s="138"/>
      <c r="H6930" s="177"/>
    </row>
    <row r="6931" spans="1:8" s="139" customFormat="1" ht="13.5" customHeight="1" x14ac:dyDescent="0.35">
      <c r="A6931" s="146"/>
      <c r="B6931" s="112" t="s">
        <v>802</v>
      </c>
      <c r="C6931" s="124"/>
      <c r="D6931" s="146"/>
      <c r="E6931" s="117"/>
      <c r="F6931" s="117"/>
      <c r="G6931" s="138"/>
      <c r="H6931" s="177"/>
    </row>
    <row r="6932" spans="1:8" s="139" customFormat="1" ht="13.5" customHeight="1" x14ac:dyDescent="0.35">
      <c r="A6932" s="146"/>
      <c r="B6932" s="361" t="s">
        <v>521</v>
      </c>
      <c r="C6932" s="124" t="s">
        <v>59</v>
      </c>
      <c r="D6932" s="146">
        <v>1</v>
      </c>
      <c r="E6932" s="117">
        <v>12010</v>
      </c>
      <c r="F6932" s="117">
        <f>D6932*E6932</f>
        <v>12010</v>
      </c>
      <c r="G6932" s="138"/>
      <c r="H6932" s="177"/>
    </row>
    <row r="6933" spans="1:8" s="139" customFormat="1" ht="13.5" customHeight="1" x14ac:dyDescent="0.35">
      <c r="A6933" s="146"/>
      <c r="B6933" s="120" t="s">
        <v>1057</v>
      </c>
      <c r="C6933" s="124"/>
      <c r="D6933" s="146"/>
      <c r="E6933" s="117"/>
      <c r="F6933" s="117">
        <f>0.1*(F6932)</f>
        <v>1201</v>
      </c>
      <c r="G6933" s="138"/>
      <c r="H6933" s="177"/>
    </row>
    <row r="6934" spans="1:8" s="139" customFormat="1" ht="13.5" customHeight="1" x14ac:dyDescent="0.35">
      <c r="A6934" s="146"/>
      <c r="B6934" s="112" t="s">
        <v>769</v>
      </c>
      <c r="C6934" s="124"/>
      <c r="D6934" s="146"/>
      <c r="E6934" s="117"/>
      <c r="F6934" s="110">
        <f>SUM(F6932:F6933)</f>
        <v>13211</v>
      </c>
      <c r="G6934" s="138"/>
      <c r="H6934" s="177"/>
    </row>
    <row r="6935" spans="1:8" s="139" customFormat="1" ht="13.5" customHeight="1" x14ac:dyDescent="0.35">
      <c r="A6935" s="146"/>
      <c r="B6935" s="112" t="s">
        <v>808</v>
      </c>
      <c r="C6935" s="124"/>
      <c r="D6935" s="146"/>
      <c r="E6935" s="117"/>
      <c r="F6935" s="117"/>
      <c r="G6935" s="138"/>
      <c r="H6935" s="177"/>
    </row>
    <row r="6936" spans="1:8" s="139" customFormat="1" ht="13.5" customHeight="1" x14ac:dyDescent="0.35">
      <c r="A6936" s="146"/>
      <c r="B6936" s="120" t="s">
        <v>787</v>
      </c>
      <c r="C6936" s="124" t="s">
        <v>1043</v>
      </c>
      <c r="D6936" s="146">
        <v>0.25</v>
      </c>
      <c r="E6936" s="117">
        <v>15000</v>
      </c>
      <c r="F6936" s="117">
        <f>+D6936*E6936</f>
        <v>3750</v>
      </c>
      <c r="G6936" s="138"/>
      <c r="H6936" s="177"/>
    </row>
    <row r="6937" spans="1:8" s="139" customFormat="1" ht="13.5" customHeight="1" x14ac:dyDescent="0.35">
      <c r="A6937" s="146"/>
      <c r="B6937" s="112" t="s">
        <v>774</v>
      </c>
      <c r="C6937" s="124"/>
      <c r="D6937" s="146"/>
      <c r="E6937" s="117"/>
      <c r="F6937" s="117">
        <f>SUM(F6936)</f>
        <v>3750</v>
      </c>
      <c r="G6937" s="138"/>
      <c r="H6937" s="177"/>
    </row>
    <row r="6938" spans="1:8" s="139" customFormat="1" ht="13.5" customHeight="1" x14ac:dyDescent="0.35">
      <c r="A6938" s="146"/>
      <c r="B6938" s="112" t="s">
        <v>775</v>
      </c>
      <c r="C6938" s="124"/>
      <c r="D6938" s="146"/>
      <c r="E6938" s="117"/>
      <c r="F6938" s="117">
        <f>+F6934+F6937</f>
        <v>16961</v>
      </c>
      <c r="G6938" s="138"/>
      <c r="H6938" s="177"/>
    </row>
    <row r="6939" spans="1:8" s="139" customFormat="1" ht="13.5" customHeight="1" x14ac:dyDescent="0.35">
      <c r="A6939" s="146"/>
      <c r="B6939" s="120" t="s">
        <v>776</v>
      </c>
      <c r="C6939" s="124"/>
      <c r="D6939" s="146">
        <v>1.25</v>
      </c>
      <c r="E6939" s="117"/>
      <c r="F6939" s="117">
        <f>+F6938*D6939</f>
        <v>21201.25</v>
      </c>
      <c r="G6939" s="138"/>
      <c r="H6939" s="177"/>
    </row>
    <row r="6940" spans="1:8" s="139" customFormat="1" ht="13.5" customHeight="1" x14ac:dyDescent="0.35">
      <c r="A6940" s="146"/>
      <c r="B6940" s="120" t="s">
        <v>835</v>
      </c>
      <c r="C6940" s="124"/>
      <c r="D6940" s="146">
        <v>1.25</v>
      </c>
      <c r="E6940" s="117"/>
      <c r="F6940" s="117"/>
      <c r="G6940" s="138"/>
      <c r="H6940" s="177"/>
    </row>
    <row r="6941" spans="1:8" s="139" customFormat="1" ht="13.5" customHeight="1" x14ac:dyDescent="0.35">
      <c r="A6941" s="233" t="s">
        <v>500</v>
      </c>
      <c r="B6941" s="207" t="s">
        <v>785</v>
      </c>
      <c r="C6941" s="233" t="s">
        <v>59</v>
      </c>
      <c r="D6941" s="340"/>
      <c r="E6941" s="209"/>
      <c r="F6941" s="209">
        <f>+D6940*F6939</f>
        <v>26501.5625</v>
      </c>
      <c r="G6941" s="138"/>
      <c r="H6941" s="177"/>
    </row>
    <row r="6942" spans="1:8" s="139" customFormat="1" ht="13.5" customHeight="1" x14ac:dyDescent="0.35">
      <c r="A6942" s="340"/>
      <c r="B6942" s="207"/>
      <c r="C6942" s="208"/>
      <c r="D6942" s="340"/>
      <c r="E6942" s="210">
        <f>+E6925</f>
        <v>3035.45</v>
      </c>
      <c r="F6942" s="210">
        <f>+F6941/E6942</f>
        <v>8.730686553888221</v>
      </c>
      <c r="G6942" s="138"/>
      <c r="H6942" s="177"/>
    </row>
    <row r="6943" spans="1:8" s="139" customFormat="1" ht="13.5" customHeight="1" x14ac:dyDescent="0.35">
      <c r="A6943" s="163"/>
      <c r="B6943" s="164"/>
      <c r="C6943" s="165"/>
      <c r="E6943" s="166"/>
      <c r="F6943" s="166"/>
      <c r="G6943" s="138"/>
      <c r="H6943" s="177"/>
    </row>
    <row r="6944" spans="1:8" s="139" customFormat="1" ht="13.5" customHeight="1" x14ac:dyDescent="0.35">
      <c r="A6944" s="183"/>
      <c r="D6944" s="163"/>
      <c r="G6944" s="138"/>
      <c r="H6944" s="177"/>
    </row>
    <row r="6945" spans="1:8" s="139" customFormat="1" ht="13.5" customHeight="1" x14ac:dyDescent="0.3">
      <c r="A6945" s="341" t="s">
        <v>392</v>
      </c>
      <c r="B6945" s="331" t="s">
        <v>393</v>
      </c>
      <c r="C6945" s="332" t="s">
        <v>611</v>
      </c>
      <c r="D6945" s="333" t="s">
        <v>765</v>
      </c>
      <c r="E6945" s="334" t="s">
        <v>766</v>
      </c>
      <c r="F6945" s="334" t="s">
        <v>767</v>
      </c>
      <c r="G6945" s="138"/>
      <c r="H6945" s="177"/>
    </row>
    <row r="6946" spans="1:8" s="139" customFormat="1" ht="13.5" customHeight="1" x14ac:dyDescent="0.3">
      <c r="A6946" s="232" t="s">
        <v>501</v>
      </c>
      <c r="B6946" s="355" t="s">
        <v>522</v>
      </c>
      <c r="C6946" s="256"/>
      <c r="D6946" s="146"/>
      <c r="E6946" s="117"/>
      <c r="F6946" s="117"/>
      <c r="G6946" s="138"/>
      <c r="H6946" s="177"/>
    </row>
    <row r="6947" spans="1:8" s="139" customFormat="1" ht="13.5" customHeight="1" x14ac:dyDescent="0.3">
      <c r="A6947" s="232" t="s">
        <v>502</v>
      </c>
      <c r="B6947" s="355" t="s">
        <v>523</v>
      </c>
      <c r="C6947" s="256" t="s">
        <v>59</v>
      </c>
      <c r="D6947" s="146"/>
      <c r="E6947" s="117"/>
      <c r="F6947" s="117"/>
      <c r="G6947" s="138"/>
      <c r="H6947" s="177"/>
    </row>
    <row r="6948" spans="1:8" s="139" customFormat="1" ht="13.5" customHeight="1" x14ac:dyDescent="0.35">
      <c r="A6948" s="146"/>
      <c r="B6948" s="112" t="s">
        <v>802</v>
      </c>
      <c r="C6948" s="124"/>
      <c r="D6948" s="146"/>
      <c r="E6948" s="117"/>
      <c r="F6948" s="117"/>
      <c r="G6948" s="138"/>
      <c r="H6948" s="177"/>
    </row>
    <row r="6949" spans="1:8" s="139" customFormat="1" ht="13.5" customHeight="1" x14ac:dyDescent="0.25">
      <c r="A6949" s="146"/>
      <c r="B6949" s="360" t="s">
        <v>523</v>
      </c>
      <c r="C6949" s="124" t="s">
        <v>59</v>
      </c>
      <c r="D6949" s="146">
        <v>1</v>
      </c>
      <c r="E6949" s="117">
        <v>10900</v>
      </c>
      <c r="F6949" s="117">
        <f>D6949*E6949</f>
        <v>10900</v>
      </c>
      <c r="G6949" s="138"/>
      <c r="H6949" s="177"/>
    </row>
    <row r="6950" spans="1:8" s="139" customFormat="1" ht="13.5" customHeight="1" x14ac:dyDescent="0.35">
      <c r="A6950" s="146"/>
      <c r="B6950" s="120" t="s">
        <v>1057</v>
      </c>
      <c r="C6950" s="124"/>
      <c r="D6950" s="146"/>
      <c r="E6950" s="117"/>
      <c r="F6950" s="117">
        <f>0.1*(F6949)</f>
        <v>1090</v>
      </c>
      <c r="G6950" s="138"/>
      <c r="H6950" s="177"/>
    </row>
    <row r="6951" spans="1:8" s="139" customFormat="1" ht="13.5" customHeight="1" x14ac:dyDescent="0.35">
      <c r="A6951" s="146"/>
      <c r="B6951" s="112" t="s">
        <v>769</v>
      </c>
      <c r="C6951" s="124"/>
      <c r="D6951" s="146"/>
      <c r="E6951" s="117"/>
      <c r="F6951" s="110">
        <f>SUM(F6949:F6950)</f>
        <v>11990</v>
      </c>
      <c r="G6951" s="138"/>
      <c r="H6951" s="177"/>
    </row>
    <row r="6952" spans="1:8" s="139" customFormat="1" ht="13.5" customHeight="1" x14ac:dyDescent="0.35">
      <c r="A6952" s="146"/>
      <c r="B6952" s="112" t="s">
        <v>808</v>
      </c>
      <c r="C6952" s="124"/>
      <c r="D6952" s="146"/>
      <c r="E6952" s="117"/>
      <c r="F6952" s="117"/>
      <c r="G6952" s="138"/>
      <c r="H6952" s="177"/>
    </row>
    <row r="6953" spans="1:8" s="139" customFormat="1" ht="13.5" customHeight="1" x14ac:dyDescent="0.35">
      <c r="A6953" s="146"/>
      <c r="B6953" s="120" t="s">
        <v>787</v>
      </c>
      <c r="C6953" s="124" t="s">
        <v>1043</v>
      </c>
      <c r="D6953" s="146">
        <v>0.25</v>
      </c>
      <c r="E6953" s="117">
        <v>16200</v>
      </c>
      <c r="F6953" s="117">
        <f>+D6953*E6953</f>
        <v>4050</v>
      </c>
      <c r="G6953" s="138"/>
      <c r="H6953" s="177"/>
    </row>
    <row r="6954" spans="1:8" s="139" customFormat="1" ht="13.5" customHeight="1" x14ac:dyDescent="0.35">
      <c r="A6954" s="146"/>
      <c r="B6954" s="112" t="s">
        <v>774</v>
      </c>
      <c r="C6954" s="124"/>
      <c r="D6954" s="146"/>
      <c r="E6954" s="117"/>
      <c r="F6954" s="117">
        <f>SUM(F6953)</f>
        <v>4050</v>
      </c>
      <c r="G6954" s="138"/>
      <c r="H6954" s="177"/>
    </row>
    <row r="6955" spans="1:8" s="139" customFormat="1" ht="13.5" customHeight="1" x14ac:dyDescent="0.35">
      <c r="A6955" s="146"/>
      <c r="B6955" s="112" t="s">
        <v>775</v>
      </c>
      <c r="C6955" s="124"/>
      <c r="D6955" s="146"/>
      <c r="E6955" s="117"/>
      <c r="F6955" s="117">
        <f>+F6951+F6954</f>
        <v>16040</v>
      </c>
      <c r="G6955" s="138"/>
      <c r="H6955" s="177"/>
    </row>
    <row r="6956" spans="1:8" s="139" customFormat="1" ht="13.5" customHeight="1" x14ac:dyDescent="0.35">
      <c r="A6956" s="146"/>
      <c r="B6956" s="120" t="s">
        <v>776</v>
      </c>
      <c r="C6956" s="124"/>
      <c r="D6956" s="146">
        <v>1.25</v>
      </c>
      <c r="E6956" s="117"/>
      <c r="F6956" s="117">
        <f>+F6955*D6956</f>
        <v>20050</v>
      </c>
      <c r="G6956" s="138"/>
      <c r="H6956" s="177"/>
    </row>
    <row r="6957" spans="1:8" s="139" customFormat="1" ht="13.5" customHeight="1" x14ac:dyDescent="0.35">
      <c r="A6957" s="146"/>
      <c r="B6957" s="120" t="s">
        <v>835</v>
      </c>
      <c r="C6957" s="124"/>
      <c r="D6957" s="146">
        <v>1.25</v>
      </c>
      <c r="E6957" s="117"/>
      <c r="F6957" s="117"/>
      <c r="G6957" s="138"/>
      <c r="H6957" s="177"/>
    </row>
    <row r="6958" spans="1:8" s="139" customFormat="1" ht="13.5" customHeight="1" x14ac:dyDescent="0.35">
      <c r="A6958" s="233" t="s">
        <v>502</v>
      </c>
      <c r="B6958" s="207" t="s">
        <v>785</v>
      </c>
      <c r="C6958" s="233" t="s">
        <v>59</v>
      </c>
      <c r="D6958" s="340"/>
      <c r="E6958" s="209"/>
      <c r="F6958" s="209">
        <f>+D6957*F6956</f>
        <v>25062.5</v>
      </c>
      <c r="G6958" s="138"/>
      <c r="H6958" s="177"/>
    </row>
    <row r="6959" spans="1:8" s="139" customFormat="1" ht="13.5" customHeight="1" x14ac:dyDescent="0.35">
      <c r="A6959" s="340"/>
      <c r="B6959" s="207"/>
      <c r="C6959" s="208"/>
      <c r="D6959" s="340"/>
      <c r="E6959" s="210">
        <f>+E6942</f>
        <v>3035.45</v>
      </c>
      <c r="F6959" s="210">
        <f>+F6958/E6959</f>
        <v>8.2566011629247722</v>
      </c>
      <c r="G6959" s="138"/>
      <c r="H6959" s="177"/>
    </row>
    <row r="6960" spans="1:8" s="139" customFormat="1" ht="13.5" customHeight="1" x14ac:dyDescent="0.35">
      <c r="A6960" s="163"/>
      <c r="B6960" s="164"/>
      <c r="C6960" s="165"/>
      <c r="E6960" s="166"/>
      <c r="F6960" s="166"/>
      <c r="G6960" s="138"/>
      <c r="H6960" s="177"/>
    </row>
    <row r="6961" spans="1:8" s="139" customFormat="1" ht="13.5" customHeight="1" x14ac:dyDescent="0.35">
      <c r="A6961" s="163"/>
      <c r="B6961" s="164"/>
      <c r="C6961" s="165"/>
      <c r="D6961" s="163"/>
      <c r="E6961" s="166"/>
      <c r="F6961" s="166"/>
      <c r="G6961" s="138"/>
      <c r="H6961" s="177"/>
    </row>
    <row r="6962" spans="1:8" s="139" customFormat="1" ht="13.5" customHeight="1" x14ac:dyDescent="0.3">
      <c r="A6962" s="341" t="s">
        <v>392</v>
      </c>
      <c r="B6962" s="331" t="s">
        <v>393</v>
      </c>
      <c r="C6962" s="332" t="s">
        <v>611</v>
      </c>
      <c r="D6962" s="333" t="s">
        <v>765</v>
      </c>
      <c r="E6962" s="334" t="s">
        <v>766</v>
      </c>
      <c r="F6962" s="334" t="s">
        <v>767</v>
      </c>
      <c r="G6962" s="138"/>
      <c r="H6962" s="177"/>
    </row>
    <row r="6963" spans="1:8" s="139" customFormat="1" ht="13.5" customHeight="1" x14ac:dyDescent="0.3">
      <c r="A6963" s="232" t="s">
        <v>501</v>
      </c>
      <c r="B6963" s="355" t="s">
        <v>522</v>
      </c>
      <c r="C6963" s="256"/>
      <c r="D6963" s="146"/>
      <c r="E6963" s="117"/>
      <c r="F6963" s="117"/>
      <c r="G6963" s="138"/>
      <c r="H6963" s="177"/>
    </row>
    <row r="6964" spans="1:8" s="139" customFormat="1" ht="13.5" customHeight="1" x14ac:dyDescent="0.3">
      <c r="A6964" s="232" t="s">
        <v>672</v>
      </c>
      <c r="B6964" s="294" t="s">
        <v>524</v>
      </c>
      <c r="C6964" s="256" t="s">
        <v>59</v>
      </c>
      <c r="D6964" s="146"/>
      <c r="E6964" s="117"/>
      <c r="F6964" s="117"/>
      <c r="G6964" s="138"/>
      <c r="H6964" s="177"/>
    </row>
    <row r="6965" spans="1:8" s="139" customFormat="1" ht="13.5" customHeight="1" x14ac:dyDescent="0.35">
      <c r="A6965" s="146"/>
      <c r="B6965" s="112" t="s">
        <v>802</v>
      </c>
      <c r="C6965" s="124"/>
      <c r="D6965" s="146"/>
      <c r="E6965" s="117"/>
      <c r="F6965" s="117"/>
      <c r="G6965" s="138"/>
      <c r="H6965" s="177"/>
    </row>
    <row r="6966" spans="1:8" s="139" customFormat="1" ht="13.5" customHeight="1" x14ac:dyDescent="0.25">
      <c r="A6966" s="146"/>
      <c r="B6966" s="360" t="s">
        <v>523</v>
      </c>
      <c r="C6966" s="124" t="s">
        <v>59</v>
      </c>
      <c r="D6966" s="146">
        <v>1</v>
      </c>
      <c r="E6966" s="117">
        <v>65000</v>
      </c>
      <c r="F6966" s="117">
        <f>D6966*E6966</f>
        <v>65000</v>
      </c>
      <c r="G6966" s="138"/>
      <c r="H6966" s="177"/>
    </row>
    <row r="6967" spans="1:8" s="139" customFormat="1" ht="13.5" customHeight="1" x14ac:dyDescent="0.35">
      <c r="A6967" s="146"/>
      <c r="B6967" s="120" t="s">
        <v>1057</v>
      </c>
      <c r="C6967" s="124"/>
      <c r="D6967" s="146"/>
      <c r="E6967" s="117"/>
      <c r="F6967" s="117">
        <f>0.1*(F6966)</f>
        <v>6500</v>
      </c>
      <c r="G6967" s="138"/>
      <c r="H6967" s="177"/>
    </row>
    <row r="6968" spans="1:8" s="139" customFormat="1" ht="13.5" customHeight="1" x14ac:dyDescent="0.35">
      <c r="A6968" s="146"/>
      <c r="B6968" s="112" t="s">
        <v>769</v>
      </c>
      <c r="C6968" s="124"/>
      <c r="D6968" s="146"/>
      <c r="E6968" s="117"/>
      <c r="F6968" s="110">
        <f>SUM(F6966:F6967)</f>
        <v>71500</v>
      </c>
      <c r="G6968" s="138"/>
      <c r="H6968" s="177"/>
    </row>
    <row r="6969" spans="1:8" s="139" customFormat="1" ht="13.5" customHeight="1" x14ac:dyDescent="0.35">
      <c r="A6969" s="146"/>
      <c r="B6969" s="112" t="s">
        <v>808</v>
      </c>
      <c r="C6969" s="124"/>
      <c r="D6969" s="146"/>
      <c r="E6969" s="117"/>
      <c r="F6969" s="117"/>
      <c r="G6969" s="138"/>
      <c r="H6969" s="177"/>
    </row>
    <row r="6970" spans="1:8" s="139" customFormat="1" ht="13.5" customHeight="1" x14ac:dyDescent="0.35">
      <c r="A6970" s="146"/>
      <c r="B6970" s="120" t="s">
        <v>787</v>
      </c>
      <c r="C6970" s="124" t="s">
        <v>1043</v>
      </c>
      <c r="D6970" s="146">
        <v>0.25</v>
      </c>
      <c r="E6970" s="117">
        <v>16200</v>
      </c>
      <c r="F6970" s="117">
        <f>+D6970*E6970</f>
        <v>4050</v>
      </c>
      <c r="G6970" s="138"/>
      <c r="H6970" s="177"/>
    </row>
    <row r="6971" spans="1:8" s="139" customFormat="1" ht="13.5" customHeight="1" x14ac:dyDescent="0.35">
      <c r="A6971" s="146"/>
      <c r="B6971" s="112" t="s">
        <v>774</v>
      </c>
      <c r="C6971" s="124"/>
      <c r="D6971" s="146"/>
      <c r="E6971" s="117"/>
      <c r="F6971" s="117">
        <f>SUM(F6970)</f>
        <v>4050</v>
      </c>
      <c r="G6971" s="138"/>
      <c r="H6971" s="177"/>
    </row>
    <row r="6972" spans="1:8" s="139" customFormat="1" ht="13.5" customHeight="1" x14ac:dyDescent="0.35">
      <c r="A6972" s="146"/>
      <c r="B6972" s="112" t="s">
        <v>775</v>
      </c>
      <c r="C6972" s="124"/>
      <c r="D6972" s="146"/>
      <c r="E6972" s="117"/>
      <c r="F6972" s="117">
        <f>+F6968+F6971</f>
        <v>75550</v>
      </c>
      <c r="G6972" s="138"/>
      <c r="H6972" s="177"/>
    </row>
    <row r="6973" spans="1:8" s="139" customFormat="1" ht="13.5" customHeight="1" x14ac:dyDescent="0.35">
      <c r="A6973" s="146"/>
      <c r="B6973" s="120" t="s">
        <v>776</v>
      </c>
      <c r="C6973" s="124"/>
      <c r="D6973" s="146">
        <v>1.25</v>
      </c>
      <c r="E6973" s="117"/>
      <c r="F6973" s="117">
        <f>+F6972*D6973</f>
        <v>94437.5</v>
      </c>
      <c r="G6973" s="138"/>
      <c r="H6973" s="177"/>
    </row>
    <row r="6974" spans="1:8" s="139" customFormat="1" ht="13.5" customHeight="1" x14ac:dyDescent="0.35">
      <c r="A6974" s="146"/>
      <c r="B6974" s="120" t="s">
        <v>835</v>
      </c>
      <c r="C6974" s="124"/>
      <c r="D6974" s="146">
        <v>1.25</v>
      </c>
      <c r="E6974" s="117"/>
      <c r="F6974" s="117"/>
      <c r="G6974" s="138"/>
      <c r="H6974" s="177"/>
    </row>
    <row r="6975" spans="1:8" s="139" customFormat="1" ht="13.5" customHeight="1" x14ac:dyDescent="0.35">
      <c r="A6975" s="233" t="s">
        <v>672</v>
      </c>
      <c r="B6975" s="207" t="s">
        <v>785</v>
      </c>
      <c r="C6975" s="233" t="s">
        <v>59</v>
      </c>
      <c r="D6975" s="340"/>
      <c r="E6975" s="209"/>
      <c r="F6975" s="209">
        <f>+D6974*F6973</f>
        <v>118046.875</v>
      </c>
      <c r="G6975" s="138"/>
      <c r="H6975" s="177"/>
    </row>
    <row r="6976" spans="1:8" s="139" customFormat="1" ht="13.5" customHeight="1" x14ac:dyDescent="0.35">
      <c r="A6976" s="340"/>
      <c r="B6976" s="207"/>
      <c r="C6976" s="208"/>
      <c r="D6976" s="340"/>
      <c r="E6976" s="210">
        <f>+E6959</f>
        <v>3035.45</v>
      </c>
      <c r="F6976" s="210">
        <f>+F6975/E6976</f>
        <v>38.889415078489186</v>
      </c>
      <c r="G6976" s="138"/>
      <c r="H6976" s="177"/>
    </row>
    <row r="6977" spans="1:8" s="139" customFormat="1" ht="13.5" customHeight="1" x14ac:dyDescent="0.35">
      <c r="A6977" s="163"/>
      <c r="B6977" s="164"/>
      <c r="C6977" s="165"/>
      <c r="E6977" s="166"/>
      <c r="F6977" s="166"/>
      <c r="G6977" s="138"/>
      <c r="H6977" s="177"/>
    </row>
    <row r="6978" spans="1:8" s="139" customFormat="1" ht="13.5" customHeight="1" x14ac:dyDescent="0.35">
      <c r="A6978" s="163"/>
      <c r="B6978" s="164"/>
      <c r="C6978" s="165"/>
      <c r="D6978" s="163"/>
      <c r="E6978" s="166"/>
      <c r="F6978" s="166"/>
      <c r="G6978" s="138"/>
      <c r="H6978" s="177"/>
    </row>
    <row r="6979" spans="1:8" s="139" customFormat="1" ht="13.5" customHeight="1" x14ac:dyDescent="0.3">
      <c r="A6979" s="341" t="s">
        <v>392</v>
      </c>
      <c r="B6979" s="331" t="s">
        <v>393</v>
      </c>
      <c r="C6979" s="332" t="s">
        <v>611</v>
      </c>
      <c r="D6979" s="333" t="s">
        <v>765</v>
      </c>
      <c r="E6979" s="334" t="s">
        <v>766</v>
      </c>
      <c r="F6979" s="334" t="s">
        <v>767</v>
      </c>
      <c r="G6979" s="138"/>
      <c r="H6979" s="177"/>
    </row>
    <row r="6980" spans="1:8" s="139" customFormat="1" ht="13.5" customHeight="1" x14ac:dyDescent="0.3">
      <c r="A6980" s="232" t="s">
        <v>501</v>
      </c>
      <c r="B6980" s="355" t="s">
        <v>522</v>
      </c>
      <c r="C6980" s="256"/>
      <c r="D6980" s="146"/>
      <c r="E6980" s="117"/>
      <c r="F6980" s="117"/>
      <c r="G6980" s="138"/>
      <c r="H6980" s="177"/>
    </row>
    <row r="6981" spans="1:8" s="139" customFormat="1" ht="13.5" customHeight="1" x14ac:dyDescent="0.3">
      <c r="A6981" s="232" t="s">
        <v>673</v>
      </c>
      <c r="B6981" s="294" t="s">
        <v>525</v>
      </c>
      <c r="C6981" s="256" t="s">
        <v>59</v>
      </c>
      <c r="D6981" s="146"/>
      <c r="E6981" s="117"/>
      <c r="F6981" s="117"/>
      <c r="G6981" s="138"/>
      <c r="H6981" s="177"/>
    </row>
    <row r="6982" spans="1:8" s="139" customFormat="1" ht="13.5" customHeight="1" x14ac:dyDescent="0.35">
      <c r="A6982" s="146"/>
      <c r="B6982" s="112" t="s">
        <v>802</v>
      </c>
      <c r="C6982" s="124"/>
      <c r="D6982" s="146"/>
      <c r="E6982" s="117"/>
      <c r="F6982" s="117"/>
      <c r="G6982" s="138"/>
      <c r="H6982" s="177"/>
    </row>
    <row r="6983" spans="1:8" s="139" customFormat="1" ht="13.5" customHeight="1" x14ac:dyDescent="0.25">
      <c r="A6983" s="146"/>
      <c r="B6983" s="362" t="s">
        <v>525</v>
      </c>
      <c r="C6983" s="124" t="s">
        <v>59</v>
      </c>
      <c r="D6983" s="146">
        <v>1</v>
      </c>
      <c r="E6983" s="117">
        <v>23550</v>
      </c>
      <c r="F6983" s="117">
        <f>D6983*E6983</f>
        <v>23550</v>
      </c>
      <c r="G6983" s="138"/>
      <c r="H6983" s="177"/>
    </row>
    <row r="6984" spans="1:8" s="139" customFormat="1" ht="13.5" customHeight="1" x14ac:dyDescent="0.35">
      <c r="A6984" s="146"/>
      <c r="B6984" s="120" t="s">
        <v>1057</v>
      </c>
      <c r="C6984" s="124"/>
      <c r="D6984" s="146"/>
      <c r="E6984" s="117"/>
      <c r="F6984" s="117">
        <f>0.1*(F6983)</f>
        <v>2355</v>
      </c>
      <c r="G6984" s="138"/>
      <c r="H6984" s="177"/>
    </row>
    <row r="6985" spans="1:8" s="139" customFormat="1" ht="13.5" customHeight="1" x14ac:dyDescent="0.35">
      <c r="A6985" s="146"/>
      <c r="B6985" s="112" t="s">
        <v>769</v>
      </c>
      <c r="C6985" s="124"/>
      <c r="D6985" s="146"/>
      <c r="E6985" s="117"/>
      <c r="F6985" s="110">
        <f>SUM(F6983:F6984)</f>
        <v>25905</v>
      </c>
      <c r="G6985" s="138"/>
      <c r="H6985" s="177"/>
    </row>
    <row r="6986" spans="1:8" s="139" customFormat="1" ht="13.5" customHeight="1" x14ac:dyDescent="0.35">
      <c r="A6986" s="146"/>
      <c r="B6986" s="112" t="s">
        <v>808</v>
      </c>
      <c r="C6986" s="124"/>
      <c r="D6986" s="146"/>
      <c r="E6986" s="117"/>
      <c r="F6986" s="117"/>
      <c r="G6986" s="138"/>
      <c r="H6986" s="177"/>
    </row>
    <row r="6987" spans="1:8" s="139" customFormat="1" ht="13.5" customHeight="1" x14ac:dyDescent="0.35">
      <c r="A6987" s="146"/>
      <c r="B6987" s="120" t="s">
        <v>787</v>
      </c>
      <c r="C6987" s="124" t="s">
        <v>1043</v>
      </c>
      <c r="D6987" s="146">
        <v>0.25</v>
      </c>
      <c r="E6987" s="117">
        <v>16200</v>
      </c>
      <c r="F6987" s="117">
        <f>+D6987*E6987</f>
        <v>4050</v>
      </c>
      <c r="G6987" s="138"/>
      <c r="H6987" s="177"/>
    </row>
    <row r="6988" spans="1:8" s="139" customFormat="1" ht="13.5" customHeight="1" x14ac:dyDescent="0.35">
      <c r="A6988" s="146"/>
      <c r="B6988" s="112" t="s">
        <v>774</v>
      </c>
      <c r="C6988" s="124"/>
      <c r="D6988" s="146"/>
      <c r="E6988" s="117"/>
      <c r="F6988" s="117">
        <f>SUM(F6987)</f>
        <v>4050</v>
      </c>
      <c r="G6988" s="138"/>
      <c r="H6988" s="177"/>
    </row>
    <row r="6989" spans="1:8" s="139" customFormat="1" ht="13.5" customHeight="1" x14ac:dyDescent="0.35">
      <c r="A6989" s="146"/>
      <c r="B6989" s="112" t="s">
        <v>775</v>
      </c>
      <c r="C6989" s="124"/>
      <c r="D6989" s="146"/>
      <c r="E6989" s="117"/>
      <c r="F6989" s="117">
        <f>+F6985+F6988</f>
        <v>29955</v>
      </c>
      <c r="G6989" s="138"/>
      <c r="H6989" s="177"/>
    </row>
    <row r="6990" spans="1:8" s="139" customFormat="1" ht="13.5" customHeight="1" x14ac:dyDescent="0.35">
      <c r="A6990" s="146"/>
      <c r="B6990" s="120" t="s">
        <v>776</v>
      </c>
      <c r="C6990" s="124"/>
      <c r="D6990" s="146">
        <v>1.25</v>
      </c>
      <c r="E6990" s="117"/>
      <c r="F6990" s="117">
        <f>+F6989*D6990</f>
        <v>37443.75</v>
      </c>
      <c r="G6990" s="138"/>
      <c r="H6990" s="177"/>
    </row>
    <row r="6991" spans="1:8" s="139" customFormat="1" ht="13.5" customHeight="1" x14ac:dyDescent="0.35">
      <c r="A6991" s="146"/>
      <c r="B6991" s="120" t="s">
        <v>835</v>
      </c>
      <c r="C6991" s="124"/>
      <c r="D6991" s="146">
        <v>1.25</v>
      </c>
      <c r="E6991" s="117"/>
      <c r="F6991" s="117"/>
      <c r="G6991" s="138"/>
      <c r="H6991" s="177"/>
    </row>
    <row r="6992" spans="1:8" s="139" customFormat="1" ht="13.5" customHeight="1" x14ac:dyDescent="0.35">
      <c r="A6992" s="233" t="s">
        <v>673</v>
      </c>
      <c r="B6992" s="207" t="s">
        <v>785</v>
      </c>
      <c r="C6992" s="233" t="s">
        <v>59</v>
      </c>
      <c r="D6992" s="340"/>
      <c r="E6992" s="209"/>
      <c r="F6992" s="209">
        <f>+D6991*F6990</f>
        <v>46804.6875</v>
      </c>
      <c r="G6992" s="138"/>
      <c r="H6992" s="177"/>
    </row>
    <row r="6993" spans="1:8" s="139" customFormat="1" ht="13.5" customHeight="1" x14ac:dyDescent="0.35">
      <c r="A6993" s="340"/>
      <c r="B6993" s="207"/>
      <c r="C6993" s="208"/>
      <c r="D6993" s="340"/>
      <c r="E6993" s="210">
        <f>+E6976</f>
        <v>3035.45</v>
      </c>
      <c r="F6993" s="210">
        <f>+F6992/E6993</f>
        <v>15.419357096970796</v>
      </c>
      <c r="G6993" s="138"/>
      <c r="H6993" s="177"/>
    </row>
    <row r="6994" spans="1:8" s="139" customFormat="1" ht="13.5" customHeight="1" x14ac:dyDescent="0.35">
      <c r="A6994" s="163"/>
      <c r="B6994" s="164"/>
      <c r="C6994" s="165"/>
      <c r="E6994" s="166"/>
      <c r="F6994" s="166"/>
      <c r="G6994" s="138"/>
      <c r="H6994" s="177"/>
    </row>
    <row r="6995" spans="1:8" s="139" customFormat="1" ht="13.5" customHeight="1" x14ac:dyDescent="0.35">
      <c r="A6995" s="163"/>
      <c r="B6995" s="164"/>
      <c r="C6995" s="165"/>
      <c r="D6995" s="163"/>
      <c r="E6995" s="166"/>
      <c r="F6995" s="166"/>
      <c r="G6995" s="138"/>
      <c r="H6995" s="177"/>
    </row>
    <row r="6996" spans="1:8" s="139" customFormat="1" ht="13.5" customHeight="1" x14ac:dyDescent="0.3">
      <c r="A6996" s="341" t="s">
        <v>392</v>
      </c>
      <c r="B6996" s="331" t="s">
        <v>393</v>
      </c>
      <c r="C6996" s="332" t="s">
        <v>611</v>
      </c>
      <c r="D6996" s="333" t="s">
        <v>765</v>
      </c>
      <c r="E6996" s="334" t="s">
        <v>766</v>
      </c>
      <c r="F6996" s="334" t="s">
        <v>767</v>
      </c>
      <c r="G6996" s="138"/>
      <c r="H6996" s="177"/>
    </row>
    <row r="6997" spans="1:8" s="139" customFormat="1" ht="13.5" customHeight="1" x14ac:dyDescent="0.3">
      <c r="A6997" s="232" t="s">
        <v>501</v>
      </c>
      <c r="B6997" s="355" t="s">
        <v>522</v>
      </c>
      <c r="C6997" s="256"/>
      <c r="D6997" s="146"/>
      <c r="E6997" s="117"/>
      <c r="F6997" s="117"/>
      <c r="G6997" s="138"/>
      <c r="H6997" s="177"/>
    </row>
    <row r="6998" spans="1:8" s="139" customFormat="1" ht="13.5" customHeight="1" x14ac:dyDescent="0.3">
      <c r="A6998" s="232" t="s">
        <v>674</v>
      </c>
      <c r="B6998" s="294" t="s">
        <v>526</v>
      </c>
      <c r="C6998" s="256" t="s">
        <v>59</v>
      </c>
      <c r="D6998" s="146"/>
      <c r="E6998" s="117"/>
      <c r="F6998" s="117"/>
      <c r="G6998" s="138"/>
      <c r="H6998" s="177"/>
    </row>
    <row r="6999" spans="1:8" s="139" customFormat="1" ht="13.5" customHeight="1" x14ac:dyDescent="0.35">
      <c r="A6999" s="146"/>
      <c r="B6999" s="112" t="s">
        <v>802</v>
      </c>
      <c r="C6999" s="124"/>
      <c r="D6999" s="146"/>
      <c r="E6999" s="117"/>
      <c r="F6999" s="117"/>
      <c r="G6999" s="138"/>
      <c r="H6999" s="177"/>
    </row>
    <row r="7000" spans="1:8" s="139" customFormat="1" ht="13.5" customHeight="1" x14ac:dyDescent="0.25">
      <c r="A7000" s="146"/>
      <c r="B7000" s="362" t="s">
        <v>526</v>
      </c>
      <c r="C7000" s="124" t="s">
        <v>59</v>
      </c>
      <c r="D7000" s="146">
        <v>1</v>
      </c>
      <c r="E7000" s="117">
        <v>182500</v>
      </c>
      <c r="F7000" s="117">
        <f>D7000*E7000</f>
        <v>182500</v>
      </c>
      <c r="G7000" s="138"/>
      <c r="H7000" s="177"/>
    </row>
    <row r="7001" spans="1:8" s="139" customFormat="1" ht="13.5" customHeight="1" x14ac:dyDescent="0.35">
      <c r="A7001" s="146"/>
      <c r="B7001" s="120" t="s">
        <v>1057</v>
      </c>
      <c r="C7001" s="124"/>
      <c r="D7001" s="146"/>
      <c r="E7001" s="117"/>
      <c r="F7001" s="117">
        <f>0.1*(F7000)</f>
        <v>18250</v>
      </c>
      <c r="G7001" s="138"/>
      <c r="H7001" s="177"/>
    </row>
    <row r="7002" spans="1:8" s="139" customFormat="1" ht="13.5" customHeight="1" x14ac:dyDescent="0.35">
      <c r="A7002" s="146"/>
      <c r="B7002" s="112" t="s">
        <v>769</v>
      </c>
      <c r="C7002" s="124"/>
      <c r="D7002" s="146"/>
      <c r="E7002" s="117"/>
      <c r="F7002" s="110">
        <f>SUM(F7000:F7001)</f>
        <v>200750</v>
      </c>
      <c r="G7002" s="138"/>
      <c r="H7002" s="177"/>
    </row>
    <row r="7003" spans="1:8" s="139" customFormat="1" ht="13.5" customHeight="1" x14ac:dyDescent="0.35">
      <c r="A7003" s="146"/>
      <c r="B7003" s="112" t="s">
        <v>808</v>
      </c>
      <c r="C7003" s="124"/>
      <c r="D7003" s="146"/>
      <c r="E7003" s="117"/>
      <c r="F7003" s="117"/>
      <c r="G7003" s="138"/>
      <c r="H7003" s="177"/>
    </row>
    <row r="7004" spans="1:8" s="139" customFormat="1" ht="13.5" customHeight="1" x14ac:dyDescent="0.35">
      <c r="A7004" s="146"/>
      <c r="B7004" s="120" t="s">
        <v>787</v>
      </c>
      <c r="C7004" s="124" t="s">
        <v>1043</v>
      </c>
      <c r="D7004" s="146">
        <v>0.25</v>
      </c>
      <c r="E7004" s="117">
        <v>16200</v>
      </c>
      <c r="F7004" s="117">
        <f>+D7004*E7004</f>
        <v>4050</v>
      </c>
      <c r="G7004" s="138"/>
      <c r="H7004" s="177"/>
    </row>
    <row r="7005" spans="1:8" s="139" customFormat="1" ht="13.5" customHeight="1" x14ac:dyDescent="0.35">
      <c r="A7005" s="146"/>
      <c r="B7005" s="112" t="s">
        <v>774</v>
      </c>
      <c r="C7005" s="124"/>
      <c r="D7005" s="146"/>
      <c r="E7005" s="117"/>
      <c r="F7005" s="117">
        <f>SUM(F7004)</f>
        <v>4050</v>
      </c>
      <c r="G7005" s="138"/>
      <c r="H7005" s="177"/>
    </row>
    <row r="7006" spans="1:8" s="139" customFormat="1" ht="13.5" customHeight="1" x14ac:dyDescent="0.35">
      <c r="A7006" s="146"/>
      <c r="B7006" s="112" t="s">
        <v>775</v>
      </c>
      <c r="C7006" s="124"/>
      <c r="D7006" s="146"/>
      <c r="E7006" s="117"/>
      <c r="F7006" s="117">
        <f>+F7002+F7005</f>
        <v>204800</v>
      </c>
      <c r="G7006" s="138"/>
      <c r="H7006" s="177"/>
    </row>
    <row r="7007" spans="1:8" s="139" customFormat="1" ht="13.5" customHeight="1" x14ac:dyDescent="0.35">
      <c r="A7007" s="146"/>
      <c r="B7007" s="120" t="s">
        <v>776</v>
      </c>
      <c r="C7007" s="124"/>
      <c r="D7007" s="146">
        <v>1.25</v>
      </c>
      <c r="E7007" s="117"/>
      <c r="F7007" s="117">
        <f>+F7006*D7007</f>
        <v>256000</v>
      </c>
      <c r="G7007" s="138"/>
      <c r="H7007" s="177"/>
    </row>
    <row r="7008" spans="1:8" s="139" customFormat="1" ht="13.5" customHeight="1" x14ac:dyDescent="0.35">
      <c r="A7008" s="146"/>
      <c r="B7008" s="120" t="s">
        <v>835</v>
      </c>
      <c r="C7008" s="124"/>
      <c r="D7008" s="146">
        <v>1.25</v>
      </c>
      <c r="E7008" s="117"/>
      <c r="F7008" s="117"/>
      <c r="G7008" s="138"/>
      <c r="H7008" s="177"/>
    </row>
    <row r="7009" spans="1:8" s="139" customFormat="1" ht="13.5" customHeight="1" x14ac:dyDescent="0.35">
      <c r="A7009" s="233" t="s">
        <v>674</v>
      </c>
      <c r="B7009" s="207" t="s">
        <v>785</v>
      </c>
      <c r="C7009" s="233" t="s">
        <v>59</v>
      </c>
      <c r="D7009" s="340"/>
      <c r="E7009" s="209"/>
      <c r="F7009" s="209">
        <f>+D7008*F7007</f>
        <v>320000</v>
      </c>
      <c r="G7009" s="138"/>
      <c r="H7009" s="177"/>
    </row>
    <row r="7010" spans="1:8" s="139" customFormat="1" ht="13.5" customHeight="1" x14ac:dyDescent="0.35">
      <c r="A7010" s="340"/>
      <c r="B7010" s="207"/>
      <c r="C7010" s="208"/>
      <c r="D7010" s="340"/>
      <c r="E7010" s="210">
        <f>+E6993</f>
        <v>3035.45</v>
      </c>
      <c r="F7010" s="210">
        <f>+F7009/E7010</f>
        <v>105.4209425291143</v>
      </c>
      <c r="G7010" s="138"/>
      <c r="H7010" s="177"/>
    </row>
    <row r="7011" spans="1:8" s="139" customFormat="1" ht="13.5" customHeight="1" x14ac:dyDescent="0.35">
      <c r="A7011" s="163"/>
      <c r="B7011" s="164"/>
      <c r="C7011" s="165"/>
      <c r="E7011" s="166"/>
      <c r="F7011" s="166"/>
      <c r="G7011" s="138"/>
      <c r="H7011" s="177"/>
    </row>
    <row r="7012" spans="1:8" s="139" customFormat="1" ht="13.5" customHeight="1" x14ac:dyDescent="0.35">
      <c r="A7012" s="163"/>
      <c r="B7012" s="164"/>
      <c r="C7012" s="165"/>
      <c r="D7012" s="163"/>
      <c r="E7012" s="166"/>
      <c r="F7012" s="166"/>
      <c r="G7012" s="138"/>
      <c r="H7012" s="177"/>
    </row>
    <row r="7013" spans="1:8" s="139" customFormat="1" ht="13.5" customHeight="1" x14ac:dyDescent="0.3">
      <c r="A7013" s="341" t="s">
        <v>392</v>
      </c>
      <c r="B7013" s="331" t="s">
        <v>393</v>
      </c>
      <c r="C7013" s="332" t="s">
        <v>611</v>
      </c>
      <c r="D7013" s="333" t="s">
        <v>765</v>
      </c>
      <c r="E7013" s="334" t="s">
        <v>766</v>
      </c>
      <c r="F7013" s="334" t="s">
        <v>767</v>
      </c>
      <c r="G7013" s="138"/>
      <c r="H7013" s="177"/>
    </row>
    <row r="7014" spans="1:8" s="139" customFormat="1" ht="13.5" customHeight="1" x14ac:dyDescent="0.3">
      <c r="A7014" s="232" t="s">
        <v>503</v>
      </c>
      <c r="B7014" s="363" t="s">
        <v>527</v>
      </c>
      <c r="C7014" s="256"/>
      <c r="D7014" s="146"/>
      <c r="E7014" s="117"/>
      <c r="F7014" s="117"/>
      <c r="G7014" s="138"/>
      <c r="H7014" s="177"/>
    </row>
    <row r="7015" spans="1:8" s="139" customFormat="1" ht="13.5" customHeight="1" x14ac:dyDescent="0.3">
      <c r="A7015" s="232" t="s">
        <v>504</v>
      </c>
      <c r="B7015" s="355" t="s">
        <v>528</v>
      </c>
      <c r="C7015" s="256" t="s">
        <v>59</v>
      </c>
      <c r="D7015" s="146"/>
      <c r="E7015" s="117"/>
      <c r="F7015" s="117"/>
      <c r="G7015" s="138"/>
      <c r="H7015" s="177"/>
    </row>
    <row r="7016" spans="1:8" s="139" customFormat="1" ht="13.5" customHeight="1" x14ac:dyDescent="0.35">
      <c r="A7016" s="146"/>
      <c r="B7016" s="112" t="s">
        <v>802</v>
      </c>
      <c r="C7016" s="124"/>
      <c r="D7016" s="146"/>
      <c r="E7016" s="117"/>
      <c r="F7016" s="117"/>
      <c r="G7016" s="138"/>
      <c r="H7016" s="177"/>
    </row>
    <row r="7017" spans="1:8" s="139" customFormat="1" ht="13.5" customHeight="1" x14ac:dyDescent="0.25">
      <c r="A7017" s="146"/>
      <c r="B7017" s="360" t="s">
        <v>528</v>
      </c>
      <c r="C7017" s="124" t="s">
        <v>59</v>
      </c>
      <c r="D7017" s="146">
        <v>1</v>
      </c>
      <c r="E7017" s="117">
        <v>146430</v>
      </c>
      <c r="F7017" s="117">
        <f>D7017*E7017</f>
        <v>146430</v>
      </c>
      <c r="G7017" s="138"/>
      <c r="H7017" s="177"/>
    </row>
    <row r="7018" spans="1:8" s="139" customFormat="1" ht="13.5" customHeight="1" x14ac:dyDescent="0.35">
      <c r="A7018" s="146"/>
      <c r="B7018" s="120" t="s">
        <v>1057</v>
      </c>
      <c r="C7018" s="124"/>
      <c r="D7018" s="146"/>
      <c r="E7018" s="117"/>
      <c r="F7018" s="117">
        <f>0.1*(F7017)</f>
        <v>14643</v>
      </c>
      <c r="G7018" s="138"/>
      <c r="H7018" s="177"/>
    </row>
    <row r="7019" spans="1:8" s="139" customFormat="1" ht="13.5" customHeight="1" x14ac:dyDescent="0.35">
      <c r="A7019" s="146"/>
      <c r="B7019" s="112" t="s">
        <v>769</v>
      </c>
      <c r="C7019" s="124"/>
      <c r="D7019" s="146"/>
      <c r="E7019" s="117"/>
      <c r="F7019" s="110">
        <f>SUM(F7017:F7018)</f>
        <v>161073</v>
      </c>
      <c r="G7019" s="138"/>
      <c r="H7019" s="177"/>
    </row>
    <row r="7020" spans="1:8" s="139" customFormat="1" ht="13.5" customHeight="1" x14ac:dyDescent="0.35">
      <c r="A7020" s="146"/>
      <c r="B7020" s="112" t="s">
        <v>808</v>
      </c>
      <c r="C7020" s="124"/>
      <c r="D7020" s="146"/>
      <c r="E7020" s="117"/>
      <c r="F7020" s="117"/>
      <c r="G7020" s="138"/>
      <c r="H7020" s="177"/>
    </row>
    <row r="7021" spans="1:8" s="139" customFormat="1" ht="13.5" customHeight="1" x14ac:dyDescent="0.35">
      <c r="A7021" s="146"/>
      <c r="B7021" s="120" t="s">
        <v>787</v>
      </c>
      <c r="C7021" s="124" t="s">
        <v>1043</v>
      </c>
      <c r="D7021" s="146">
        <v>0.25</v>
      </c>
      <c r="E7021" s="117">
        <v>16200</v>
      </c>
      <c r="F7021" s="117">
        <f>+D7021*E7021</f>
        <v>4050</v>
      </c>
      <c r="G7021" s="138"/>
      <c r="H7021" s="177"/>
    </row>
    <row r="7022" spans="1:8" s="139" customFormat="1" ht="13.5" customHeight="1" x14ac:dyDescent="0.35">
      <c r="A7022" s="146"/>
      <c r="B7022" s="112" t="s">
        <v>774</v>
      </c>
      <c r="C7022" s="124"/>
      <c r="D7022" s="146"/>
      <c r="E7022" s="117"/>
      <c r="F7022" s="117">
        <f>SUM(F7021)</f>
        <v>4050</v>
      </c>
      <c r="G7022" s="138"/>
      <c r="H7022" s="177"/>
    </row>
    <row r="7023" spans="1:8" s="139" customFormat="1" ht="13.5" customHeight="1" x14ac:dyDescent="0.35">
      <c r="A7023" s="146"/>
      <c r="B7023" s="112" t="s">
        <v>775</v>
      </c>
      <c r="C7023" s="124"/>
      <c r="D7023" s="146"/>
      <c r="E7023" s="117"/>
      <c r="F7023" s="117">
        <f>+F7019+F7022</f>
        <v>165123</v>
      </c>
      <c r="G7023" s="138"/>
      <c r="H7023" s="177"/>
    </row>
    <row r="7024" spans="1:8" s="139" customFormat="1" ht="13.5" customHeight="1" x14ac:dyDescent="0.35">
      <c r="A7024" s="146"/>
      <c r="B7024" s="120" t="s">
        <v>776</v>
      </c>
      <c r="C7024" s="124"/>
      <c r="D7024" s="146">
        <v>1.25</v>
      </c>
      <c r="E7024" s="117"/>
      <c r="F7024" s="117">
        <f>+F7023*D7024</f>
        <v>206403.75</v>
      </c>
      <c r="G7024" s="138"/>
      <c r="H7024" s="177"/>
    </row>
    <row r="7025" spans="1:8" s="139" customFormat="1" ht="13.5" customHeight="1" x14ac:dyDescent="0.35">
      <c r="A7025" s="146"/>
      <c r="B7025" s="120" t="s">
        <v>835</v>
      </c>
      <c r="C7025" s="124"/>
      <c r="D7025" s="146">
        <v>1.25</v>
      </c>
      <c r="E7025" s="117"/>
      <c r="F7025" s="117"/>
      <c r="G7025" s="138"/>
      <c r="H7025" s="177"/>
    </row>
    <row r="7026" spans="1:8" s="139" customFormat="1" ht="13.5" customHeight="1" x14ac:dyDescent="0.35">
      <c r="A7026" s="233" t="s">
        <v>504</v>
      </c>
      <c r="B7026" s="207" t="s">
        <v>785</v>
      </c>
      <c r="C7026" s="233" t="s">
        <v>59</v>
      </c>
      <c r="D7026" s="340"/>
      <c r="E7026" s="209"/>
      <c r="F7026" s="209">
        <f>+D7025*F7024</f>
        <v>258004.6875</v>
      </c>
      <c r="G7026" s="138"/>
      <c r="H7026" s="177"/>
    </row>
    <row r="7027" spans="1:8" s="139" customFormat="1" ht="13.5" customHeight="1" x14ac:dyDescent="0.35">
      <c r="A7027" s="340"/>
      <c r="B7027" s="207"/>
      <c r="C7027" s="208"/>
      <c r="D7027" s="340"/>
      <c r="E7027" s="210">
        <f>+E7010</f>
        <v>3035.45</v>
      </c>
      <c r="F7027" s="210">
        <f>+F7026/E7027</f>
        <v>84.997179166186243</v>
      </c>
      <c r="G7027" s="138"/>
      <c r="H7027" s="177"/>
    </row>
    <row r="7028" spans="1:8" s="139" customFormat="1" ht="13.5" customHeight="1" x14ac:dyDescent="0.35">
      <c r="A7028" s="163"/>
      <c r="B7028" s="164"/>
      <c r="C7028" s="165"/>
      <c r="E7028" s="166"/>
      <c r="F7028" s="166"/>
      <c r="G7028" s="138"/>
      <c r="H7028" s="177"/>
    </row>
    <row r="7029" spans="1:8" s="139" customFormat="1" ht="13.5" customHeight="1" x14ac:dyDescent="0.35">
      <c r="A7029" s="163"/>
      <c r="B7029" s="164"/>
      <c r="C7029" s="165"/>
      <c r="D7029" s="163"/>
      <c r="E7029" s="166"/>
      <c r="F7029" s="166"/>
      <c r="G7029" s="138"/>
      <c r="H7029" s="177"/>
    </row>
    <row r="7030" spans="1:8" s="139" customFormat="1" ht="13.5" customHeight="1" x14ac:dyDescent="0.3">
      <c r="A7030" s="341" t="s">
        <v>392</v>
      </c>
      <c r="B7030" s="331" t="s">
        <v>393</v>
      </c>
      <c r="C7030" s="332" t="s">
        <v>611</v>
      </c>
      <c r="D7030" s="333" t="s">
        <v>765</v>
      </c>
      <c r="E7030" s="334" t="s">
        <v>766</v>
      </c>
      <c r="F7030" s="334" t="s">
        <v>767</v>
      </c>
      <c r="G7030" s="138"/>
      <c r="H7030" s="177"/>
    </row>
    <row r="7031" spans="1:8" s="139" customFormat="1" ht="13.5" customHeight="1" x14ac:dyDescent="0.3">
      <c r="A7031" s="232" t="s">
        <v>503</v>
      </c>
      <c r="B7031" s="363" t="s">
        <v>527</v>
      </c>
      <c r="C7031" s="256"/>
      <c r="D7031" s="146"/>
      <c r="E7031" s="117"/>
      <c r="F7031" s="117"/>
      <c r="G7031" s="138"/>
      <c r="H7031" s="177"/>
    </row>
    <row r="7032" spans="1:8" s="139" customFormat="1" ht="13.5" customHeight="1" x14ac:dyDescent="0.3">
      <c r="A7032" s="232" t="s">
        <v>505</v>
      </c>
      <c r="B7032" s="355" t="s">
        <v>529</v>
      </c>
      <c r="C7032" s="256" t="s">
        <v>59</v>
      </c>
      <c r="D7032" s="146"/>
      <c r="E7032" s="117"/>
      <c r="F7032" s="117"/>
      <c r="G7032" s="138"/>
      <c r="H7032" s="177"/>
    </row>
    <row r="7033" spans="1:8" s="139" customFormat="1" ht="13.5" customHeight="1" x14ac:dyDescent="0.35">
      <c r="A7033" s="146"/>
      <c r="B7033" s="112" t="s">
        <v>802</v>
      </c>
      <c r="C7033" s="124"/>
      <c r="D7033" s="146"/>
      <c r="E7033" s="117"/>
      <c r="F7033" s="117"/>
      <c r="G7033" s="138"/>
      <c r="H7033" s="177"/>
    </row>
    <row r="7034" spans="1:8" s="139" customFormat="1" ht="13.5" customHeight="1" x14ac:dyDescent="0.25">
      <c r="A7034" s="146"/>
      <c r="B7034" s="360" t="s">
        <v>529</v>
      </c>
      <c r="C7034" s="124" t="s">
        <v>59</v>
      </c>
      <c r="D7034" s="146">
        <v>1</v>
      </c>
      <c r="E7034" s="117">
        <v>191230</v>
      </c>
      <c r="F7034" s="117">
        <f>D7034*E7034</f>
        <v>191230</v>
      </c>
      <c r="G7034" s="138"/>
      <c r="H7034" s="177"/>
    </row>
    <row r="7035" spans="1:8" s="139" customFormat="1" ht="13.5" customHeight="1" x14ac:dyDescent="0.35">
      <c r="A7035" s="146"/>
      <c r="B7035" s="120" t="s">
        <v>1057</v>
      </c>
      <c r="C7035" s="124"/>
      <c r="D7035" s="146"/>
      <c r="E7035" s="117"/>
      <c r="F7035" s="117">
        <f>0.1*(F7034)</f>
        <v>19123</v>
      </c>
      <c r="G7035" s="138"/>
      <c r="H7035" s="177"/>
    </row>
    <row r="7036" spans="1:8" s="139" customFormat="1" ht="13.5" customHeight="1" x14ac:dyDescent="0.35">
      <c r="A7036" s="146"/>
      <c r="B7036" s="112" t="s">
        <v>769</v>
      </c>
      <c r="C7036" s="124"/>
      <c r="D7036" s="146"/>
      <c r="E7036" s="117"/>
      <c r="F7036" s="110">
        <f>SUM(F7034:F7035)</f>
        <v>210353</v>
      </c>
      <c r="G7036" s="138"/>
      <c r="H7036" s="177"/>
    </row>
    <row r="7037" spans="1:8" s="139" customFormat="1" ht="13.5" customHeight="1" x14ac:dyDescent="0.35">
      <c r="A7037" s="146"/>
      <c r="B7037" s="112" t="s">
        <v>808</v>
      </c>
      <c r="C7037" s="124"/>
      <c r="D7037" s="146"/>
      <c r="E7037" s="117"/>
      <c r="F7037" s="117"/>
      <c r="G7037" s="138"/>
      <c r="H7037" s="177"/>
    </row>
    <row r="7038" spans="1:8" s="139" customFormat="1" ht="13.5" customHeight="1" x14ac:dyDescent="0.35">
      <c r="A7038" s="146"/>
      <c r="B7038" s="120" t="s">
        <v>787</v>
      </c>
      <c r="C7038" s="124" t="s">
        <v>1043</v>
      </c>
      <c r="D7038" s="146">
        <v>0.25</v>
      </c>
      <c r="E7038" s="117">
        <v>16200</v>
      </c>
      <c r="F7038" s="117">
        <f>+D7038*E7038</f>
        <v>4050</v>
      </c>
      <c r="G7038" s="138"/>
      <c r="H7038" s="177"/>
    </row>
    <row r="7039" spans="1:8" s="139" customFormat="1" ht="13.5" customHeight="1" x14ac:dyDescent="0.35">
      <c r="A7039" s="146"/>
      <c r="B7039" s="112" t="s">
        <v>774</v>
      </c>
      <c r="C7039" s="124"/>
      <c r="D7039" s="146"/>
      <c r="E7039" s="117"/>
      <c r="F7039" s="117">
        <f>SUM(F7038)</f>
        <v>4050</v>
      </c>
      <c r="G7039" s="138"/>
      <c r="H7039" s="177"/>
    </row>
    <row r="7040" spans="1:8" s="139" customFormat="1" ht="13.5" customHeight="1" x14ac:dyDescent="0.35">
      <c r="A7040" s="146"/>
      <c r="B7040" s="112" t="s">
        <v>775</v>
      </c>
      <c r="C7040" s="124"/>
      <c r="D7040" s="146"/>
      <c r="E7040" s="117"/>
      <c r="F7040" s="117">
        <f>+F7036+F7039</f>
        <v>214403</v>
      </c>
      <c r="G7040" s="138"/>
      <c r="H7040" s="177"/>
    </row>
    <row r="7041" spans="1:8" s="139" customFormat="1" ht="13.5" customHeight="1" x14ac:dyDescent="0.35">
      <c r="A7041" s="146"/>
      <c r="B7041" s="120" t="s">
        <v>776</v>
      </c>
      <c r="C7041" s="124"/>
      <c r="D7041" s="146">
        <v>1.25</v>
      </c>
      <c r="E7041" s="117"/>
      <c r="F7041" s="117">
        <f>+F7040*D7041</f>
        <v>268003.75</v>
      </c>
      <c r="G7041" s="138"/>
      <c r="H7041" s="177"/>
    </row>
    <row r="7042" spans="1:8" s="139" customFormat="1" ht="13.5" customHeight="1" x14ac:dyDescent="0.35">
      <c r="A7042" s="146"/>
      <c r="B7042" s="120" t="s">
        <v>835</v>
      </c>
      <c r="C7042" s="124"/>
      <c r="D7042" s="146">
        <v>1.25</v>
      </c>
      <c r="E7042" s="117"/>
      <c r="F7042" s="117"/>
      <c r="G7042" s="138"/>
      <c r="H7042" s="177"/>
    </row>
    <row r="7043" spans="1:8" s="139" customFormat="1" ht="13.5" customHeight="1" x14ac:dyDescent="0.35">
      <c r="A7043" s="233" t="s">
        <v>505</v>
      </c>
      <c r="B7043" s="207" t="s">
        <v>785</v>
      </c>
      <c r="C7043" s="233" t="s">
        <v>59</v>
      </c>
      <c r="D7043" s="340"/>
      <c r="E7043" s="209"/>
      <c r="F7043" s="209">
        <f>+D7042*F7041</f>
        <v>335004.6875</v>
      </c>
      <c r="G7043" s="138"/>
      <c r="H7043" s="177"/>
    </row>
    <row r="7044" spans="1:8" s="139" customFormat="1" ht="13.5" customHeight="1" x14ac:dyDescent="0.35">
      <c r="A7044" s="340"/>
      <c r="B7044" s="207"/>
      <c r="C7044" s="208"/>
      <c r="D7044" s="340"/>
      <c r="E7044" s="210">
        <f>+E7027</f>
        <v>3035.45</v>
      </c>
      <c r="F7044" s="210">
        <f>+F7043/E7044</f>
        <v>110.36409346225437</v>
      </c>
      <c r="G7044" s="138"/>
      <c r="H7044" s="177"/>
    </row>
    <row r="7045" spans="1:8" s="139" customFormat="1" ht="13.5" customHeight="1" x14ac:dyDescent="0.35">
      <c r="A7045" s="163"/>
      <c r="B7045" s="164"/>
      <c r="C7045" s="165"/>
      <c r="E7045" s="166"/>
      <c r="F7045" s="166"/>
      <c r="G7045" s="138"/>
      <c r="H7045" s="177"/>
    </row>
    <row r="7046" spans="1:8" s="139" customFormat="1" ht="13.5" customHeight="1" x14ac:dyDescent="0.35">
      <c r="A7046" s="163"/>
      <c r="B7046" s="164"/>
      <c r="C7046" s="165"/>
      <c r="D7046" s="163"/>
      <c r="E7046" s="166"/>
      <c r="F7046" s="166"/>
      <c r="G7046" s="138"/>
      <c r="H7046" s="177"/>
    </row>
    <row r="7047" spans="1:8" s="139" customFormat="1" ht="13.5" customHeight="1" x14ac:dyDescent="0.3">
      <c r="A7047" s="341" t="s">
        <v>392</v>
      </c>
      <c r="B7047" s="331" t="s">
        <v>393</v>
      </c>
      <c r="C7047" s="332" t="s">
        <v>611</v>
      </c>
      <c r="D7047" s="333" t="s">
        <v>765</v>
      </c>
      <c r="E7047" s="334" t="s">
        <v>766</v>
      </c>
      <c r="F7047" s="334" t="s">
        <v>767</v>
      </c>
      <c r="G7047" s="138"/>
      <c r="H7047" s="177"/>
    </row>
    <row r="7048" spans="1:8" s="139" customFormat="1" ht="13.5" customHeight="1" x14ac:dyDescent="0.3">
      <c r="A7048" s="232" t="s">
        <v>503</v>
      </c>
      <c r="B7048" s="363" t="s">
        <v>527</v>
      </c>
      <c r="C7048" s="256"/>
      <c r="D7048" s="146"/>
      <c r="E7048" s="117"/>
      <c r="F7048" s="117"/>
      <c r="G7048" s="138"/>
      <c r="H7048" s="177"/>
    </row>
    <row r="7049" spans="1:8" s="139" customFormat="1" ht="13.5" customHeight="1" x14ac:dyDescent="0.35">
      <c r="A7049" s="232" t="s">
        <v>506</v>
      </c>
      <c r="B7049" s="346" t="s">
        <v>530</v>
      </c>
      <c r="C7049" s="256" t="s">
        <v>59</v>
      </c>
      <c r="D7049" s="146"/>
      <c r="E7049" s="117"/>
      <c r="F7049" s="117"/>
      <c r="G7049" s="138"/>
      <c r="H7049" s="177"/>
    </row>
    <row r="7050" spans="1:8" s="139" customFormat="1" ht="13.5" customHeight="1" x14ac:dyDescent="0.35">
      <c r="A7050" s="146"/>
      <c r="B7050" s="112" t="s">
        <v>802</v>
      </c>
      <c r="C7050" s="124"/>
      <c r="D7050" s="146"/>
      <c r="E7050" s="117"/>
      <c r="F7050" s="117"/>
      <c r="G7050" s="138"/>
      <c r="H7050" s="177"/>
    </row>
    <row r="7051" spans="1:8" s="139" customFormat="1" ht="13.5" customHeight="1" x14ac:dyDescent="0.35">
      <c r="A7051" s="146"/>
      <c r="B7051" s="361" t="s">
        <v>530</v>
      </c>
      <c r="C7051" s="124" t="s">
        <v>59</v>
      </c>
      <c r="D7051" s="146">
        <v>1</v>
      </c>
      <c r="E7051" s="117">
        <v>1858140</v>
      </c>
      <c r="F7051" s="117">
        <f>D7051*E7051</f>
        <v>1858140</v>
      </c>
      <c r="G7051" s="138"/>
      <c r="H7051" s="177"/>
    </row>
    <row r="7052" spans="1:8" s="139" customFormat="1" ht="13.5" customHeight="1" x14ac:dyDescent="0.35">
      <c r="A7052" s="146"/>
      <c r="B7052" s="120" t="s">
        <v>1057</v>
      </c>
      <c r="C7052" s="124"/>
      <c r="D7052" s="146"/>
      <c r="E7052" s="117"/>
      <c r="F7052" s="117">
        <f>0.1*(F7051)</f>
        <v>185814</v>
      </c>
      <c r="G7052" s="138"/>
      <c r="H7052" s="177"/>
    </row>
    <row r="7053" spans="1:8" s="139" customFormat="1" ht="13.5" customHeight="1" x14ac:dyDescent="0.35">
      <c r="A7053" s="146"/>
      <c r="B7053" s="112" t="s">
        <v>769</v>
      </c>
      <c r="C7053" s="124"/>
      <c r="D7053" s="146"/>
      <c r="E7053" s="117"/>
      <c r="F7053" s="110">
        <f>SUM(F7051:F7052)</f>
        <v>2043954</v>
      </c>
      <c r="G7053" s="138"/>
      <c r="H7053" s="177"/>
    </row>
    <row r="7054" spans="1:8" s="139" customFormat="1" ht="13.5" customHeight="1" x14ac:dyDescent="0.35">
      <c r="A7054" s="146"/>
      <c r="B7054" s="112" t="s">
        <v>808</v>
      </c>
      <c r="C7054" s="124"/>
      <c r="D7054" s="146"/>
      <c r="E7054" s="117"/>
      <c r="F7054" s="117"/>
      <c r="G7054" s="138"/>
      <c r="H7054" s="177"/>
    </row>
    <row r="7055" spans="1:8" s="139" customFormat="1" ht="13.5" customHeight="1" x14ac:dyDescent="0.35">
      <c r="A7055" s="146"/>
      <c r="B7055" s="120" t="s">
        <v>787</v>
      </c>
      <c r="C7055" s="124" t="s">
        <v>1043</v>
      </c>
      <c r="D7055" s="146">
        <v>0.25</v>
      </c>
      <c r="E7055" s="117">
        <v>16200</v>
      </c>
      <c r="F7055" s="117">
        <f>+D7055*E7055</f>
        <v>4050</v>
      </c>
      <c r="G7055" s="138"/>
      <c r="H7055" s="177"/>
    </row>
    <row r="7056" spans="1:8" s="139" customFormat="1" ht="13.5" customHeight="1" x14ac:dyDescent="0.35">
      <c r="A7056" s="146"/>
      <c r="B7056" s="112" t="s">
        <v>774</v>
      </c>
      <c r="C7056" s="124"/>
      <c r="D7056" s="146"/>
      <c r="E7056" s="117"/>
      <c r="F7056" s="117">
        <f>SUM(F7055)</f>
        <v>4050</v>
      </c>
      <c r="G7056" s="138"/>
      <c r="H7056" s="177"/>
    </row>
    <row r="7057" spans="1:8" s="139" customFormat="1" ht="13.5" customHeight="1" x14ac:dyDescent="0.35">
      <c r="A7057" s="146"/>
      <c r="B7057" s="112" t="s">
        <v>775</v>
      </c>
      <c r="C7057" s="124"/>
      <c r="D7057" s="146"/>
      <c r="E7057" s="117"/>
      <c r="F7057" s="117">
        <f>+F7053+F7056</f>
        <v>2048004</v>
      </c>
      <c r="G7057" s="138"/>
      <c r="H7057" s="177"/>
    </row>
    <row r="7058" spans="1:8" s="139" customFormat="1" ht="13.5" customHeight="1" x14ac:dyDescent="0.35">
      <c r="A7058" s="146"/>
      <c r="B7058" s="120" t="s">
        <v>776</v>
      </c>
      <c r="C7058" s="124"/>
      <c r="D7058" s="146">
        <v>1.25</v>
      </c>
      <c r="E7058" s="117"/>
      <c r="F7058" s="117">
        <f>+F7057*D7058</f>
        <v>2560005</v>
      </c>
      <c r="G7058" s="138"/>
      <c r="H7058" s="177"/>
    </row>
    <row r="7059" spans="1:8" s="139" customFormat="1" ht="13.5" customHeight="1" x14ac:dyDescent="0.35">
      <c r="A7059" s="146"/>
      <c r="B7059" s="120" t="s">
        <v>835</v>
      </c>
      <c r="C7059" s="124"/>
      <c r="D7059" s="146">
        <v>1.25</v>
      </c>
      <c r="E7059" s="117"/>
      <c r="F7059" s="117"/>
      <c r="G7059" s="138"/>
      <c r="H7059" s="177"/>
    </row>
    <row r="7060" spans="1:8" s="139" customFormat="1" ht="13.5" customHeight="1" x14ac:dyDescent="0.35">
      <c r="A7060" s="233" t="s">
        <v>506</v>
      </c>
      <c r="B7060" s="207" t="s">
        <v>785</v>
      </c>
      <c r="C7060" s="233" t="s">
        <v>59</v>
      </c>
      <c r="D7060" s="340"/>
      <c r="E7060" s="209"/>
      <c r="F7060" s="209">
        <f>+D7059*F7058</f>
        <v>3200006.25</v>
      </c>
      <c r="G7060" s="138"/>
      <c r="H7060" s="177"/>
    </row>
    <row r="7061" spans="1:8" s="139" customFormat="1" ht="13.5" customHeight="1" x14ac:dyDescent="0.35">
      <c r="A7061" s="340"/>
      <c r="B7061" s="207"/>
      <c r="C7061" s="208"/>
      <c r="D7061" s="340"/>
      <c r="E7061" s="210">
        <f>+E7044</f>
        <v>3035.45</v>
      </c>
      <c r="F7061" s="210">
        <f>+F7060/E7061</f>
        <v>1054.2114842939268</v>
      </c>
      <c r="G7061" s="138"/>
      <c r="H7061" s="177"/>
    </row>
    <row r="7062" spans="1:8" s="139" customFormat="1" ht="13.5" customHeight="1" x14ac:dyDescent="0.35">
      <c r="A7062" s="163"/>
      <c r="B7062" s="164"/>
      <c r="C7062" s="165"/>
      <c r="E7062" s="166"/>
      <c r="F7062" s="166"/>
      <c r="G7062" s="138"/>
      <c r="H7062" s="177"/>
    </row>
    <row r="7063" spans="1:8" s="139" customFormat="1" ht="13.5" customHeight="1" x14ac:dyDescent="0.35">
      <c r="A7063" s="163"/>
      <c r="B7063" s="164"/>
      <c r="C7063" s="165"/>
      <c r="D7063" s="163"/>
      <c r="E7063" s="166"/>
      <c r="F7063" s="166"/>
      <c r="G7063" s="138"/>
      <c r="H7063" s="177"/>
    </row>
    <row r="7064" spans="1:8" s="139" customFormat="1" ht="13.5" customHeight="1" x14ac:dyDescent="0.3">
      <c r="A7064" s="341" t="s">
        <v>392</v>
      </c>
      <c r="B7064" s="331" t="s">
        <v>393</v>
      </c>
      <c r="C7064" s="332" t="s">
        <v>611</v>
      </c>
      <c r="D7064" s="333" t="s">
        <v>765</v>
      </c>
      <c r="E7064" s="334" t="s">
        <v>766</v>
      </c>
      <c r="F7064" s="334" t="s">
        <v>767</v>
      </c>
      <c r="G7064" s="138"/>
      <c r="H7064" s="177"/>
    </row>
    <row r="7065" spans="1:8" s="139" customFormat="1" ht="13.5" customHeight="1" x14ac:dyDescent="0.3">
      <c r="A7065" s="232" t="s">
        <v>503</v>
      </c>
      <c r="B7065" s="363" t="s">
        <v>527</v>
      </c>
      <c r="C7065" s="256"/>
      <c r="D7065" s="146"/>
      <c r="E7065" s="117"/>
      <c r="F7065" s="117"/>
      <c r="G7065" s="138"/>
      <c r="H7065" s="177"/>
    </row>
    <row r="7066" spans="1:8" s="139" customFormat="1" ht="13.5" customHeight="1" x14ac:dyDescent="0.35">
      <c r="A7066" s="232" t="s">
        <v>507</v>
      </c>
      <c r="B7066" s="346" t="s">
        <v>531</v>
      </c>
      <c r="C7066" s="256" t="s">
        <v>59</v>
      </c>
      <c r="D7066" s="146"/>
      <c r="E7066" s="117"/>
      <c r="F7066" s="117"/>
      <c r="G7066" s="138"/>
      <c r="H7066" s="177"/>
    </row>
    <row r="7067" spans="1:8" s="139" customFormat="1" ht="13.5" customHeight="1" x14ac:dyDescent="0.35">
      <c r="A7067" s="146"/>
      <c r="B7067" s="112" t="s">
        <v>802</v>
      </c>
      <c r="C7067" s="124"/>
      <c r="D7067" s="146"/>
      <c r="E7067" s="117"/>
      <c r="F7067" s="117"/>
      <c r="G7067" s="138"/>
      <c r="H7067" s="177"/>
    </row>
    <row r="7068" spans="1:8" s="139" customFormat="1" ht="13.5" customHeight="1" x14ac:dyDescent="0.35">
      <c r="A7068" s="146"/>
      <c r="B7068" s="361" t="s">
        <v>531</v>
      </c>
      <c r="C7068" s="124" t="s">
        <v>59</v>
      </c>
      <c r="D7068" s="146">
        <v>1</v>
      </c>
      <c r="E7068" s="117">
        <v>2818140</v>
      </c>
      <c r="F7068" s="117">
        <f>D7068*E7068</f>
        <v>2818140</v>
      </c>
      <c r="G7068" s="138"/>
      <c r="H7068" s="177"/>
    </row>
    <row r="7069" spans="1:8" s="139" customFormat="1" ht="13.5" customHeight="1" x14ac:dyDescent="0.35">
      <c r="A7069" s="146"/>
      <c r="B7069" s="120" t="s">
        <v>1057</v>
      </c>
      <c r="C7069" s="124"/>
      <c r="D7069" s="146"/>
      <c r="E7069" s="117"/>
      <c r="F7069" s="117">
        <f>0.1*(F7068)</f>
        <v>281814</v>
      </c>
      <c r="G7069" s="138"/>
      <c r="H7069" s="177"/>
    </row>
    <row r="7070" spans="1:8" s="139" customFormat="1" ht="13.5" customHeight="1" x14ac:dyDescent="0.35">
      <c r="A7070" s="146"/>
      <c r="B7070" s="112" t="s">
        <v>769</v>
      </c>
      <c r="C7070" s="124"/>
      <c r="D7070" s="146"/>
      <c r="E7070" s="117"/>
      <c r="F7070" s="110">
        <f>SUM(F7068:F7069)</f>
        <v>3099954</v>
      </c>
      <c r="G7070" s="138"/>
      <c r="H7070" s="177"/>
    </row>
    <row r="7071" spans="1:8" s="139" customFormat="1" ht="13.5" customHeight="1" x14ac:dyDescent="0.35">
      <c r="A7071" s="146"/>
      <c r="B7071" s="112" t="s">
        <v>808</v>
      </c>
      <c r="C7071" s="124"/>
      <c r="D7071" s="146"/>
      <c r="E7071" s="117"/>
      <c r="F7071" s="117"/>
      <c r="G7071" s="138"/>
      <c r="H7071" s="177"/>
    </row>
    <row r="7072" spans="1:8" s="139" customFormat="1" ht="13.5" customHeight="1" x14ac:dyDescent="0.35">
      <c r="A7072" s="146"/>
      <c r="B7072" s="120" t="s">
        <v>787</v>
      </c>
      <c r="C7072" s="124" t="s">
        <v>1043</v>
      </c>
      <c r="D7072" s="146">
        <v>0.25</v>
      </c>
      <c r="E7072" s="117">
        <v>16200</v>
      </c>
      <c r="F7072" s="117">
        <f>+D7072*E7072</f>
        <v>4050</v>
      </c>
      <c r="G7072" s="138"/>
      <c r="H7072" s="177"/>
    </row>
    <row r="7073" spans="1:8" s="139" customFormat="1" ht="13.5" customHeight="1" x14ac:dyDescent="0.35">
      <c r="A7073" s="146"/>
      <c r="B7073" s="112" t="s">
        <v>774</v>
      </c>
      <c r="C7073" s="124"/>
      <c r="D7073" s="146"/>
      <c r="E7073" s="117"/>
      <c r="F7073" s="117">
        <f>SUM(F7072)</f>
        <v>4050</v>
      </c>
      <c r="G7073" s="138"/>
      <c r="H7073" s="177"/>
    </row>
    <row r="7074" spans="1:8" s="139" customFormat="1" ht="13.5" customHeight="1" x14ac:dyDescent="0.35">
      <c r="A7074" s="146"/>
      <c r="B7074" s="112" t="s">
        <v>775</v>
      </c>
      <c r="C7074" s="124"/>
      <c r="D7074" s="146"/>
      <c r="E7074" s="117"/>
      <c r="F7074" s="117">
        <f>+F7070+F7073</f>
        <v>3104004</v>
      </c>
      <c r="G7074" s="138"/>
      <c r="H7074" s="177"/>
    </row>
    <row r="7075" spans="1:8" s="139" customFormat="1" ht="13.5" customHeight="1" x14ac:dyDescent="0.35">
      <c r="A7075" s="146"/>
      <c r="B7075" s="120" t="s">
        <v>776</v>
      </c>
      <c r="C7075" s="124"/>
      <c r="D7075" s="146">
        <v>1.25</v>
      </c>
      <c r="E7075" s="117"/>
      <c r="F7075" s="117">
        <f>+F7074*D7075</f>
        <v>3880005</v>
      </c>
      <c r="G7075" s="138"/>
      <c r="H7075" s="177"/>
    </row>
    <row r="7076" spans="1:8" s="139" customFormat="1" ht="13.5" customHeight="1" x14ac:dyDescent="0.35">
      <c r="A7076" s="146"/>
      <c r="B7076" s="120" t="s">
        <v>835</v>
      </c>
      <c r="C7076" s="124"/>
      <c r="D7076" s="146">
        <v>1.25</v>
      </c>
      <c r="E7076" s="117"/>
      <c r="F7076" s="117"/>
      <c r="G7076" s="138"/>
      <c r="H7076" s="177"/>
    </row>
    <row r="7077" spans="1:8" s="139" customFormat="1" ht="13.5" customHeight="1" x14ac:dyDescent="0.35">
      <c r="A7077" s="233" t="s">
        <v>507</v>
      </c>
      <c r="B7077" s="207" t="s">
        <v>785</v>
      </c>
      <c r="C7077" s="233" t="s">
        <v>59</v>
      </c>
      <c r="D7077" s="340"/>
      <c r="E7077" s="209"/>
      <c r="F7077" s="209">
        <f>+D7076*F7075</f>
        <v>4850006.25</v>
      </c>
      <c r="G7077" s="138"/>
      <c r="H7077" s="177"/>
    </row>
    <row r="7078" spans="1:8" s="139" customFormat="1" ht="13.5" customHeight="1" x14ac:dyDescent="0.35">
      <c r="A7078" s="340"/>
      <c r="B7078" s="207"/>
      <c r="C7078" s="208"/>
      <c r="D7078" s="340"/>
      <c r="E7078" s="210">
        <f>+E7061</f>
        <v>3035.45</v>
      </c>
      <c r="F7078" s="210">
        <f>+F7077/E7078</f>
        <v>1597.7882192096724</v>
      </c>
      <c r="G7078" s="138"/>
      <c r="H7078" s="177"/>
    </row>
    <row r="7079" spans="1:8" s="139" customFormat="1" ht="13.5" customHeight="1" x14ac:dyDescent="0.35">
      <c r="A7079" s="364"/>
      <c r="B7079" s="127"/>
      <c r="C7079" s="128"/>
      <c r="E7079" s="176"/>
      <c r="F7079" s="176"/>
      <c r="G7079" s="138"/>
      <c r="H7079" s="177"/>
    </row>
    <row r="7080" spans="1:8" s="139" customFormat="1" ht="13.5" customHeight="1" x14ac:dyDescent="0.35">
      <c r="A7080" s="365"/>
      <c r="B7080" s="131"/>
      <c r="C7080" s="132"/>
      <c r="D7080" s="364"/>
      <c r="E7080" s="179"/>
      <c r="F7080" s="179"/>
      <c r="G7080" s="138"/>
      <c r="H7080" s="177"/>
    </row>
    <row r="7081" spans="1:8" s="139" customFormat="1" ht="13.5" customHeight="1" x14ac:dyDescent="0.3">
      <c r="A7081" s="341" t="s">
        <v>392</v>
      </c>
      <c r="B7081" s="331" t="s">
        <v>393</v>
      </c>
      <c r="C7081" s="332" t="s">
        <v>611</v>
      </c>
      <c r="D7081" s="333" t="s">
        <v>765</v>
      </c>
      <c r="E7081" s="334" t="s">
        <v>766</v>
      </c>
      <c r="F7081" s="334" t="s">
        <v>767</v>
      </c>
      <c r="G7081" s="138"/>
      <c r="H7081" s="177"/>
    </row>
    <row r="7082" spans="1:8" s="139" customFormat="1" ht="13.5" customHeight="1" x14ac:dyDescent="0.3">
      <c r="A7082" s="232" t="s">
        <v>1225</v>
      </c>
      <c r="B7082" s="294" t="s">
        <v>532</v>
      </c>
      <c r="C7082" s="256"/>
      <c r="D7082" s="146"/>
      <c r="E7082" s="117"/>
      <c r="F7082" s="117"/>
      <c r="G7082" s="138"/>
      <c r="H7082" s="177"/>
    </row>
    <row r="7083" spans="1:8" s="139" customFormat="1" ht="15" customHeight="1" x14ac:dyDescent="0.3">
      <c r="A7083" s="232" t="s">
        <v>1226</v>
      </c>
      <c r="B7083" s="294" t="s">
        <v>534</v>
      </c>
      <c r="C7083" s="224" t="s">
        <v>7</v>
      </c>
      <c r="D7083" s="146"/>
      <c r="E7083" s="117"/>
      <c r="F7083" s="117"/>
      <c r="G7083" s="138"/>
      <c r="H7083" s="177"/>
    </row>
    <row r="7084" spans="1:8" s="139" customFormat="1" ht="13.5" customHeight="1" x14ac:dyDescent="0.35">
      <c r="A7084" s="146"/>
      <c r="B7084" s="112" t="s">
        <v>802</v>
      </c>
      <c r="C7084" s="124"/>
      <c r="D7084" s="146"/>
      <c r="E7084" s="117"/>
      <c r="F7084" s="117"/>
      <c r="G7084" s="138"/>
      <c r="H7084" s="177"/>
    </row>
    <row r="7085" spans="1:8" s="139" customFormat="1" ht="13.5" customHeight="1" x14ac:dyDescent="0.25">
      <c r="A7085" s="146"/>
      <c r="B7085" s="362" t="s">
        <v>534</v>
      </c>
      <c r="C7085" s="124" t="s">
        <v>27</v>
      </c>
      <c r="D7085" s="146">
        <v>1</v>
      </c>
      <c r="E7085" s="117">
        <v>1695820</v>
      </c>
      <c r="F7085" s="117">
        <f>D7085*E7085</f>
        <v>1695820</v>
      </c>
      <c r="G7085" s="138"/>
      <c r="H7085" s="177"/>
    </row>
    <row r="7086" spans="1:8" s="139" customFormat="1" ht="13.5" customHeight="1" x14ac:dyDescent="0.35">
      <c r="A7086" s="146"/>
      <c r="B7086" s="162" t="s">
        <v>1042</v>
      </c>
      <c r="C7086" s="124"/>
      <c r="D7086" s="146"/>
      <c r="E7086" s="117"/>
      <c r="F7086" s="117">
        <f>0.1*F7085</f>
        <v>169582</v>
      </c>
      <c r="G7086" s="138"/>
      <c r="H7086" s="177"/>
    </row>
    <row r="7087" spans="1:8" s="139" customFormat="1" ht="13.5" customHeight="1" x14ac:dyDescent="0.35">
      <c r="A7087" s="146"/>
      <c r="B7087" s="108" t="s">
        <v>769</v>
      </c>
      <c r="C7087" s="124"/>
      <c r="D7087" s="146"/>
      <c r="E7087" s="117"/>
      <c r="F7087" s="110">
        <f>SUM(F7085:F7086)</f>
        <v>1865402</v>
      </c>
      <c r="G7087" s="138"/>
      <c r="H7087" s="177"/>
    </row>
    <row r="7088" spans="1:8" s="139" customFormat="1" ht="13.5" customHeight="1" x14ac:dyDescent="0.3">
      <c r="A7088" s="146"/>
      <c r="B7088" s="148" t="s">
        <v>808</v>
      </c>
      <c r="C7088" s="124"/>
      <c r="D7088" s="146"/>
      <c r="E7088" s="117"/>
      <c r="F7088" s="117"/>
      <c r="G7088" s="138"/>
      <c r="H7088" s="177"/>
    </row>
    <row r="7089" spans="1:8" s="139" customFormat="1" ht="13.5" customHeight="1" x14ac:dyDescent="0.25">
      <c r="A7089" s="146"/>
      <c r="B7089" s="149" t="s">
        <v>787</v>
      </c>
      <c r="C7089" s="124" t="s">
        <v>1043</v>
      </c>
      <c r="D7089" s="146">
        <v>3</v>
      </c>
      <c r="E7089" s="117">
        <v>15000</v>
      </c>
      <c r="F7089" s="117">
        <f>+D7089*E7089</f>
        <v>45000</v>
      </c>
      <c r="G7089" s="138"/>
      <c r="H7089" s="177"/>
    </row>
    <row r="7090" spans="1:8" s="139" customFormat="1" ht="13.5" customHeight="1" x14ac:dyDescent="0.3">
      <c r="A7090" s="146"/>
      <c r="B7090" s="148" t="s">
        <v>774</v>
      </c>
      <c r="C7090" s="124"/>
      <c r="D7090" s="146"/>
      <c r="E7090" s="117"/>
      <c r="F7090" s="110">
        <f>SUM(F7089)</f>
        <v>45000</v>
      </c>
      <c r="G7090" s="138"/>
      <c r="H7090" s="177"/>
    </row>
    <row r="7091" spans="1:8" s="139" customFormat="1" ht="13.5" customHeight="1" x14ac:dyDescent="0.3">
      <c r="A7091" s="146"/>
      <c r="B7091" s="148" t="s">
        <v>775</v>
      </c>
      <c r="C7091" s="124"/>
      <c r="D7091" s="146"/>
      <c r="E7091" s="117"/>
      <c r="F7091" s="110">
        <f>+F7087+F7090</f>
        <v>1910402</v>
      </c>
      <c r="G7091" s="138"/>
      <c r="H7091" s="177"/>
    </row>
    <row r="7092" spans="1:8" s="139" customFormat="1" ht="13.5" customHeight="1" x14ac:dyDescent="0.25">
      <c r="A7092" s="146"/>
      <c r="B7092" s="134" t="s">
        <v>776</v>
      </c>
      <c r="C7092" s="124"/>
      <c r="D7092" s="146">
        <v>1.25</v>
      </c>
      <c r="E7092" s="117"/>
      <c r="F7092" s="110">
        <f>+F7091*D7092</f>
        <v>2388002.5</v>
      </c>
      <c r="G7092" s="138"/>
      <c r="H7092" s="177"/>
    </row>
    <row r="7093" spans="1:8" s="139" customFormat="1" ht="13.5" customHeight="1" x14ac:dyDescent="0.25">
      <c r="A7093" s="146"/>
      <c r="B7093" s="134" t="s">
        <v>835</v>
      </c>
      <c r="C7093" s="124"/>
      <c r="D7093" s="146">
        <v>1.25</v>
      </c>
      <c r="E7093" s="117"/>
      <c r="F7093" s="110"/>
      <c r="G7093" s="138"/>
      <c r="H7093" s="177"/>
    </row>
    <row r="7094" spans="1:8" s="139" customFormat="1" ht="13.5" customHeight="1" x14ac:dyDescent="0.35">
      <c r="A7094" s="233" t="s">
        <v>1227</v>
      </c>
      <c r="B7094" s="242" t="s">
        <v>778</v>
      </c>
      <c r="C7094" s="208" t="s">
        <v>7</v>
      </c>
      <c r="D7094" s="335"/>
      <c r="E7094" s="336"/>
      <c r="F7094" s="209">
        <f>+D7093*F7092</f>
        <v>2985003.125</v>
      </c>
      <c r="G7094" s="138"/>
      <c r="H7094" s="177"/>
    </row>
    <row r="7095" spans="1:8" s="139" customFormat="1" ht="13.5" customHeight="1" x14ac:dyDescent="0.35">
      <c r="A7095" s="335"/>
      <c r="B7095" s="207"/>
      <c r="C7095" s="337"/>
      <c r="D7095" s="335"/>
      <c r="E7095" s="210">
        <f>+E7078</f>
        <v>3035.45</v>
      </c>
      <c r="F7095" s="210">
        <f>+F7094/E7095</f>
        <v>983.38075903078629</v>
      </c>
      <c r="G7095" s="138"/>
      <c r="H7095" s="177"/>
    </row>
    <row r="7096" spans="1:8" s="139" customFormat="1" ht="13.5" customHeight="1" x14ac:dyDescent="0.25">
      <c r="A7096" s="366"/>
      <c r="B7096" s="367"/>
      <c r="C7096" s="367"/>
      <c r="E7096" s="367"/>
      <c r="F7096" s="367"/>
      <c r="G7096" s="138"/>
      <c r="H7096" s="177"/>
    </row>
    <row r="7097" spans="1:8" s="139" customFormat="1" ht="13.5" customHeight="1" x14ac:dyDescent="0.25">
      <c r="A7097" s="366"/>
      <c r="B7097" s="367"/>
      <c r="C7097" s="367"/>
      <c r="D7097" s="367"/>
      <c r="E7097" s="367"/>
      <c r="F7097" s="367"/>
      <c r="G7097" s="138"/>
      <c r="H7097" s="177"/>
    </row>
    <row r="7098" spans="1:8" s="139" customFormat="1" ht="13.5" customHeight="1" x14ac:dyDescent="0.3">
      <c r="A7098" s="341" t="s">
        <v>392</v>
      </c>
      <c r="B7098" s="331" t="s">
        <v>393</v>
      </c>
      <c r="C7098" s="332" t="s">
        <v>611</v>
      </c>
      <c r="D7098" s="333" t="s">
        <v>765</v>
      </c>
      <c r="E7098" s="334" t="s">
        <v>766</v>
      </c>
      <c r="F7098" s="334" t="s">
        <v>767</v>
      </c>
      <c r="G7098" s="138"/>
      <c r="H7098" s="177"/>
    </row>
    <row r="7099" spans="1:8" s="139" customFormat="1" ht="13.5" customHeight="1" x14ac:dyDescent="0.3">
      <c r="A7099" s="232" t="s">
        <v>1225</v>
      </c>
      <c r="B7099" s="294" t="s">
        <v>532</v>
      </c>
      <c r="C7099" s="256"/>
      <c r="D7099" s="146"/>
      <c r="E7099" s="117"/>
      <c r="F7099" s="117"/>
      <c r="G7099" s="138"/>
      <c r="H7099" s="177"/>
    </row>
    <row r="7100" spans="1:8" s="139" customFormat="1" ht="13.5" customHeight="1" x14ac:dyDescent="0.3">
      <c r="A7100" s="232" t="s">
        <v>675</v>
      </c>
      <c r="B7100" s="294" t="s">
        <v>536</v>
      </c>
      <c r="C7100" s="224" t="s">
        <v>7</v>
      </c>
      <c r="D7100" s="146"/>
      <c r="E7100" s="117"/>
      <c r="F7100" s="117"/>
      <c r="G7100" s="138"/>
      <c r="H7100" s="177"/>
    </row>
    <row r="7101" spans="1:8" s="139" customFormat="1" ht="19.5" customHeight="1" x14ac:dyDescent="0.35">
      <c r="A7101" s="146"/>
      <c r="B7101" s="112" t="s">
        <v>802</v>
      </c>
      <c r="C7101" s="124"/>
      <c r="D7101" s="146"/>
      <c r="E7101" s="117"/>
      <c r="F7101" s="117"/>
      <c r="G7101" s="138"/>
      <c r="H7101" s="177"/>
    </row>
    <row r="7102" spans="1:8" s="139" customFormat="1" ht="13.5" customHeight="1" x14ac:dyDescent="0.35">
      <c r="A7102" s="146"/>
      <c r="B7102" s="162" t="s">
        <v>1041</v>
      </c>
      <c r="C7102" s="124" t="s">
        <v>59</v>
      </c>
      <c r="D7102" s="146">
        <v>1</v>
      </c>
      <c r="E7102" s="117">
        <v>651920</v>
      </c>
      <c r="F7102" s="117">
        <f>D7102*E7102</f>
        <v>651920</v>
      </c>
      <c r="G7102" s="138"/>
      <c r="H7102" s="177"/>
    </row>
    <row r="7103" spans="1:8" s="139" customFormat="1" ht="13.5" customHeight="1" x14ac:dyDescent="0.35">
      <c r="A7103" s="146"/>
      <c r="B7103" s="162" t="s">
        <v>1042</v>
      </c>
      <c r="C7103" s="124"/>
      <c r="D7103" s="146"/>
      <c r="E7103" s="117"/>
      <c r="F7103" s="117">
        <f>0.1*F7102</f>
        <v>65192</v>
      </c>
      <c r="G7103" s="138"/>
      <c r="H7103" s="177"/>
    </row>
    <row r="7104" spans="1:8" s="139" customFormat="1" ht="13.5" customHeight="1" x14ac:dyDescent="0.35">
      <c r="A7104" s="146"/>
      <c r="B7104" s="108" t="s">
        <v>769</v>
      </c>
      <c r="C7104" s="124"/>
      <c r="D7104" s="146"/>
      <c r="E7104" s="117"/>
      <c r="F7104" s="110">
        <f>SUM(F7102:F7103)</f>
        <v>717112</v>
      </c>
      <c r="G7104" s="138"/>
      <c r="H7104" s="177"/>
    </row>
    <row r="7105" spans="1:8" s="139" customFormat="1" ht="13.5" customHeight="1" x14ac:dyDescent="0.3">
      <c r="A7105" s="146"/>
      <c r="B7105" s="148" t="s">
        <v>808</v>
      </c>
      <c r="C7105" s="124"/>
      <c r="D7105" s="146"/>
      <c r="E7105" s="117"/>
      <c r="F7105" s="117"/>
      <c r="G7105" s="138"/>
      <c r="H7105" s="177"/>
    </row>
    <row r="7106" spans="1:8" s="139" customFormat="1" ht="13.5" customHeight="1" x14ac:dyDescent="0.25">
      <c r="A7106" s="146"/>
      <c r="B7106" s="149" t="s">
        <v>787</v>
      </c>
      <c r="C7106" s="124" t="s">
        <v>1043</v>
      </c>
      <c r="D7106" s="146">
        <v>3</v>
      </c>
      <c r="E7106" s="117">
        <v>15000</v>
      </c>
      <c r="F7106" s="117">
        <f>+D7106*E7106</f>
        <v>45000</v>
      </c>
      <c r="G7106" s="138"/>
      <c r="H7106" s="177"/>
    </row>
    <row r="7107" spans="1:8" s="139" customFormat="1" ht="13.5" customHeight="1" x14ac:dyDescent="0.3">
      <c r="A7107" s="146"/>
      <c r="B7107" s="148" t="s">
        <v>774</v>
      </c>
      <c r="C7107" s="124"/>
      <c r="D7107" s="146"/>
      <c r="E7107" s="117"/>
      <c r="F7107" s="110">
        <f>SUM(F7106)</f>
        <v>45000</v>
      </c>
      <c r="G7107" s="138"/>
      <c r="H7107" s="177"/>
    </row>
    <row r="7108" spans="1:8" s="139" customFormat="1" ht="13.5" customHeight="1" x14ac:dyDescent="0.3">
      <c r="A7108" s="146"/>
      <c r="B7108" s="148" t="s">
        <v>775</v>
      </c>
      <c r="C7108" s="124"/>
      <c r="D7108" s="146"/>
      <c r="E7108" s="117"/>
      <c r="F7108" s="110">
        <f>+F7104+F7107</f>
        <v>762112</v>
      </c>
      <c r="G7108" s="138"/>
      <c r="H7108" s="177"/>
    </row>
    <row r="7109" spans="1:8" s="139" customFormat="1" ht="13.5" customHeight="1" x14ac:dyDescent="0.25">
      <c r="A7109" s="146"/>
      <c r="B7109" s="134" t="s">
        <v>776</v>
      </c>
      <c r="C7109" s="124"/>
      <c r="D7109" s="146">
        <v>1.25</v>
      </c>
      <c r="E7109" s="117"/>
      <c r="F7109" s="110">
        <f>+F7108*D7109</f>
        <v>952640</v>
      </c>
      <c r="G7109" s="138"/>
      <c r="H7109" s="177"/>
    </row>
    <row r="7110" spans="1:8" s="139" customFormat="1" ht="13.5" customHeight="1" x14ac:dyDescent="0.25">
      <c r="A7110" s="146"/>
      <c r="B7110" s="134" t="s">
        <v>835</v>
      </c>
      <c r="C7110" s="124"/>
      <c r="D7110" s="146">
        <v>1.25</v>
      </c>
      <c r="E7110" s="117"/>
      <c r="F7110" s="110"/>
      <c r="G7110" s="138"/>
      <c r="H7110" s="177"/>
    </row>
    <row r="7111" spans="1:8" s="139" customFormat="1" ht="13.5" customHeight="1" x14ac:dyDescent="0.35">
      <c r="A7111" s="233" t="s">
        <v>1228</v>
      </c>
      <c r="B7111" s="242" t="s">
        <v>778</v>
      </c>
      <c r="C7111" s="208" t="s">
        <v>7</v>
      </c>
      <c r="D7111" s="335"/>
      <c r="E7111" s="336"/>
      <c r="F7111" s="209">
        <f>+D7110*F7109</f>
        <v>1190800</v>
      </c>
      <c r="G7111" s="138"/>
      <c r="H7111" s="177"/>
    </row>
    <row r="7112" spans="1:8" s="139" customFormat="1" ht="13.5" customHeight="1" x14ac:dyDescent="0.35">
      <c r="A7112" s="335"/>
      <c r="B7112" s="207"/>
      <c r="C7112" s="337"/>
      <c r="D7112" s="335"/>
      <c r="E7112" s="210">
        <f>+E7095</f>
        <v>3035.45</v>
      </c>
      <c r="F7112" s="210">
        <f>+F7111/E7112</f>
        <v>392.29768238646659</v>
      </c>
      <c r="G7112" s="138"/>
      <c r="H7112" s="177"/>
    </row>
    <row r="7113" spans="1:8" s="139" customFormat="1" ht="13.5" customHeight="1" x14ac:dyDescent="0.35">
      <c r="A7113" s="163"/>
      <c r="B7113" s="164"/>
      <c r="C7113" s="165"/>
      <c r="E7113" s="166"/>
      <c r="F7113" s="166"/>
      <c r="G7113" s="138"/>
      <c r="H7113" s="177"/>
    </row>
    <row r="7114" spans="1:8" s="139" customFormat="1" ht="13.5" customHeight="1" x14ac:dyDescent="0.35">
      <c r="A7114" s="163"/>
      <c r="B7114" s="164"/>
      <c r="C7114" s="165"/>
      <c r="E7114" s="166"/>
      <c r="F7114" s="166"/>
      <c r="G7114" s="138"/>
      <c r="H7114" s="177"/>
    </row>
    <row r="7115" spans="1:8" s="139" customFormat="1" ht="13.5" customHeight="1" x14ac:dyDescent="0.3">
      <c r="A7115" s="341" t="s">
        <v>392</v>
      </c>
      <c r="B7115" s="331" t="s">
        <v>393</v>
      </c>
      <c r="C7115" s="332" t="s">
        <v>611</v>
      </c>
      <c r="D7115" s="333" t="s">
        <v>765</v>
      </c>
      <c r="E7115" s="334" t="s">
        <v>766</v>
      </c>
      <c r="F7115" s="334" t="s">
        <v>767</v>
      </c>
      <c r="G7115" s="138"/>
      <c r="H7115" s="177"/>
    </row>
    <row r="7116" spans="1:8" s="139" customFormat="1" ht="13.5" customHeight="1" x14ac:dyDescent="0.35">
      <c r="A7116" s="391" t="s">
        <v>757</v>
      </c>
      <c r="B7116" s="392" t="s">
        <v>758</v>
      </c>
      <c r="C7116" s="256"/>
      <c r="D7116" s="146"/>
      <c r="E7116" s="117"/>
      <c r="F7116" s="117"/>
      <c r="G7116" s="138"/>
      <c r="H7116" s="177"/>
    </row>
    <row r="7117" spans="1:8" s="139" customFormat="1" ht="13.5" customHeight="1" x14ac:dyDescent="0.35">
      <c r="A7117" s="391" t="s">
        <v>533</v>
      </c>
      <c r="B7117" s="393" t="s">
        <v>759</v>
      </c>
      <c r="C7117" s="224" t="s">
        <v>7</v>
      </c>
      <c r="D7117" s="146"/>
      <c r="E7117" s="117"/>
      <c r="F7117" s="117"/>
      <c r="G7117" s="138"/>
      <c r="H7117" s="177"/>
    </row>
    <row r="7118" spans="1:8" s="139" customFormat="1" ht="13.5" customHeight="1" x14ac:dyDescent="0.35">
      <c r="A7118" s="146"/>
      <c r="B7118" s="112" t="s">
        <v>802</v>
      </c>
      <c r="C7118" s="124"/>
      <c r="D7118" s="146"/>
      <c r="E7118" s="117"/>
      <c r="F7118" s="117"/>
      <c r="G7118" s="138"/>
      <c r="H7118" s="177"/>
    </row>
    <row r="7119" spans="1:8" s="139" customFormat="1" ht="13.5" customHeight="1" x14ac:dyDescent="0.35">
      <c r="A7119" s="146"/>
      <c r="B7119" s="162" t="s">
        <v>1351</v>
      </c>
      <c r="C7119" s="124" t="s">
        <v>59</v>
      </c>
      <c r="D7119" s="146">
        <v>1</v>
      </c>
      <c r="E7119" s="117">
        <v>651920</v>
      </c>
      <c r="F7119" s="117">
        <f>D7119*E7119</f>
        <v>651920</v>
      </c>
      <c r="G7119" s="138"/>
      <c r="H7119" s="177"/>
    </row>
    <row r="7120" spans="1:8" s="139" customFormat="1" ht="13.5" customHeight="1" x14ac:dyDescent="0.35">
      <c r="A7120" s="146"/>
      <c r="B7120" s="162" t="s">
        <v>1042</v>
      </c>
      <c r="C7120" s="124"/>
      <c r="D7120" s="146"/>
      <c r="E7120" s="117"/>
      <c r="F7120" s="117">
        <f>0.1*F7119</f>
        <v>65192</v>
      </c>
      <c r="G7120" s="138"/>
      <c r="H7120" s="177"/>
    </row>
    <row r="7121" spans="1:8" s="139" customFormat="1" ht="13.5" customHeight="1" x14ac:dyDescent="0.35">
      <c r="A7121" s="146"/>
      <c r="B7121" s="108" t="s">
        <v>769</v>
      </c>
      <c r="C7121" s="124"/>
      <c r="D7121" s="146"/>
      <c r="E7121" s="117"/>
      <c r="F7121" s="110">
        <f>SUM(F7119:F7120)</f>
        <v>717112</v>
      </c>
      <c r="G7121" s="138"/>
      <c r="H7121" s="177"/>
    </row>
    <row r="7122" spans="1:8" s="139" customFormat="1" ht="13.5" customHeight="1" x14ac:dyDescent="0.3">
      <c r="A7122" s="146"/>
      <c r="B7122" s="148" t="s">
        <v>808</v>
      </c>
      <c r="C7122" s="124"/>
      <c r="D7122" s="146"/>
      <c r="E7122" s="117"/>
      <c r="F7122" s="117"/>
      <c r="G7122" s="138"/>
      <c r="H7122" s="177"/>
    </row>
    <row r="7123" spans="1:8" s="139" customFormat="1" ht="13.5" customHeight="1" x14ac:dyDescent="0.25">
      <c r="A7123" s="146"/>
      <c r="B7123" s="149" t="s">
        <v>787</v>
      </c>
      <c r="C7123" s="124" t="s">
        <v>1043</v>
      </c>
      <c r="D7123" s="146">
        <v>3</v>
      </c>
      <c r="E7123" s="117">
        <v>15000</v>
      </c>
      <c r="F7123" s="117">
        <f>+D7123*E7123</f>
        <v>45000</v>
      </c>
      <c r="G7123" s="138"/>
      <c r="H7123" s="177"/>
    </row>
    <row r="7124" spans="1:8" s="139" customFormat="1" ht="13.5" customHeight="1" x14ac:dyDescent="0.3">
      <c r="A7124" s="146"/>
      <c r="B7124" s="148" t="s">
        <v>774</v>
      </c>
      <c r="C7124" s="124"/>
      <c r="D7124" s="146"/>
      <c r="E7124" s="117"/>
      <c r="F7124" s="110">
        <f>SUM(F7123)</f>
        <v>45000</v>
      </c>
      <c r="G7124" s="138"/>
      <c r="H7124" s="177"/>
    </row>
    <row r="7125" spans="1:8" s="139" customFormat="1" ht="13.5" customHeight="1" x14ac:dyDescent="0.3">
      <c r="A7125" s="146"/>
      <c r="B7125" s="148" t="s">
        <v>775</v>
      </c>
      <c r="C7125" s="124"/>
      <c r="D7125" s="146"/>
      <c r="E7125" s="117"/>
      <c r="F7125" s="110">
        <f>+F7121+F7124</f>
        <v>762112</v>
      </c>
      <c r="G7125" s="138"/>
      <c r="H7125" s="177"/>
    </row>
    <row r="7126" spans="1:8" s="139" customFormat="1" ht="13.5" customHeight="1" x14ac:dyDescent="0.25">
      <c r="A7126" s="146"/>
      <c r="B7126" s="134" t="s">
        <v>776</v>
      </c>
      <c r="C7126" s="124"/>
      <c r="D7126" s="146">
        <v>1.25</v>
      </c>
      <c r="E7126" s="117"/>
      <c r="F7126" s="110">
        <f>+F7125*D7126</f>
        <v>952640</v>
      </c>
      <c r="G7126" s="138"/>
      <c r="H7126" s="177"/>
    </row>
    <row r="7127" spans="1:8" s="139" customFormat="1" ht="13.5" customHeight="1" x14ac:dyDescent="0.25">
      <c r="A7127" s="146"/>
      <c r="B7127" s="134" t="s">
        <v>835</v>
      </c>
      <c r="C7127" s="124"/>
      <c r="D7127" s="146">
        <v>1.25</v>
      </c>
      <c r="E7127" s="117"/>
      <c r="F7127" s="110"/>
      <c r="G7127" s="138"/>
      <c r="H7127" s="177"/>
    </row>
    <row r="7128" spans="1:8" s="139" customFormat="1" ht="13.5" customHeight="1" x14ac:dyDescent="0.35">
      <c r="A7128" s="233" t="str">
        <f>A7117</f>
        <v>13.36.1</v>
      </c>
      <c r="B7128" s="242" t="s">
        <v>778</v>
      </c>
      <c r="C7128" s="208" t="s">
        <v>7</v>
      </c>
      <c r="D7128" s="335"/>
      <c r="E7128" s="336"/>
      <c r="F7128" s="209">
        <f>+D7127*F7126</f>
        <v>1190800</v>
      </c>
      <c r="G7128" s="138"/>
      <c r="H7128" s="177"/>
    </row>
    <row r="7129" spans="1:8" s="139" customFormat="1" ht="13.5" customHeight="1" x14ac:dyDescent="0.35">
      <c r="A7129" s="335"/>
      <c r="B7129" s="207"/>
      <c r="C7129" s="337"/>
      <c r="D7129" s="335"/>
      <c r="E7129" s="210">
        <f>+E7112</f>
        <v>3035.45</v>
      </c>
      <c r="F7129" s="210">
        <f>+F7128/E7129</f>
        <v>392.29768238646659</v>
      </c>
      <c r="G7129" s="138"/>
      <c r="H7129" s="177"/>
    </row>
    <row r="7130" spans="1:8" s="139" customFormat="1" ht="13.5" customHeight="1" x14ac:dyDescent="0.35">
      <c r="A7130" s="163"/>
      <c r="B7130" s="164"/>
      <c r="C7130" s="165"/>
      <c r="E7130" s="166"/>
      <c r="F7130" s="166"/>
      <c r="G7130" s="138"/>
      <c r="H7130" s="177"/>
    </row>
    <row r="7131" spans="1:8" s="139" customFormat="1" ht="13.5" customHeight="1" x14ac:dyDescent="0.35">
      <c r="A7131" s="163"/>
      <c r="B7131" s="164"/>
      <c r="C7131" s="165"/>
      <c r="E7131" s="166"/>
      <c r="F7131" s="166"/>
      <c r="G7131" s="138"/>
      <c r="H7131" s="177"/>
    </row>
    <row r="7132" spans="1:8" s="139" customFormat="1" ht="13.5" customHeight="1" x14ac:dyDescent="0.3">
      <c r="A7132" s="341" t="s">
        <v>392</v>
      </c>
      <c r="B7132" s="331" t="s">
        <v>393</v>
      </c>
      <c r="C7132" s="332" t="s">
        <v>611</v>
      </c>
      <c r="D7132" s="333" t="s">
        <v>765</v>
      </c>
      <c r="E7132" s="334" t="s">
        <v>766</v>
      </c>
      <c r="F7132" s="334" t="s">
        <v>767</v>
      </c>
      <c r="G7132" s="138"/>
      <c r="H7132" s="177"/>
    </row>
    <row r="7133" spans="1:8" s="139" customFormat="1" ht="13.5" customHeight="1" x14ac:dyDescent="0.35">
      <c r="A7133" s="391" t="s">
        <v>757</v>
      </c>
      <c r="B7133" s="392" t="s">
        <v>758</v>
      </c>
      <c r="C7133" s="256"/>
      <c r="D7133" s="146"/>
      <c r="E7133" s="117"/>
      <c r="F7133" s="117"/>
      <c r="G7133" s="138"/>
      <c r="H7133" s="177"/>
    </row>
    <row r="7134" spans="1:8" s="139" customFormat="1" ht="13.5" customHeight="1" x14ac:dyDescent="0.35">
      <c r="A7134" s="391" t="s">
        <v>535</v>
      </c>
      <c r="B7134" s="393" t="s">
        <v>1352</v>
      </c>
      <c r="C7134" s="224" t="s">
        <v>7</v>
      </c>
      <c r="D7134" s="146"/>
      <c r="E7134" s="117"/>
      <c r="F7134" s="117"/>
      <c r="G7134" s="138"/>
      <c r="H7134" s="177"/>
    </row>
    <row r="7135" spans="1:8" s="139" customFormat="1" ht="13.5" customHeight="1" x14ac:dyDescent="0.35">
      <c r="A7135" s="146"/>
      <c r="B7135" s="112" t="s">
        <v>802</v>
      </c>
      <c r="C7135" s="124"/>
      <c r="D7135" s="146"/>
      <c r="E7135" s="117"/>
      <c r="F7135" s="117"/>
      <c r="G7135" s="138"/>
      <c r="H7135" s="177"/>
    </row>
    <row r="7136" spans="1:8" s="139" customFormat="1" ht="13.5" customHeight="1" x14ac:dyDescent="0.35">
      <c r="A7136" s="146"/>
      <c r="B7136" s="162" t="s">
        <v>1353</v>
      </c>
      <c r="C7136" s="124" t="s">
        <v>59</v>
      </c>
      <c r="D7136" s="146">
        <v>1</v>
      </c>
      <c r="E7136" s="117">
        <v>651920</v>
      </c>
      <c r="F7136" s="117">
        <f>D7136*E7136</f>
        <v>651920</v>
      </c>
      <c r="G7136" s="138"/>
      <c r="H7136" s="177"/>
    </row>
    <row r="7137" spans="1:8" s="139" customFormat="1" ht="13.5" customHeight="1" x14ac:dyDescent="0.35">
      <c r="A7137" s="146"/>
      <c r="B7137" s="162" t="s">
        <v>1042</v>
      </c>
      <c r="C7137" s="124"/>
      <c r="D7137" s="146"/>
      <c r="E7137" s="117"/>
      <c r="F7137" s="117">
        <f>0.1*F7136</f>
        <v>65192</v>
      </c>
      <c r="G7137" s="138"/>
      <c r="H7137" s="177"/>
    </row>
    <row r="7138" spans="1:8" s="139" customFormat="1" ht="13.5" customHeight="1" x14ac:dyDescent="0.35">
      <c r="A7138" s="146"/>
      <c r="B7138" s="108" t="s">
        <v>769</v>
      </c>
      <c r="C7138" s="124"/>
      <c r="D7138" s="146"/>
      <c r="E7138" s="117"/>
      <c r="F7138" s="110">
        <f>SUM(F7136:F7137)</f>
        <v>717112</v>
      </c>
      <c r="G7138" s="138"/>
      <c r="H7138" s="177"/>
    </row>
    <row r="7139" spans="1:8" s="139" customFormat="1" ht="13.5" customHeight="1" x14ac:dyDescent="0.3">
      <c r="A7139" s="146"/>
      <c r="B7139" s="148" t="s">
        <v>808</v>
      </c>
      <c r="C7139" s="124"/>
      <c r="D7139" s="146"/>
      <c r="E7139" s="117"/>
      <c r="F7139" s="117"/>
      <c r="G7139" s="138"/>
      <c r="H7139" s="177"/>
    </row>
    <row r="7140" spans="1:8" s="139" customFormat="1" ht="13.5" customHeight="1" x14ac:dyDescent="0.25">
      <c r="A7140" s="146"/>
      <c r="B7140" s="149" t="s">
        <v>787</v>
      </c>
      <c r="C7140" s="124" t="s">
        <v>1043</v>
      </c>
      <c r="D7140" s="146">
        <v>3</v>
      </c>
      <c r="E7140" s="117">
        <v>15000</v>
      </c>
      <c r="F7140" s="117">
        <f>+D7140*E7140</f>
        <v>45000</v>
      </c>
      <c r="G7140" s="138"/>
      <c r="H7140" s="177"/>
    </row>
    <row r="7141" spans="1:8" s="139" customFormat="1" ht="13.5" customHeight="1" x14ac:dyDescent="0.3">
      <c r="A7141" s="146"/>
      <c r="B7141" s="148" t="s">
        <v>774</v>
      </c>
      <c r="C7141" s="124"/>
      <c r="D7141" s="146"/>
      <c r="E7141" s="117"/>
      <c r="F7141" s="110">
        <f>SUM(F7140)</f>
        <v>45000</v>
      </c>
      <c r="G7141" s="138"/>
      <c r="H7141" s="177"/>
    </row>
    <row r="7142" spans="1:8" s="139" customFormat="1" ht="13.5" customHeight="1" x14ac:dyDescent="0.3">
      <c r="A7142" s="146"/>
      <c r="B7142" s="148" t="s">
        <v>775</v>
      </c>
      <c r="C7142" s="124"/>
      <c r="D7142" s="146"/>
      <c r="E7142" s="117"/>
      <c r="F7142" s="110">
        <f>+F7138+F7141</f>
        <v>762112</v>
      </c>
      <c r="G7142" s="138"/>
      <c r="H7142" s="177"/>
    </row>
    <row r="7143" spans="1:8" s="139" customFormat="1" ht="13.5" customHeight="1" x14ac:dyDescent="0.25">
      <c r="A7143" s="146"/>
      <c r="B7143" s="134" t="s">
        <v>776</v>
      </c>
      <c r="C7143" s="124"/>
      <c r="D7143" s="146">
        <v>1.25</v>
      </c>
      <c r="E7143" s="117"/>
      <c r="F7143" s="110">
        <f>+F7142*D7143</f>
        <v>952640</v>
      </c>
      <c r="G7143" s="138"/>
      <c r="H7143" s="177"/>
    </row>
    <row r="7144" spans="1:8" s="139" customFormat="1" ht="13.5" customHeight="1" x14ac:dyDescent="0.25">
      <c r="A7144" s="146"/>
      <c r="B7144" s="134" t="s">
        <v>835</v>
      </c>
      <c r="C7144" s="124"/>
      <c r="D7144" s="146">
        <v>1.25</v>
      </c>
      <c r="E7144" s="117"/>
      <c r="F7144" s="110"/>
      <c r="G7144" s="138"/>
      <c r="H7144" s="177"/>
    </row>
    <row r="7145" spans="1:8" s="139" customFormat="1" ht="13.5" customHeight="1" x14ac:dyDescent="0.35">
      <c r="A7145" s="233" t="str">
        <f>A7134</f>
        <v>13.36.2</v>
      </c>
      <c r="B7145" s="242" t="s">
        <v>778</v>
      </c>
      <c r="C7145" s="208" t="s">
        <v>7</v>
      </c>
      <c r="D7145" s="335"/>
      <c r="E7145" s="336"/>
      <c r="F7145" s="209">
        <f>+D7144*F7143</f>
        <v>1190800</v>
      </c>
      <c r="G7145" s="138"/>
      <c r="H7145" s="177"/>
    </row>
    <row r="7146" spans="1:8" s="139" customFormat="1" ht="13.5" customHeight="1" x14ac:dyDescent="0.35">
      <c r="A7146" s="335"/>
      <c r="B7146" s="207"/>
      <c r="C7146" s="337"/>
      <c r="D7146" s="335"/>
      <c r="E7146" s="210">
        <f>+E7129</f>
        <v>3035.45</v>
      </c>
      <c r="F7146" s="210">
        <f>+F7145/E7146</f>
        <v>392.29768238646659</v>
      </c>
      <c r="G7146" s="138"/>
      <c r="H7146" s="177"/>
    </row>
    <row r="7147" spans="1:8" s="139" customFormat="1" ht="13.5" customHeight="1" x14ac:dyDescent="0.35">
      <c r="A7147" s="163"/>
      <c r="B7147" s="164"/>
      <c r="C7147" s="165"/>
      <c r="E7147" s="166"/>
      <c r="F7147" s="166"/>
      <c r="G7147" s="138"/>
      <c r="H7147" s="177"/>
    </row>
    <row r="7148" spans="1:8" s="139" customFormat="1" ht="13.5" customHeight="1" x14ac:dyDescent="0.35">
      <c r="A7148" s="163"/>
      <c r="B7148" s="164"/>
      <c r="C7148" s="165"/>
      <c r="E7148" s="166"/>
      <c r="F7148" s="166"/>
      <c r="G7148" s="138"/>
      <c r="H7148" s="177"/>
    </row>
    <row r="7149" spans="1:8" ht="16.5" customHeight="1" x14ac:dyDescent="0.3">
      <c r="A7149" s="257" t="s">
        <v>537</v>
      </c>
      <c r="B7149" s="258" t="s">
        <v>1094</v>
      </c>
      <c r="C7149" s="368" t="s">
        <v>611</v>
      </c>
      <c r="D7149" s="369" t="s">
        <v>765</v>
      </c>
      <c r="E7149" s="370" t="s">
        <v>766</v>
      </c>
      <c r="F7149" s="370" t="s">
        <v>767</v>
      </c>
    </row>
    <row r="7150" spans="1:8" ht="17.25" customHeight="1" x14ac:dyDescent="0.35">
      <c r="A7150" s="239" t="s">
        <v>538</v>
      </c>
      <c r="B7150" s="219" t="s">
        <v>1229</v>
      </c>
      <c r="C7150" s="109" t="s">
        <v>35</v>
      </c>
      <c r="D7150" s="146"/>
      <c r="E7150" s="117"/>
      <c r="F7150" s="117"/>
    </row>
    <row r="7151" spans="1:8" s="139" customFormat="1" ht="19.5" customHeight="1" x14ac:dyDescent="0.35">
      <c r="A7151" s="146"/>
      <c r="B7151" s="196" t="s">
        <v>1230</v>
      </c>
      <c r="C7151" s="124"/>
      <c r="D7151" s="146"/>
      <c r="E7151" s="117"/>
      <c r="F7151" s="117"/>
      <c r="G7151" s="138"/>
      <c r="H7151" s="177"/>
    </row>
    <row r="7152" spans="1:8" ht="16.5" customHeight="1" x14ac:dyDescent="0.35">
      <c r="A7152" s="111"/>
      <c r="B7152" s="197" t="s">
        <v>1101</v>
      </c>
      <c r="C7152" s="115" t="s">
        <v>38</v>
      </c>
      <c r="D7152" s="115">
        <v>0.1</v>
      </c>
      <c r="E7152" s="117">
        <f>F591</f>
        <v>17500</v>
      </c>
      <c r="F7152" s="121">
        <f>D7152*E7152</f>
        <v>1750</v>
      </c>
    </row>
    <row r="7153" spans="1:12" ht="16.5" customHeight="1" x14ac:dyDescent="0.35">
      <c r="A7153" s="111"/>
      <c r="B7153" s="197" t="s">
        <v>1231</v>
      </c>
      <c r="C7153" s="115" t="s">
        <v>38</v>
      </c>
      <c r="D7153" s="115">
        <v>0.1</v>
      </c>
      <c r="E7153" s="117">
        <f>180000/3.5</f>
        <v>51428.571428571428</v>
      </c>
      <c r="F7153" s="121">
        <f>D7153*E7153</f>
        <v>5142.8571428571431</v>
      </c>
    </row>
    <row r="7154" spans="1:12" ht="16.5" customHeight="1" x14ac:dyDescent="0.35">
      <c r="A7154" s="111"/>
      <c r="B7154" s="197" t="s">
        <v>1232</v>
      </c>
      <c r="C7154" s="115" t="s">
        <v>7</v>
      </c>
      <c r="D7154" s="115">
        <v>1</v>
      </c>
      <c r="E7154" s="117">
        <v>20000</v>
      </c>
      <c r="F7154" s="121">
        <f>D7154*E7154</f>
        <v>20000</v>
      </c>
    </row>
    <row r="7155" spans="1:12" ht="16.5" customHeight="1" x14ac:dyDescent="0.35">
      <c r="A7155" s="111"/>
      <c r="B7155" s="170" t="s">
        <v>769</v>
      </c>
      <c r="C7155" s="111"/>
      <c r="D7155" s="111"/>
      <c r="E7155" s="110"/>
      <c r="F7155" s="114">
        <f>SUM(F7152:F7154)</f>
        <v>26892.857142857145</v>
      </c>
    </row>
    <row r="7156" spans="1:12" ht="16.5" customHeight="1" x14ac:dyDescent="0.35">
      <c r="A7156" s="111"/>
      <c r="B7156" s="170" t="s">
        <v>808</v>
      </c>
      <c r="C7156" s="111"/>
      <c r="D7156" s="111"/>
      <c r="E7156" s="110"/>
      <c r="F7156" s="114"/>
    </row>
    <row r="7157" spans="1:12" ht="16.5" customHeight="1" x14ac:dyDescent="0.35">
      <c r="A7157" s="111"/>
      <c r="B7157" s="197" t="s">
        <v>1233</v>
      </c>
      <c r="C7157" s="115" t="s">
        <v>1043</v>
      </c>
      <c r="D7157" s="115">
        <v>0.25</v>
      </c>
      <c r="E7157" s="117">
        <v>7500</v>
      </c>
      <c r="F7157" s="121">
        <f>+D7157*E7157</f>
        <v>1875</v>
      </c>
    </row>
    <row r="7158" spans="1:12" ht="16.5" customHeight="1" x14ac:dyDescent="0.35">
      <c r="A7158" s="111"/>
      <c r="B7158" s="170" t="s">
        <v>774</v>
      </c>
      <c r="C7158" s="111"/>
      <c r="D7158" s="111"/>
      <c r="E7158" s="110"/>
      <c r="F7158" s="114">
        <f>SUM(F7157)</f>
        <v>1875</v>
      </c>
    </row>
    <row r="7159" spans="1:12" ht="16.5" customHeight="1" x14ac:dyDescent="0.35">
      <c r="A7159" s="111"/>
      <c r="B7159" s="170" t="s">
        <v>775</v>
      </c>
      <c r="C7159" s="111"/>
      <c r="D7159" s="111"/>
      <c r="E7159" s="110"/>
      <c r="F7159" s="114">
        <f>+F7155+F7158</f>
        <v>28767.857142857145</v>
      </c>
    </row>
    <row r="7160" spans="1:12" ht="16.5" customHeight="1" x14ac:dyDescent="0.35">
      <c r="A7160" s="111"/>
      <c r="B7160" s="197" t="s">
        <v>812</v>
      </c>
      <c r="C7160" s="115"/>
      <c r="D7160" s="115">
        <v>1.1499999999999999</v>
      </c>
      <c r="E7160" s="117"/>
      <c r="F7160" s="121">
        <f>+F7159*D7160</f>
        <v>33083.035714285717</v>
      </c>
    </row>
    <row r="7161" spans="1:12" ht="16.5" customHeight="1" x14ac:dyDescent="0.35">
      <c r="A7161" s="111"/>
      <c r="B7161" s="197" t="s">
        <v>826</v>
      </c>
      <c r="C7161" s="115"/>
      <c r="D7161" s="115">
        <v>1.2</v>
      </c>
      <c r="E7161" s="117"/>
      <c r="F7161" s="121"/>
    </row>
    <row r="7162" spans="1:12" s="139" customFormat="1" ht="19.5" customHeight="1" x14ac:dyDescent="0.35">
      <c r="A7162" s="340" t="s">
        <v>538</v>
      </c>
      <c r="B7162" s="207" t="s">
        <v>789</v>
      </c>
      <c r="C7162" s="208" t="s">
        <v>35</v>
      </c>
      <c r="D7162" s="335"/>
      <c r="E7162" s="210"/>
      <c r="F7162" s="209">
        <f>+D7161*F7160</f>
        <v>39699.642857142862</v>
      </c>
      <c r="G7162" s="138"/>
      <c r="H7162" s="177"/>
    </row>
    <row r="7163" spans="1:12" s="139" customFormat="1" ht="18" customHeight="1" x14ac:dyDescent="0.35">
      <c r="A7163" s="340"/>
      <c r="B7163" s="207"/>
      <c r="C7163" s="337"/>
      <c r="D7163" s="335"/>
      <c r="E7163" s="210">
        <f>+E7112</f>
        <v>3035.45</v>
      </c>
      <c r="F7163" s="210">
        <f>+F7162/E7163</f>
        <v>13.078668025216315</v>
      </c>
      <c r="G7163" s="138"/>
      <c r="H7163" s="177"/>
    </row>
    <row r="7164" spans="1:12" ht="13.5" customHeight="1" x14ac:dyDescent="0.35">
      <c r="A7164" s="198"/>
      <c r="B7164" s="106"/>
      <c r="C7164" s="165"/>
      <c r="E7164" s="161"/>
      <c r="F7164" s="161"/>
      <c r="G7164" s="138"/>
      <c r="H7164" s="177"/>
      <c r="I7164" s="139"/>
      <c r="J7164" s="139"/>
      <c r="K7164" s="139"/>
      <c r="L7164" s="139"/>
    </row>
    <row r="7165" spans="1:12" ht="16.5" customHeight="1" x14ac:dyDescent="0.35">
      <c r="A7165" s="198"/>
      <c r="B7165" s="106"/>
      <c r="C7165" s="165"/>
      <c r="D7165" s="163"/>
      <c r="E7165" s="161"/>
      <c r="F7165" s="161"/>
      <c r="G7165" s="138"/>
      <c r="H7165" s="177"/>
      <c r="I7165" s="139"/>
      <c r="J7165" s="139"/>
      <c r="K7165" s="139"/>
      <c r="L7165" s="139"/>
    </row>
    <row r="7166" spans="1:12" ht="16.5" customHeight="1" x14ac:dyDescent="0.3">
      <c r="A7166" s="257" t="s">
        <v>537</v>
      </c>
      <c r="B7166" s="258" t="s">
        <v>1094</v>
      </c>
      <c r="C7166" s="368" t="s">
        <v>611</v>
      </c>
      <c r="D7166" s="369" t="s">
        <v>765</v>
      </c>
      <c r="E7166" s="370" t="s">
        <v>766</v>
      </c>
      <c r="F7166" s="370" t="s">
        <v>767</v>
      </c>
      <c r="G7166" s="138"/>
      <c r="H7166" s="177"/>
      <c r="I7166" s="139"/>
      <c r="J7166" s="139"/>
      <c r="K7166" s="139"/>
      <c r="L7166" s="139"/>
    </row>
    <row r="7167" spans="1:12" ht="16.5" customHeight="1" x14ac:dyDescent="0.35">
      <c r="A7167" s="239" t="s">
        <v>540</v>
      </c>
      <c r="B7167" s="219" t="s">
        <v>1341</v>
      </c>
      <c r="C7167" s="109" t="s">
        <v>35</v>
      </c>
      <c r="D7167" s="146"/>
      <c r="E7167" s="117"/>
      <c r="F7167" s="117"/>
      <c r="G7167" s="138"/>
      <c r="H7167" s="177"/>
      <c r="I7167" s="139"/>
      <c r="J7167" s="139"/>
      <c r="K7167" s="139"/>
      <c r="L7167" s="139"/>
    </row>
    <row r="7168" spans="1:12" ht="16.5" customHeight="1" x14ac:dyDescent="0.35">
      <c r="A7168" s="146"/>
      <c r="B7168" s="196" t="s">
        <v>1230</v>
      </c>
      <c r="C7168" s="124"/>
      <c r="D7168" s="146"/>
      <c r="E7168" s="117"/>
      <c r="F7168" s="117"/>
      <c r="G7168" s="138"/>
      <c r="H7168" s="177"/>
      <c r="I7168" s="139"/>
      <c r="J7168" s="139"/>
      <c r="K7168" s="139"/>
      <c r="L7168" s="139"/>
    </row>
    <row r="7169" spans="1:12" ht="16.5" customHeight="1" x14ac:dyDescent="0.35">
      <c r="A7169" s="111"/>
      <c r="B7169" s="197" t="s">
        <v>1101</v>
      </c>
      <c r="C7169" s="115" t="s">
        <v>38</v>
      </c>
      <c r="D7169" s="115">
        <v>0.1</v>
      </c>
      <c r="E7169" s="117">
        <v>17500</v>
      </c>
      <c r="F7169" s="121">
        <f>D7169*E7169</f>
        <v>1750</v>
      </c>
      <c r="G7169" s="138"/>
      <c r="H7169" s="177"/>
      <c r="I7169" s="139"/>
      <c r="J7169" s="139"/>
      <c r="K7169" s="139"/>
      <c r="L7169" s="139"/>
    </row>
    <row r="7170" spans="1:12" ht="16.5" customHeight="1" x14ac:dyDescent="0.35">
      <c r="A7170" s="111"/>
      <c r="B7170" s="197" t="s">
        <v>856</v>
      </c>
      <c r="C7170" s="115" t="s">
        <v>38</v>
      </c>
      <c r="D7170" s="115">
        <v>2.5000000000000001E-2</v>
      </c>
      <c r="E7170" s="117">
        <v>55000</v>
      </c>
      <c r="F7170" s="121">
        <f>D7170*E7170</f>
        <v>1375</v>
      </c>
      <c r="G7170" s="138"/>
      <c r="H7170" s="177"/>
      <c r="I7170" s="139"/>
      <c r="J7170" s="139"/>
      <c r="K7170" s="139"/>
      <c r="L7170" s="139"/>
    </row>
    <row r="7171" spans="1:12" ht="16.5" customHeight="1" x14ac:dyDescent="0.35">
      <c r="A7171" s="111"/>
      <c r="B7171" s="197" t="s">
        <v>1235</v>
      </c>
      <c r="C7171" s="115" t="s">
        <v>59</v>
      </c>
      <c r="D7171" s="115">
        <v>13</v>
      </c>
      <c r="E7171" s="117">
        <v>5000</v>
      </c>
      <c r="F7171" s="121">
        <f>D7171*E7171</f>
        <v>65000</v>
      </c>
      <c r="G7171" s="138"/>
      <c r="H7171" s="177"/>
      <c r="I7171" s="139"/>
      <c r="J7171" s="139"/>
      <c r="K7171" s="139"/>
      <c r="L7171" s="139"/>
    </row>
    <row r="7172" spans="1:12" ht="16.5" customHeight="1" x14ac:dyDescent="0.35">
      <c r="A7172" s="111"/>
      <c r="B7172" s="197" t="s">
        <v>1232</v>
      </c>
      <c r="C7172" s="115" t="s">
        <v>7</v>
      </c>
      <c r="D7172" s="115">
        <v>1</v>
      </c>
      <c r="E7172" s="117">
        <v>20000</v>
      </c>
      <c r="F7172" s="121">
        <f>D7172*E7172</f>
        <v>20000</v>
      </c>
      <c r="G7172" s="138"/>
      <c r="H7172" s="177"/>
      <c r="I7172" s="139"/>
      <c r="J7172" s="139"/>
      <c r="K7172" s="139"/>
      <c r="L7172" s="139"/>
    </row>
    <row r="7173" spans="1:12" ht="16.5" customHeight="1" x14ac:dyDescent="0.35">
      <c r="A7173" s="111"/>
      <c r="B7173" s="170" t="s">
        <v>769</v>
      </c>
      <c r="C7173" s="111"/>
      <c r="D7173" s="111"/>
      <c r="E7173" s="110"/>
      <c r="F7173" s="114">
        <f>SUM(F7169:F7172)</f>
        <v>88125</v>
      </c>
      <c r="G7173" s="138"/>
      <c r="H7173" s="177"/>
      <c r="I7173" s="139"/>
      <c r="J7173" s="139"/>
      <c r="K7173" s="139"/>
      <c r="L7173" s="139"/>
    </row>
    <row r="7174" spans="1:12" ht="16.5" customHeight="1" x14ac:dyDescent="0.35">
      <c r="A7174" s="111"/>
      <c r="B7174" s="170" t="s">
        <v>808</v>
      </c>
      <c r="C7174" s="111"/>
      <c r="D7174" s="111"/>
      <c r="E7174" s="110"/>
      <c r="F7174" s="114"/>
      <c r="G7174" s="138"/>
      <c r="H7174" s="177"/>
      <c r="I7174" s="139"/>
      <c r="J7174" s="139"/>
      <c r="K7174" s="139"/>
      <c r="L7174" s="139"/>
    </row>
    <row r="7175" spans="1:12" ht="16.5" customHeight="1" x14ac:dyDescent="0.35">
      <c r="A7175" s="111"/>
      <c r="B7175" s="197" t="s">
        <v>1233</v>
      </c>
      <c r="C7175" s="115" t="s">
        <v>1043</v>
      </c>
      <c r="D7175" s="115">
        <v>0.25</v>
      </c>
      <c r="E7175" s="117">
        <v>7500</v>
      </c>
      <c r="F7175" s="121">
        <f>+E7175*D7175</f>
        <v>1875</v>
      </c>
      <c r="G7175" s="138"/>
      <c r="H7175" s="177"/>
      <c r="I7175" s="139"/>
      <c r="J7175" s="139"/>
      <c r="K7175" s="139"/>
      <c r="L7175" s="139"/>
    </row>
    <row r="7176" spans="1:12" ht="16.5" customHeight="1" x14ac:dyDescent="0.35">
      <c r="A7176" s="111"/>
      <c r="B7176" s="170" t="s">
        <v>774</v>
      </c>
      <c r="C7176" s="111"/>
      <c r="D7176" s="111"/>
      <c r="E7176" s="110"/>
      <c r="F7176" s="114">
        <f>+F7175</f>
        <v>1875</v>
      </c>
      <c r="G7176" s="138"/>
      <c r="H7176" s="177"/>
      <c r="I7176" s="139"/>
      <c r="J7176" s="139"/>
      <c r="K7176" s="139"/>
      <c r="L7176" s="139"/>
    </row>
    <row r="7177" spans="1:12" ht="16.5" customHeight="1" x14ac:dyDescent="0.35">
      <c r="A7177" s="111"/>
      <c r="B7177" s="170" t="s">
        <v>775</v>
      </c>
      <c r="C7177" s="111"/>
      <c r="D7177" s="111"/>
      <c r="E7177" s="110"/>
      <c r="F7177" s="114">
        <f>+F7176+F7173</f>
        <v>90000</v>
      </c>
      <c r="G7177" s="138"/>
      <c r="H7177" s="177"/>
      <c r="I7177" s="139"/>
      <c r="J7177" s="139"/>
      <c r="K7177" s="139"/>
      <c r="L7177" s="139"/>
    </row>
    <row r="7178" spans="1:12" ht="16.5" customHeight="1" x14ac:dyDescent="0.35">
      <c r="A7178" s="111"/>
      <c r="B7178" s="197" t="s">
        <v>812</v>
      </c>
      <c r="C7178" s="115"/>
      <c r="D7178" s="115">
        <v>1.1499999999999999</v>
      </c>
      <c r="E7178" s="117"/>
      <c r="F7178" s="121">
        <f>+F7177*D7178</f>
        <v>103499.99999999999</v>
      </c>
      <c r="G7178" s="138"/>
      <c r="H7178" s="177"/>
      <c r="I7178" s="139"/>
      <c r="J7178" s="139"/>
      <c r="K7178" s="139"/>
      <c r="L7178" s="139"/>
    </row>
    <row r="7179" spans="1:12" ht="16.5" customHeight="1" x14ac:dyDescent="0.35">
      <c r="A7179" s="111"/>
      <c r="B7179" s="197" t="s">
        <v>826</v>
      </c>
      <c r="C7179" s="115"/>
      <c r="D7179" s="115">
        <v>1.2</v>
      </c>
      <c r="E7179" s="117"/>
      <c r="F7179" s="121"/>
      <c r="G7179" s="138"/>
      <c r="H7179" s="177"/>
      <c r="I7179" s="139"/>
      <c r="J7179" s="139"/>
      <c r="K7179" s="139"/>
      <c r="L7179" s="139"/>
    </row>
    <row r="7180" spans="1:12" ht="16.5" customHeight="1" x14ac:dyDescent="0.35">
      <c r="A7180" s="340" t="s">
        <v>540</v>
      </c>
      <c r="B7180" s="207" t="s">
        <v>789</v>
      </c>
      <c r="C7180" s="208" t="s">
        <v>35</v>
      </c>
      <c r="D7180" s="335"/>
      <c r="E7180" s="210"/>
      <c r="F7180" s="209">
        <f>+F7178*D7179</f>
        <v>124199.99999999997</v>
      </c>
      <c r="G7180" s="138"/>
      <c r="H7180" s="177"/>
      <c r="I7180" s="139"/>
      <c r="J7180" s="139"/>
      <c r="K7180" s="139"/>
      <c r="L7180" s="139"/>
    </row>
    <row r="7181" spans="1:12" ht="16.5" customHeight="1" x14ac:dyDescent="0.35">
      <c r="A7181" s="340"/>
      <c r="B7181" s="207"/>
      <c r="C7181" s="337"/>
      <c r="D7181" s="335"/>
      <c r="E7181" s="210">
        <f>+E7163</f>
        <v>3035.45</v>
      </c>
      <c r="F7181" s="210">
        <f>+F7180/E7181</f>
        <v>40.916503319112479</v>
      </c>
      <c r="G7181" s="138"/>
      <c r="H7181" s="177"/>
      <c r="I7181" s="139"/>
      <c r="J7181" s="139"/>
      <c r="K7181" s="139"/>
      <c r="L7181" s="139"/>
    </row>
    <row r="7182" spans="1:12" ht="16.5" customHeight="1" x14ac:dyDescent="0.35">
      <c r="A7182" s="198"/>
      <c r="B7182" s="106"/>
      <c r="C7182" s="165"/>
      <c r="D7182" s="163"/>
      <c r="E7182" s="161"/>
      <c r="F7182" s="161"/>
      <c r="G7182" s="138"/>
      <c r="H7182" s="177"/>
      <c r="I7182" s="139"/>
      <c r="J7182" s="139"/>
      <c r="K7182" s="139"/>
      <c r="L7182" s="139"/>
    </row>
    <row r="7183" spans="1:12" ht="16.5" customHeight="1" x14ac:dyDescent="0.35">
      <c r="A7183" s="198"/>
      <c r="B7183" s="106"/>
      <c r="C7183" s="165"/>
      <c r="D7183" s="163"/>
      <c r="E7183" s="161"/>
      <c r="F7183" s="161"/>
      <c r="G7183" s="138"/>
      <c r="H7183" s="177"/>
      <c r="I7183" s="139"/>
      <c r="J7183" s="139"/>
      <c r="K7183" s="139"/>
      <c r="L7183" s="139"/>
    </row>
    <row r="7184" spans="1:12" ht="15" customHeight="1" x14ac:dyDescent="0.35">
      <c r="A7184" s="257" t="s">
        <v>537</v>
      </c>
      <c r="B7184" s="371" t="s">
        <v>1094</v>
      </c>
      <c r="C7184" s="368" t="s">
        <v>611</v>
      </c>
      <c r="D7184" s="369" t="s">
        <v>765</v>
      </c>
      <c r="E7184" s="370" t="s">
        <v>766</v>
      </c>
      <c r="F7184" s="370" t="s">
        <v>767</v>
      </c>
      <c r="G7184" s="138"/>
      <c r="H7184" s="177"/>
      <c r="I7184" s="139"/>
      <c r="J7184" s="139"/>
      <c r="K7184" s="139"/>
      <c r="L7184" s="139"/>
    </row>
    <row r="7185" spans="1:12" ht="16.5" customHeight="1" x14ac:dyDescent="0.35">
      <c r="A7185" s="239" t="s">
        <v>540</v>
      </c>
      <c r="B7185" s="372" t="s">
        <v>1234</v>
      </c>
      <c r="C7185" s="330" t="s">
        <v>539</v>
      </c>
      <c r="D7185" s="146"/>
      <c r="E7185" s="117"/>
      <c r="F7185" s="117"/>
      <c r="G7185" s="138"/>
      <c r="H7185" s="177"/>
      <c r="I7185" s="139"/>
      <c r="J7185" s="139"/>
      <c r="K7185" s="139"/>
      <c r="L7185" s="139"/>
    </row>
    <row r="7186" spans="1:12" ht="16.5" customHeight="1" x14ac:dyDescent="0.35">
      <c r="A7186" s="239" t="s">
        <v>541</v>
      </c>
      <c r="B7186" s="372" t="s">
        <v>542</v>
      </c>
      <c r="C7186" s="330" t="s">
        <v>539</v>
      </c>
      <c r="D7186" s="146"/>
      <c r="E7186" s="117"/>
      <c r="F7186" s="117"/>
      <c r="G7186" s="138"/>
      <c r="H7186" s="177"/>
      <c r="I7186" s="139"/>
      <c r="J7186" s="139"/>
      <c r="K7186" s="139"/>
      <c r="L7186" s="139"/>
    </row>
    <row r="7187" spans="1:12" ht="15" customHeight="1" x14ac:dyDescent="0.35">
      <c r="A7187" s="146"/>
      <c r="B7187" s="196" t="s">
        <v>1230</v>
      </c>
      <c r="C7187" s="124"/>
      <c r="D7187" s="146"/>
      <c r="E7187" s="117"/>
      <c r="F7187" s="117"/>
      <c r="G7187" s="138"/>
      <c r="H7187" s="177"/>
      <c r="I7187" s="139"/>
      <c r="J7187" s="139"/>
      <c r="K7187" s="139"/>
      <c r="L7187" s="139"/>
    </row>
    <row r="7188" spans="1:12" ht="16.5" customHeight="1" x14ac:dyDescent="0.35">
      <c r="A7188" s="111"/>
      <c r="B7188" s="197" t="s">
        <v>1101</v>
      </c>
      <c r="C7188" s="115" t="s">
        <v>38</v>
      </c>
      <c r="D7188" s="115">
        <v>0.05</v>
      </c>
      <c r="E7188" s="117">
        <f>F591</f>
        <v>17500</v>
      </c>
      <c r="F7188" s="121">
        <f>D7188*E7188</f>
        <v>875</v>
      </c>
      <c r="G7188" s="138"/>
      <c r="H7188" s="177"/>
      <c r="I7188" s="139"/>
      <c r="J7188" s="139"/>
      <c r="K7188" s="139"/>
      <c r="L7188" s="139"/>
    </row>
    <row r="7189" spans="1:12" ht="16.5" customHeight="1" x14ac:dyDescent="0.35">
      <c r="A7189" s="111"/>
      <c r="B7189" s="197" t="s">
        <v>856</v>
      </c>
      <c r="C7189" s="115" t="s">
        <v>38</v>
      </c>
      <c r="D7189" s="115">
        <f>1*1*0.025</f>
        <v>2.5000000000000001E-2</v>
      </c>
      <c r="E7189" s="117">
        <v>55000</v>
      </c>
      <c r="F7189" s="121">
        <f>D7189*E7189</f>
        <v>1375</v>
      </c>
      <c r="G7189" s="138"/>
      <c r="H7189" s="177"/>
      <c r="I7189" s="139"/>
      <c r="J7189" s="139"/>
      <c r="K7189" s="139"/>
      <c r="L7189" s="139"/>
    </row>
    <row r="7190" spans="1:12" ht="16.5" customHeight="1" x14ac:dyDescent="0.35">
      <c r="A7190" s="111"/>
      <c r="B7190" s="197" t="s">
        <v>1235</v>
      </c>
      <c r="C7190" s="115" t="s">
        <v>59</v>
      </c>
      <c r="D7190" s="115">
        <v>13</v>
      </c>
      <c r="E7190" s="117">
        <v>5000</v>
      </c>
      <c r="F7190" s="121">
        <f>D7190*E7190</f>
        <v>65000</v>
      </c>
      <c r="G7190" s="138"/>
      <c r="H7190" s="177"/>
      <c r="I7190" s="139"/>
      <c r="J7190" s="139"/>
      <c r="K7190" s="139"/>
      <c r="L7190" s="139"/>
    </row>
    <row r="7191" spans="1:12" ht="16.5" customHeight="1" x14ac:dyDescent="0.35">
      <c r="A7191" s="111"/>
      <c r="B7191" s="197" t="s">
        <v>1232</v>
      </c>
      <c r="C7191" s="115" t="s">
        <v>7</v>
      </c>
      <c r="D7191" s="115">
        <v>1</v>
      </c>
      <c r="E7191" s="117">
        <v>20000</v>
      </c>
      <c r="F7191" s="121">
        <f>D7191*E7191</f>
        <v>20000</v>
      </c>
      <c r="G7191" s="138"/>
      <c r="H7191" s="177"/>
      <c r="I7191" s="139"/>
      <c r="J7191" s="139"/>
      <c r="K7191" s="139"/>
      <c r="L7191" s="139"/>
    </row>
    <row r="7192" spans="1:12" ht="15.75" customHeight="1" x14ac:dyDescent="0.35">
      <c r="A7192" s="111"/>
      <c r="B7192" s="170" t="s">
        <v>769</v>
      </c>
      <c r="C7192" s="111"/>
      <c r="D7192" s="111"/>
      <c r="E7192" s="110"/>
      <c r="F7192" s="114">
        <f>SUM(F7188:F7191)</f>
        <v>87250</v>
      </c>
      <c r="G7192" s="138"/>
      <c r="H7192" s="177"/>
      <c r="I7192" s="139"/>
      <c r="J7192" s="139"/>
      <c r="K7192" s="139"/>
      <c r="L7192" s="139"/>
    </row>
    <row r="7193" spans="1:12" ht="15.75" customHeight="1" x14ac:dyDescent="0.35">
      <c r="A7193" s="111"/>
      <c r="B7193" s="170" t="s">
        <v>808</v>
      </c>
      <c r="C7193" s="111"/>
      <c r="D7193" s="111"/>
      <c r="E7193" s="110"/>
      <c r="F7193" s="114"/>
      <c r="G7193" s="138"/>
      <c r="H7193" s="177"/>
      <c r="I7193" s="139"/>
      <c r="J7193" s="139"/>
      <c r="K7193" s="139"/>
      <c r="L7193" s="139"/>
    </row>
    <row r="7194" spans="1:12" ht="16.5" customHeight="1" x14ac:dyDescent="0.35">
      <c r="A7194" s="111"/>
      <c r="B7194" s="197" t="s">
        <v>1233</v>
      </c>
      <c r="C7194" s="115" t="s">
        <v>1043</v>
      </c>
      <c r="D7194" s="115">
        <v>0.15</v>
      </c>
      <c r="E7194" s="117">
        <v>7500</v>
      </c>
      <c r="F7194" s="121">
        <f>+D7194*E7194</f>
        <v>1125</v>
      </c>
      <c r="G7194" s="138"/>
      <c r="H7194" s="177"/>
      <c r="I7194" s="139"/>
      <c r="J7194" s="139"/>
      <c r="K7194" s="139"/>
      <c r="L7194" s="139"/>
    </row>
    <row r="7195" spans="1:12" ht="15.75" customHeight="1" x14ac:dyDescent="0.35">
      <c r="A7195" s="111"/>
      <c r="B7195" s="170" t="s">
        <v>774</v>
      </c>
      <c r="C7195" s="111"/>
      <c r="D7195" s="111"/>
      <c r="E7195" s="110"/>
      <c r="F7195" s="114">
        <f>SUM(F7194)</f>
        <v>1125</v>
      </c>
      <c r="G7195" s="138"/>
      <c r="H7195" s="177"/>
      <c r="I7195" s="139"/>
      <c r="J7195" s="139"/>
      <c r="K7195" s="139"/>
      <c r="L7195" s="139"/>
    </row>
    <row r="7196" spans="1:12" ht="15.75" customHeight="1" x14ac:dyDescent="0.35">
      <c r="A7196" s="111"/>
      <c r="B7196" s="170" t="s">
        <v>775</v>
      </c>
      <c r="C7196" s="111"/>
      <c r="D7196" s="111"/>
      <c r="E7196" s="110"/>
      <c r="F7196" s="114">
        <f>+F7192+F7195</f>
        <v>88375</v>
      </c>
      <c r="G7196" s="138"/>
      <c r="H7196" s="177"/>
      <c r="I7196" s="139"/>
      <c r="J7196" s="139"/>
      <c r="K7196" s="139"/>
      <c r="L7196" s="139"/>
    </row>
    <row r="7197" spans="1:12" ht="16.5" customHeight="1" x14ac:dyDescent="0.35">
      <c r="A7197" s="111"/>
      <c r="B7197" s="197" t="s">
        <v>956</v>
      </c>
      <c r="C7197" s="115"/>
      <c r="D7197" s="115">
        <v>1.02</v>
      </c>
      <c r="E7197" s="117"/>
      <c r="F7197" s="121">
        <f>+F7196*D7197</f>
        <v>90142.5</v>
      </c>
      <c r="G7197" s="138"/>
      <c r="H7197" s="177"/>
      <c r="I7197" s="139"/>
      <c r="J7197" s="139"/>
      <c r="K7197" s="139"/>
      <c r="L7197" s="139"/>
    </row>
    <row r="7198" spans="1:12" ht="16.5" customHeight="1" x14ac:dyDescent="0.35">
      <c r="A7198" s="111"/>
      <c r="B7198" s="197" t="s">
        <v>848</v>
      </c>
      <c r="C7198" s="115"/>
      <c r="D7198" s="115">
        <v>1.05</v>
      </c>
      <c r="E7198" s="117"/>
      <c r="F7198" s="121"/>
      <c r="G7198" s="138"/>
      <c r="H7198" s="177"/>
      <c r="I7198" s="139"/>
      <c r="J7198" s="139"/>
      <c r="K7198" s="139"/>
      <c r="L7198" s="139"/>
    </row>
    <row r="7199" spans="1:12" ht="23.25" customHeight="1" x14ac:dyDescent="0.35">
      <c r="A7199" s="340" t="s">
        <v>1236</v>
      </c>
      <c r="B7199" s="242" t="s">
        <v>789</v>
      </c>
      <c r="C7199" s="208" t="s">
        <v>35</v>
      </c>
      <c r="D7199" s="335"/>
      <c r="E7199" s="210"/>
      <c r="F7199" s="209">
        <f>+D7198*F7197</f>
        <v>94649.625</v>
      </c>
      <c r="G7199" s="138"/>
      <c r="H7199" s="177"/>
      <c r="I7199" s="139"/>
      <c r="J7199" s="139"/>
      <c r="K7199" s="139"/>
      <c r="L7199" s="139"/>
    </row>
    <row r="7200" spans="1:12" ht="17.25" customHeight="1" x14ac:dyDescent="0.35">
      <c r="A7200" s="340"/>
      <c r="B7200" s="242"/>
      <c r="C7200" s="208"/>
      <c r="D7200" s="335"/>
      <c r="E7200" s="210">
        <f>+E7163</f>
        <v>3035.45</v>
      </c>
      <c r="F7200" s="210">
        <f>+F7199/E7200</f>
        <v>31.181414617272566</v>
      </c>
      <c r="G7200" s="138"/>
      <c r="H7200" s="177"/>
      <c r="I7200" s="139"/>
      <c r="J7200" s="139"/>
      <c r="K7200" s="139"/>
      <c r="L7200" s="139"/>
    </row>
    <row r="7201" spans="1:12" ht="16.5" customHeight="1" x14ac:dyDescent="0.35">
      <c r="A7201" s="198"/>
      <c r="B7201" s="106"/>
      <c r="C7201" s="165"/>
      <c r="E7201" s="161"/>
      <c r="F7201" s="161"/>
      <c r="G7201" s="138"/>
      <c r="H7201" s="177"/>
      <c r="I7201" s="139"/>
      <c r="J7201" s="139"/>
      <c r="K7201" s="139"/>
      <c r="L7201" s="139"/>
    </row>
    <row r="7202" spans="1:12" ht="16.5" customHeight="1" x14ac:dyDescent="0.35">
      <c r="A7202" s="198"/>
      <c r="B7202" s="106"/>
      <c r="C7202" s="165"/>
      <c r="E7202" s="161"/>
      <c r="F7202" s="161"/>
      <c r="G7202" s="138"/>
      <c r="H7202" s="177"/>
      <c r="I7202" s="139"/>
      <c r="J7202" s="139"/>
      <c r="K7202" s="139"/>
      <c r="L7202" s="139"/>
    </row>
    <row r="7203" spans="1:12" ht="16.5" customHeight="1" x14ac:dyDescent="0.35">
      <c r="A7203" s="239" t="s">
        <v>540</v>
      </c>
      <c r="B7203" s="372" t="s">
        <v>1234</v>
      </c>
      <c r="C7203" s="330"/>
      <c r="D7203" s="146"/>
      <c r="E7203" s="117"/>
      <c r="F7203" s="117"/>
      <c r="G7203" s="138"/>
      <c r="H7203" s="177"/>
      <c r="I7203" s="139"/>
      <c r="J7203" s="139"/>
      <c r="K7203" s="139"/>
      <c r="L7203" s="139"/>
    </row>
    <row r="7204" spans="1:12" ht="16.5" customHeight="1" x14ac:dyDescent="0.35">
      <c r="A7204" s="239" t="s">
        <v>541</v>
      </c>
      <c r="B7204" s="372" t="s">
        <v>745</v>
      </c>
      <c r="C7204" s="330" t="s">
        <v>539</v>
      </c>
      <c r="D7204" s="146"/>
      <c r="E7204" s="117"/>
      <c r="F7204" s="117"/>
      <c r="G7204" s="138"/>
      <c r="H7204" s="177"/>
      <c r="I7204" s="139"/>
      <c r="J7204" s="139"/>
      <c r="K7204" s="139"/>
      <c r="L7204" s="139"/>
    </row>
    <row r="7205" spans="1:12" ht="16.5" customHeight="1" x14ac:dyDescent="0.35">
      <c r="A7205" s="146"/>
      <c r="B7205" s="196" t="s">
        <v>1230</v>
      </c>
      <c r="C7205" s="124"/>
      <c r="D7205" s="146"/>
      <c r="E7205" s="117"/>
      <c r="F7205" s="117"/>
      <c r="G7205" s="138"/>
      <c r="H7205" s="177"/>
      <c r="I7205" s="139"/>
      <c r="J7205" s="139"/>
      <c r="K7205" s="139"/>
      <c r="L7205" s="139"/>
    </row>
    <row r="7206" spans="1:12" ht="16.5" customHeight="1" x14ac:dyDescent="0.25">
      <c r="A7206" s="111"/>
      <c r="B7206" s="134" t="s">
        <v>803</v>
      </c>
      <c r="C7206" s="115" t="s">
        <v>804</v>
      </c>
      <c r="D7206" s="135">
        <v>7</v>
      </c>
      <c r="E7206" s="117">
        <v>51000</v>
      </c>
      <c r="F7206" s="121">
        <f>D7206*E7206</f>
        <v>357000</v>
      </c>
      <c r="G7206" s="138"/>
      <c r="H7206" s="177"/>
      <c r="I7206" s="139"/>
      <c r="J7206" s="139"/>
      <c r="K7206" s="139"/>
      <c r="L7206" s="139"/>
    </row>
    <row r="7207" spans="1:12" ht="16.5" customHeight="1" x14ac:dyDescent="0.25">
      <c r="A7207" s="111"/>
      <c r="B7207" s="134" t="s">
        <v>805</v>
      </c>
      <c r="C7207" s="115" t="s">
        <v>38</v>
      </c>
      <c r="D7207" s="135">
        <v>0.4</v>
      </c>
      <c r="E7207" s="117">
        <v>55000</v>
      </c>
      <c r="F7207" s="121">
        <f>D7207*E7207</f>
        <v>22000</v>
      </c>
      <c r="G7207" s="138"/>
      <c r="H7207" s="177"/>
      <c r="I7207" s="139"/>
      <c r="J7207" s="139"/>
      <c r="K7207" s="139"/>
      <c r="L7207" s="139"/>
    </row>
    <row r="7208" spans="1:12" ht="16.5" customHeight="1" x14ac:dyDescent="0.25">
      <c r="A7208" s="111"/>
      <c r="B7208" s="134" t="s">
        <v>806</v>
      </c>
      <c r="C7208" s="115" t="s">
        <v>38</v>
      </c>
      <c r="D7208" s="135">
        <v>0.8</v>
      </c>
      <c r="E7208" s="117">
        <v>16000</v>
      </c>
      <c r="F7208" s="121">
        <f>D7208*E7208</f>
        <v>12800</v>
      </c>
      <c r="G7208" s="138"/>
      <c r="H7208" s="177"/>
      <c r="I7208" s="139"/>
      <c r="J7208" s="139"/>
      <c r="K7208" s="139"/>
      <c r="L7208" s="139"/>
    </row>
    <row r="7209" spans="1:12" ht="16.5" customHeight="1" x14ac:dyDescent="0.35">
      <c r="A7209" s="111"/>
      <c r="B7209" s="170" t="s">
        <v>769</v>
      </c>
      <c r="C7209" s="111"/>
      <c r="D7209" s="111"/>
      <c r="E7209" s="110"/>
      <c r="F7209" s="114">
        <f>SUM(F7206:F7208)</f>
        <v>391800</v>
      </c>
      <c r="G7209" s="138"/>
      <c r="H7209" s="177"/>
      <c r="I7209" s="139"/>
      <c r="J7209" s="139"/>
      <c r="K7209" s="139"/>
      <c r="L7209" s="139"/>
    </row>
    <row r="7210" spans="1:12" ht="16.5" customHeight="1" x14ac:dyDescent="0.35">
      <c r="A7210" s="111"/>
      <c r="B7210" s="170" t="s">
        <v>808</v>
      </c>
      <c r="C7210" s="111"/>
      <c r="D7210" s="111"/>
      <c r="E7210" s="110"/>
      <c r="F7210" s="114"/>
      <c r="G7210" s="138"/>
      <c r="H7210" s="177"/>
      <c r="I7210" s="139"/>
      <c r="J7210" s="139"/>
      <c r="K7210" s="139"/>
      <c r="L7210" s="139"/>
    </row>
    <row r="7211" spans="1:12" ht="16.5" customHeight="1" x14ac:dyDescent="0.35">
      <c r="A7211" s="111"/>
      <c r="B7211" s="197" t="s">
        <v>1233</v>
      </c>
      <c r="C7211" s="115" t="s">
        <v>1043</v>
      </c>
      <c r="D7211" s="115">
        <v>0.15</v>
      </c>
      <c r="E7211" s="117">
        <v>7500</v>
      </c>
      <c r="F7211" s="121">
        <f>+E7211*D7211</f>
        <v>1125</v>
      </c>
      <c r="G7211" s="138"/>
      <c r="H7211" s="177"/>
      <c r="I7211" s="139"/>
      <c r="J7211" s="139"/>
      <c r="K7211" s="139"/>
      <c r="L7211" s="139"/>
    </row>
    <row r="7212" spans="1:12" ht="16.5" customHeight="1" x14ac:dyDescent="0.35">
      <c r="A7212" s="111"/>
      <c r="B7212" s="170" t="s">
        <v>774</v>
      </c>
      <c r="C7212" s="111"/>
      <c r="D7212" s="111"/>
      <c r="E7212" s="110"/>
      <c r="F7212" s="114">
        <f>+F7211</f>
        <v>1125</v>
      </c>
      <c r="G7212" s="138"/>
      <c r="H7212" s="177"/>
      <c r="I7212" s="139"/>
      <c r="J7212" s="139"/>
      <c r="K7212" s="139"/>
      <c r="L7212" s="139"/>
    </row>
    <row r="7213" spans="1:12" ht="16.5" customHeight="1" x14ac:dyDescent="0.35">
      <c r="A7213" s="111"/>
      <c r="B7213" s="170" t="s">
        <v>775</v>
      </c>
      <c r="C7213" s="111"/>
      <c r="D7213" s="111"/>
      <c r="E7213" s="110"/>
      <c r="F7213" s="114">
        <f>+F7212+F7209</f>
        <v>392925</v>
      </c>
      <c r="G7213" s="138"/>
      <c r="H7213" s="177"/>
      <c r="I7213" s="139"/>
      <c r="J7213" s="139"/>
      <c r="K7213" s="139"/>
      <c r="L7213" s="139"/>
    </row>
    <row r="7214" spans="1:12" ht="16.5" customHeight="1" x14ac:dyDescent="0.35">
      <c r="A7214" s="111"/>
      <c r="B7214" s="197" t="s">
        <v>956</v>
      </c>
      <c r="C7214" s="115"/>
      <c r="D7214" s="115">
        <v>1.02</v>
      </c>
      <c r="E7214" s="117"/>
      <c r="F7214" s="121">
        <f>+F7213*D7214</f>
        <v>400783.5</v>
      </c>
      <c r="G7214" s="138"/>
      <c r="H7214" s="177"/>
      <c r="I7214" s="139"/>
      <c r="J7214" s="139"/>
      <c r="K7214" s="139"/>
      <c r="L7214" s="139"/>
    </row>
    <row r="7215" spans="1:12" ht="16.5" customHeight="1" x14ac:dyDescent="0.35">
      <c r="A7215" s="111"/>
      <c r="B7215" s="197" t="s">
        <v>848</v>
      </c>
      <c r="C7215" s="115"/>
      <c r="D7215" s="115">
        <v>1.05</v>
      </c>
      <c r="E7215" s="117"/>
      <c r="F7215" s="121"/>
      <c r="G7215" s="138"/>
      <c r="H7215" s="177"/>
      <c r="I7215" s="139"/>
      <c r="J7215" s="139"/>
      <c r="K7215" s="139"/>
      <c r="L7215" s="139"/>
    </row>
    <row r="7216" spans="1:12" x14ac:dyDescent="0.35">
      <c r="A7216" s="340" t="s">
        <v>1236</v>
      </c>
      <c r="B7216" s="242" t="s">
        <v>789</v>
      </c>
      <c r="C7216" s="208" t="s">
        <v>35</v>
      </c>
      <c r="D7216" s="335"/>
      <c r="E7216" s="210"/>
      <c r="F7216" s="209">
        <f>+F7214*D7215</f>
        <v>420822.67500000005</v>
      </c>
      <c r="G7216" s="138"/>
      <c r="H7216" s="177"/>
      <c r="I7216" s="139"/>
      <c r="J7216" s="139"/>
      <c r="K7216" s="139"/>
      <c r="L7216" s="139"/>
    </row>
    <row r="7217" spans="1:12" ht="16.5" customHeight="1" x14ac:dyDescent="0.35">
      <c r="A7217" s="340"/>
      <c r="B7217" s="242"/>
      <c r="C7217" s="208"/>
      <c r="D7217" s="335"/>
      <c r="E7217" s="210">
        <f>+E7200</f>
        <v>3035.45</v>
      </c>
      <c r="F7217" s="210">
        <f>+F7216/E7217</f>
        <v>138.63600948788485</v>
      </c>
      <c r="G7217" s="138"/>
      <c r="H7217" s="177"/>
      <c r="I7217" s="139"/>
      <c r="J7217" s="139"/>
      <c r="K7217" s="139"/>
      <c r="L7217" s="139"/>
    </row>
    <row r="7218" spans="1:12" ht="16.5" customHeight="1" x14ac:dyDescent="0.35">
      <c r="A7218" s="198"/>
      <c r="B7218" s="106"/>
      <c r="C7218" s="165"/>
      <c r="E7218" s="161"/>
      <c r="F7218" s="161"/>
      <c r="G7218" s="138"/>
      <c r="H7218" s="177"/>
      <c r="I7218" s="139"/>
      <c r="J7218" s="139"/>
      <c r="K7218" s="139"/>
      <c r="L7218" s="139"/>
    </row>
    <row r="7219" spans="1:12" ht="16.5" customHeight="1" x14ac:dyDescent="0.35">
      <c r="A7219" s="198"/>
      <c r="B7219" s="106"/>
      <c r="C7219" s="165"/>
      <c r="E7219" s="161"/>
      <c r="F7219" s="161"/>
      <c r="G7219" s="138"/>
      <c r="H7219" s="177"/>
      <c r="I7219" s="139"/>
      <c r="J7219" s="139"/>
      <c r="K7219" s="139"/>
      <c r="L7219" s="139"/>
    </row>
    <row r="7220" spans="1:12" ht="16.5" customHeight="1" x14ac:dyDescent="0.35">
      <c r="A7220" s="198"/>
      <c r="B7220" s="106"/>
      <c r="C7220" s="165"/>
      <c r="D7220" s="163"/>
      <c r="E7220" s="161"/>
      <c r="F7220" s="161"/>
      <c r="G7220" s="138"/>
      <c r="H7220" s="177"/>
      <c r="I7220" s="139"/>
      <c r="J7220" s="139"/>
      <c r="K7220" s="139"/>
      <c r="L7220" s="139"/>
    </row>
    <row r="7221" spans="1:12" ht="21.75" customHeight="1" x14ac:dyDescent="0.35">
      <c r="A7221" s="257" t="s">
        <v>537</v>
      </c>
      <c r="B7221" s="371" t="s">
        <v>1094</v>
      </c>
      <c r="C7221" s="368" t="s">
        <v>611</v>
      </c>
      <c r="D7221" s="369" t="s">
        <v>765</v>
      </c>
      <c r="E7221" s="370" t="s">
        <v>766</v>
      </c>
      <c r="F7221" s="370" t="s">
        <v>767</v>
      </c>
      <c r="G7221" s="138"/>
      <c r="H7221" s="177"/>
      <c r="I7221" s="139"/>
      <c r="J7221" s="139"/>
      <c r="K7221" s="139"/>
      <c r="L7221" s="139"/>
    </row>
    <row r="7222" spans="1:12" ht="21.75" customHeight="1" x14ac:dyDescent="0.35">
      <c r="A7222" s="239" t="s">
        <v>543</v>
      </c>
      <c r="B7222" s="373" t="s">
        <v>545</v>
      </c>
      <c r="C7222" s="330" t="s">
        <v>59</v>
      </c>
      <c r="D7222" s="146"/>
      <c r="E7222" s="117"/>
      <c r="F7222" s="117"/>
      <c r="G7222" s="138"/>
      <c r="H7222" s="177"/>
      <c r="I7222" s="139"/>
      <c r="J7222" s="139"/>
      <c r="K7222" s="139"/>
      <c r="L7222" s="139"/>
    </row>
    <row r="7223" spans="1:12" ht="15" customHeight="1" x14ac:dyDescent="0.35">
      <c r="A7223" s="146"/>
      <c r="B7223" s="196" t="s">
        <v>1230</v>
      </c>
      <c r="C7223" s="124"/>
      <c r="D7223" s="146"/>
      <c r="E7223" s="117"/>
      <c r="F7223" s="117"/>
      <c r="G7223" s="138"/>
      <c r="H7223" s="177"/>
      <c r="I7223" s="139"/>
      <c r="J7223" s="139"/>
      <c r="K7223" s="139"/>
      <c r="L7223" s="139"/>
    </row>
    <row r="7224" spans="1:12" ht="16.5" customHeight="1" x14ac:dyDescent="0.35">
      <c r="A7224" s="111"/>
      <c r="B7224" s="197" t="s">
        <v>1101</v>
      </c>
      <c r="C7224" s="115" t="s">
        <v>38</v>
      </c>
      <c r="D7224" s="115">
        <v>1.63</v>
      </c>
      <c r="E7224" s="117">
        <f>E7188</f>
        <v>17500</v>
      </c>
      <c r="F7224" s="121">
        <f>D7224*E7224</f>
        <v>28524.999999999996</v>
      </c>
      <c r="G7224" s="138"/>
      <c r="H7224" s="177"/>
      <c r="I7224" s="139"/>
      <c r="J7224" s="139"/>
      <c r="K7224" s="139"/>
      <c r="L7224" s="139"/>
    </row>
    <row r="7225" spans="1:12" ht="16.5" customHeight="1" x14ac:dyDescent="0.35">
      <c r="A7225" s="111"/>
      <c r="B7225" s="197" t="s">
        <v>1237</v>
      </c>
      <c r="C7225" s="115" t="s">
        <v>38</v>
      </c>
      <c r="D7225" s="115">
        <v>1.63</v>
      </c>
      <c r="E7225" s="117">
        <f>F1429</f>
        <v>516406.25</v>
      </c>
      <c r="F7225" s="121">
        <f>D7225*E7225</f>
        <v>841742.1875</v>
      </c>
      <c r="G7225" s="138"/>
      <c r="H7225" s="177"/>
      <c r="I7225" s="139"/>
      <c r="J7225" s="139"/>
      <c r="K7225" s="139"/>
      <c r="L7225" s="139"/>
    </row>
    <row r="7226" spans="1:12" ht="16.5" customHeight="1" x14ac:dyDescent="0.35">
      <c r="A7226" s="111"/>
      <c r="B7226" s="197" t="s">
        <v>1238</v>
      </c>
      <c r="C7226" s="115" t="s">
        <v>35</v>
      </c>
      <c r="D7226" s="115">
        <v>1.85</v>
      </c>
      <c r="E7226" s="117">
        <f>F1469</f>
        <v>21016.25</v>
      </c>
      <c r="F7226" s="121">
        <f>D7226*E7226</f>
        <v>38880.0625</v>
      </c>
      <c r="G7226" s="138"/>
      <c r="H7226" s="177"/>
      <c r="I7226" s="139"/>
      <c r="J7226" s="139"/>
      <c r="K7226" s="139"/>
      <c r="L7226" s="139"/>
    </row>
    <row r="7227" spans="1:12" ht="16.5" customHeight="1" x14ac:dyDescent="0.35">
      <c r="A7227" s="111"/>
      <c r="B7227" s="197" t="s">
        <v>1239</v>
      </c>
      <c r="C7227" s="115" t="s">
        <v>27</v>
      </c>
      <c r="D7227" s="115">
        <v>5.6</v>
      </c>
      <c r="E7227" s="117">
        <f>70000/6</f>
        <v>11666.666666666666</v>
      </c>
      <c r="F7227" s="121">
        <f>D7227*E7227</f>
        <v>65333.333333333328</v>
      </c>
      <c r="G7227" s="138"/>
      <c r="H7227" s="177"/>
      <c r="I7227" s="139"/>
      <c r="J7227" s="139"/>
      <c r="K7227" s="139"/>
      <c r="L7227" s="139"/>
    </row>
    <row r="7228" spans="1:12" ht="16.5" customHeight="1" x14ac:dyDescent="0.35">
      <c r="A7228" s="111"/>
      <c r="B7228" s="197" t="s">
        <v>1240</v>
      </c>
      <c r="C7228" s="115"/>
      <c r="D7228" s="115"/>
      <c r="E7228" s="117"/>
      <c r="F7228" s="121">
        <f>0.1*(F7224+F7225+F7226+F7227)</f>
        <v>97448.058333333349</v>
      </c>
      <c r="G7228" s="138"/>
      <c r="H7228" s="177"/>
      <c r="I7228" s="139"/>
      <c r="J7228" s="139"/>
      <c r="K7228" s="139"/>
      <c r="L7228" s="139"/>
    </row>
    <row r="7229" spans="1:12" ht="15" customHeight="1" x14ac:dyDescent="0.35">
      <c r="A7229" s="146"/>
      <c r="B7229" s="196" t="s">
        <v>769</v>
      </c>
      <c r="C7229" s="124"/>
      <c r="D7229" s="146"/>
      <c r="E7229" s="117"/>
      <c r="F7229" s="110">
        <f>SUM(F7224:F7228)</f>
        <v>1071928.6416666666</v>
      </c>
      <c r="G7229" s="138"/>
      <c r="H7229" s="177"/>
      <c r="I7229" s="139"/>
      <c r="J7229" s="139"/>
      <c r="K7229" s="139"/>
      <c r="L7229" s="139"/>
    </row>
    <row r="7230" spans="1:12" ht="15" customHeight="1" x14ac:dyDescent="0.35">
      <c r="A7230" s="146"/>
      <c r="B7230" s="196" t="s">
        <v>808</v>
      </c>
      <c r="C7230" s="124"/>
      <c r="D7230" s="146"/>
      <c r="E7230" s="117"/>
      <c r="F7230" s="117"/>
      <c r="G7230" s="138"/>
      <c r="H7230" s="177"/>
      <c r="I7230" s="139"/>
      <c r="J7230" s="139"/>
      <c r="K7230" s="139"/>
      <c r="L7230" s="139"/>
    </row>
    <row r="7231" spans="1:12" ht="16.5" customHeight="1" x14ac:dyDescent="0.35">
      <c r="A7231" s="111"/>
      <c r="B7231" s="197" t="s">
        <v>1233</v>
      </c>
      <c r="C7231" s="115" t="s">
        <v>1043</v>
      </c>
      <c r="D7231" s="115">
        <v>1.5</v>
      </c>
      <c r="E7231" s="117">
        <v>7500</v>
      </c>
      <c r="F7231" s="121">
        <f>+D7231*E7231</f>
        <v>11250</v>
      </c>
      <c r="G7231" s="138"/>
      <c r="H7231" s="177"/>
      <c r="I7231" s="139"/>
      <c r="J7231" s="139"/>
      <c r="K7231" s="139"/>
      <c r="L7231" s="139"/>
    </row>
    <row r="7232" spans="1:12" ht="16.5" customHeight="1" x14ac:dyDescent="0.35">
      <c r="A7232" s="111"/>
      <c r="B7232" s="197" t="s">
        <v>851</v>
      </c>
      <c r="C7232" s="115" t="s">
        <v>1043</v>
      </c>
      <c r="D7232" s="115">
        <v>3</v>
      </c>
      <c r="E7232" s="117">
        <v>15000</v>
      </c>
      <c r="F7232" s="121">
        <f>+D7232*E7232</f>
        <v>45000</v>
      </c>
      <c r="G7232" s="138"/>
      <c r="H7232" s="177"/>
      <c r="I7232" s="139"/>
      <c r="J7232" s="139"/>
      <c r="K7232" s="139"/>
      <c r="L7232" s="139"/>
    </row>
    <row r="7233" spans="1:12" ht="15" customHeight="1" x14ac:dyDescent="0.35">
      <c r="A7233" s="146"/>
      <c r="B7233" s="196" t="s">
        <v>774</v>
      </c>
      <c r="C7233" s="124"/>
      <c r="D7233" s="146"/>
      <c r="E7233" s="117"/>
      <c r="F7233" s="117">
        <f>F7231+F7232</f>
        <v>56250</v>
      </c>
      <c r="G7233" s="138"/>
      <c r="H7233" s="177"/>
      <c r="I7233" s="139"/>
      <c r="J7233" s="139"/>
      <c r="K7233" s="139"/>
      <c r="L7233" s="139"/>
    </row>
    <row r="7234" spans="1:12" ht="15" customHeight="1" x14ac:dyDescent="0.35">
      <c r="A7234" s="146"/>
      <c r="B7234" s="196" t="s">
        <v>775</v>
      </c>
      <c r="C7234" s="124"/>
      <c r="D7234" s="146"/>
      <c r="E7234" s="117"/>
      <c r="F7234" s="117">
        <f>+F7229+F7233</f>
        <v>1128178.6416666666</v>
      </c>
      <c r="G7234" s="138"/>
      <c r="H7234" s="177"/>
      <c r="I7234" s="139"/>
      <c r="J7234" s="139"/>
      <c r="K7234" s="139"/>
      <c r="L7234" s="139"/>
    </row>
    <row r="7235" spans="1:12" ht="16.5" customHeight="1" x14ac:dyDescent="0.35">
      <c r="A7235" s="111"/>
      <c r="B7235" s="197" t="s">
        <v>936</v>
      </c>
      <c r="C7235" s="115"/>
      <c r="D7235" s="115">
        <v>1.2</v>
      </c>
      <c r="E7235" s="117"/>
      <c r="F7235" s="121">
        <f>+F7234*D7235</f>
        <v>1353814.3699999999</v>
      </c>
      <c r="G7235" s="138"/>
      <c r="H7235" s="177"/>
      <c r="I7235" s="139"/>
      <c r="J7235" s="139"/>
      <c r="K7235" s="139"/>
      <c r="L7235" s="139"/>
    </row>
    <row r="7236" spans="1:12" ht="16.5" customHeight="1" x14ac:dyDescent="0.35">
      <c r="A7236" s="111"/>
      <c r="B7236" s="197" t="s">
        <v>835</v>
      </c>
      <c r="C7236" s="115"/>
      <c r="D7236" s="115">
        <v>1.25</v>
      </c>
      <c r="E7236" s="117"/>
      <c r="F7236" s="121"/>
      <c r="G7236" s="138"/>
      <c r="H7236" s="177"/>
      <c r="I7236" s="139"/>
      <c r="J7236" s="139"/>
      <c r="K7236" s="139"/>
      <c r="L7236" s="139"/>
    </row>
    <row r="7237" spans="1:12" ht="17.25" customHeight="1" x14ac:dyDescent="0.35">
      <c r="A7237" s="340" t="s">
        <v>543</v>
      </c>
      <c r="B7237" s="242" t="s">
        <v>785</v>
      </c>
      <c r="C7237" s="208" t="s">
        <v>59</v>
      </c>
      <c r="D7237" s="335"/>
      <c r="E7237" s="210"/>
      <c r="F7237" s="209">
        <f>+D7236*F7235</f>
        <v>1692267.9624999999</v>
      </c>
      <c r="G7237" s="138"/>
      <c r="H7237" s="177"/>
      <c r="I7237" s="139"/>
      <c r="J7237" s="139"/>
      <c r="K7237" s="139"/>
      <c r="L7237" s="139"/>
    </row>
    <row r="7238" spans="1:12" ht="17.25" customHeight="1" x14ac:dyDescent="0.35">
      <c r="A7238" s="340"/>
      <c r="B7238" s="242"/>
      <c r="C7238" s="208"/>
      <c r="D7238" s="335"/>
      <c r="E7238" s="210">
        <f>+E7200</f>
        <v>3035.45</v>
      </c>
      <c r="F7238" s="210">
        <f>+F7237/E7238</f>
        <v>557.50151130804329</v>
      </c>
      <c r="G7238" s="138"/>
      <c r="H7238" s="177"/>
      <c r="I7238" s="139"/>
      <c r="J7238" s="139"/>
      <c r="K7238" s="139"/>
      <c r="L7238" s="139"/>
    </row>
    <row r="7239" spans="1:12" ht="13.5" customHeight="1" x14ac:dyDescent="0.35">
      <c r="A7239" s="198"/>
      <c r="B7239" s="106"/>
      <c r="C7239" s="165"/>
      <c r="E7239" s="161"/>
      <c r="F7239" s="161"/>
      <c r="G7239" s="138"/>
      <c r="H7239" s="177"/>
      <c r="I7239" s="139"/>
      <c r="J7239" s="139"/>
      <c r="K7239" s="139"/>
      <c r="L7239" s="139"/>
    </row>
    <row r="7240" spans="1:12" ht="12.75" customHeight="1" x14ac:dyDescent="0.35">
      <c r="A7240" s="198"/>
      <c r="B7240" s="106"/>
      <c r="C7240" s="165"/>
      <c r="D7240" s="163"/>
      <c r="E7240" s="161"/>
      <c r="F7240" s="161"/>
      <c r="G7240" s="138"/>
      <c r="H7240" s="177"/>
      <c r="I7240" s="139"/>
      <c r="J7240" s="139"/>
      <c r="K7240" s="139"/>
      <c r="L7240" s="139"/>
    </row>
    <row r="7241" spans="1:12" ht="16.5" customHeight="1" x14ac:dyDescent="0.35">
      <c r="A7241" s="257" t="s">
        <v>537</v>
      </c>
      <c r="B7241" s="371" t="s">
        <v>1094</v>
      </c>
      <c r="C7241" s="368" t="s">
        <v>611</v>
      </c>
      <c r="D7241" s="369" t="s">
        <v>765</v>
      </c>
      <c r="E7241" s="370" t="s">
        <v>766</v>
      </c>
      <c r="F7241" s="370" t="s">
        <v>767</v>
      </c>
      <c r="G7241" s="138"/>
      <c r="H7241" s="177"/>
      <c r="I7241" s="139"/>
      <c r="J7241" s="139"/>
      <c r="K7241" s="139"/>
      <c r="L7241" s="139"/>
    </row>
    <row r="7242" spans="1:12" ht="16.5" customHeight="1" x14ac:dyDescent="0.35">
      <c r="A7242" s="239" t="s">
        <v>544</v>
      </c>
      <c r="B7242" s="219" t="s">
        <v>1095</v>
      </c>
      <c r="C7242" s="100" t="s">
        <v>59</v>
      </c>
      <c r="D7242" s="146"/>
      <c r="E7242" s="117"/>
      <c r="F7242" s="117"/>
      <c r="G7242" s="138"/>
      <c r="H7242" s="177"/>
      <c r="I7242" s="139"/>
      <c r="J7242" s="139"/>
      <c r="K7242" s="139"/>
      <c r="L7242" s="139"/>
    </row>
    <row r="7243" spans="1:12" ht="16.5" customHeight="1" x14ac:dyDescent="0.35">
      <c r="A7243" s="146"/>
      <c r="B7243" s="196" t="s">
        <v>1230</v>
      </c>
      <c r="C7243" s="124"/>
      <c r="D7243" s="146"/>
      <c r="E7243" s="117"/>
      <c r="F7243" s="117"/>
      <c r="G7243" s="138"/>
      <c r="H7243" s="177"/>
      <c r="I7243" s="139"/>
      <c r="J7243" s="139"/>
      <c r="K7243" s="139"/>
      <c r="L7243" s="139"/>
    </row>
    <row r="7244" spans="1:12" ht="16.5" customHeight="1" x14ac:dyDescent="0.25">
      <c r="A7244" s="111"/>
      <c r="B7244" s="171" t="s">
        <v>1096</v>
      </c>
      <c r="C7244" s="115" t="s">
        <v>59</v>
      </c>
      <c r="D7244" s="116">
        <v>1</v>
      </c>
      <c r="E7244" s="117">
        <v>650000</v>
      </c>
      <c r="F7244" s="121">
        <f>D7244*E7244</f>
        <v>650000</v>
      </c>
      <c r="G7244" s="138"/>
      <c r="H7244" s="177"/>
      <c r="I7244" s="139"/>
      <c r="J7244" s="139"/>
      <c r="K7244" s="139"/>
      <c r="L7244" s="139"/>
    </row>
    <row r="7245" spans="1:12" ht="16.5" customHeight="1" x14ac:dyDescent="0.35">
      <c r="A7245" s="111"/>
      <c r="B7245" s="197" t="s">
        <v>1240</v>
      </c>
      <c r="C7245" s="115"/>
      <c r="D7245" s="115"/>
      <c r="E7245" s="117"/>
      <c r="F7245" s="121">
        <f>0.1*(F7244)</f>
        <v>65000</v>
      </c>
      <c r="G7245" s="138"/>
      <c r="H7245" s="177"/>
      <c r="I7245" s="139"/>
      <c r="J7245" s="139"/>
      <c r="K7245" s="139"/>
      <c r="L7245" s="139"/>
    </row>
    <row r="7246" spans="1:12" ht="16.5" customHeight="1" x14ac:dyDescent="0.35">
      <c r="A7246" s="146"/>
      <c r="B7246" s="196" t="s">
        <v>769</v>
      </c>
      <c r="C7246" s="124"/>
      <c r="D7246" s="146"/>
      <c r="E7246" s="117"/>
      <c r="F7246" s="110">
        <f>SUM(F7244:F7245)</f>
        <v>715000</v>
      </c>
      <c r="G7246" s="138"/>
      <c r="H7246" s="177"/>
      <c r="I7246" s="139"/>
      <c r="J7246" s="139"/>
      <c r="K7246" s="139"/>
      <c r="L7246" s="139"/>
    </row>
    <row r="7247" spans="1:12" ht="16.5" customHeight="1" x14ac:dyDescent="0.35">
      <c r="A7247" s="146"/>
      <c r="B7247" s="196" t="s">
        <v>808</v>
      </c>
      <c r="C7247" s="124"/>
      <c r="D7247" s="146"/>
      <c r="E7247" s="117"/>
      <c r="F7247" s="117"/>
      <c r="G7247" s="138"/>
      <c r="H7247" s="177"/>
      <c r="I7247" s="139"/>
      <c r="J7247" s="139"/>
      <c r="K7247" s="139"/>
      <c r="L7247" s="139"/>
    </row>
    <row r="7248" spans="1:12" ht="16.5" customHeight="1" x14ac:dyDescent="0.35">
      <c r="A7248" s="111"/>
      <c r="B7248" s="197" t="s">
        <v>787</v>
      </c>
      <c r="C7248" s="115" t="s">
        <v>1043</v>
      </c>
      <c r="D7248" s="115">
        <v>1</v>
      </c>
      <c r="E7248" s="117">
        <v>15000</v>
      </c>
      <c r="F7248" s="121">
        <f>+D7248*E7248</f>
        <v>15000</v>
      </c>
      <c r="G7248" s="138"/>
      <c r="H7248" s="177"/>
      <c r="I7248" s="139"/>
      <c r="J7248" s="139"/>
      <c r="K7248" s="139"/>
      <c r="L7248" s="139"/>
    </row>
    <row r="7249" spans="1:12" ht="16.5" customHeight="1" x14ac:dyDescent="0.35">
      <c r="A7249" s="146"/>
      <c r="B7249" s="196" t="s">
        <v>774</v>
      </c>
      <c r="C7249" s="124"/>
      <c r="D7249" s="146"/>
      <c r="E7249" s="117"/>
      <c r="F7249" s="117">
        <f>F7248</f>
        <v>15000</v>
      </c>
      <c r="G7249" s="138"/>
      <c r="H7249" s="177"/>
      <c r="I7249" s="139"/>
      <c r="J7249" s="139"/>
      <c r="K7249" s="139"/>
      <c r="L7249" s="139"/>
    </row>
    <row r="7250" spans="1:12" ht="16.5" customHeight="1" x14ac:dyDescent="0.35">
      <c r="A7250" s="146"/>
      <c r="B7250" s="196" t="s">
        <v>775</v>
      </c>
      <c r="C7250" s="124"/>
      <c r="D7250" s="146"/>
      <c r="E7250" s="117"/>
      <c r="F7250" s="117">
        <f>+F7246+F7249</f>
        <v>730000</v>
      </c>
      <c r="G7250" s="138"/>
      <c r="H7250" s="177"/>
      <c r="I7250" s="139"/>
      <c r="J7250" s="139"/>
      <c r="K7250" s="139"/>
      <c r="L7250" s="139"/>
    </row>
    <row r="7251" spans="1:12" ht="16.5" customHeight="1" x14ac:dyDescent="0.35">
      <c r="A7251" s="111"/>
      <c r="B7251" s="197" t="s">
        <v>956</v>
      </c>
      <c r="C7251" s="115"/>
      <c r="D7251" s="115">
        <v>1.02</v>
      </c>
      <c r="E7251" s="117"/>
      <c r="F7251" s="121">
        <f>+F7250*D7251</f>
        <v>744600</v>
      </c>
      <c r="G7251" s="138"/>
      <c r="H7251" s="177"/>
      <c r="I7251" s="139"/>
      <c r="J7251" s="139"/>
      <c r="K7251" s="139"/>
      <c r="L7251" s="139"/>
    </row>
    <row r="7252" spans="1:12" ht="16.5" customHeight="1" x14ac:dyDescent="0.35">
      <c r="A7252" s="111"/>
      <c r="B7252" s="197" t="s">
        <v>848</v>
      </c>
      <c r="C7252" s="115"/>
      <c r="D7252" s="115">
        <v>1.05</v>
      </c>
      <c r="E7252" s="117"/>
      <c r="F7252" s="121"/>
      <c r="G7252" s="138"/>
      <c r="H7252" s="177"/>
      <c r="I7252" s="139"/>
      <c r="J7252" s="139"/>
      <c r="K7252" s="139"/>
      <c r="L7252" s="139"/>
    </row>
    <row r="7253" spans="1:12" ht="16.5" customHeight="1" x14ac:dyDescent="0.35">
      <c r="A7253" s="340" t="s">
        <v>544</v>
      </c>
      <c r="B7253" s="242" t="s">
        <v>785</v>
      </c>
      <c r="C7253" s="208" t="s">
        <v>59</v>
      </c>
      <c r="D7253" s="335"/>
      <c r="E7253" s="210"/>
      <c r="F7253" s="209">
        <f>+D7252*F7251</f>
        <v>781830</v>
      </c>
      <c r="G7253" s="138"/>
      <c r="H7253" s="177"/>
      <c r="I7253" s="139"/>
      <c r="J7253" s="139"/>
      <c r="K7253" s="139"/>
      <c r="L7253" s="139"/>
    </row>
    <row r="7254" spans="1:12" ht="16.5" customHeight="1" x14ac:dyDescent="0.35">
      <c r="A7254" s="340"/>
      <c r="B7254" s="242"/>
      <c r="C7254" s="208"/>
      <c r="D7254" s="335"/>
      <c r="E7254" s="210">
        <f>+E7238</f>
        <v>3035.45</v>
      </c>
      <c r="F7254" s="210">
        <f>+F7253/E7254</f>
        <v>257.5664234298045</v>
      </c>
      <c r="G7254" s="138"/>
      <c r="H7254" s="177"/>
      <c r="I7254" s="139"/>
      <c r="J7254" s="139"/>
      <c r="K7254" s="139"/>
      <c r="L7254" s="139"/>
    </row>
    <row r="7255" spans="1:12" ht="12" customHeight="1" x14ac:dyDescent="0.35">
      <c r="A7255" s="198"/>
      <c r="B7255" s="106"/>
      <c r="C7255" s="165"/>
      <c r="E7255" s="161"/>
      <c r="F7255" s="161"/>
      <c r="G7255" s="138"/>
      <c r="H7255" s="177"/>
      <c r="I7255" s="139"/>
      <c r="J7255" s="139"/>
      <c r="K7255" s="139"/>
      <c r="L7255" s="139"/>
    </row>
    <row r="7256" spans="1:12" ht="12" customHeight="1" x14ac:dyDescent="0.35">
      <c r="A7256" s="198"/>
      <c r="B7256" s="106"/>
      <c r="C7256" s="165"/>
      <c r="D7256" s="163"/>
      <c r="E7256" s="161"/>
      <c r="F7256" s="161"/>
      <c r="G7256" s="138"/>
      <c r="H7256" s="177"/>
      <c r="I7256" s="139"/>
      <c r="J7256" s="139"/>
      <c r="K7256" s="139"/>
      <c r="L7256" s="139"/>
    </row>
    <row r="7257" spans="1:12" ht="16.5" customHeight="1" x14ac:dyDescent="0.35">
      <c r="A7257" s="257" t="s">
        <v>537</v>
      </c>
      <c r="B7257" s="371" t="s">
        <v>1094</v>
      </c>
      <c r="C7257" s="368" t="s">
        <v>611</v>
      </c>
      <c r="D7257" s="369" t="s">
        <v>765</v>
      </c>
      <c r="E7257" s="370" t="s">
        <v>766</v>
      </c>
      <c r="F7257" s="370" t="s">
        <v>767</v>
      </c>
      <c r="G7257" s="138"/>
      <c r="H7257" s="177"/>
      <c r="I7257" s="139"/>
      <c r="J7257" s="139"/>
      <c r="K7257" s="139"/>
      <c r="L7257" s="139"/>
    </row>
    <row r="7258" spans="1:12" ht="16.5" customHeight="1" x14ac:dyDescent="0.35">
      <c r="A7258" s="239" t="s">
        <v>546</v>
      </c>
      <c r="B7258" s="344" t="s">
        <v>548</v>
      </c>
      <c r="C7258" s="100" t="s">
        <v>59</v>
      </c>
      <c r="D7258" s="146"/>
      <c r="E7258" s="117"/>
      <c r="F7258" s="117"/>
      <c r="G7258" s="138"/>
      <c r="H7258" s="177"/>
      <c r="I7258" s="139"/>
      <c r="J7258" s="139"/>
      <c r="K7258" s="139"/>
      <c r="L7258" s="139"/>
    </row>
    <row r="7259" spans="1:12" ht="16.5" customHeight="1" x14ac:dyDescent="0.35">
      <c r="A7259" s="146"/>
      <c r="B7259" s="196" t="s">
        <v>1230</v>
      </c>
      <c r="C7259" s="124"/>
      <c r="D7259" s="146"/>
      <c r="E7259" s="117"/>
      <c r="F7259" s="117"/>
      <c r="G7259" s="138"/>
      <c r="H7259" s="177"/>
      <c r="I7259" s="139"/>
      <c r="J7259" s="139"/>
      <c r="K7259" s="139"/>
      <c r="L7259" s="139"/>
    </row>
    <row r="7260" spans="1:12" ht="16.5" customHeight="1" x14ac:dyDescent="0.35">
      <c r="A7260" s="111"/>
      <c r="B7260" s="197" t="s">
        <v>548</v>
      </c>
      <c r="C7260" s="115" t="s">
        <v>59</v>
      </c>
      <c r="D7260" s="116">
        <v>1</v>
      </c>
      <c r="E7260" s="117">
        <v>820000</v>
      </c>
      <c r="F7260" s="121">
        <f>D7260*E7260</f>
        <v>820000</v>
      </c>
      <c r="G7260" s="138"/>
      <c r="H7260" s="177"/>
      <c r="I7260" s="139"/>
      <c r="J7260" s="139"/>
      <c r="K7260" s="139"/>
      <c r="L7260" s="139"/>
    </row>
    <row r="7261" spans="1:12" ht="16.5" customHeight="1" x14ac:dyDescent="0.35">
      <c r="A7261" s="111"/>
      <c r="B7261" s="197" t="s">
        <v>1241</v>
      </c>
      <c r="C7261" s="115"/>
      <c r="D7261" s="115"/>
      <c r="E7261" s="117"/>
      <c r="F7261" s="121">
        <f>0.1*(F7260)</f>
        <v>82000</v>
      </c>
      <c r="G7261" s="138"/>
      <c r="H7261" s="177"/>
      <c r="I7261" s="139"/>
      <c r="J7261" s="139"/>
      <c r="K7261" s="139"/>
      <c r="L7261" s="139"/>
    </row>
    <row r="7262" spans="1:12" ht="16.5" customHeight="1" x14ac:dyDescent="0.35">
      <c r="A7262" s="146"/>
      <c r="B7262" s="196" t="s">
        <v>769</v>
      </c>
      <c r="C7262" s="124"/>
      <c r="D7262" s="146"/>
      <c r="E7262" s="117"/>
      <c r="F7262" s="110">
        <f>SUM(F7260:F7261)</f>
        <v>902000</v>
      </c>
      <c r="G7262" s="138"/>
      <c r="H7262" s="177"/>
      <c r="I7262" s="139"/>
      <c r="J7262" s="139"/>
      <c r="K7262" s="139"/>
      <c r="L7262" s="139"/>
    </row>
    <row r="7263" spans="1:12" ht="16.5" customHeight="1" x14ac:dyDescent="0.35">
      <c r="A7263" s="146"/>
      <c r="B7263" s="196" t="s">
        <v>808</v>
      </c>
      <c r="C7263" s="124"/>
      <c r="D7263" s="146"/>
      <c r="E7263" s="117"/>
      <c r="F7263" s="117"/>
      <c r="G7263" s="138"/>
      <c r="H7263" s="177"/>
      <c r="I7263" s="139"/>
      <c r="J7263" s="139"/>
      <c r="K7263" s="139"/>
      <c r="L7263" s="139"/>
    </row>
    <row r="7264" spans="1:12" ht="16.5" customHeight="1" x14ac:dyDescent="0.35">
      <c r="A7264" s="146"/>
      <c r="B7264" s="197" t="s">
        <v>1233</v>
      </c>
      <c r="C7264" s="115" t="s">
        <v>1043</v>
      </c>
      <c r="D7264" s="115">
        <v>2</v>
      </c>
      <c r="E7264" s="117">
        <v>7500</v>
      </c>
      <c r="F7264" s="121">
        <f>+D7264*E7264</f>
        <v>15000</v>
      </c>
      <c r="G7264" s="138"/>
      <c r="H7264" s="177"/>
      <c r="I7264" s="139"/>
      <c r="J7264" s="139"/>
      <c r="K7264" s="139"/>
      <c r="L7264" s="139"/>
    </row>
    <row r="7265" spans="1:12" ht="16.5" customHeight="1" x14ac:dyDescent="0.35">
      <c r="A7265" s="111"/>
      <c r="B7265" s="197" t="s">
        <v>851</v>
      </c>
      <c r="C7265" s="115" t="s">
        <v>1043</v>
      </c>
      <c r="D7265" s="115">
        <v>4</v>
      </c>
      <c r="E7265" s="117">
        <v>15000</v>
      </c>
      <c r="F7265" s="121">
        <f>+D7265*E7265</f>
        <v>60000</v>
      </c>
      <c r="G7265" s="138"/>
      <c r="H7265" s="177"/>
      <c r="I7265" s="139"/>
      <c r="J7265" s="139"/>
      <c r="K7265" s="139"/>
      <c r="L7265" s="139"/>
    </row>
    <row r="7266" spans="1:12" ht="16.5" customHeight="1" x14ac:dyDescent="0.35">
      <c r="A7266" s="146"/>
      <c r="B7266" s="196" t="s">
        <v>774</v>
      </c>
      <c r="C7266" s="124"/>
      <c r="D7266" s="146"/>
      <c r="E7266" s="117"/>
      <c r="F7266" s="117">
        <f>F7265+F7264</f>
        <v>75000</v>
      </c>
      <c r="G7266" s="138"/>
      <c r="H7266" s="177"/>
      <c r="I7266" s="139"/>
      <c r="J7266" s="139"/>
      <c r="K7266" s="139"/>
      <c r="L7266" s="139"/>
    </row>
    <row r="7267" spans="1:12" ht="16.5" customHeight="1" x14ac:dyDescent="0.35">
      <c r="A7267" s="146"/>
      <c r="B7267" s="196" t="s">
        <v>775</v>
      </c>
      <c r="C7267" s="124"/>
      <c r="D7267" s="146"/>
      <c r="E7267" s="117"/>
      <c r="F7267" s="117">
        <f>+F7262+F7266</f>
        <v>977000</v>
      </c>
      <c r="G7267" s="138"/>
      <c r="H7267" s="177"/>
      <c r="I7267" s="139"/>
      <c r="J7267" s="139"/>
      <c r="K7267" s="139"/>
      <c r="L7267" s="139"/>
    </row>
    <row r="7268" spans="1:12" ht="16.5" customHeight="1" x14ac:dyDescent="0.35">
      <c r="A7268" s="111"/>
      <c r="B7268" s="197" t="s">
        <v>776</v>
      </c>
      <c r="C7268" s="115"/>
      <c r="D7268" s="115">
        <v>1.25</v>
      </c>
      <c r="E7268" s="117"/>
      <c r="F7268" s="121">
        <f>+F7267*D7268</f>
        <v>1221250</v>
      </c>
      <c r="G7268" s="138"/>
      <c r="H7268" s="177"/>
      <c r="I7268" s="139"/>
      <c r="J7268" s="139"/>
      <c r="K7268" s="139"/>
      <c r="L7268" s="139"/>
    </row>
    <row r="7269" spans="1:12" ht="16.5" customHeight="1" x14ac:dyDescent="0.35">
      <c r="A7269" s="111"/>
      <c r="B7269" s="197" t="s">
        <v>835</v>
      </c>
      <c r="C7269" s="115"/>
      <c r="D7269" s="115">
        <v>1.25</v>
      </c>
      <c r="E7269" s="117"/>
      <c r="F7269" s="121"/>
      <c r="G7269" s="138"/>
      <c r="H7269" s="177"/>
      <c r="I7269" s="139"/>
      <c r="J7269" s="139"/>
      <c r="K7269" s="139"/>
      <c r="L7269" s="139"/>
    </row>
    <row r="7270" spans="1:12" ht="16.5" customHeight="1" x14ac:dyDescent="0.35">
      <c r="A7270" s="340" t="s">
        <v>546</v>
      </c>
      <c r="B7270" s="242" t="s">
        <v>785</v>
      </c>
      <c r="C7270" s="208" t="s">
        <v>59</v>
      </c>
      <c r="D7270" s="335"/>
      <c r="E7270" s="210"/>
      <c r="F7270" s="209">
        <f>+D7269*F7268</f>
        <v>1526562.5</v>
      </c>
      <c r="G7270" s="138"/>
      <c r="H7270" s="177"/>
      <c r="I7270" s="139"/>
      <c r="J7270" s="139"/>
      <c r="K7270" s="139"/>
      <c r="L7270" s="139"/>
    </row>
    <row r="7271" spans="1:12" ht="16.5" customHeight="1" x14ac:dyDescent="0.35">
      <c r="A7271" s="340"/>
      <c r="B7271" s="242"/>
      <c r="C7271" s="208"/>
      <c r="D7271" s="335"/>
      <c r="E7271" s="210">
        <f>+E7254</f>
        <v>3035.45</v>
      </c>
      <c r="F7271" s="210">
        <f>+F7270/E7271</f>
        <v>502.91142993625328</v>
      </c>
      <c r="G7271" s="138"/>
      <c r="H7271" s="177"/>
      <c r="I7271" s="139"/>
      <c r="J7271" s="139"/>
      <c r="K7271" s="139"/>
      <c r="L7271" s="139"/>
    </row>
    <row r="7272" spans="1:12" ht="16.5" customHeight="1" x14ac:dyDescent="0.35">
      <c r="A7272" s="198"/>
      <c r="B7272" s="106"/>
      <c r="C7272" s="165"/>
      <c r="E7272" s="161"/>
      <c r="F7272" s="161"/>
      <c r="G7272" s="138"/>
      <c r="H7272" s="177"/>
      <c r="I7272" s="139"/>
      <c r="J7272" s="139"/>
      <c r="K7272" s="139"/>
      <c r="L7272" s="139"/>
    </row>
    <row r="7273" spans="1:12" ht="16.5" customHeight="1" x14ac:dyDescent="0.35">
      <c r="A7273" s="198"/>
      <c r="B7273" s="106"/>
      <c r="C7273" s="165"/>
      <c r="D7273" s="163"/>
      <c r="E7273" s="161"/>
      <c r="F7273" s="161"/>
      <c r="G7273" s="138"/>
      <c r="H7273" s="177"/>
      <c r="I7273" s="139"/>
      <c r="J7273" s="139"/>
      <c r="K7273" s="139"/>
      <c r="L7273" s="139"/>
    </row>
    <row r="7274" spans="1:12" ht="16.5" customHeight="1" x14ac:dyDescent="0.35">
      <c r="A7274" s="257" t="s">
        <v>537</v>
      </c>
      <c r="B7274" s="371" t="s">
        <v>1094</v>
      </c>
      <c r="C7274" s="368" t="s">
        <v>611</v>
      </c>
      <c r="D7274" s="369" t="s">
        <v>765</v>
      </c>
      <c r="E7274" s="370" t="s">
        <v>766</v>
      </c>
      <c r="F7274" s="370" t="s">
        <v>767</v>
      </c>
      <c r="G7274" s="138"/>
      <c r="H7274" s="177"/>
      <c r="I7274" s="139"/>
      <c r="J7274" s="139"/>
      <c r="K7274" s="139"/>
      <c r="L7274" s="139"/>
    </row>
    <row r="7275" spans="1:12" ht="16.5" customHeight="1" x14ac:dyDescent="0.35">
      <c r="A7275" s="239" t="s">
        <v>547</v>
      </c>
      <c r="B7275" s="219" t="s">
        <v>1097</v>
      </c>
      <c r="C7275" s="100" t="s">
        <v>59</v>
      </c>
      <c r="D7275" s="146"/>
      <c r="E7275" s="117"/>
      <c r="F7275" s="117"/>
      <c r="G7275" s="138"/>
      <c r="H7275" s="177"/>
      <c r="I7275" s="139"/>
      <c r="J7275" s="139"/>
      <c r="K7275" s="139"/>
      <c r="L7275" s="139"/>
    </row>
    <row r="7276" spans="1:12" ht="16.5" customHeight="1" x14ac:dyDescent="0.35">
      <c r="A7276" s="146"/>
      <c r="B7276" s="196" t="s">
        <v>1230</v>
      </c>
      <c r="C7276" s="124"/>
      <c r="D7276" s="146"/>
      <c r="E7276" s="117"/>
      <c r="F7276" s="117"/>
      <c r="G7276" s="138"/>
      <c r="H7276" s="177"/>
      <c r="I7276" s="139"/>
      <c r="J7276" s="139"/>
      <c r="K7276" s="139"/>
      <c r="L7276" s="139"/>
    </row>
    <row r="7277" spans="1:12" ht="16.5" customHeight="1" x14ac:dyDescent="0.35">
      <c r="A7277" s="111"/>
      <c r="B7277" s="374" t="s">
        <v>1242</v>
      </c>
      <c r="C7277" s="115" t="s">
        <v>59</v>
      </c>
      <c r="D7277" s="116">
        <v>1</v>
      </c>
      <c r="E7277" s="117">
        <v>450000</v>
      </c>
      <c r="F7277" s="121">
        <f>D7277*E7277</f>
        <v>450000</v>
      </c>
      <c r="G7277" s="138"/>
      <c r="H7277" s="177"/>
      <c r="I7277" s="139"/>
      <c r="J7277" s="139"/>
      <c r="K7277" s="139"/>
      <c r="L7277" s="139"/>
    </row>
    <row r="7278" spans="1:12" ht="16.5" customHeight="1" x14ac:dyDescent="0.35">
      <c r="A7278" s="111"/>
      <c r="B7278" s="197" t="s">
        <v>1241</v>
      </c>
      <c r="C7278" s="115"/>
      <c r="D7278" s="115"/>
      <c r="E7278" s="117"/>
      <c r="F7278" s="121">
        <f>0.1*(F7277)</f>
        <v>45000</v>
      </c>
      <c r="G7278" s="138"/>
      <c r="H7278" s="177"/>
      <c r="I7278" s="139"/>
      <c r="J7278" s="139"/>
      <c r="K7278" s="139"/>
      <c r="L7278" s="139"/>
    </row>
    <row r="7279" spans="1:12" ht="16.5" customHeight="1" x14ac:dyDescent="0.35">
      <c r="A7279" s="146"/>
      <c r="B7279" s="196" t="s">
        <v>769</v>
      </c>
      <c r="C7279" s="124"/>
      <c r="D7279" s="146"/>
      <c r="E7279" s="117"/>
      <c r="F7279" s="110">
        <f>SUM(F7277:F7278)</f>
        <v>495000</v>
      </c>
      <c r="G7279" s="138"/>
      <c r="H7279" s="177"/>
      <c r="I7279" s="139"/>
      <c r="J7279" s="139"/>
      <c r="K7279" s="139"/>
      <c r="L7279" s="139"/>
    </row>
    <row r="7280" spans="1:12" ht="16.5" customHeight="1" x14ac:dyDescent="0.35">
      <c r="A7280" s="146"/>
      <c r="B7280" s="196" t="s">
        <v>808</v>
      </c>
      <c r="C7280" s="124"/>
      <c r="D7280" s="146"/>
      <c r="E7280" s="117"/>
      <c r="F7280" s="117"/>
      <c r="G7280" s="138"/>
      <c r="H7280" s="177"/>
      <c r="I7280" s="139"/>
      <c r="J7280" s="139"/>
      <c r="K7280" s="139"/>
      <c r="L7280" s="139"/>
    </row>
    <row r="7281" spans="1:12" ht="16.5" customHeight="1" x14ac:dyDescent="0.35">
      <c r="A7281" s="111"/>
      <c r="B7281" s="197" t="s">
        <v>787</v>
      </c>
      <c r="C7281" s="115" t="s">
        <v>1043</v>
      </c>
      <c r="D7281" s="115">
        <v>0.15</v>
      </c>
      <c r="E7281" s="117">
        <v>15000</v>
      </c>
      <c r="F7281" s="121">
        <f>+D7281*E7281</f>
        <v>2250</v>
      </c>
      <c r="G7281" s="138"/>
      <c r="H7281" s="177"/>
      <c r="I7281" s="139"/>
      <c r="J7281" s="139"/>
      <c r="K7281" s="139"/>
      <c r="L7281" s="139"/>
    </row>
    <row r="7282" spans="1:12" ht="16.5" customHeight="1" x14ac:dyDescent="0.35">
      <c r="A7282" s="146"/>
      <c r="B7282" s="196" t="s">
        <v>774</v>
      </c>
      <c r="C7282" s="124"/>
      <c r="D7282" s="146"/>
      <c r="E7282" s="117"/>
      <c r="F7282" s="117">
        <f>F7281</f>
        <v>2250</v>
      </c>
      <c r="G7282" s="138"/>
      <c r="H7282" s="177"/>
      <c r="I7282" s="139"/>
      <c r="J7282" s="139"/>
      <c r="K7282" s="139"/>
      <c r="L7282" s="139"/>
    </row>
    <row r="7283" spans="1:12" ht="16.5" customHeight="1" x14ac:dyDescent="0.35">
      <c r="A7283" s="146"/>
      <c r="B7283" s="196" t="s">
        <v>775</v>
      </c>
      <c r="C7283" s="124"/>
      <c r="D7283" s="146"/>
      <c r="E7283" s="117"/>
      <c r="F7283" s="117">
        <f>+F7279+F7282</f>
        <v>497250</v>
      </c>
      <c r="G7283" s="138"/>
      <c r="H7283" s="177"/>
      <c r="I7283" s="139"/>
      <c r="J7283" s="139"/>
      <c r="K7283" s="139"/>
      <c r="L7283" s="139"/>
    </row>
    <row r="7284" spans="1:12" ht="16.5" customHeight="1" x14ac:dyDescent="0.35">
      <c r="A7284" s="111"/>
      <c r="B7284" s="197" t="s">
        <v>956</v>
      </c>
      <c r="C7284" s="115"/>
      <c r="D7284" s="115">
        <v>1.02</v>
      </c>
      <c r="E7284" s="117"/>
      <c r="F7284" s="121">
        <f>+F7283*D7284</f>
        <v>507195</v>
      </c>
      <c r="G7284" s="138"/>
      <c r="H7284" s="177"/>
      <c r="I7284" s="139"/>
      <c r="J7284" s="139"/>
      <c r="K7284" s="139"/>
      <c r="L7284" s="139"/>
    </row>
    <row r="7285" spans="1:12" ht="16.5" customHeight="1" x14ac:dyDescent="0.35">
      <c r="A7285" s="111"/>
      <c r="B7285" s="197" t="s">
        <v>848</v>
      </c>
      <c r="C7285" s="115"/>
      <c r="D7285" s="115">
        <v>1.05</v>
      </c>
      <c r="E7285" s="117"/>
      <c r="F7285" s="121"/>
      <c r="G7285" s="138"/>
      <c r="H7285" s="177"/>
      <c r="I7285" s="139"/>
      <c r="J7285" s="139"/>
      <c r="K7285" s="139"/>
      <c r="L7285" s="139"/>
    </row>
    <row r="7286" spans="1:12" ht="16.5" customHeight="1" x14ac:dyDescent="0.35">
      <c r="A7286" s="340" t="s">
        <v>547</v>
      </c>
      <c r="B7286" s="242" t="s">
        <v>785</v>
      </c>
      <c r="C7286" s="208" t="s">
        <v>59</v>
      </c>
      <c r="D7286" s="335"/>
      <c r="E7286" s="210"/>
      <c r="F7286" s="209">
        <f>+D7285*F7284</f>
        <v>532554.75</v>
      </c>
      <c r="G7286" s="138"/>
      <c r="H7286" s="177"/>
      <c r="I7286" s="139"/>
      <c r="J7286" s="139"/>
      <c r="K7286" s="139"/>
      <c r="L7286" s="139"/>
    </row>
    <row r="7287" spans="1:12" ht="16.5" customHeight="1" x14ac:dyDescent="0.35">
      <c r="A7287" s="340"/>
      <c r="B7287" s="242"/>
      <c r="C7287" s="208"/>
      <c r="D7287" s="335"/>
      <c r="E7287" s="210">
        <f>+E7271</f>
        <v>3035.45</v>
      </c>
      <c r="F7287" s="210">
        <f>+F7286/E7287</f>
        <v>175.44507404174013</v>
      </c>
      <c r="G7287" s="138"/>
      <c r="H7287" s="177"/>
      <c r="I7287" s="139"/>
      <c r="J7287" s="139"/>
      <c r="K7287" s="139"/>
      <c r="L7287" s="139"/>
    </row>
    <row r="7288" spans="1:12" ht="16.5" customHeight="1" x14ac:dyDescent="0.35">
      <c r="A7288" s="198"/>
      <c r="B7288" s="106"/>
      <c r="C7288" s="165"/>
      <c r="E7288" s="161"/>
      <c r="F7288" s="161"/>
      <c r="G7288" s="138"/>
      <c r="H7288" s="177"/>
      <c r="I7288" s="139"/>
      <c r="J7288" s="139"/>
      <c r="K7288" s="139"/>
      <c r="L7288" s="139"/>
    </row>
    <row r="7289" spans="1:12" ht="16.5" customHeight="1" x14ac:dyDescent="0.35">
      <c r="A7289" s="198"/>
      <c r="B7289" s="106"/>
      <c r="C7289" s="165"/>
      <c r="D7289" s="163"/>
      <c r="E7289" s="161"/>
      <c r="F7289" s="161"/>
      <c r="G7289" s="138"/>
      <c r="H7289" s="177"/>
      <c r="I7289" s="139"/>
      <c r="J7289" s="139"/>
      <c r="K7289" s="139"/>
      <c r="L7289" s="139"/>
    </row>
    <row r="7290" spans="1:12" ht="16.5" customHeight="1" x14ac:dyDescent="0.35">
      <c r="A7290" s="257" t="s">
        <v>537</v>
      </c>
      <c r="B7290" s="371" t="s">
        <v>1094</v>
      </c>
      <c r="C7290" s="368" t="s">
        <v>611</v>
      </c>
      <c r="D7290" s="369" t="s">
        <v>765</v>
      </c>
      <c r="E7290" s="370" t="s">
        <v>766</v>
      </c>
      <c r="F7290" s="370" t="s">
        <v>767</v>
      </c>
      <c r="G7290" s="138"/>
      <c r="H7290" s="177"/>
      <c r="I7290" s="139"/>
      <c r="J7290" s="139"/>
      <c r="K7290" s="139"/>
      <c r="L7290" s="139"/>
    </row>
    <row r="7291" spans="1:12" ht="16.5" customHeight="1" x14ac:dyDescent="0.35">
      <c r="A7291" s="375" t="s">
        <v>549</v>
      </c>
      <c r="B7291" s="373" t="s">
        <v>550</v>
      </c>
      <c r="C7291" s="376"/>
      <c r="D7291" s="141"/>
      <c r="E7291" s="110"/>
      <c r="F7291" s="110"/>
      <c r="G7291" s="138"/>
      <c r="H7291" s="177"/>
      <c r="I7291" s="139"/>
      <c r="J7291" s="139"/>
      <c r="K7291" s="139"/>
      <c r="L7291" s="139"/>
    </row>
    <row r="7292" spans="1:12" ht="16.5" customHeight="1" x14ac:dyDescent="0.35">
      <c r="A7292" s="215" t="s">
        <v>551</v>
      </c>
      <c r="B7292" s="373" t="s">
        <v>552</v>
      </c>
      <c r="C7292" s="377" t="s">
        <v>539</v>
      </c>
      <c r="D7292" s="146"/>
      <c r="E7292" s="117"/>
      <c r="F7292" s="117"/>
      <c r="G7292" s="138"/>
      <c r="H7292" s="177"/>
      <c r="I7292" s="139"/>
      <c r="J7292" s="139"/>
      <c r="K7292" s="139"/>
      <c r="L7292" s="139"/>
    </row>
    <row r="7293" spans="1:12" ht="16.5" customHeight="1" x14ac:dyDescent="0.35">
      <c r="A7293" s="146"/>
      <c r="B7293" s="196" t="s">
        <v>1230</v>
      </c>
      <c r="C7293" s="124"/>
      <c r="D7293" s="146"/>
      <c r="E7293" s="117"/>
      <c r="F7293" s="117"/>
      <c r="G7293" s="138"/>
      <c r="H7293" s="177"/>
      <c r="I7293" s="139"/>
      <c r="J7293" s="139"/>
      <c r="K7293" s="139"/>
      <c r="L7293" s="139"/>
    </row>
    <row r="7294" spans="1:12" ht="16.5" customHeight="1" x14ac:dyDescent="0.35">
      <c r="A7294" s="146"/>
      <c r="B7294" s="172" t="s">
        <v>1243</v>
      </c>
      <c r="C7294" s="124" t="s">
        <v>38</v>
      </c>
      <c r="D7294" s="146">
        <v>0.2</v>
      </c>
      <c r="E7294" s="117">
        <v>7500</v>
      </c>
      <c r="F7294" s="117">
        <f>+D7294*E7294</f>
        <v>1500</v>
      </c>
      <c r="G7294" s="138"/>
      <c r="H7294" s="177"/>
      <c r="I7294" s="139"/>
      <c r="J7294" s="139"/>
      <c r="K7294" s="139"/>
      <c r="L7294" s="139"/>
    </row>
    <row r="7295" spans="1:12" ht="16.5" customHeight="1" x14ac:dyDescent="0.35">
      <c r="A7295" s="111"/>
      <c r="B7295" s="374" t="s">
        <v>1244</v>
      </c>
      <c r="C7295" s="115" t="s">
        <v>35</v>
      </c>
      <c r="D7295" s="116">
        <v>1</v>
      </c>
      <c r="E7295" s="117">
        <v>500</v>
      </c>
      <c r="F7295" s="117">
        <f>+D7295*E7295</f>
        <v>500</v>
      </c>
      <c r="G7295" s="138"/>
      <c r="H7295" s="177"/>
      <c r="I7295" s="139"/>
      <c r="J7295" s="139"/>
      <c r="K7295" s="139"/>
      <c r="L7295" s="139"/>
    </row>
    <row r="7296" spans="1:12" ht="16.5" customHeight="1" x14ac:dyDescent="0.35">
      <c r="A7296" s="111"/>
      <c r="B7296" s="197" t="s">
        <v>1241</v>
      </c>
      <c r="C7296" s="115"/>
      <c r="D7296" s="115"/>
      <c r="E7296" s="117"/>
      <c r="F7296" s="121">
        <f>0.1*(F7295+F7294)</f>
        <v>200</v>
      </c>
      <c r="G7296" s="138"/>
      <c r="H7296" s="177"/>
      <c r="I7296" s="139"/>
      <c r="J7296" s="139"/>
      <c r="K7296" s="139"/>
      <c r="L7296" s="139"/>
    </row>
    <row r="7297" spans="1:12" ht="16.5" customHeight="1" x14ac:dyDescent="0.35">
      <c r="A7297" s="146"/>
      <c r="B7297" s="196" t="s">
        <v>769</v>
      </c>
      <c r="C7297" s="124"/>
      <c r="D7297" s="146"/>
      <c r="E7297" s="117"/>
      <c r="F7297" s="110">
        <f>SUM(F7294:F7296)</f>
        <v>2200</v>
      </c>
      <c r="G7297" s="138"/>
      <c r="H7297" s="177"/>
      <c r="I7297" s="139"/>
      <c r="J7297" s="139"/>
      <c r="K7297" s="139"/>
      <c r="L7297" s="139"/>
    </row>
    <row r="7298" spans="1:12" ht="16.5" customHeight="1" x14ac:dyDescent="0.35">
      <c r="A7298" s="146"/>
      <c r="B7298" s="196" t="s">
        <v>808</v>
      </c>
      <c r="C7298" s="124"/>
      <c r="D7298" s="146"/>
      <c r="E7298" s="117"/>
      <c r="F7298" s="117"/>
      <c r="G7298" s="138"/>
      <c r="H7298" s="177"/>
      <c r="I7298" s="139"/>
      <c r="J7298" s="139"/>
      <c r="K7298" s="139"/>
      <c r="L7298" s="139"/>
    </row>
    <row r="7299" spans="1:12" ht="16.5" customHeight="1" x14ac:dyDescent="0.35">
      <c r="A7299" s="111"/>
      <c r="B7299" s="197" t="s">
        <v>1233</v>
      </c>
      <c r="C7299" s="115" t="s">
        <v>1043</v>
      </c>
      <c r="D7299" s="115">
        <v>0.15</v>
      </c>
      <c r="E7299" s="117">
        <v>7500</v>
      </c>
      <c r="F7299" s="121">
        <f>+D7299*E7299</f>
        <v>1125</v>
      </c>
      <c r="G7299" s="138"/>
      <c r="H7299" s="177"/>
      <c r="I7299" s="139"/>
      <c r="J7299" s="139"/>
      <c r="K7299" s="139"/>
      <c r="L7299" s="139"/>
    </row>
    <row r="7300" spans="1:12" ht="16.5" customHeight="1" x14ac:dyDescent="0.35">
      <c r="A7300" s="146"/>
      <c r="B7300" s="196" t="s">
        <v>774</v>
      </c>
      <c r="C7300" s="124"/>
      <c r="D7300" s="146"/>
      <c r="E7300" s="117"/>
      <c r="F7300" s="117">
        <f>F7299</f>
        <v>1125</v>
      </c>
      <c r="G7300" s="138"/>
      <c r="H7300" s="177"/>
      <c r="I7300" s="139"/>
      <c r="J7300" s="139"/>
      <c r="K7300" s="139"/>
      <c r="L7300" s="139"/>
    </row>
    <row r="7301" spans="1:12" ht="16.5" customHeight="1" x14ac:dyDescent="0.35">
      <c r="A7301" s="146"/>
      <c r="B7301" s="196" t="s">
        <v>775</v>
      </c>
      <c r="C7301" s="124"/>
      <c r="D7301" s="146"/>
      <c r="E7301" s="117"/>
      <c r="F7301" s="117">
        <f>+F7297+F7300</f>
        <v>3325</v>
      </c>
      <c r="G7301" s="138"/>
      <c r="H7301" s="177"/>
      <c r="I7301" s="139"/>
      <c r="J7301" s="139"/>
      <c r="K7301" s="139"/>
      <c r="L7301" s="139"/>
    </row>
    <row r="7302" spans="1:12" ht="16.5" customHeight="1" x14ac:dyDescent="0.35">
      <c r="A7302" s="111"/>
      <c r="B7302" s="197" t="s">
        <v>956</v>
      </c>
      <c r="C7302" s="115"/>
      <c r="D7302" s="115">
        <v>1.25</v>
      </c>
      <c r="E7302" s="117"/>
      <c r="F7302" s="121">
        <f>+F7301*D7302</f>
        <v>4156.25</v>
      </c>
      <c r="G7302" s="138"/>
      <c r="H7302" s="177"/>
      <c r="I7302" s="139"/>
      <c r="J7302" s="139"/>
      <c r="K7302" s="139"/>
      <c r="L7302" s="139"/>
    </row>
    <row r="7303" spans="1:12" ht="16.5" customHeight="1" x14ac:dyDescent="0.35">
      <c r="A7303" s="111"/>
      <c r="B7303" s="197" t="s">
        <v>848</v>
      </c>
      <c r="C7303" s="115"/>
      <c r="D7303" s="115">
        <v>1.25</v>
      </c>
      <c r="E7303" s="117"/>
      <c r="F7303" s="121"/>
      <c r="G7303" s="138"/>
      <c r="H7303" s="177"/>
      <c r="I7303" s="139"/>
      <c r="J7303" s="139"/>
      <c r="K7303" s="139"/>
      <c r="L7303" s="139"/>
    </row>
    <row r="7304" spans="1:12" ht="16.5" customHeight="1" x14ac:dyDescent="0.35">
      <c r="A7304" s="340" t="s">
        <v>551</v>
      </c>
      <c r="B7304" s="242" t="s">
        <v>789</v>
      </c>
      <c r="C7304" s="208" t="s">
        <v>35</v>
      </c>
      <c r="D7304" s="335"/>
      <c r="E7304" s="210"/>
      <c r="F7304" s="209">
        <f>+D7303*F7302</f>
        <v>5195.3125</v>
      </c>
      <c r="G7304" s="138"/>
      <c r="H7304" s="177"/>
      <c r="I7304" s="139"/>
      <c r="J7304" s="139"/>
      <c r="K7304" s="139"/>
      <c r="L7304" s="139"/>
    </row>
    <row r="7305" spans="1:12" ht="16.5" customHeight="1" x14ac:dyDescent="0.35">
      <c r="A7305" s="340"/>
      <c r="B7305" s="242"/>
      <c r="C7305" s="208"/>
      <c r="D7305" s="335"/>
      <c r="E7305" s="210">
        <f>+E7287</f>
        <v>3035.45</v>
      </c>
      <c r="F7305" s="210">
        <f>+F7304/E7305</f>
        <v>1.7115460640102786</v>
      </c>
      <c r="G7305" s="138"/>
      <c r="H7305" s="177"/>
      <c r="I7305" s="139"/>
      <c r="J7305" s="139"/>
      <c r="K7305" s="139"/>
      <c r="L7305" s="139"/>
    </row>
    <row r="7306" spans="1:12" ht="16.5" customHeight="1" x14ac:dyDescent="0.35">
      <c r="A7306" s="198"/>
      <c r="B7306" s="106"/>
      <c r="C7306" s="165"/>
      <c r="E7306" s="161"/>
      <c r="F7306" s="161"/>
      <c r="G7306" s="138"/>
      <c r="H7306" s="177"/>
      <c r="I7306" s="139"/>
      <c r="J7306" s="139"/>
      <c r="K7306" s="139"/>
      <c r="L7306" s="139"/>
    </row>
    <row r="7307" spans="1:12" ht="16.5" customHeight="1" x14ac:dyDescent="0.35">
      <c r="A7307" s="198"/>
      <c r="B7307" s="106"/>
      <c r="C7307" s="165"/>
      <c r="D7307" s="163"/>
      <c r="E7307" s="161"/>
      <c r="F7307" s="161"/>
      <c r="G7307" s="138"/>
      <c r="H7307" s="177"/>
      <c r="I7307" s="139"/>
      <c r="J7307" s="139"/>
      <c r="K7307" s="139"/>
      <c r="L7307" s="139"/>
    </row>
    <row r="7308" spans="1:12" ht="16.5" customHeight="1" x14ac:dyDescent="0.35">
      <c r="A7308" s="257" t="s">
        <v>537</v>
      </c>
      <c r="B7308" s="371" t="s">
        <v>1094</v>
      </c>
      <c r="C7308" s="368" t="s">
        <v>611</v>
      </c>
      <c r="D7308" s="369" t="s">
        <v>765</v>
      </c>
      <c r="E7308" s="370" t="s">
        <v>766</v>
      </c>
      <c r="F7308" s="370" t="s">
        <v>767</v>
      </c>
      <c r="G7308" s="138"/>
      <c r="H7308" s="177"/>
      <c r="I7308" s="139"/>
      <c r="J7308" s="139"/>
      <c r="K7308" s="139"/>
      <c r="L7308" s="139"/>
    </row>
    <row r="7309" spans="1:12" ht="16.5" customHeight="1" x14ac:dyDescent="0.35">
      <c r="A7309" s="375" t="s">
        <v>549</v>
      </c>
      <c r="B7309" s="373" t="s">
        <v>550</v>
      </c>
      <c r="C7309" s="376"/>
      <c r="D7309" s="141"/>
      <c r="E7309" s="110"/>
      <c r="F7309" s="110"/>
      <c r="G7309" s="138"/>
      <c r="H7309" s="177"/>
      <c r="I7309" s="139"/>
      <c r="J7309" s="139"/>
      <c r="K7309" s="139"/>
      <c r="L7309" s="139"/>
    </row>
    <row r="7310" spans="1:12" ht="16.5" customHeight="1" x14ac:dyDescent="0.35">
      <c r="A7310" s="215" t="s">
        <v>553</v>
      </c>
      <c r="B7310" s="344" t="s">
        <v>554</v>
      </c>
      <c r="C7310" s="330" t="s">
        <v>59</v>
      </c>
      <c r="D7310" s="146"/>
      <c r="E7310" s="117"/>
      <c r="F7310" s="117"/>
      <c r="G7310" s="138"/>
      <c r="H7310" s="177"/>
      <c r="I7310" s="139"/>
      <c r="J7310" s="139"/>
      <c r="K7310" s="139"/>
      <c r="L7310" s="139"/>
    </row>
    <row r="7311" spans="1:12" ht="16.5" customHeight="1" x14ac:dyDescent="0.35">
      <c r="A7311" s="146"/>
      <c r="B7311" s="196" t="s">
        <v>1230</v>
      </c>
      <c r="C7311" s="124"/>
      <c r="D7311" s="146"/>
      <c r="E7311" s="117"/>
      <c r="F7311" s="117"/>
      <c r="G7311" s="138"/>
      <c r="H7311" s="177"/>
      <c r="I7311" s="139"/>
      <c r="J7311" s="139"/>
      <c r="K7311" s="139"/>
      <c r="L7311" s="139"/>
    </row>
    <row r="7312" spans="1:12" ht="16.5" customHeight="1" x14ac:dyDescent="0.35">
      <c r="A7312" s="146"/>
      <c r="B7312" s="172" t="s">
        <v>1243</v>
      </c>
      <c r="C7312" s="124" t="s">
        <v>38</v>
      </c>
      <c r="D7312" s="146">
        <v>0.2</v>
      </c>
      <c r="E7312" s="117">
        <v>7500</v>
      </c>
      <c r="F7312" s="117">
        <f>+D7312*E7312</f>
        <v>1500</v>
      </c>
      <c r="G7312" s="138"/>
      <c r="H7312" s="177"/>
      <c r="I7312" s="139"/>
      <c r="J7312" s="139"/>
      <c r="K7312" s="139"/>
      <c r="L7312" s="139"/>
    </row>
    <row r="7313" spans="1:12" ht="16.5" customHeight="1" x14ac:dyDescent="0.35">
      <c r="A7313" s="111"/>
      <c r="B7313" s="374" t="s">
        <v>1245</v>
      </c>
      <c r="C7313" s="115" t="s">
        <v>35</v>
      </c>
      <c r="D7313" s="116">
        <v>1</v>
      </c>
      <c r="E7313" s="117">
        <v>2500</v>
      </c>
      <c r="F7313" s="117">
        <f>+D7313*E7313</f>
        <v>2500</v>
      </c>
      <c r="G7313" s="138"/>
      <c r="H7313" s="177"/>
      <c r="I7313" s="139"/>
      <c r="J7313" s="139"/>
      <c r="K7313" s="139"/>
      <c r="L7313" s="139"/>
    </row>
    <row r="7314" spans="1:12" ht="16.5" customHeight="1" x14ac:dyDescent="0.35">
      <c r="A7314" s="111"/>
      <c r="B7314" s="197" t="s">
        <v>1241</v>
      </c>
      <c r="C7314" s="115"/>
      <c r="D7314" s="115"/>
      <c r="E7314" s="117"/>
      <c r="F7314" s="121">
        <f>0.1*(F7313+F7312)</f>
        <v>400</v>
      </c>
      <c r="G7314" s="138"/>
      <c r="H7314" s="177"/>
      <c r="I7314" s="139"/>
      <c r="J7314" s="139"/>
      <c r="K7314" s="139"/>
      <c r="L7314" s="139"/>
    </row>
    <row r="7315" spans="1:12" ht="16.5" customHeight="1" x14ac:dyDescent="0.35">
      <c r="A7315" s="146"/>
      <c r="B7315" s="196" t="s">
        <v>769</v>
      </c>
      <c r="C7315" s="124"/>
      <c r="D7315" s="146"/>
      <c r="E7315" s="117"/>
      <c r="F7315" s="110">
        <f>SUM(F7312:F7314)</f>
        <v>4400</v>
      </c>
      <c r="G7315" s="138"/>
      <c r="H7315" s="177"/>
      <c r="I7315" s="139"/>
      <c r="J7315" s="139"/>
      <c r="K7315" s="139"/>
      <c r="L7315" s="139"/>
    </row>
    <row r="7316" spans="1:12" ht="16.5" customHeight="1" x14ac:dyDescent="0.35">
      <c r="A7316" s="146"/>
      <c r="B7316" s="196" t="s">
        <v>808</v>
      </c>
      <c r="C7316" s="124"/>
      <c r="D7316" s="146"/>
      <c r="E7316" s="117"/>
      <c r="F7316" s="117"/>
      <c r="G7316" s="138"/>
      <c r="H7316" s="177"/>
      <c r="I7316" s="139"/>
      <c r="J7316" s="139"/>
      <c r="K7316" s="139"/>
      <c r="L7316" s="139"/>
    </row>
    <row r="7317" spans="1:12" ht="16.5" customHeight="1" x14ac:dyDescent="0.35">
      <c r="A7317" s="111"/>
      <c r="B7317" s="197" t="s">
        <v>1233</v>
      </c>
      <c r="C7317" s="115" t="s">
        <v>1043</v>
      </c>
      <c r="D7317" s="115">
        <v>1.5</v>
      </c>
      <c r="E7317" s="117">
        <v>8000</v>
      </c>
      <c r="F7317" s="121">
        <f>+D7317*E7317</f>
        <v>12000</v>
      </c>
      <c r="G7317" s="138"/>
      <c r="H7317" s="177"/>
      <c r="I7317" s="139"/>
      <c r="J7317" s="139"/>
      <c r="K7317" s="139"/>
      <c r="L7317" s="139"/>
    </row>
    <row r="7318" spans="1:12" ht="16.5" customHeight="1" x14ac:dyDescent="0.35">
      <c r="A7318" s="146"/>
      <c r="B7318" s="196" t="s">
        <v>774</v>
      </c>
      <c r="C7318" s="124"/>
      <c r="D7318" s="146"/>
      <c r="E7318" s="117"/>
      <c r="F7318" s="110">
        <f>F7317</f>
        <v>12000</v>
      </c>
      <c r="G7318" s="138"/>
      <c r="H7318" s="177"/>
      <c r="I7318" s="139"/>
      <c r="J7318" s="139"/>
      <c r="K7318" s="139"/>
      <c r="L7318" s="139"/>
    </row>
    <row r="7319" spans="1:12" ht="16.5" customHeight="1" x14ac:dyDescent="0.35">
      <c r="A7319" s="146"/>
      <c r="B7319" s="196" t="s">
        <v>775</v>
      </c>
      <c r="C7319" s="124"/>
      <c r="D7319" s="146"/>
      <c r="E7319" s="117"/>
      <c r="F7319" s="117">
        <f>+F7315+F7318</f>
        <v>16400</v>
      </c>
      <c r="G7319" s="138"/>
      <c r="H7319" s="177"/>
      <c r="I7319" s="139"/>
      <c r="J7319" s="139"/>
      <c r="K7319" s="139"/>
      <c r="L7319" s="139"/>
    </row>
    <row r="7320" spans="1:12" ht="16.5" customHeight="1" x14ac:dyDescent="0.35">
      <c r="A7320" s="111"/>
      <c r="B7320" s="197" t="s">
        <v>956</v>
      </c>
      <c r="C7320" s="115"/>
      <c r="D7320" s="115">
        <v>1.25</v>
      </c>
      <c r="E7320" s="117"/>
      <c r="F7320" s="121">
        <f>+F7319*D7320</f>
        <v>20500</v>
      </c>
      <c r="G7320" s="138"/>
      <c r="H7320" s="177"/>
      <c r="I7320" s="139"/>
      <c r="J7320" s="139"/>
      <c r="K7320" s="139"/>
      <c r="L7320" s="139"/>
    </row>
    <row r="7321" spans="1:12" ht="16.5" customHeight="1" x14ac:dyDescent="0.35">
      <c r="A7321" s="111"/>
      <c r="B7321" s="197" t="s">
        <v>848</v>
      </c>
      <c r="C7321" s="115"/>
      <c r="D7321" s="115">
        <v>1.25</v>
      </c>
      <c r="E7321" s="117"/>
      <c r="F7321" s="121"/>
      <c r="G7321" s="138"/>
      <c r="H7321" s="177"/>
      <c r="I7321" s="139"/>
      <c r="J7321" s="139"/>
      <c r="K7321" s="139"/>
      <c r="L7321" s="139"/>
    </row>
    <row r="7322" spans="1:12" ht="16.5" customHeight="1" x14ac:dyDescent="0.35">
      <c r="A7322" s="340" t="s">
        <v>553</v>
      </c>
      <c r="B7322" s="242" t="s">
        <v>785</v>
      </c>
      <c r="C7322" s="208" t="s">
        <v>59</v>
      </c>
      <c r="D7322" s="335"/>
      <c r="E7322" s="210"/>
      <c r="F7322" s="209">
        <f>+D7321*F7320</f>
        <v>25625</v>
      </c>
      <c r="G7322" s="138"/>
      <c r="H7322" s="177"/>
      <c r="I7322" s="139"/>
      <c r="J7322" s="139"/>
      <c r="K7322" s="139"/>
      <c r="L7322" s="139"/>
    </row>
    <row r="7323" spans="1:12" ht="16.5" customHeight="1" x14ac:dyDescent="0.35">
      <c r="A7323" s="340"/>
      <c r="B7323" s="242"/>
      <c r="C7323" s="208"/>
      <c r="D7323" s="335"/>
      <c r="E7323" s="210">
        <f>+E7305</f>
        <v>3035.45</v>
      </c>
      <c r="F7323" s="210">
        <f>+F7322/E7323</f>
        <v>8.441911413464231</v>
      </c>
      <c r="G7323" s="138"/>
      <c r="H7323" s="177"/>
      <c r="I7323" s="139"/>
      <c r="J7323" s="139"/>
      <c r="K7323" s="139"/>
      <c r="L7323" s="139"/>
    </row>
    <row r="7324" spans="1:12" ht="16.5" customHeight="1" x14ac:dyDescent="0.35">
      <c r="A7324" s="198"/>
      <c r="B7324" s="106"/>
      <c r="C7324" s="165"/>
      <c r="E7324" s="161"/>
      <c r="F7324" s="161"/>
      <c r="G7324" s="138"/>
      <c r="H7324" s="177"/>
      <c r="I7324" s="139"/>
      <c r="J7324" s="139"/>
      <c r="K7324" s="139"/>
      <c r="L7324" s="139"/>
    </row>
    <row r="7325" spans="1:12" ht="16.5" customHeight="1" x14ac:dyDescent="0.35">
      <c r="A7325" s="198"/>
      <c r="B7325" s="106"/>
      <c r="C7325" s="165"/>
      <c r="D7325" s="163"/>
      <c r="E7325" s="161"/>
      <c r="F7325" s="161"/>
      <c r="G7325" s="138"/>
      <c r="H7325" s="177"/>
      <c r="I7325" s="139"/>
      <c r="J7325" s="139"/>
      <c r="K7325" s="139"/>
      <c r="L7325" s="139"/>
    </row>
    <row r="7326" spans="1:12" ht="16.5" customHeight="1" x14ac:dyDescent="0.35">
      <c r="A7326" s="257" t="s">
        <v>537</v>
      </c>
      <c r="B7326" s="371" t="s">
        <v>1094</v>
      </c>
      <c r="C7326" s="368" t="s">
        <v>611</v>
      </c>
      <c r="D7326" s="369" t="s">
        <v>765</v>
      </c>
      <c r="E7326" s="370" t="s">
        <v>766</v>
      </c>
      <c r="F7326" s="370" t="s">
        <v>767</v>
      </c>
      <c r="G7326" s="138"/>
      <c r="H7326" s="177"/>
      <c r="I7326" s="139"/>
      <c r="J7326" s="139"/>
      <c r="K7326" s="139"/>
      <c r="L7326" s="139"/>
    </row>
    <row r="7327" spans="1:12" ht="16.5" customHeight="1" x14ac:dyDescent="0.35">
      <c r="A7327" s="375" t="s">
        <v>555</v>
      </c>
      <c r="B7327" s="344" t="s">
        <v>556</v>
      </c>
      <c r="C7327" s="330"/>
      <c r="D7327" s="141"/>
      <c r="E7327" s="110"/>
      <c r="F7327" s="110"/>
      <c r="G7327" s="138"/>
      <c r="H7327" s="177"/>
      <c r="I7327" s="139"/>
      <c r="J7327" s="139"/>
      <c r="K7327" s="139"/>
      <c r="L7327" s="139"/>
    </row>
    <row r="7328" spans="1:12" ht="27.75" customHeight="1" x14ac:dyDescent="0.35">
      <c r="A7328" s="375" t="s">
        <v>1246</v>
      </c>
      <c r="B7328" s="344" t="s">
        <v>1354</v>
      </c>
      <c r="C7328" s="330" t="s">
        <v>13</v>
      </c>
      <c r="D7328" s="146"/>
      <c r="E7328" s="117"/>
      <c r="F7328" s="117"/>
      <c r="G7328" s="138"/>
      <c r="H7328" s="177"/>
      <c r="I7328" s="139"/>
      <c r="J7328" s="139"/>
      <c r="K7328" s="139"/>
      <c r="L7328" s="139"/>
    </row>
    <row r="7329" spans="1:12" ht="16.5" customHeight="1" x14ac:dyDescent="0.35">
      <c r="A7329" s="146"/>
      <c r="B7329" s="196" t="s">
        <v>1230</v>
      </c>
      <c r="C7329" s="124"/>
      <c r="D7329" s="146"/>
      <c r="E7329" s="117"/>
      <c r="F7329" s="117"/>
      <c r="G7329" s="138"/>
      <c r="H7329" s="177"/>
      <c r="I7329" s="139"/>
      <c r="J7329" s="139"/>
      <c r="K7329" s="139"/>
      <c r="L7329" s="139"/>
    </row>
    <row r="7330" spans="1:12" ht="16.5" customHeight="1" x14ac:dyDescent="0.35">
      <c r="A7330" s="146"/>
      <c r="B7330" s="172" t="s">
        <v>1101</v>
      </c>
      <c r="C7330" s="124" t="s">
        <v>38</v>
      </c>
      <c r="D7330" s="146">
        <v>2.71</v>
      </c>
      <c r="E7330" s="117">
        <f>+F591</f>
        <v>17500</v>
      </c>
      <c r="F7330" s="117">
        <f t="shared" ref="F7330:F7336" si="133">+D7330*E7330</f>
        <v>47425</v>
      </c>
      <c r="G7330" s="138"/>
      <c r="H7330" s="177"/>
      <c r="I7330" s="139"/>
      <c r="J7330" s="139"/>
      <c r="K7330" s="139"/>
      <c r="L7330" s="139"/>
    </row>
    <row r="7331" spans="1:12" ht="16.5" customHeight="1" x14ac:dyDescent="0.35">
      <c r="A7331" s="111"/>
      <c r="B7331" s="172" t="s">
        <v>866</v>
      </c>
      <c r="C7331" s="115" t="s">
        <v>38</v>
      </c>
      <c r="D7331" s="124">
        <v>4.82</v>
      </c>
      <c r="E7331" s="117">
        <f>E7225</f>
        <v>516406.25</v>
      </c>
      <c r="F7331" s="117">
        <f t="shared" si="133"/>
        <v>2489078.125</v>
      </c>
      <c r="G7331" s="138"/>
      <c r="H7331" s="177"/>
      <c r="I7331" s="139"/>
      <c r="J7331" s="139"/>
      <c r="K7331" s="139"/>
      <c r="L7331" s="139"/>
    </row>
    <row r="7332" spans="1:12" ht="16.5" customHeight="1" x14ac:dyDescent="0.35">
      <c r="A7332" s="111"/>
      <c r="B7332" s="172" t="s">
        <v>1247</v>
      </c>
      <c r="C7332" s="115" t="s">
        <v>35</v>
      </c>
      <c r="D7332" s="124">
        <v>10.93</v>
      </c>
      <c r="E7332" s="117">
        <f>F1324</f>
        <v>57473.325000000004</v>
      </c>
      <c r="F7332" s="117">
        <f t="shared" si="133"/>
        <v>628183.44225000008</v>
      </c>
      <c r="G7332" s="138"/>
      <c r="H7332" s="177"/>
      <c r="I7332" s="139"/>
      <c r="J7332" s="139"/>
      <c r="K7332" s="139"/>
      <c r="L7332" s="139"/>
    </row>
    <row r="7333" spans="1:12" ht="16.5" customHeight="1" x14ac:dyDescent="0.35">
      <c r="A7333" s="111"/>
      <c r="B7333" s="172" t="s">
        <v>1099</v>
      </c>
      <c r="C7333" s="115" t="s">
        <v>59</v>
      </c>
      <c r="D7333" s="124">
        <v>1</v>
      </c>
      <c r="E7333" s="117">
        <v>105000</v>
      </c>
      <c r="F7333" s="117">
        <f t="shared" si="133"/>
        <v>105000</v>
      </c>
      <c r="G7333" s="138"/>
      <c r="H7333" s="177"/>
      <c r="I7333" s="139"/>
      <c r="J7333" s="139"/>
      <c r="K7333" s="139"/>
      <c r="L7333" s="139"/>
    </row>
    <row r="7334" spans="1:12" ht="16.5" customHeight="1" x14ac:dyDescent="0.35">
      <c r="A7334" s="111"/>
      <c r="B7334" s="172" t="s">
        <v>1342</v>
      </c>
      <c r="C7334" s="115" t="s">
        <v>59</v>
      </c>
      <c r="D7334" s="124">
        <v>1</v>
      </c>
      <c r="E7334" s="117">
        <v>90000</v>
      </c>
      <c r="F7334" s="117">
        <f t="shared" si="133"/>
        <v>90000</v>
      </c>
      <c r="G7334" s="138"/>
      <c r="H7334" s="177"/>
      <c r="I7334" s="139"/>
      <c r="J7334" s="139"/>
      <c r="K7334" s="139"/>
      <c r="L7334" s="139"/>
    </row>
    <row r="7335" spans="1:12" ht="16.5" customHeight="1" x14ac:dyDescent="0.35">
      <c r="A7335" s="111"/>
      <c r="B7335" s="172" t="s">
        <v>1248</v>
      </c>
      <c r="C7335" s="124" t="s">
        <v>38</v>
      </c>
      <c r="D7335" s="124">
        <v>1.1299999999999999</v>
      </c>
      <c r="E7335" s="117">
        <v>55000</v>
      </c>
      <c r="F7335" s="117">
        <f t="shared" si="133"/>
        <v>62149.999999999993</v>
      </c>
      <c r="G7335" s="138"/>
      <c r="H7335" s="177"/>
      <c r="I7335" s="139"/>
      <c r="J7335" s="139"/>
      <c r="K7335" s="139"/>
      <c r="L7335" s="139"/>
    </row>
    <row r="7336" spans="1:12" ht="16.5" customHeight="1" x14ac:dyDescent="0.35">
      <c r="A7336" s="111"/>
      <c r="B7336" s="378" t="s">
        <v>1249</v>
      </c>
      <c r="C7336" s="124" t="s">
        <v>59</v>
      </c>
      <c r="D7336" s="115">
        <v>1</v>
      </c>
      <c r="E7336" s="117">
        <v>25000000</v>
      </c>
      <c r="F7336" s="117">
        <f t="shared" si="133"/>
        <v>25000000</v>
      </c>
      <c r="G7336" s="138"/>
      <c r="H7336" s="177"/>
      <c r="I7336" s="139"/>
      <c r="J7336" s="139"/>
      <c r="K7336" s="139"/>
      <c r="L7336" s="139"/>
    </row>
    <row r="7337" spans="1:12" ht="16.5" customHeight="1" x14ac:dyDescent="0.35">
      <c r="A7337" s="146"/>
      <c r="B7337" s="197" t="s">
        <v>1241</v>
      </c>
      <c r="C7337" s="124"/>
      <c r="D7337" s="146"/>
      <c r="E7337" s="117"/>
      <c r="F7337" s="117">
        <f>0.1*(F7336+F7335+F7333+F7331+F7330+F7332+F7334)</f>
        <v>2842183.6567250001</v>
      </c>
      <c r="G7337" s="138"/>
      <c r="H7337" s="177"/>
      <c r="I7337" s="139"/>
      <c r="J7337" s="139"/>
      <c r="K7337" s="139"/>
      <c r="L7337" s="139"/>
    </row>
    <row r="7338" spans="1:12" ht="16.5" customHeight="1" x14ac:dyDescent="0.35">
      <c r="A7338" s="146"/>
      <c r="B7338" s="196" t="s">
        <v>769</v>
      </c>
      <c r="C7338" s="124"/>
      <c r="D7338" s="146"/>
      <c r="E7338" s="117"/>
      <c r="F7338" s="110">
        <f>SUM(F7330:F7337)</f>
        <v>31264020.223974999</v>
      </c>
      <c r="G7338" s="138"/>
      <c r="H7338" s="177"/>
      <c r="I7338" s="139"/>
      <c r="J7338" s="139"/>
      <c r="K7338" s="139"/>
      <c r="L7338" s="139"/>
    </row>
    <row r="7339" spans="1:12" ht="16.5" customHeight="1" x14ac:dyDescent="0.35">
      <c r="A7339" s="111"/>
      <c r="B7339" s="196" t="s">
        <v>808</v>
      </c>
      <c r="C7339" s="173"/>
      <c r="D7339" s="173"/>
      <c r="E7339" s="173"/>
      <c r="F7339" s="173"/>
      <c r="G7339" s="138"/>
      <c r="H7339" s="177"/>
      <c r="I7339" s="139"/>
      <c r="J7339" s="139"/>
      <c r="K7339" s="139"/>
      <c r="L7339" s="139"/>
    </row>
    <row r="7340" spans="1:12" ht="16.5" customHeight="1" x14ac:dyDescent="0.35">
      <c r="A7340" s="146"/>
      <c r="B7340" s="197" t="s">
        <v>1233</v>
      </c>
      <c r="C7340" s="115" t="s">
        <v>1043</v>
      </c>
      <c r="D7340" s="115">
        <v>0.5</v>
      </c>
      <c r="E7340" s="117">
        <v>7500</v>
      </c>
      <c r="F7340" s="121">
        <f>+D7340*E7340</f>
        <v>3750</v>
      </c>
      <c r="G7340" s="138"/>
      <c r="H7340" s="177"/>
      <c r="I7340" s="139"/>
      <c r="J7340" s="139"/>
      <c r="K7340" s="139"/>
      <c r="L7340" s="139"/>
    </row>
    <row r="7341" spans="1:12" ht="16.5" customHeight="1" x14ac:dyDescent="0.35">
      <c r="A7341" s="146"/>
      <c r="B7341" s="197" t="s">
        <v>851</v>
      </c>
      <c r="C7341" s="115" t="s">
        <v>1043</v>
      </c>
      <c r="D7341" s="115">
        <v>2</v>
      </c>
      <c r="E7341" s="117">
        <v>15000</v>
      </c>
      <c r="F7341" s="121">
        <f>+D7341*E7341</f>
        <v>30000</v>
      </c>
      <c r="G7341" s="138"/>
      <c r="H7341" s="177"/>
      <c r="I7341" s="139"/>
      <c r="J7341" s="139"/>
      <c r="K7341" s="139"/>
      <c r="L7341" s="139"/>
    </row>
    <row r="7342" spans="1:12" ht="16.5" customHeight="1" x14ac:dyDescent="0.35">
      <c r="A7342" s="146"/>
      <c r="B7342" s="197" t="s">
        <v>794</v>
      </c>
      <c r="C7342" s="115" t="s">
        <v>1043</v>
      </c>
      <c r="D7342" s="115">
        <v>1.5</v>
      </c>
      <c r="E7342" s="117">
        <v>15000</v>
      </c>
      <c r="F7342" s="121">
        <f>+D7342*E7342</f>
        <v>22500</v>
      </c>
      <c r="G7342" s="138"/>
      <c r="H7342" s="177"/>
      <c r="I7342" s="139"/>
      <c r="J7342" s="139"/>
      <c r="K7342" s="139"/>
      <c r="L7342" s="139"/>
    </row>
    <row r="7343" spans="1:12" ht="16.5" customHeight="1" x14ac:dyDescent="0.35">
      <c r="A7343" s="146"/>
      <c r="B7343" s="196" t="s">
        <v>774</v>
      </c>
      <c r="C7343" s="124"/>
      <c r="D7343" s="146"/>
      <c r="E7343" s="117"/>
      <c r="F7343" s="110">
        <f>SUM(F7340:F7342)</f>
        <v>56250</v>
      </c>
      <c r="G7343" s="138"/>
      <c r="H7343" s="177"/>
      <c r="I7343" s="139"/>
      <c r="J7343" s="139"/>
      <c r="K7343" s="139"/>
      <c r="L7343" s="139"/>
    </row>
    <row r="7344" spans="1:12" ht="16.5" customHeight="1" x14ac:dyDescent="0.35">
      <c r="A7344" s="111"/>
      <c r="B7344" s="196" t="s">
        <v>775</v>
      </c>
      <c r="C7344" s="115"/>
      <c r="D7344" s="115"/>
      <c r="E7344" s="117"/>
      <c r="F7344" s="114">
        <f>+F7338+F7343</f>
        <v>31320270.223974999</v>
      </c>
      <c r="G7344" s="138"/>
      <c r="H7344" s="177"/>
      <c r="I7344" s="139"/>
      <c r="J7344" s="139"/>
      <c r="K7344" s="139"/>
      <c r="L7344" s="139"/>
    </row>
    <row r="7345" spans="1:12" ht="16.5" customHeight="1" x14ac:dyDescent="0.35">
      <c r="A7345" s="111"/>
      <c r="B7345" s="197" t="s">
        <v>792</v>
      </c>
      <c r="C7345" s="115"/>
      <c r="D7345" s="115">
        <v>1.05</v>
      </c>
      <c r="E7345" s="117"/>
      <c r="F7345" s="121">
        <f>+D7345*F7344</f>
        <v>32886283.735173751</v>
      </c>
      <c r="G7345" s="138"/>
      <c r="H7345" s="177"/>
      <c r="I7345" s="139"/>
      <c r="J7345" s="139"/>
      <c r="K7345" s="139"/>
      <c r="L7345" s="139"/>
    </row>
    <row r="7346" spans="1:12" ht="16.5" customHeight="1" x14ac:dyDescent="0.35">
      <c r="A7346" s="104"/>
      <c r="B7346" s="197" t="s">
        <v>813</v>
      </c>
      <c r="C7346" s="173"/>
      <c r="D7346" s="144">
        <v>1.1499999999999999</v>
      </c>
      <c r="E7346" s="173"/>
      <c r="F7346" s="173"/>
      <c r="G7346" s="138"/>
      <c r="H7346" s="177"/>
      <c r="I7346" s="139"/>
      <c r="J7346" s="139"/>
      <c r="K7346" s="139"/>
      <c r="L7346" s="139"/>
    </row>
    <row r="7347" spans="1:12" ht="16.5" customHeight="1" x14ac:dyDescent="0.35">
      <c r="A7347" s="340" t="s">
        <v>1246</v>
      </c>
      <c r="B7347" s="242" t="s">
        <v>785</v>
      </c>
      <c r="C7347" s="208" t="s">
        <v>59</v>
      </c>
      <c r="D7347" s="335"/>
      <c r="E7347" s="210"/>
      <c r="F7347" s="209">
        <f>+D7346*F7345</f>
        <v>37819226.295449808</v>
      </c>
      <c r="G7347" s="138"/>
      <c r="H7347" s="177"/>
      <c r="I7347" s="139"/>
      <c r="J7347" s="139"/>
      <c r="K7347" s="139"/>
      <c r="L7347" s="139"/>
    </row>
    <row r="7348" spans="1:12" ht="16.5" customHeight="1" x14ac:dyDescent="0.35">
      <c r="A7348" s="340"/>
      <c r="B7348" s="242"/>
      <c r="C7348" s="337"/>
      <c r="D7348" s="335"/>
      <c r="E7348" s="210">
        <f>+E7323</f>
        <v>3035.45</v>
      </c>
      <c r="F7348" s="210">
        <f>+F7347/E7348</f>
        <v>12459.182755588072</v>
      </c>
      <c r="G7348" s="138"/>
      <c r="H7348" s="177"/>
      <c r="I7348" s="139"/>
      <c r="J7348" s="139"/>
      <c r="K7348" s="139"/>
      <c r="L7348" s="139"/>
    </row>
    <row r="7349" spans="1:12" ht="16.5" customHeight="1" x14ac:dyDescent="0.35">
      <c r="A7349" s="198"/>
      <c r="B7349" s="106"/>
      <c r="C7349" s="165"/>
      <c r="E7349" s="161"/>
      <c r="F7349" s="161"/>
      <c r="G7349" s="138"/>
      <c r="H7349" s="177"/>
      <c r="I7349" s="139"/>
      <c r="J7349" s="139"/>
      <c r="K7349" s="139"/>
      <c r="L7349" s="139"/>
    </row>
    <row r="7350" spans="1:12" ht="16.5" customHeight="1" x14ac:dyDescent="0.35">
      <c r="A7350" s="198"/>
      <c r="B7350" s="106"/>
      <c r="C7350" s="165"/>
      <c r="D7350" s="163"/>
      <c r="E7350" s="161"/>
      <c r="F7350" s="161"/>
      <c r="G7350" s="138"/>
      <c r="H7350" s="177"/>
      <c r="I7350" s="139"/>
      <c r="J7350" s="139"/>
      <c r="K7350" s="139"/>
      <c r="L7350" s="139"/>
    </row>
    <row r="7351" spans="1:12" ht="16.5" customHeight="1" x14ac:dyDescent="0.35">
      <c r="A7351" s="257" t="s">
        <v>537</v>
      </c>
      <c r="B7351" s="371" t="s">
        <v>1094</v>
      </c>
      <c r="C7351" s="368" t="s">
        <v>611</v>
      </c>
      <c r="D7351" s="369" t="s">
        <v>765</v>
      </c>
      <c r="E7351" s="370" t="s">
        <v>766</v>
      </c>
      <c r="F7351" s="370" t="s">
        <v>767</v>
      </c>
      <c r="G7351" s="138"/>
      <c r="H7351" s="177"/>
      <c r="I7351" s="139"/>
      <c r="J7351" s="139"/>
      <c r="K7351" s="139"/>
      <c r="L7351" s="139"/>
    </row>
    <row r="7352" spans="1:12" ht="16.5" customHeight="1" x14ac:dyDescent="0.35">
      <c r="A7352" s="375" t="s">
        <v>555</v>
      </c>
      <c r="B7352" s="344" t="s">
        <v>556</v>
      </c>
      <c r="C7352" s="330"/>
      <c r="D7352" s="141"/>
      <c r="E7352" s="110"/>
      <c r="F7352" s="110"/>
      <c r="G7352" s="138"/>
      <c r="H7352" s="177"/>
      <c r="I7352" s="139"/>
      <c r="J7352" s="139"/>
      <c r="K7352" s="139"/>
      <c r="L7352" s="139"/>
    </row>
    <row r="7353" spans="1:12" ht="16.5" customHeight="1" x14ac:dyDescent="0.35">
      <c r="A7353" s="375" t="s">
        <v>1250</v>
      </c>
      <c r="B7353" s="344" t="s">
        <v>557</v>
      </c>
      <c r="C7353" s="379" t="s">
        <v>59</v>
      </c>
      <c r="D7353" s="146"/>
      <c r="E7353" s="117"/>
      <c r="F7353" s="117"/>
      <c r="G7353" s="138"/>
      <c r="H7353" s="177"/>
      <c r="I7353" s="139"/>
      <c r="J7353" s="139"/>
      <c r="K7353" s="139"/>
      <c r="L7353" s="139"/>
    </row>
    <row r="7354" spans="1:12" ht="16.5" customHeight="1" x14ac:dyDescent="0.35">
      <c r="A7354" s="146"/>
      <c r="B7354" s="196" t="s">
        <v>1230</v>
      </c>
      <c r="C7354" s="124"/>
      <c r="D7354" s="146"/>
      <c r="E7354" s="117"/>
      <c r="F7354" s="117"/>
      <c r="G7354" s="138"/>
      <c r="H7354" s="177"/>
      <c r="I7354" s="139"/>
      <c r="J7354" s="139"/>
      <c r="K7354" s="139"/>
      <c r="L7354" s="139"/>
    </row>
    <row r="7355" spans="1:12" ht="16.5" customHeight="1" x14ac:dyDescent="0.35">
      <c r="A7355" s="146"/>
      <c r="B7355" s="172" t="s">
        <v>1101</v>
      </c>
      <c r="C7355" s="124" t="s">
        <v>38</v>
      </c>
      <c r="D7355" s="146">
        <v>2.71</v>
      </c>
      <c r="E7355" s="117">
        <f>E7330</f>
        <v>17500</v>
      </c>
      <c r="F7355" s="117">
        <f>+D7355*E7355</f>
        <v>47425</v>
      </c>
      <c r="G7355" s="138"/>
      <c r="H7355" s="177"/>
      <c r="I7355" s="139"/>
      <c r="J7355" s="139"/>
      <c r="K7355" s="139"/>
      <c r="L7355" s="139"/>
    </row>
    <row r="7356" spans="1:12" ht="16.5" customHeight="1" x14ac:dyDescent="0.35">
      <c r="A7356" s="111"/>
      <c r="B7356" s="172" t="s">
        <v>1098</v>
      </c>
      <c r="C7356" s="124" t="s">
        <v>38</v>
      </c>
      <c r="D7356" s="124">
        <v>20</v>
      </c>
      <c r="E7356" s="117">
        <v>600000</v>
      </c>
      <c r="F7356" s="117">
        <f>+D7356*E7356</f>
        <v>12000000</v>
      </c>
      <c r="G7356" s="138"/>
      <c r="H7356" s="177"/>
      <c r="I7356" s="139"/>
      <c r="J7356" s="139"/>
      <c r="K7356" s="139"/>
      <c r="L7356" s="139"/>
    </row>
    <row r="7357" spans="1:12" ht="16.5" customHeight="1" x14ac:dyDescent="0.35">
      <c r="A7357" s="111"/>
      <c r="B7357" s="172" t="s">
        <v>1100</v>
      </c>
      <c r="C7357" s="115" t="s">
        <v>27</v>
      </c>
      <c r="D7357" s="124">
        <v>32</v>
      </c>
      <c r="E7357" s="117">
        <v>500000</v>
      </c>
      <c r="F7357" s="117">
        <f>+D7357*E7357</f>
        <v>16000000</v>
      </c>
      <c r="G7357" s="138"/>
      <c r="H7357" s="177"/>
      <c r="I7357" s="139"/>
      <c r="J7357" s="139"/>
      <c r="K7357" s="139"/>
      <c r="L7357" s="139"/>
    </row>
    <row r="7358" spans="1:12" ht="16.5" customHeight="1" x14ac:dyDescent="0.35">
      <c r="A7358" s="111"/>
      <c r="B7358" s="172" t="s">
        <v>1099</v>
      </c>
      <c r="C7358" s="115" t="s">
        <v>59</v>
      </c>
      <c r="D7358" s="124">
        <v>1</v>
      </c>
      <c r="E7358" s="117">
        <v>50000000</v>
      </c>
      <c r="F7358" s="117">
        <f>+D7358*E7358</f>
        <v>50000000</v>
      </c>
      <c r="G7358" s="138"/>
      <c r="H7358" s="177"/>
      <c r="I7358" s="139"/>
      <c r="J7358" s="139"/>
      <c r="K7358" s="139"/>
      <c r="L7358" s="139"/>
    </row>
    <row r="7359" spans="1:12" ht="16.5" customHeight="1" x14ac:dyDescent="0.35">
      <c r="A7359" s="111"/>
      <c r="B7359" s="378" t="s">
        <v>1251</v>
      </c>
      <c r="C7359" s="124" t="s">
        <v>7</v>
      </c>
      <c r="D7359" s="115">
        <v>1</v>
      </c>
      <c r="E7359" s="117">
        <v>15000000</v>
      </c>
      <c r="F7359" s="117">
        <f>+D7359*E7359</f>
        <v>15000000</v>
      </c>
      <c r="G7359" s="138"/>
      <c r="H7359" s="177"/>
      <c r="I7359" s="139"/>
      <c r="J7359" s="139"/>
      <c r="K7359" s="139"/>
      <c r="L7359" s="139"/>
    </row>
    <row r="7360" spans="1:12" ht="16.5" customHeight="1" x14ac:dyDescent="0.35">
      <c r="A7360" s="146"/>
      <c r="B7360" s="197" t="s">
        <v>1241</v>
      </c>
      <c r="C7360" s="124"/>
      <c r="D7360" s="146"/>
      <c r="E7360" s="117"/>
      <c r="F7360" s="117">
        <f>0.1*(F7359+F7358+F7356+F7355+F7357)</f>
        <v>9304742.5</v>
      </c>
      <c r="G7360" s="138"/>
      <c r="H7360" s="177"/>
      <c r="I7360" s="139"/>
      <c r="J7360" s="139"/>
      <c r="K7360" s="139"/>
      <c r="L7360" s="139"/>
    </row>
    <row r="7361" spans="1:12" ht="16.5" customHeight="1" x14ac:dyDescent="0.35">
      <c r="A7361" s="146"/>
      <c r="B7361" s="196" t="s">
        <v>769</v>
      </c>
      <c r="C7361" s="124"/>
      <c r="D7361" s="146"/>
      <c r="E7361" s="117"/>
      <c r="F7361" s="110">
        <f>SUM(F7355:F7360)</f>
        <v>102352167.5</v>
      </c>
      <c r="G7361" s="138"/>
      <c r="H7361" s="177"/>
      <c r="I7361" s="139"/>
      <c r="J7361" s="139"/>
      <c r="K7361" s="139"/>
      <c r="L7361" s="139"/>
    </row>
    <row r="7362" spans="1:12" ht="16.5" customHeight="1" x14ac:dyDescent="0.35">
      <c r="A7362" s="111"/>
      <c r="B7362" s="196" t="s">
        <v>808</v>
      </c>
      <c r="C7362" s="173"/>
      <c r="D7362" s="173"/>
      <c r="E7362" s="173"/>
      <c r="F7362" s="173"/>
      <c r="G7362" s="138"/>
      <c r="H7362" s="177"/>
      <c r="I7362" s="139"/>
      <c r="J7362" s="139"/>
      <c r="K7362" s="139"/>
      <c r="L7362" s="139"/>
    </row>
    <row r="7363" spans="1:12" ht="16.5" customHeight="1" x14ac:dyDescent="0.35">
      <c r="A7363" s="146"/>
      <c r="B7363" s="197" t="s">
        <v>1233</v>
      </c>
      <c r="C7363" s="115" t="s">
        <v>1043</v>
      </c>
      <c r="D7363" s="115">
        <v>1.5</v>
      </c>
      <c r="E7363" s="117">
        <v>7500</v>
      </c>
      <c r="F7363" s="121">
        <f>+D7363*E7363</f>
        <v>11250</v>
      </c>
      <c r="G7363" s="138"/>
      <c r="H7363" s="177"/>
      <c r="I7363" s="139"/>
      <c r="J7363" s="139"/>
      <c r="K7363" s="139"/>
      <c r="L7363" s="139"/>
    </row>
    <row r="7364" spans="1:12" ht="16.5" customHeight="1" x14ac:dyDescent="0.35">
      <c r="A7364" s="146"/>
      <c r="B7364" s="197" t="s">
        <v>895</v>
      </c>
      <c r="C7364" s="115" t="s">
        <v>1043</v>
      </c>
      <c r="D7364" s="115">
        <v>6</v>
      </c>
      <c r="E7364" s="117">
        <v>15000</v>
      </c>
      <c r="F7364" s="121">
        <f>+D7364*E7364</f>
        <v>90000</v>
      </c>
      <c r="G7364" s="138"/>
      <c r="H7364" s="177"/>
      <c r="I7364" s="139"/>
      <c r="J7364" s="139"/>
      <c r="K7364" s="139"/>
      <c r="L7364" s="139"/>
    </row>
    <row r="7365" spans="1:12" ht="16.5" customHeight="1" x14ac:dyDescent="0.35">
      <c r="A7365" s="146"/>
      <c r="B7365" s="197" t="s">
        <v>896</v>
      </c>
      <c r="C7365" s="115" t="s">
        <v>1043</v>
      </c>
      <c r="D7365" s="115">
        <v>2.5</v>
      </c>
      <c r="E7365" s="117">
        <v>15000</v>
      </c>
      <c r="F7365" s="121">
        <f>+D7365*E7365</f>
        <v>37500</v>
      </c>
      <c r="G7365" s="138"/>
      <c r="H7365" s="177"/>
      <c r="I7365" s="139"/>
      <c r="J7365" s="139"/>
      <c r="K7365" s="139"/>
      <c r="L7365" s="139"/>
    </row>
    <row r="7366" spans="1:12" ht="16.5" customHeight="1" x14ac:dyDescent="0.35">
      <c r="A7366" s="146"/>
      <c r="B7366" s="197" t="s">
        <v>794</v>
      </c>
      <c r="C7366" s="115" t="s">
        <v>1043</v>
      </c>
      <c r="D7366" s="115">
        <v>3.5</v>
      </c>
      <c r="E7366" s="117">
        <v>15000</v>
      </c>
      <c r="F7366" s="121">
        <f>+D7366*E7366</f>
        <v>52500</v>
      </c>
      <c r="G7366" s="138"/>
      <c r="H7366" s="177"/>
      <c r="I7366" s="139"/>
      <c r="J7366" s="139"/>
      <c r="K7366" s="139"/>
      <c r="L7366" s="139"/>
    </row>
    <row r="7367" spans="1:12" ht="16.5" customHeight="1" x14ac:dyDescent="0.35">
      <c r="A7367" s="146"/>
      <c r="B7367" s="196" t="s">
        <v>774</v>
      </c>
      <c r="C7367" s="124"/>
      <c r="D7367" s="146"/>
      <c r="E7367" s="117"/>
      <c r="F7367" s="110">
        <f>SUM(F7363:F7366)</f>
        <v>191250</v>
      </c>
      <c r="G7367" s="138"/>
      <c r="H7367" s="177"/>
      <c r="I7367" s="139"/>
      <c r="J7367" s="139"/>
      <c r="K7367" s="139"/>
      <c r="L7367" s="139"/>
    </row>
    <row r="7368" spans="1:12" ht="16.5" customHeight="1" x14ac:dyDescent="0.35">
      <c r="A7368" s="111"/>
      <c r="B7368" s="196" t="s">
        <v>775</v>
      </c>
      <c r="C7368" s="115"/>
      <c r="D7368" s="115"/>
      <c r="E7368" s="117"/>
      <c r="F7368" s="114">
        <f>+F7361+F7367</f>
        <v>102543417.5</v>
      </c>
      <c r="G7368" s="138"/>
      <c r="H7368" s="177"/>
      <c r="I7368" s="139"/>
      <c r="J7368" s="139"/>
      <c r="K7368" s="139"/>
      <c r="L7368" s="139"/>
    </row>
    <row r="7369" spans="1:12" ht="16.5" customHeight="1" x14ac:dyDescent="0.35">
      <c r="A7369" s="111"/>
      <c r="B7369" s="197" t="s">
        <v>776</v>
      </c>
      <c r="C7369" s="115"/>
      <c r="D7369" s="115">
        <v>1.25</v>
      </c>
      <c r="E7369" s="117"/>
      <c r="F7369" s="121">
        <f>+D7369*F7368</f>
        <v>128179271.875</v>
      </c>
      <c r="G7369" s="138"/>
      <c r="H7369" s="177"/>
      <c r="I7369" s="139"/>
      <c r="J7369" s="139"/>
      <c r="K7369" s="139"/>
      <c r="L7369" s="139"/>
    </row>
    <row r="7370" spans="1:12" ht="16.5" customHeight="1" x14ac:dyDescent="0.35">
      <c r="A7370" s="104"/>
      <c r="B7370" s="197" t="s">
        <v>835</v>
      </c>
      <c r="C7370" s="173"/>
      <c r="D7370" s="144">
        <v>1.25</v>
      </c>
      <c r="E7370" s="173"/>
      <c r="F7370" s="173"/>
      <c r="G7370" s="138"/>
      <c r="H7370" s="177"/>
      <c r="I7370" s="139"/>
      <c r="J7370" s="139"/>
      <c r="K7370" s="139"/>
      <c r="L7370" s="139"/>
    </row>
    <row r="7371" spans="1:12" ht="16.5" customHeight="1" x14ac:dyDescent="0.35">
      <c r="A7371" s="340" t="s">
        <v>1250</v>
      </c>
      <c r="B7371" s="242" t="s">
        <v>785</v>
      </c>
      <c r="C7371" s="208" t="s">
        <v>59</v>
      </c>
      <c r="D7371" s="335"/>
      <c r="E7371" s="210"/>
      <c r="F7371" s="209">
        <f>+D7370*F7369</f>
        <v>160224089.84375</v>
      </c>
      <c r="G7371" s="138"/>
      <c r="H7371" s="177"/>
      <c r="I7371" s="139"/>
      <c r="J7371" s="139"/>
      <c r="K7371" s="139"/>
      <c r="L7371" s="139"/>
    </row>
    <row r="7372" spans="1:12" ht="16.5" customHeight="1" x14ac:dyDescent="0.35">
      <c r="A7372" s="340"/>
      <c r="B7372" s="242"/>
      <c r="C7372" s="337"/>
      <c r="D7372" s="335"/>
      <c r="E7372" s="210">
        <f>+E7348</f>
        <v>3035.45</v>
      </c>
      <c r="F7372" s="210">
        <f>+F7371/E7372</f>
        <v>52784.295522492546</v>
      </c>
      <c r="G7372" s="138"/>
      <c r="H7372" s="177"/>
      <c r="I7372" s="139"/>
      <c r="J7372" s="139"/>
      <c r="K7372" s="139"/>
      <c r="L7372" s="139"/>
    </row>
    <row r="7373" spans="1:12" ht="16.5" customHeight="1" x14ac:dyDescent="0.35">
      <c r="A7373" s="198"/>
      <c r="B7373" s="106"/>
      <c r="C7373" s="165"/>
      <c r="E7373" s="161"/>
      <c r="F7373" s="161"/>
      <c r="G7373" s="138"/>
      <c r="H7373" s="177"/>
      <c r="I7373" s="139"/>
      <c r="J7373" s="139"/>
      <c r="K7373" s="139"/>
      <c r="L7373" s="139"/>
    </row>
    <row r="7374" spans="1:12" ht="16.5" customHeight="1" x14ac:dyDescent="0.35">
      <c r="A7374" s="198"/>
      <c r="B7374" s="106"/>
      <c r="C7374" s="165"/>
      <c r="D7374" s="163"/>
      <c r="E7374" s="161"/>
      <c r="F7374" s="161"/>
      <c r="G7374" s="138"/>
      <c r="H7374" s="177"/>
      <c r="I7374" s="139"/>
      <c r="J7374" s="139"/>
      <c r="K7374" s="139"/>
      <c r="L7374" s="139"/>
    </row>
    <row r="7375" spans="1:12" ht="16.5" customHeight="1" x14ac:dyDescent="0.35">
      <c r="A7375" s="257" t="s">
        <v>537</v>
      </c>
      <c r="B7375" s="371" t="s">
        <v>1094</v>
      </c>
      <c r="C7375" s="368" t="s">
        <v>611</v>
      </c>
      <c r="D7375" s="369" t="s">
        <v>765</v>
      </c>
      <c r="E7375" s="370" t="s">
        <v>766</v>
      </c>
      <c r="F7375" s="370" t="s">
        <v>767</v>
      </c>
      <c r="G7375" s="138"/>
      <c r="H7375" s="177"/>
      <c r="I7375" s="139"/>
      <c r="J7375" s="139"/>
      <c r="K7375" s="139"/>
      <c r="L7375" s="139"/>
    </row>
    <row r="7376" spans="1:12" ht="16.5" customHeight="1" x14ac:dyDescent="0.35">
      <c r="A7376" s="375" t="s">
        <v>558</v>
      </c>
      <c r="B7376" s="344" t="s">
        <v>559</v>
      </c>
      <c r="C7376" s="379" t="s">
        <v>59</v>
      </c>
      <c r="D7376" s="146"/>
      <c r="E7376" s="117"/>
      <c r="F7376" s="117"/>
      <c r="G7376" s="138"/>
      <c r="H7376" s="177"/>
      <c r="I7376" s="139"/>
      <c r="J7376" s="139"/>
      <c r="K7376" s="139"/>
      <c r="L7376" s="139"/>
    </row>
    <row r="7377" spans="1:12" ht="16.5" customHeight="1" x14ac:dyDescent="0.35">
      <c r="A7377" s="146"/>
      <c r="B7377" s="196" t="s">
        <v>1230</v>
      </c>
      <c r="C7377" s="124"/>
      <c r="D7377" s="146"/>
      <c r="E7377" s="117"/>
      <c r="F7377" s="117"/>
      <c r="G7377" s="138"/>
      <c r="H7377" s="177"/>
      <c r="I7377" s="139"/>
      <c r="J7377" s="139"/>
      <c r="K7377" s="139"/>
      <c r="L7377" s="139"/>
    </row>
    <row r="7378" spans="1:12" ht="16.5" customHeight="1" x14ac:dyDescent="0.35">
      <c r="A7378" s="146"/>
      <c r="B7378" s="172" t="s">
        <v>1252</v>
      </c>
      <c r="C7378" s="124" t="s">
        <v>38</v>
      </c>
      <c r="D7378" s="146">
        <v>2.71</v>
      </c>
      <c r="E7378" s="117">
        <v>2250000</v>
      </c>
      <c r="F7378" s="117">
        <f>+D7378*E7378</f>
        <v>6097500</v>
      </c>
      <c r="G7378" s="138"/>
      <c r="H7378" s="177"/>
      <c r="I7378" s="139"/>
      <c r="J7378" s="139"/>
      <c r="K7378" s="139"/>
      <c r="L7378" s="139"/>
    </row>
    <row r="7379" spans="1:12" ht="16.5" customHeight="1" x14ac:dyDescent="0.35">
      <c r="A7379" s="146"/>
      <c r="B7379" s="197" t="s">
        <v>1241</v>
      </c>
      <c r="C7379" s="124"/>
      <c r="D7379" s="146"/>
      <c r="E7379" s="117"/>
      <c r="F7379" s="117">
        <f>0.1*(F7378)</f>
        <v>609750</v>
      </c>
      <c r="G7379" s="138"/>
      <c r="H7379" s="177"/>
      <c r="I7379" s="139"/>
      <c r="J7379" s="139"/>
      <c r="K7379" s="139"/>
      <c r="L7379" s="139"/>
    </row>
    <row r="7380" spans="1:12" ht="16.5" customHeight="1" x14ac:dyDescent="0.35">
      <c r="A7380" s="146"/>
      <c r="B7380" s="196" t="s">
        <v>769</v>
      </c>
      <c r="C7380" s="124"/>
      <c r="D7380" s="146"/>
      <c r="E7380" s="117"/>
      <c r="F7380" s="110">
        <f>SUM(F7378:F7379)</f>
        <v>6707250</v>
      </c>
      <c r="G7380" s="138"/>
      <c r="H7380" s="177"/>
      <c r="I7380" s="139"/>
      <c r="J7380" s="139"/>
      <c r="K7380" s="139"/>
      <c r="L7380" s="139"/>
    </row>
    <row r="7381" spans="1:12" ht="16.5" customHeight="1" x14ac:dyDescent="0.35">
      <c r="A7381" s="111"/>
      <c r="B7381" s="196" t="s">
        <v>808</v>
      </c>
      <c r="C7381" s="173"/>
      <c r="D7381" s="173"/>
      <c r="E7381" s="173"/>
      <c r="F7381" s="173"/>
      <c r="G7381" s="138"/>
      <c r="H7381" s="177"/>
      <c r="I7381" s="139"/>
      <c r="J7381" s="139"/>
      <c r="K7381" s="139"/>
      <c r="L7381" s="139"/>
    </row>
    <row r="7382" spans="1:12" ht="16.5" customHeight="1" x14ac:dyDescent="0.35">
      <c r="A7382" s="146"/>
      <c r="B7382" s="197" t="s">
        <v>787</v>
      </c>
      <c r="C7382" s="115" t="s">
        <v>1043</v>
      </c>
      <c r="D7382" s="115">
        <v>3.5</v>
      </c>
      <c r="E7382" s="117">
        <v>15000</v>
      </c>
      <c r="F7382" s="121">
        <f>+D7382*E7382</f>
        <v>52500</v>
      </c>
      <c r="G7382" s="138"/>
      <c r="H7382" s="177"/>
      <c r="I7382" s="139"/>
      <c r="J7382" s="139"/>
      <c r="K7382" s="139"/>
      <c r="L7382" s="139"/>
    </row>
    <row r="7383" spans="1:12" ht="16.5" customHeight="1" x14ac:dyDescent="0.35">
      <c r="A7383" s="146"/>
      <c r="B7383" s="196" t="s">
        <v>774</v>
      </c>
      <c r="C7383" s="124"/>
      <c r="D7383" s="146"/>
      <c r="E7383" s="117"/>
      <c r="F7383" s="110">
        <f>SUM(F7382:F7382)</f>
        <v>52500</v>
      </c>
      <c r="G7383" s="138"/>
      <c r="H7383" s="177"/>
      <c r="I7383" s="139"/>
      <c r="J7383" s="139"/>
      <c r="K7383" s="139"/>
      <c r="L7383" s="139"/>
    </row>
    <row r="7384" spans="1:12" ht="16.5" customHeight="1" x14ac:dyDescent="0.35">
      <c r="A7384" s="111"/>
      <c r="B7384" s="196" t="s">
        <v>775</v>
      </c>
      <c r="C7384" s="115"/>
      <c r="D7384" s="115"/>
      <c r="E7384" s="117"/>
      <c r="F7384" s="114">
        <f>+F7380+F7383</f>
        <v>6759750</v>
      </c>
      <c r="G7384" s="138"/>
      <c r="H7384" s="177"/>
      <c r="I7384" s="139"/>
      <c r="J7384" s="139"/>
      <c r="K7384" s="139"/>
      <c r="L7384" s="139"/>
    </row>
    <row r="7385" spans="1:12" ht="16.5" customHeight="1" x14ac:dyDescent="0.35">
      <c r="A7385" s="111"/>
      <c r="B7385" s="197" t="s">
        <v>776</v>
      </c>
      <c r="C7385" s="115"/>
      <c r="D7385" s="115">
        <v>1.25</v>
      </c>
      <c r="E7385" s="117"/>
      <c r="F7385" s="121">
        <f>+D7385*F7384</f>
        <v>8449687.5</v>
      </c>
      <c r="G7385" s="138"/>
      <c r="H7385" s="177"/>
      <c r="I7385" s="139"/>
      <c r="J7385" s="139"/>
      <c r="K7385" s="139"/>
      <c r="L7385" s="139"/>
    </row>
    <row r="7386" spans="1:12" ht="16.5" customHeight="1" x14ac:dyDescent="0.35">
      <c r="A7386" s="104"/>
      <c r="B7386" s="197" t="s">
        <v>835</v>
      </c>
      <c r="C7386" s="173"/>
      <c r="D7386" s="144">
        <v>1.25</v>
      </c>
      <c r="E7386" s="173"/>
      <c r="F7386" s="173"/>
      <c r="G7386" s="138"/>
      <c r="H7386" s="177"/>
      <c r="I7386" s="139"/>
      <c r="J7386" s="139"/>
      <c r="K7386" s="139"/>
      <c r="L7386" s="139"/>
    </row>
    <row r="7387" spans="1:12" ht="16.5" customHeight="1" x14ac:dyDescent="0.35">
      <c r="A7387" s="340" t="s">
        <v>558</v>
      </c>
      <c r="B7387" s="242" t="s">
        <v>785</v>
      </c>
      <c r="C7387" s="208" t="s">
        <v>59</v>
      </c>
      <c r="D7387" s="335"/>
      <c r="E7387" s="210"/>
      <c r="F7387" s="209">
        <f>+D7386*F7385</f>
        <v>10562109.375</v>
      </c>
      <c r="G7387" s="138"/>
      <c r="H7387" s="177"/>
      <c r="I7387" s="139"/>
      <c r="J7387" s="139"/>
      <c r="K7387" s="139"/>
      <c r="L7387" s="139"/>
    </row>
    <row r="7388" spans="1:12" ht="16.5" customHeight="1" x14ac:dyDescent="0.35">
      <c r="A7388" s="340"/>
      <c r="B7388" s="242"/>
      <c r="C7388" s="337"/>
      <c r="D7388" s="335"/>
      <c r="E7388" s="210">
        <f>+E7372</f>
        <v>3035.45</v>
      </c>
      <c r="F7388" s="210">
        <f>+F7387/E7388</f>
        <v>3479.5860169002949</v>
      </c>
      <c r="G7388" s="138"/>
      <c r="H7388" s="177"/>
      <c r="I7388" s="139"/>
      <c r="J7388" s="139"/>
      <c r="K7388" s="139"/>
      <c r="L7388" s="139"/>
    </row>
    <row r="7389" spans="1:12" ht="16.5" customHeight="1" x14ac:dyDescent="0.35">
      <c r="A7389" s="198"/>
      <c r="B7389" s="106"/>
      <c r="C7389" s="165"/>
      <c r="E7389" s="161"/>
      <c r="F7389" s="161"/>
      <c r="G7389" s="138"/>
      <c r="H7389" s="177"/>
      <c r="I7389" s="139"/>
      <c r="J7389" s="139"/>
      <c r="K7389" s="139"/>
      <c r="L7389" s="139"/>
    </row>
    <row r="7390" spans="1:12" ht="16.5" customHeight="1" x14ac:dyDescent="0.35">
      <c r="A7390" s="198"/>
      <c r="B7390" s="106"/>
      <c r="C7390" s="165"/>
      <c r="D7390" s="163"/>
      <c r="E7390" s="161"/>
      <c r="F7390" s="161"/>
      <c r="G7390" s="138"/>
      <c r="H7390" s="177"/>
      <c r="I7390" s="139"/>
      <c r="J7390" s="139"/>
      <c r="K7390" s="139"/>
      <c r="L7390" s="139"/>
    </row>
    <row r="7391" spans="1:12" ht="16.5" customHeight="1" x14ac:dyDescent="0.35">
      <c r="A7391" s="257" t="s">
        <v>537</v>
      </c>
      <c r="B7391" s="371" t="s">
        <v>1094</v>
      </c>
      <c r="C7391" s="368" t="s">
        <v>611</v>
      </c>
      <c r="D7391" s="369" t="s">
        <v>765</v>
      </c>
      <c r="E7391" s="370" t="s">
        <v>766</v>
      </c>
      <c r="F7391" s="370" t="s">
        <v>767</v>
      </c>
      <c r="G7391" s="138"/>
      <c r="H7391" s="177"/>
      <c r="I7391" s="139"/>
      <c r="J7391" s="139"/>
      <c r="K7391" s="139"/>
      <c r="L7391" s="139"/>
    </row>
    <row r="7392" spans="1:12" ht="16.5" customHeight="1" x14ac:dyDescent="0.35">
      <c r="A7392" s="375" t="s">
        <v>560</v>
      </c>
      <c r="B7392" s="344" t="s">
        <v>561</v>
      </c>
      <c r="C7392" s="379" t="s">
        <v>35</v>
      </c>
      <c r="D7392" s="146"/>
      <c r="E7392" s="117"/>
      <c r="F7392" s="117"/>
      <c r="G7392" s="138"/>
      <c r="H7392" s="177"/>
      <c r="I7392" s="139"/>
      <c r="J7392" s="139"/>
      <c r="K7392" s="139"/>
      <c r="L7392" s="139"/>
    </row>
    <row r="7393" spans="1:12" ht="16.5" customHeight="1" x14ac:dyDescent="0.35">
      <c r="A7393" s="146"/>
      <c r="B7393" s="196" t="s">
        <v>1230</v>
      </c>
      <c r="C7393" s="124"/>
      <c r="D7393" s="146"/>
      <c r="E7393" s="117"/>
      <c r="F7393" s="117"/>
      <c r="G7393" s="138"/>
      <c r="H7393" s="177"/>
      <c r="I7393" s="139"/>
      <c r="J7393" s="139"/>
      <c r="K7393" s="139"/>
      <c r="L7393" s="139"/>
    </row>
    <row r="7394" spans="1:12" ht="16.5" customHeight="1" x14ac:dyDescent="0.35">
      <c r="A7394" s="146"/>
      <c r="B7394" s="172" t="s">
        <v>561</v>
      </c>
      <c r="C7394" s="124" t="s">
        <v>35</v>
      </c>
      <c r="D7394" s="146">
        <v>2.71</v>
      </c>
      <c r="E7394" s="117">
        <f>+F655</f>
        <v>5000</v>
      </c>
      <c r="F7394" s="117">
        <f>+D7394*E7394</f>
        <v>13550</v>
      </c>
      <c r="G7394" s="138"/>
      <c r="H7394" s="177"/>
      <c r="I7394" s="139"/>
      <c r="J7394" s="139"/>
      <c r="K7394" s="139"/>
      <c r="L7394" s="139"/>
    </row>
    <row r="7395" spans="1:12" ht="16.5" customHeight="1" x14ac:dyDescent="0.35">
      <c r="A7395" s="146"/>
      <c r="B7395" s="197" t="s">
        <v>1241</v>
      </c>
      <c r="C7395" s="124"/>
      <c r="D7395" s="146"/>
      <c r="E7395" s="117"/>
      <c r="F7395" s="117">
        <f>0.1*(F7394)</f>
        <v>1355</v>
      </c>
      <c r="G7395" s="138"/>
      <c r="H7395" s="177"/>
      <c r="I7395" s="139"/>
      <c r="J7395" s="139"/>
      <c r="K7395" s="139"/>
      <c r="L7395" s="139"/>
    </row>
    <row r="7396" spans="1:12" ht="16.5" customHeight="1" x14ac:dyDescent="0.35">
      <c r="A7396" s="146"/>
      <c r="B7396" s="196" t="s">
        <v>769</v>
      </c>
      <c r="C7396" s="124"/>
      <c r="D7396" s="146"/>
      <c r="E7396" s="117"/>
      <c r="F7396" s="110">
        <f>SUM(F7394:F7395)</f>
        <v>14905</v>
      </c>
      <c r="G7396" s="138"/>
      <c r="H7396" s="177"/>
      <c r="I7396" s="139"/>
      <c r="J7396" s="139"/>
      <c r="K7396" s="139"/>
      <c r="L7396" s="139"/>
    </row>
    <row r="7397" spans="1:12" ht="16.5" customHeight="1" x14ac:dyDescent="0.35">
      <c r="A7397" s="111"/>
      <c r="B7397" s="196" t="s">
        <v>808</v>
      </c>
      <c r="C7397" s="173"/>
      <c r="D7397" s="173"/>
      <c r="E7397" s="173"/>
      <c r="F7397" s="173"/>
      <c r="G7397" s="138"/>
      <c r="H7397" s="177"/>
      <c r="I7397" s="139"/>
      <c r="J7397" s="139"/>
      <c r="K7397" s="139"/>
      <c r="L7397" s="139"/>
    </row>
    <row r="7398" spans="1:12" ht="16.5" customHeight="1" x14ac:dyDescent="0.35">
      <c r="A7398" s="146"/>
      <c r="B7398" s="197" t="s">
        <v>1233</v>
      </c>
      <c r="C7398" s="115" t="s">
        <v>1043</v>
      </c>
      <c r="D7398" s="115">
        <v>1.5</v>
      </c>
      <c r="E7398" s="117">
        <v>7500</v>
      </c>
      <c r="F7398" s="121">
        <f>+D7398*E7398</f>
        <v>11250</v>
      </c>
      <c r="G7398" s="138"/>
      <c r="H7398" s="177"/>
      <c r="I7398" s="139"/>
      <c r="J7398" s="139"/>
      <c r="K7398" s="139"/>
      <c r="L7398" s="139"/>
    </row>
    <row r="7399" spans="1:12" ht="16.5" customHeight="1" x14ac:dyDescent="0.35">
      <c r="A7399" s="146"/>
      <c r="B7399" s="197" t="s">
        <v>895</v>
      </c>
      <c r="C7399" s="115" t="s">
        <v>1043</v>
      </c>
      <c r="D7399" s="115">
        <v>6</v>
      </c>
      <c r="E7399" s="117">
        <v>15000</v>
      </c>
      <c r="F7399" s="121">
        <f>+D7399*E7399</f>
        <v>90000</v>
      </c>
      <c r="G7399" s="138"/>
      <c r="H7399" s="177"/>
      <c r="I7399" s="139"/>
      <c r="J7399" s="139"/>
      <c r="K7399" s="139"/>
      <c r="L7399" s="139"/>
    </row>
    <row r="7400" spans="1:12" ht="16.5" customHeight="1" x14ac:dyDescent="0.35">
      <c r="A7400" s="146"/>
      <c r="B7400" s="197" t="s">
        <v>896</v>
      </c>
      <c r="C7400" s="115" t="s">
        <v>1043</v>
      </c>
      <c r="D7400" s="115">
        <v>2.5</v>
      </c>
      <c r="E7400" s="117">
        <v>15000</v>
      </c>
      <c r="F7400" s="121">
        <f>+D7400*E7400</f>
        <v>37500</v>
      </c>
      <c r="G7400" s="138"/>
      <c r="H7400" s="177"/>
      <c r="I7400" s="139"/>
      <c r="J7400" s="139"/>
      <c r="K7400" s="139"/>
      <c r="L7400" s="139"/>
    </row>
    <row r="7401" spans="1:12" ht="16.5" customHeight="1" x14ac:dyDescent="0.35">
      <c r="A7401" s="146"/>
      <c r="B7401" s="197" t="s">
        <v>851</v>
      </c>
      <c r="C7401" s="115" t="s">
        <v>1043</v>
      </c>
      <c r="D7401" s="115">
        <v>3.5</v>
      </c>
      <c r="E7401" s="117">
        <v>15000</v>
      </c>
      <c r="F7401" s="121">
        <f>+D7401*E7401</f>
        <v>52500</v>
      </c>
      <c r="G7401" s="138"/>
      <c r="H7401" s="177"/>
      <c r="I7401" s="139"/>
      <c r="J7401" s="139"/>
      <c r="K7401" s="139"/>
      <c r="L7401" s="139"/>
    </row>
    <row r="7402" spans="1:12" ht="16.5" customHeight="1" x14ac:dyDescent="0.35">
      <c r="A7402" s="146"/>
      <c r="B7402" s="196" t="s">
        <v>774</v>
      </c>
      <c r="C7402" s="124"/>
      <c r="D7402" s="146"/>
      <c r="E7402" s="117"/>
      <c r="F7402" s="110">
        <f>SUM(F7398:F7401)</f>
        <v>191250</v>
      </c>
      <c r="G7402" s="138"/>
      <c r="H7402" s="177"/>
      <c r="I7402" s="139"/>
      <c r="J7402" s="139"/>
      <c r="K7402" s="139"/>
      <c r="L7402" s="139"/>
    </row>
    <row r="7403" spans="1:12" ht="16.5" customHeight="1" x14ac:dyDescent="0.35">
      <c r="A7403" s="111"/>
      <c r="B7403" s="196" t="s">
        <v>775</v>
      </c>
      <c r="C7403" s="115"/>
      <c r="D7403" s="115"/>
      <c r="E7403" s="117"/>
      <c r="F7403" s="114">
        <f>+F7396+F7402</f>
        <v>206155</v>
      </c>
      <c r="G7403" s="138"/>
      <c r="H7403" s="177"/>
      <c r="I7403" s="139"/>
      <c r="J7403" s="139"/>
      <c r="K7403" s="139"/>
      <c r="L7403" s="139"/>
    </row>
    <row r="7404" spans="1:12" ht="16.5" customHeight="1" x14ac:dyDescent="0.35">
      <c r="A7404" s="111"/>
      <c r="B7404" s="197" t="s">
        <v>776</v>
      </c>
      <c r="C7404" s="115"/>
      <c r="D7404" s="115">
        <v>1.25</v>
      </c>
      <c r="E7404" s="117"/>
      <c r="F7404" s="121">
        <f>+D7404*F7403</f>
        <v>257693.75</v>
      </c>
      <c r="G7404" s="138"/>
      <c r="H7404" s="177"/>
      <c r="I7404" s="139"/>
      <c r="J7404" s="139"/>
      <c r="K7404" s="139"/>
      <c r="L7404" s="139"/>
    </row>
    <row r="7405" spans="1:12" ht="16.5" customHeight="1" x14ac:dyDescent="0.35">
      <c r="A7405" s="104"/>
      <c r="B7405" s="197" t="s">
        <v>835</v>
      </c>
      <c r="C7405" s="173"/>
      <c r="D7405" s="144">
        <v>1.25</v>
      </c>
      <c r="E7405" s="173"/>
      <c r="F7405" s="173"/>
      <c r="G7405" s="138"/>
      <c r="H7405" s="177"/>
      <c r="I7405" s="139"/>
      <c r="J7405" s="139"/>
      <c r="K7405" s="139"/>
      <c r="L7405" s="139"/>
    </row>
    <row r="7406" spans="1:12" ht="16.5" customHeight="1" x14ac:dyDescent="0.35">
      <c r="A7406" s="340" t="s">
        <v>560</v>
      </c>
      <c r="B7406" s="242" t="s">
        <v>789</v>
      </c>
      <c r="C7406" s="208" t="s">
        <v>35</v>
      </c>
      <c r="D7406" s="335"/>
      <c r="E7406" s="210"/>
      <c r="F7406" s="209">
        <f>+D7405*F7404</f>
        <v>322117.1875</v>
      </c>
      <c r="G7406" s="138"/>
      <c r="H7406" s="177"/>
      <c r="I7406" s="139"/>
      <c r="J7406" s="139"/>
      <c r="K7406" s="139"/>
      <c r="L7406" s="139"/>
    </row>
    <row r="7407" spans="1:12" ht="16.5" customHeight="1" x14ac:dyDescent="0.35">
      <c r="A7407" s="340"/>
      <c r="B7407" s="242"/>
      <c r="C7407" s="337"/>
      <c r="D7407" s="335"/>
      <c r="E7407" s="210">
        <f>+E7388</f>
        <v>3035.45</v>
      </c>
      <c r="F7407" s="210">
        <f>+F7406/E7407</f>
        <v>106.11842972211699</v>
      </c>
      <c r="G7407" s="138"/>
      <c r="H7407" s="177"/>
      <c r="I7407" s="139"/>
      <c r="J7407" s="139"/>
      <c r="K7407" s="139"/>
      <c r="L7407" s="139"/>
    </row>
    <row r="7408" spans="1:12" ht="16.5" customHeight="1" x14ac:dyDescent="0.35">
      <c r="A7408" s="198"/>
      <c r="B7408" s="106"/>
      <c r="C7408" s="165"/>
      <c r="E7408" s="161"/>
      <c r="F7408" s="161"/>
      <c r="G7408" s="138"/>
      <c r="H7408" s="177"/>
      <c r="I7408" s="139"/>
      <c r="J7408" s="139"/>
      <c r="K7408" s="139"/>
      <c r="L7408" s="139"/>
    </row>
    <row r="7409" spans="1:12" ht="16.5" customHeight="1" x14ac:dyDescent="0.35">
      <c r="A7409" s="198"/>
      <c r="B7409" s="106"/>
      <c r="C7409" s="165"/>
      <c r="D7409" s="163"/>
      <c r="E7409" s="161"/>
      <c r="F7409" s="161"/>
      <c r="G7409" s="138"/>
      <c r="H7409" s="177"/>
      <c r="I7409" s="139"/>
      <c r="J7409" s="139"/>
      <c r="K7409" s="139"/>
      <c r="L7409" s="139"/>
    </row>
    <row r="7410" spans="1:12" ht="16.5" customHeight="1" x14ac:dyDescent="0.35">
      <c r="A7410" s="257" t="s">
        <v>537</v>
      </c>
      <c r="B7410" s="371" t="s">
        <v>1094</v>
      </c>
      <c r="C7410" s="368" t="s">
        <v>611</v>
      </c>
      <c r="D7410" s="369" t="s">
        <v>765</v>
      </c>
      <c r="E7410" s="370" t="s">
        <v>766</v>
      </c>
      <c r="F7410" s="370" t="s">
        <v>767</v>
      </c>
      <c r="G7410" s="138"/>
      <c r="H7410" s="177"/>
      <c r="I7410" s="139"/>
      <c r="J7410" s="139"/>
      <c r="K7410" s="139"/>
      <c r="L7410" s="139"/>
    </row>
    <row r="7411" spans="1:12" ht="16.5" customHeight="1" x14ac:dyDescent="0.35">
      <c r="A7411" s="375" t="s">
        <v>562</v>
      </c>
      <c r="B7411" s="380" t="s">
        <v>1253</v>
      </c>
      <c r="C7411" s="379" t="s">
        <v>27</v>
      </c>
      <c r="D7411" s="146"/>
      <c r="E7411" s="117"/>
      <c r="F7411" s="117"/>
      <c r="G7411" s="138"/>
      <c r="H7411" s="177"/>
      <c r="I7411" s="139"/>
      <c r="J7411" s="139"/>
      <c r="K7411" s="139"/>
      <c r="L7411" s="139"/>
    </row>
    <row r="7412" spans="1:12" ht="16.5" customHeight="1" x14ac:dyDescent="0.35">
      <c r="A7412" s="146"/>
      <c r="B7412" s="196" t="s">
        <v>1230</v>
      </c>
      <c r="C7412" s="124"/>
      <c r="D7412" s="146"/>
      <c r="E7412" s="117"/>
      <c r="F7412" s="117"/>
      <c r="G7412" s="138"/>
      <c r="H7412" s="177"/>
      <c r="I7412" s="139"/>
      <c r="J7412" s="139"/>
      <c r="K7412" s="139"/>
      <c r="L7412" s="139"/>
    </row>
    <row r="7413" spans="1:12" ht="16.5" customHeight="1" x14ac:dyDescent="0.35">
      <c r="A7413" s="146"/>
      <c r="B7413" s="172" t="s">
        <v>1254</v>
      </c>
      <c r="C7413" s="124" t="s">
        <v>27</v>
      </c>
      <c r="D7413" s="146">
        <v>1</v>
      </c>
      <c r="E7413" s="117">
        <v>80000</v>
      </c>
      <c r="F7413" s="117">
        <f>+D7413*E7413</f>
        <v>80000</v>
      </c>
      <c r="G7413" s="138"/>
      <c r="H7413" s="177"/>
      <c r="I7413" s="139"/>
      <c r="J7413" s="139"/>
      <c r="K7413" s="139"/>
      <c r="L7413" s="139"/>
    </row>
    <row r="7414" spans="1:12" ht="16.5" customHeight="1" x14ac:dyDescent="0.35">
      <c r="A7414" s="146"/>
      <c r="B7414" s="197" t="s">
        <v>1241</v>
      </c>
      <c r="C7414" s="124"/>
      <c r="D7414" s="146"/>
      <c r="E7414" s="117"/>
      <c r="F7414" s="117">
        <f>0.1*(F7413)</f>
        <v>8000</v>
      </c>
      <c r="G7414" s="138"/>
      <c r="H7414" s="177"/>
      <c r="I7414" s="139"/>
      <c r="J7414" s="139"/>
      <c r="K7414" s="139"/>
      <c r="L7414" s="139"/>
    </row>
    <row r="7415" spans="1:12" ht="16.5" customHeight="1" x14ac:dyDescent="0.35">
      <c r="A7415" s="146"/>
      <c r="B7415" s="196" t="s">
        <v>769</v>
      </c>
      <c r="C7415" s="124"/>
      <c r="D7415" s="146"/>
      <c r="E7415" s="117"/>
      <c r="F7415" s="110">
        <f>SUM(F7413:F7414)</f>
        <v>88000</v>
      </c>
      <c r="G7415" s="138"/>
      <c r="H7415" s="177"/>
      <c r="I7415" s="139"/>
      <c r="J7415" s="139"/>
      <c r="K7415" s="139"/>
      <c r="L7415" s="139"/>
    </row>
    <row r="7416" spans="1:12" ht="16.5" customHeight="1" x14ac:dyDescent="0.35">
      <c r="A7416" s="111"/>
      <c r="B7416" s="196" t="s">
        <v>808</v>
      </c>
      <c r="C7416" s="173"/>
      <c r="D7416" s="173"/>
      <c r="E7416" s="173"/>
      <c r="F7416" s="173"/>
      <c r="G7416" s="138"/>
      <c r="H7416" s="177"/>
      <c r="I7416" s="139"/>
      <c r="J7416" s="139"/>
      <c r="K7416" s="139"/>
      <c r="L7416" s="139"/>
    </row>
    <row r="7417" spans="1:12" ht="16.5" customHeight="1" x14ac:dyDescent="0.35">
      <c r="A7417" s="146"/>
      <c r="B7417" s="197" t="s">
        <v>1233</v>
      </c>
      <c r="C7417" s="115" t="s">
        <v>1043</v>
      </c>
      <c r="D7417" s="115">
        <v>2.5</v>
      </c>
      <c r="E7417" s="117">
        <v>7500</v>
      </c>
      <c r="F7417" s="121">
        <f>+D7417*E7417</f>
        <v>18750</v>
      </c>
      <c r="G7417" s="138"/>
      <c r="H7417" s="177"/>
      <c r="I7417" s="139"/>
      <c r="J7417" s="139"/>
      <c r="K7417" s="139"/>
      <c r="L7417" s="139"/>
    </row>
    <row r="7418" spans="1:12" ht="16.5" customHeight="1" x14ac:dyDescent="0.35">
      <c r="A7418" s="146"/>
      <c r="B7418" s="197" t="s">
        <v>851</v>
      </c>
      <c r="C7418" s="115" t="s">
        <v>1043</v>
      </c>
      <c r="D7418" s="115">
        <v>5</v>
      </c>
      <c r="E7418" s="117">
        <v>15000</v>
      </c>
      <c r="F7418" s="121">
        <f>+D7418*E7418</f>
        <v>75000</v>
      </c>
      <c r="G7418" s="138"/>
      <c r="H7418" s="177"/>
      <c r="I7418" s="139"/>
      <c r="J7418" s="139"/>
      <c r="K7418" s="139"/>
      <c r="L7418" s="139"/>
    </row>
    <row r="7419" spans="1:12" ht="16.5" customHeight="1" x14ac:dyDescent="0.35">
      <c r="A7419" s="146"/>
      <c r="B7419" s="196" t="s">
        <v>774</v>
      </c>
      <c r="C7419" s="124"/>
      <c r="D7419" s="146"/>
      <c r="E7419" s="117"/>
      <c r="F7419" s="110">
        <f>SUM(F7417:F7418)</f>
        <v>93750</v>
      </c>
      <c r="G7419" s="138"/>
      <c r="H7419" s="177"/>
      <c r="I7419" s="139"/>
      <c r="J7419" s="139"/>
      <c r="K7419" s="139"/>
      <c r="L7419" s="139"/>
    </row>
    <row r="7420" spans="1:12" ht="16.5" customHeight="1" x14ac:dyDescent="0.35">
      <c r="A7420" s="111"/>
      <c r="B7420" s="196" t="s">
        <v>775</v>
      </c>
      <c r="C7420" s="115"/>
      <c r="D7420" s="115"/>
      <c r="E7420" s="117"/>
      <c r="F7420" s="114">
        <f>+F7415+F7419</f>
        <v>181750</v>
      </c>
      <c r="G7420" s="138"/>
      <c r="H7420" s="177"/>
      <c r="I7420" s="139"/>
      <c r="J7420" s="139"/>
      <c r="K7420" s="139"/>
      <c r="L7420" s="139"/>
    </row>
    <row r="7421" spans="1:12" ht="16.5" customHeight="1" x14ac:dyDescent="0.35">
      <c r="A7421" s="111"/>
      <c r="B7421" s="197" t="s">
        <v>792</v>
      </c>
      <c r="C7421" s="115"/>
      <c r="D7421" s="115">
        <v>1.05</v>
      </c>
      <c r="E7421" s="117"/>
      <c r="F7421" s="121">
        <f>+D7421*F7420</f>
        <v>190837.5</v>
      </c>
      <c r="G7421" s="138"/>
      <c r="H7421" s="177"/>
      <c r="I7421" s="139"/>
      <c r="J7421" s="139"/>
      <c r="K7421" s="139"/>
      <c r="L7421" s="139"/>
    </row>
    <row r="7422" spans="1:12" ht="16.5" customHeight="1" x14ac:dyDescent="0.35">
      <c r="A7422" s="104"/>
      <c r="B7422" s="197" t="s">
        <v>813</v>
      </c>
      <c r="C7422" s="173"/>
      <c r="D7422" s="144">
        <v>1.1499999999999999</v>
      </c>
      <c r="E7422" s="173"/>
      <c r="F7422" s="173"/>
      <c r="G7422" s="138"/>
      <c r="H7422" s="177"/>
      <c r="I7422" s="139"/>
      <c r="J7422" s="139"/>
      <c r="K7422" s="139"/>
      <c r="L7422" s="139"/>
    </row>
    <row r="7423" spans="1:12" ht="16.5" customHeight="1" x14ac:dyDescent="0.35">
      <c r="A7423" s="340" t="s">
        <v>562</v>
      </c>
      <c r="B7423" s="242" t="s">
        <v>784</v>
      </c>
      <c r="C7423" s="208" t="s">
        <v>27</v>
      </c>
      <c r="D7423" s="335"/>
      <c r="E7423" s="210"/>
      <c r="F7423" s="209">
        <f>+D7422*F7421</f>
        <v>219463.12499999997</v>
      </c>
      <c r="G7423" s="138"/>
      <c r="H7423" s="177"/>
      <c r="I7423" s="139"/>
      <c r="J7423" s="139"/>
      <c r="K7423" s="139"/>
      <c r="L7423" s="139"/>
    </row>
    <row r="7424" spans="1:12" ht="16.5" customHeight="1" x14ac:dyDescent="0.35">
      <c r="A7424" s="340"/>
      <c r="B7424" s="242"/>
      <c r="C7424" s="337"/>
      <c r="D7424" s="335"/>
      <c r="E7424" s="210">
        <f>+E7407</f>
        <v>3035.45</v>
      </c>
      <c r="F7424" s="210">
        <f>+F7423/E7424</f>
        <v>72.300029649640081</v>
      </c>
      <c r="G7424" s="138"/>
      <c r="H7424" s="177"/>
      <c r="I7424" s="139"/>
      <c r="J7424" s="139"/>
      <c r="K7424" s="139"/>
      <c r="L7424" s="139"/>
    </row>
    <row r="7425" spans="1:12" ht="16.5" customHeight="1" x14ac:dyDescent="0.35">
      <c r="A7425" s="198"/>
      <c r="B7425" s="106"/>
      <c r="C7425" s="165"/>
      <c r="E7425" s="161"/>
      <c r="F7425" s="161"/>
      <c r="G7425" s="138"/>
      <c r="H7425" s="177"/>
      <c r="I7425" s="139"/>
      <c r="J7425" s="139"/>
      <c r="K7425" s="139"/>
      <c r="L7425" s="139"/>
    </row>
    <row r="7426" spans="1:12" ht="16.5" customHeight="1" x14ac:dyDescent="0.35">
      <c r="A7426" s="198"/>
      <c r="B7426" s="106"/>
      <c r="C7426" s="165"/>
      <c r="D7426" s="163"/>
      <c r="E7426" s="161"/>
      <c r="F7426" s="161"/>
      <c r="G7426" s="138"/>
      <c r="H7426" s="177"/>
      <c r="I7426" s="139"/>
      <c r="J7426" s="139"/>
      <c r="K7426" s="139"/>
      <c r="L7426" s="139"/>
    </row>
    <row r="7427" spans="1:12" ht="16.5" customHeight="1" x14ac:dyDescent="0.35">
      <c r="A7427" s="257" t="s">
        <v>537</v>
      </c>
      <c r="B7427" s="371" t="s">
        <v>1094</v>
      </c>
      <c r="C7427" s="368" t="s">
        <v>611</v>
      </c>
      <c r="D7427" s="369" t="s">
        <v>765</v>
      </c>
      <c r="E7427" s="370" t="s">
        <v>766</v>
      </c>
      <c r="F7427" s="370" t="s">
        <v>767</v>
      </c>
      <c r="G7427" s="138"/>
      <c r="H7427" s="177"/>
      <c r="I7427" s="139"/>
      <c r="J7427" s="139"/>
      <c r="K7427" s="139"/>
      <c r="L7427" s="139"/>
    </row>
    <row r="7428" spans="1:12" ht="16.5" customHeight="1" x14ac:dyDescent="0.35">
      <c r="A7428" s="375" t="s">
        <v>563</v>
      </c>
      <c r="B7428" s="344" t="s">
        <v>1343</v>
      </c>
      <c r="C7428" s="381" t="s">
        <v>13</v>
      </c>
      <c r="D7428" s="141"/>
      <c r="E7428" s="110"/>
      <c r="F7428" s="110"/>
      <c r="G7428" s="138"/>
      <c r="H7428" s="177"/>
      <c r="I7428" s="139"/>
      <c r="J7428" s="139"/>
      <c r="K7428" s="139"/>
      <c r="L7428" s="139"/>
    </row>
    <row r="7429" spans="1:12" ht="16.5" customHeight="1" x14ac:dyDescent="0.35">
      <c r="A7429" s="111"/>
      <c r="B7429" s="112" t="s">
        <v>802</v>
      </c>
      <c r="C7429" s="118"/>
      <c r="D7429" s="118"/>
      <c r="E7429" s="119"/>
      <c r="F7429" s="119"/>
      <c r="G7429" s="138"/>
      <c r="H7429" s="177"/>
      <c r="I7429" s="139"/>
      <c r="J7429" s="139"/>
      <c r="K7429" s="139"/>
      <c r="L7429" s="139"/>
    </row>
    <row r="7430" spans="1:12" ht="16.5" customHeight="1" x14ac:dyDescent="0.25">
      <c r="A7430" s="111"/>
      <c r="B7430" s="134" t="s">
        <v>893</v>
      </c>
      <c r="C7430" s="118" t="s">
        <v>27</v>
      </c>
      <c r="D7430" s="228">
        <v>7</v>
      </c>
      <c r="E7430" s="119">
        <f>105000/6</f>
        <v>17500</v>
      </c>
      <c r="F7430" s="119">
        <f>+D7430*E7430</f>
        <v>122500</v>
      </c>
      <c r="G7430" s="138"/>
      <c r="H7430" s="177"/>
      <c r="I7430" s="139"/>
      <c r="J7430" s="139"/>
      <c r="K7430" s="139"/>
      <c r="L7430" s="139"/>
    </row>
    <row r="7431" spans="1:12" ht="16.5" customHeight="1" x14ac:dyDescent="0.25">
      <c r="A7431" s="111"/>
      <c r="B7431" s="134" t="s">
        <v>907</v>
      </c>
      <c r="C7431" s="118" t="s">
        <v>27</v>
      </c>
      <c r="D7431" s="228">
        <v>5</v>
      </c>
      <c r="E7431" s="119">
        <f>90000/6</f>
        <v>15000</v>
      </c>
      <c r="F7431" s="119">
        <f>+D7431*E7431</f>
        <v>75000</v>
      </c>
      <c r="G7431" s="138"/>
      <c r="H7431" s="177"/>
      <c r="I7431" s="139"/>
      <c r="J7431" s="139"/>
      <c r="K7431" s="139"/>
      <c r="L7431" s="139"/>
    </row>
    <row r="7432" spans="1:12" ht="16.5" customHeight="1" x14ac:dyDescent="0.25">
      <c r="A7432" s="111"/>
      <c r="B7432" s="134" t="s">
        <v>1255</v>
      </c>
      <c r="C7432" s="118" t="s">
        <v>27</v>
      </c>
      <c r="D7432" s="228">
        <v>1</v>
      </c>
      <c r="E7432" s="119">
        <f>42000/6</f>
        <v>7000</v>
      </c>
      <c r="F7432" s="119">
        <f>+D7432*E7432</f>
        <v>7000</v>
      </c>
      <c r="G7432" s="138"/>
      <c r="H7432" s="177"/>
      <c r="I7432" s="139"/>
      <c r="J7432" s="139"/>
      <c r="K7432" s="139"/>
      <c r="L7432" s="139"/>
    </row>
    <row r="7433" spans="1:12" ht="16.5" customHeight="1" x14ac:dyDescent="0.25">
      <c r="A7433" s="111"/>
      <c r="B7433" s="134" t="s">
        <v>972</v>
      </c>
      <c r="C7433" s="118" t="s">
        <v>59</v>
      </c>
      <c r="D7433" s="382">
        <v>4</v>
      </c>
      <c r="E7433" s="142">
        <v>15000</v>
      </c>
      <c r="F7433" s="119">
        <f>+D7433*E7433</f>
        <v>60000</v>
      </c>
      <c r="G7433" s="138"/>
      <c r="H7433" s="177"/>
      <c r="I7433" s="139"/>
      <c r="J7433" s="139"/>
      <c r="K7433" s="139"/>
      <c r="L7433" s="139"/>
    </row>
    <row r="7434" spans="1:12" ht="16.5" customHeight="1" x14ac:dyDescent="0.35">
      <c r="A7434" s="111"/>
      <c r="B7434" s="120" t="s">
        <v>965</v>
      </c>
      <c r="C7434" s="118"/>
      <c r="D7434" s="118"/>
      <c r="E7434" s="119"/>
      <c r="F7434" s="119">
        <f>0.1*(F7430+F7433+F7432+F7431)</f>
        <v>26450</v>
      </c>
      <c r="G7434" s="138"/>
      <c r="H7434" s="177"/>
      <c r="I7434" s="139"/>
      <c r="J7434" s="139"/>
      <c r="K7434" s="139"/>
      <c r="L7434" s="139"/>
    </row>
    <row r="7435" spans="1:12" ht="16.5" customHeight="1" x14ac:dyDescent="0.35">
      <c r="A7435" s="107"/>
      <c r="B7435" s="108" t="s">
        <v>769</v>
      </c>
      <c r="C7435" s="109"/>
      <c r="D7435" s="124"/>
      <c r="E7435" s="117"/>
      <c r="F7435" s="110">
        <f>SUM(F7430:F7434)</f>
        <v>290950</v>
      </c>
      <c r="G7435" s="138"/>
      <c r="H7435" s="177"/>
      <c r="I7435" s="139"/>
      <c r="J7435" s="139"/>
      <c r="K7435" s="139"/>
      <c r="L7435" s="139"/>
    </row>
    <row r="7436" spans="1:12" ht="16.5" customHeight="1" x14ac:dyDescent="0.3">
      <c r="A7436" s="111"/>
      <c r="B7436" s="136" t="s">
        <v>808</v>
      </c>
      <c r="C7436" s="115"/>
      <c r="D7436" s="124"/>
      <c r="E7436" s="117"/>
      <c r="F7436" s="110"/>
      <c r="G7436" s="138"/>
      <c r="H7436" s="177"/>
      <c r="I7436" s="139"/>
      <c r="J7436" s="139"/>
      <c r="K7436" s="139"/>
      <c r="L7436" s="139"/>
    </row>
    <row r="7437" spans="1:12" ht="16.5" customHeight="1" x14ac:dyDescent="0.25">
      <c r="A7437" s="111"/>
      <c r="B7437" s="134" t="s">
        <v>820</v>
      </c>
      <c r="C7437" s="115" t="s">
        <v>772</v>
      </c>
      <c r="D7437" s="124">
        <v>2</v>
      </c>
      <c r="E7437" s="117">
        <v>7500</v>
      </c>
      <c r="F7437" s="117">
        <f t="shared" ref="F7437:F7442" si="134">+D7437*E7437</f>
        <v>15000</v>
      </c>
      <c r="G7437" s="138"/>
      <c r="H7437" s="177"/>
      <c r="I7437" s="139"/>
      <c r="J7437" s="139"/>
      <c r="K7437" s="139"/>
      <c r="L7437" s="139"/>
    </row>
    <row r="7438" spans="1:12" ht="16.5" customHeight="1" x14ac:dyDescent="0.25">
      <c r="A7438" s="111"/>
      <c r="B7438" s="134" t="s">
        <v>821</v>
      </c>
      <c r="C7438" s="115" t="s">
        <v>772</v>
      </c>
      <c r="D7438" s="124">
        <v>2</v>
      </c>
      <c r="E7438" s="117">
        <v>7500</v>
      </c>
      <c r="F7438" s="117">
        <f t="shared" si="134"/>
        <v>15000</v>
      </c>
      <c r="G7438" s="138"/>
      <c r="H7438" s="177"/>
      <c r="I7438" s="139"/>
      <c r="J7438" s="139"/>
      <c r="K7438" s="139"/>
      <c r="L7438" s="139"/>
    </row>
    <row r="7439" spans="1:12" ht="16.5" customHeight="1" x14ac:dyDescent="0.25">
      <c r="A7439" s="111"/>
      <c r="B7439" s="134" t="s">
        <v>895</v>
      </c>
      <c r="C7439" s="115" t="s">
        <v>772</v>
      </c>
      <c r="D7439" s="124">
        <v>4</v>
      </c>
      <c r="E7439" s="117">
        <v>15000</v>
      </c>
      <c r="F7439" s="117">
        <f t="shared" si="134"/>
        <v>60000</v>
      </c>
      <c r="G7439" s="138"/>
      <c r="H7439" s="177"/>
      <c r="I7439" s="139"/>
      <c r="J7439" s="139"/>
      <c r="K7439" s="139"/>
      <c r="L7439" s="139"/>
    </row>
    <row r="7440" spans="1:12" ht="16.5" customHeight="1" x14ac:dyDescent="0.25">
      <c r="A7440" s="111"/>
      <c r="B7440" s="134" t="s">
        <v>896</v>
      </c>
      <c r="C7440" s="115" t="s">
        <v>772</v>
      </c>
      <c r="D7440" s="124">
        <v>0.5</v>
      </c>
      <c r="E7440" s="117">
        <v>15000</v>
      </c>
      <c r="F7440" s="117">
        <f t="shared" si="134"/>
        <v>7500</v>
      </c>
      <c r="G7440" s="138"/>
      <c r="H7440" s="177"/>
      <c r="I7440" s="139"/>
      <c r="J7440" s="139"/>
      <c r="K7440" s="139"/>
      <c r="L7440" s="139"/>
    </row>
    <row r="7441" spans="1:12" ht="16.5" customHeight="1" x14ac:dyDescent="0.25">
      <c r="A7441" s="111"/>
      <c r="B7441" s="134" t="s">
        <v>773</v>
      </c>
      <c r="C7441" s="115" t="s">
        <v>772</v>
      </c>
      <c r="D7441" s="124">
        <v>3</v>
      </c>
      <c r="E7441" s="117">
        <v>15000</v>
      </c>
      <c r="F7441" s="117">
        <f t="shared" si="134"/>
        <v>45000</v>
      </c>
      <c r="G7441" s="138"/>
      <c r="H7441" s="177"/>
      <c r="I7441" s="139"/>
      <c r="J7441" s="139"/>
      <c r="K7441" s="139"/>
      <c r="L7441" s="139"/>
    </row>
    <row r="7442" spans="1:12" ht="16.5" customHeight="1" x14ac:dyDescent="0.25">
      <c r="A7442" s="111"/>
      <c r="B7442" s="134" t="s">
        <v>851</v>
      </c>
      <c r="C7442" s="115" t="s">
        <v>772</v>
      </c>
      <c r="D7442" s="124">
        <v>4</v>
      </c>
      <c r="E7442" s="117">
        <v>15000</v>
      </c>
      <c r="F7442" s="117">
        <f t="shared" si="134"/>
        <v>60000</v>
      </c>
      <c r="G7442" s="138"/>
      <c r="H7442" s="177"/>
      <c r="I7442" s="139"/>
      <c r="J7442" s="139"/>
      <c r="K7442" s="139"/>
      <c r="L7442" s="139"/>
    </row>
    <row r="7443" spans="1:12" ht="16.5" customHeight="1" x14ac:dyDescent="0.3">
      <c r="A7443" s="111"/>
      <c r="B7443" s="136" t="s">
        <v>774</v>
      </c>
      <c r="C7443" s="115"/>
      <c r="D7443" s="124"/>
      <c r="E7443" s="117"/>
      <c r="F7443" s="110">
        <f>SUM(F7437:F7442)</f>
        <v>202500</v>
      </c>
      <c r="G7443" s="138"/>
      <c r="H7443" s="177"/>
      <c r="I7443" s="139"/>
      <c r="J7443" s="139"/>
      <c r="K7443" s="139"/>
      <c r="L7443" s="139"/>
    </row>
    <row r="7444" spans="1:12" ht="16.5" customHeight="1" x14ac:dyDescent="0.3">
      <c r="A7444" s="111"/>
      <c r="B7444" s="136" t="s">
        <v>775</v>
      </c>
      <c r="C7444" s="115"/>
      <c r="D7444" s="109"/>
      <c r="E7444" s="110"/>
      <c r="F7444" s="110">
        <f>+F7443+F7435</f>
        <v>493450</v>
      </c>
      <c r="G7444" s="138"/>
      <c r="H7444" s="177"/>
      <c r="I7444" s="139"/>
      <c r="J7444" s="139"/>
      <c r="K7444" s="139"/>
      <c r="L7444" s="139"/>
    </row>
    <row r="7445" spans="1:12" ht="16.5" customHeight="1" x14ac:dyDescent="0.25">
      <c r="A7445" s="111"/>
      <c r="B7445" s="134" t="s">
        <v>776</v>
      </c>
      <c r="C7445" s="115"/>
      <c r="D7445" s="124">
        <v>1.05</v>
      </c>
      <c r="E7445" s="110"/>
      <c r="F7445" s="110">
        <f>+F7444*D7445</f>
        <v>518122.5</v>
      </c>
      <c r="G7445" s="138"/>
      <c r="H7445" s="177"/>
      <c r="I7445" s="139"/>
      <c r="J7445" s="139"/>
      <c r="K7445" s="139"/>
      <c r="L7445" s="139"/>
    </row>
    <row r="7446" spans="1:12" ht="16.5" customHeight="1" x14ac:dyDescent="0.25">
      <c r="A7446" s="111"/>
      <c r="B7446" s="134" t="s">
        <v>835</v>
      </c>
      <c r="C7446" s="115"/>
      <c r="D7446" s="124">
        <v>1.1000000000000001</v>
      </c>
      <c r="E7446" s="110"/>
      <c r="F7446" s="110"/>
      <c r="G7446" s="138"/>
      <c r="H7446" s="177"/>
      <c r="I7446" s="139"/>
      <c r="J7446" s="139"/>
      <c r="K7446" s="139"/>
      <c r="L7446" s="139"/>
    </row>
    <row r="7447" spans="1:12" ht="16.5" customHeight="1" x14ac:dyDescent="0.35">
      <c r="A7447" s="261" t="s">
        <v>563</v>
      </c>
      <c r="B7447" s="242" t="s">
        <v>785</v>
      </c>
      <c r="C7447" s="208" t="s">
        <v>59</v>
      </c>
      <c r="D7447" s="208"/>
      <c r="E7447" s="209"/>
      <c r="F7447" s="209">
        <f>+D7446*F7445</f>
        <v>569934.75</v>
      </c>
      <c r="G7447" s="138"/>
      <c r="H7447" s="177"/>
      <c r="I7447" s="139"/>
      <c r="J7447" s="139"/>
      <c r="K7447" s="139"/>
      <c r="L7447" s="139"/>
    </row>
    <row r="7448" spans="1:12" ht="16.5" customHeight="1" x14ac:dyDescent="0.35">
      <c r="A7448" s="206"/>
      <c r="B7448" s="207"/>
      <c r="C7448" s="208"/>
      <c r="D7448" s="208"/>
      <c r="E7448" s="210">
        <f>+E7424</f>
        <v>3035.45</v>
      </c>
      <c r="F7448" s="210">
        <f>+F7447/E7448</f>
        <v>187.75955789092228</v>
      </c>
      <c r="G7448" s="138"/>
      <c r="H7448" s="177"/>
      <c r="I7448" s="139"/>
      <c r="J7448" s="139"/>
      <c r="K7448" s="139"/>
      <c r="L7448" s="139"/>
    </row>
    <row r="7449" spans="1:12" ht="16.5" customHeight="1" x14ac:dyDescent="0.35">
      <c r="A7449" s="198"/>
      <c r="B7449" s="106"/>
      <c r="C7449" s="165"/>
      <c r="E7449" s="161"/>
      <c r="F7449" s="161"/>
      <c r="G7449" s="138"/>
      <c r="H7449" s="177"/>
      <c r="I7449" s="139"/>
      <c r="J7449" s="139"/>
      <c r="K7449" s="139"/>
      <c r="L7449" s="139"/>
    </row>
    <row r="7450" spans="1:12" ht="16.5" customHeight="1" x14ac:dyDescent="0.35">
      <c r="A7450" s="198"/>
      <c r="B7450" s="106"/>
      <c r="C7450" s="165"/>
      <c r="D7450" s="163"/>
      <c r="E7450" s="161"/>
      <c r="F7450" s="161"/>
      <c r="G7450" s="138"/>
      <c r="H7450" s="177"/>
      <c r="I7450" s="139"/>
      <c r="J7450" s="139"/>
      <c r="K7450" s="139"/>
      <c r="L7450" s="139"/>
    </row>
    <row r="7451" spans="1:12" ht="16.5" customHeight="1" x14ac:dyDescent="0.35">
      <c r="A7451" s="257" t="s">
        <v>537</v>
      </c>
      <c r="B7451" s="371" t="s">
        <v>1094</v>
      </c>
      <c r="C7451" s="368" t="s">
        <v>611</v>
      </c>
      <c r="D7451" s="369" t="s">
        <v>765</v>
      </c>
      <c r="E7451" s="370" t="s">
        <v>766</v>
      </c>
      <c r="F7451" s="370" t="s">
        <v>767</v>
      </c>
      <c r="G7451" s="138"/>
      <c r="H7451" s="177"/>
      <c r="I7451" s="139"/>
      <c r="J7451" s="139"/>
      <c r="K7451" s="139"/>
      <c r="L7451" s="139"/>
    </row>
    <row r="7452" spans="1:12" ht="16.5" customHeight="1" x14ac:dyDescent="0.35">
      <c r="A7452" s="375" t="s">
        <v>564</v>
      </c>
      <c r="B7452" s="344" t="s">
        <v>565</v>
      </c>
      <c r="C7452" s="379" t="s">
        <v>59</v>
      </c>
      <c r="D7452" s="146"/>
      <c r="E7452" s="117"/>
      <c r="F7452" s="117"/>
      <c r="G7452" s="138"/>
      <c r="H7452" s="177"/>
      <c r="I7452" s="139"/>
      <c r="J7452" s="139"/>
      <c r="K7452" s="139"/>
      <c r="L7452" s="139"/>
    </row>
    <row r="7453" spans="1:12" ht="16.5" customHeight="1" x14ac:dyDescent="0.35">
      <c r="A7453" s="146"/>
      <c r="B7453" s="196" t="s">
        <v>1230</v>
      </c>
      <c r="C7453" s="124"/>
      <c r="D7453" s="146"/>
      <c r="E7453" s="117"/>
      <c r="F7453" s="117"/>
      <c r="G7453" s="138"/>
      <c r="H7453" s="177"/>
      <c r="I7453" s="139"/>
      <c r="J7453" s="139"/>
      <c r="K7453" s="139"/>
      <c r="L7453" s="139"/>
    </row>
    <row r="7454" spans="1:12" x14ac:dyDescent="0.25">
      <c r="A7454" s="111"/>
      <c r="B7454" s="134" t="s">
        <v>803</v>
      </c>
      <c r="C7454" s="115" t="s">
        <v>804</v>
      </c>
      <c r="D7454" s="135">
        <v>7</v>
      </c>
      <c r="E7454" s="117">
        <v>51000</v>
      </c>
      <c r="F7454" s="121">
        <f>+SUM(D7454*E7454)</f>
        <v>357000</v>
      </c>
    </row>
    <row r="7455" spans="1:12" x14ac:dyDescent="0.25">
      <c r="A7455" s="111"/>
      <c r="B7455" s="134" t="s">
        <v>805</v>
      </c>
      <c r="C7455" s="115" t="s">
        <v>38</v>
      </c>
      <c r="D7455" s="135">
        <v>0.5</v>
      </c>
      <c r="E7455" s="117">
        <v>55000</v>
      </c>
      <c r="F7455" s="121">
        <f>+SUM(D7455*E7455)</f>
        <v>27500</v>
      </c>
    </row>
    <row r="7456" spans="1:12" x14ac:dyDescent="0.25">
      <c r="A7456" s="111"/>
      <c r="B7456" s="134" t="s">
        <v>806</v>
      </c>
      <c r="C7456" s="115" t="s">
        <v>38</v>
      </c>
      <c r="D7456" s="135">
        <v>0.9</v>
      </c>
      <c r="E7456" s="117">
        <v>16000</v>
      </c>
      <c r="F7456" s="121">
        <f>+SUM(D7456*E7456)</f>
        <v>14400</v>
      </c>
    </row>
    <row r="7457" spans="1:12" x14ac:dyDescent="0.25">
      <c r="A7457" s="111"/>
      <c r="B7457" s="383"/>
      <c r="C7457" s="115"/>
      <c r="D7457" s="135"/>
      <c r="E7457" s="117"/>
      <c r="F7457" s="121">
        <f>SUM(F7454:F7456)</f>
        <v>398900</v>
      </c>
    </row>
    <row r="7458" spans="1:12" ht="16.5" customHeight="1" x14ac:dyDescent="0.35">
      <c r="A7458" s="146"/>
      <c r="B7458" s="197" t="s">
        <v>1241</v>
      </c>
      <c r="C7458" s="124"/>
      <c r="D7458" s="146"/>
      <c r="E7458" s="117"/>
      <c r="F7458" s="117">
        <f>0.1*F7457</f>
        <v>39890</v>
      </c>
      <c r="G7458" s="138"/>
      <c r="H7458" s="177"/>
      <c r="I7458" s="139"/>
      <c r="J7458" s="139"/>
      <c r="K7458" s="139"/>
      <c r="L7458" s="139"/>
    </row>
    <row r="7459" spans="1:12" ht="16.5" customHeight="1" x14ac:dyDescent="0.35">
      <c r="A7459" s="146"/>
      <c r="B7459" s="196" t="s">
        <v>769</v>
      </c>
      <c r="C7459" s="124"/>
      <c r="D7459" s="146"/>
      <c r="E7459" s="117"/>
      <c r="F7459" s="110">
        <f>SUM(F7458:F7458)</f>
        <v>39890</v>
      </c>
      <c r="G7459" s="138"/>
      <c r="H7459" s="177"/>
      <c r="I7459" s="139"/>
      <c r="J7459" s="139"/>
      <c r="K7459" s="139"/>
      <c r="L7459" s="139"/>
    </row>
    <row r="7460" spans="1:12" ht="16.5" customHeight="1" x14ac:dyDescent="0.35">
      <c r="A7460" s="111"/>
      <c r="B7460" s="196" t="s">
        <v>808</v>
      </c>
      <c r="C7460" s="173"/>
      <c r="D7460" s="173"/>
      <c r="E7460" s="173"/>
      <c r="F7460" s="173"/>
      <c r="G7460" s="138"/>
      <c r="H7460" s="177"/>
      <c r="I7460" s="139"/>
      <c r="J7460" s="139"/>
      <c r="K7460" s="139"/>
      <c r="L7460" s="139"/>
    </row>
    <row r="7461" spans="1:12" ht="16.5" customHeight="1" x14ac:dyDescent="0.35">
      <c r="A7461" s="146"/>
      <c r="B7461" s="197" t="s">
        <v>1233</v>
      </c>
      <c r="C7461" s="115" t="s">
        <v>1043</v>
      </c>
      <c r="D7461" s="115">
        <v>2.5</v>
      </c>
      <c r="E7461" s="117">
        <v>7500</v>
      </c>
      <c r="F7461" s="121">
        <f>+D7461*E7461</f>
        <v>18750</v>
      </c>
      <c r="G7461" s="138"/>
      <c r="H7461" s="177"/>
      <c r="I7461" s="139"/>
      <c r="J7461" s="139"/>
      <c r="K7461" s="139"/>
      <c r="L7461" s="139"/>
    </row>
    <row r="7462" spans="1:12" ht="16.5" customHeight="1" x14ac:dyDescent="0.35">
      <c r="A7462" s="146"/>
      <c r="B7462" s="197" t="s">
        <v>851</v>
      </c>
      <c r="C7462" s="115" t="s">
        <v>1043</v>
      </c>
      <c r="D7462" s="115">
        <v>5</v>
      </c>
      <c r="E7462" s="117">
        <v>15000</v>
      </c>
      <c r="F7462" s="121">
        <f>+D7462*E7462</f>
        <v>75000</v>
      </c>
      <c r="G7462" s="138"/>
      <c r="H7462" s="177"/>
      <c r="I7462" s="139"/>
      <c r="J7462" s="139"/>
      <c r="K7462" s="139"/>
      <c r="L7462" s="139"/>
    </row>
    <row r="7463" spans="1:12" ht="16.5" customHeight="1" x14ac:dyDescent="0.35">
      <c r="A7463" s="146"/>
      <c r="B7463" s="196" t="s">
        <v>774</v>
      </c>
      <c r="C7463" s="124"/>
      <c r="D7463" s="146"/>
      <c r="E7463" s="117"/>
      <c r="F7463" s="110">
        <f>SUM(F7461:F7462)</f>
        <v>93750</v>
      </c>
      <c r="G7463" s="138"/>
      <c r="H7463" s="177"/>
      <c r="I7463" s="139"/>
      <c r="J7463" s="139"/>
      <c r="K7463" s="139"/>
      <c r="L7463" s="139"/>
    </row>
    <row r="7464" spans="1:12" ht="16.5" customHeight="1" x14ac:dyDescent="0.35">
      <c r="A7464" s="111"/>
      <c r="B7464" s="196" t="s">
        <v>775</v>
      </c>
      <c r="C7464" s="115"/>
      <c r="D7464" s="115"/>
      <c r="E7464" s="117"/>
      <c r="F7464" s="114">
        <f>+F7459+F7463</f>
        <v>133640</v>
      </c>
      <c r="G7464" s="138"/>
      <c r="H7464" s="177"/>
      <c r="I7464" s="139"/>
      <c r="J7464" s="139"/>
      <c r="K7464" s="139"/>
      <c r="L7464" s="139"/>
    </row>
    <row r="7465" spans="1:12" ht="16.5" customHeight="1" x14ac:dyDescent="0.35">
      <c r="A7465" s="111"/>
      <c r="B7465" s="197" t="s">
        <v>792</v>
      </c>
      <c r="C7465" s="115"/>
      <c r="D7465" s="115">
        <v>1.25</v>
      </c>
      <c r="E7465" s="117"/>
      <c r="F7465" s="121">
        <f>+D7465*F7464</f>
        <v>167050</v>
      </c>
      <c r="G7465" s="138"/>
      <c r="H7465" s="177"/>
      <c r="I7465" s="139"/>
      <c r="J7465" s="139"/>
      <c r="K7465" s="139"/>
      <c r="L7465" s="139"/>
    </row>
    <row r="7466" spans="1:12" ht="16.5" customHeight="1" x14ac:dyDescent="0.35">
      <c r="A7466" s="104"/>
      <c r="B7466" s="197" t="s">
        <v>813</v>
      </c>
      <c r="C7466" s="173"/>
      <c r="D7466" s="144">
        <v>1.25</v>
      </c>
      <c r="E7466" s="173"/>
      <c r="F7466" s="173"/>
      <c r="G7466" s="138"/>
      <c r="H7466" s="177"/>
      <c r="I7466" s="139"/>
      <c r="J7466" s="139"/>
      <c r="K7466" s="139"/>
      <c r="L7466" s="139"/>
    </row>
    <row r="7467" spans="1:12" ht="16.5" customHeight="1" x14ac:dyDescent="0.35">
      <c r="A7467" s="340" t="s">
        <v>564</v>
      </c>
      <c r="B7467" s="242" t="s">
        <v>785</v>
      </c>
      <c r="C7467" s="208" t="s">
        <v>59</v>
      </c>
      <c r="D7467" s="335"/>
      <c r="E7467" s="210"/>
      <c r="F7467" s="209">
        <f>+D7466*F7465</f>
        <v>208812.5</v>
      </c>
      <c r="G7467" s="138"/>
      <c r="H7467" s="177"/>
      <c r="I7467" s="139"/>
      <c r="J7467" s="139"/>
      <c r="K7467" s="139"/>
      <c r="L7467" s="139"/>
    </row>
    <row r="7468" spans="1:12" ht="16.5" customHeight="1" x14ac:dyDescent="0.35">
      <c r="A7468" s="340"/>
      <c r="B7468" s="242"/>
      <c r="C7468" s="337"/>
      <c r="D7468" s="335"/>
      <c r="E7468" s="210">
        <f>+E7448</f>
        <v>3035.45</v>
      </c>
      <c r="F7468" s="210">
        <f>+F7467/E7468</f>
        <v>68.791283005814634</v>
      </c>
      <c r="G7468" s="138"/>
      <c r="H7468" s="177"/>
      <c r="I7468" s="139"/>
      <c r="J7468" s="139"/>
      <c r="K7468" s="139"/>
      <c r="L7468" s="139"/>
    </row>
    <row r="7469" spans="1:12" ht="16.5" customHeight="1" x14ac:dyDescent="0.35">
      <c r="A7469" s="198"/>
      <c r="B7469" s="106"/>
      <c r="C7469" s="165"/>
      <c r="E7469" s="161"/>
      <c r="F7469" s="161"/>
      <c r="G7469" s="138"/>
      <c r="H7469" s="177"/>
      <c r="I7469" s="139"/>
      <c r="J7469" s="139"/>
      <c r="K7469" s="139"/>
      <c r="L7469" s="139"/>
    </row>
    <row r="7470" spans="1:12" ht="16.5" customHeight="1" x14ac:dyDescent="0.35">
      <c r="A7470" s="198"/>
      <c r="B7470" s="106"/>
      <c r="C7470" s="165"/>
      <c r="D7470" s="163"/>
      <c r="E7470" s="161"/>
      <c r="F7470" s="161"/>
      <c r="G7470" s="138"/>
      <c r="H7470" s="177"/>
      <c r="I7470" s="139"/>
      <c r="J7470" s="139"/>
      <c r="K7470" s="139"/>
      <c r="L7470" s="139"/>
    </row>
    <row r="7471" spans="1:12" ht="16.5" customHeight="1" x14ac:dyDescent="0.35">
      <c r="A7471" s="257" t="s">
        <v>537</v>
      </c>
      <c r="B7471" s="371" t="s">
        <v>1094</v>
      </c>
      <c r="C7471" s="368" t="s">
        <v>611</v>
      </c>
      <c r="D7471" s="369" t="s">
        <v>765</v>
      </c>
      <c r="E7471" s="370" t="s">
        <v>766</v>
      </c>
      <c r="F7471" s="370" t="s">
        <v>767</v>
      </c>
      <c r="G7471" s="138"/>
      <c r="H7471" s="177"/>
      <c r="I7471" s="139"/>
      <c r="J7471" s="139"/>
      <c r="K7471" s="139"/>
      <c r="L7471" s="139"/>
    </row>
    <row r="7472" spans="1:12" ht="16.5" customHeight="1" x14ac:dyDescent="0.35">
      <c r="A7472" s="375" t="s">
        <v>566</v>
      </c>
      <c r="B7472" s="219" t="s">
        <v>1256</v>
      </c>
      <c r="C7472" s="379" t="s">
        <v>59</v>
      </c>
      <c r="D7472" s="146"/>
      <c r="E7472" s="117"/>
      <c r="F7472" s="117"/>
      <c r="G7472" s="138"/>
      <c r="H7472" s="177"/>
      <c r="I7472" s="139"/>
      <c r="J7472" s="139"/>
      <c r="K7472" s="139"/>
      <c r="L7472" s="139"/>
    </row>
    <row r="7473" spans="1:12" ht="16.5" customHeight="1" x14ac:dyDescent="0.35">
      <c r="A7473" s="146"/>
      <c r="B7473" s="196" t="s">
        <v>1230</v>
      </c>
      <c r="C7473" s="124"/>
      <c r="D7473" s="146"/>
      <c r="E7473" s="117"/>
      <c r="F7473" s="117"/>
      <c r="G7473" s="138"/>
      <c r="H7473" s="177"/>
      <c r="I7473" s="139"/>
      <c r="J7473" s="139"/>
      <c r="K7473" s="139"/>
      <c r="L7473" s="139"/>
    </row>
    <row r="7474" spans="1:12" ht="16.5" customHeight="1" x14ac:dyDescent="0.35">
      <c r="A7474" s="146"/>
      <c r="B7474" s="384" t="s">
        <v>567</v>
      </c>
      <c r="C7474" s="124" t="s">
        <v>27</v>
      </c>
      <c r="D7474" s="146">
        <v>1</v>
      </c>
      <c r="E7474" s="117">
        <v>150000</v>
      </c>
      <c r="F7474" s="117">
        <f>+D7474*E7474</f>
        <v>150000</v>
      </c>
      <c r="G7474" s="138"/>
      <c r="H7474" s="177"/>
      <c r="I7474" s="139"/>
      <c r="J7474" s="139"/>
      <c r="K7474" s="139"/>
      <c r="L7474" s="139"/>
    </row>
    <row r="7475" spans="1:12" ht="16.5" customHeight="1" x14ac:dyDescent="0.35">
      <c r="A7475" s="146"/>
      <c r="B7475" s="197" t="s">
        <v>1241</v>
      </c>
      <c r="C7475" s="124"/>
      <c r="D7475" s="146"/>
      <c r="E7475" s="117"/>
      <c r="F7475" s="117">
        <f>0.1*(F7474)</f>
        <v>15000</v>
      </c>
      <c r="G7475" s="138"/>
      <c r="H7475" s="177"/>
      <c r="I7475" s="139"/>
      <c r="J7475" s="139"/>
      <c r="K7475" s="139"/>
      <c r="L7475" s="139"/>
    </row>
    <row r="7476" spans="1:12" ht="16.5" customHeight="1" x14ac:dyDescent="0.35">
      <c r="A7476" s="146"/>
      <c r="B7476" s="196" t="s">
        <v>769</v>
      </c>
      <c r="C7476" s="124"/>
      <c r="D7476" s="146"/>
      <c r="E7476" s="117"/>
      <c r="F7476" s="110">
        <f>SUM(F7474:F7475)</f>
        <v>165000</v>
      </c>
      <c r="G7476" s="138"/>
      <c r="H7476" s="177"/>
      <c r="I7476" s="139"/>
      <c r="J7476" s="139"/>
      <c r="K7476" s="139"/>
      <c r="L7476" s="139"/>
    </row>
    <row r="7477" spans="1:12" ht="16.5" customHeight="1" x14ac:dyDescent="0.35">
      <c r="A7477" s="111"/>
      <c r="B7477" s="196" t="s">
        <v>808</v>
      </c>
      <c r="C7477" s="173"/>
      <c r="D7477" s="173"/>
      <c r="E7477" s="173"/>
      <c r="F7477" s="173"/>
      <c r="G7477" s="138"/>
      <c r="H7477" s="177"/>
      <c r="I7477" s="139"/>
      <c r="J7477" s="139"/>
      <c r="K7477" s="139"/>
      <c r="L7477" s="139"/>
    </row>
    <row r="7478" spans="1:12" ht="16.5" customHeight="1" x14ac:dyDescent="0.35">
      <c r="A7478" s="146"/>
      <c r="B7478" s="197" t="s">
        <v>1233</v>
      </c>
      <c r="C7478" s="115" t="s">
        <v>1043</v>
      </c>
      <c r="D7478" s="115">
        <v>2.5</v>
      </c>
      <c r="E7478" s="117">
        <v>7500</v>
      </c>
      <c r="F7478" s="121">
        <f>+D7478*E7478</f>
        <v>18750</v>
      </c>
      <c r="G7478" s="138"/>
      <c r="H7478" s="177"/>
      <c r="I7478" s="139"/>
      <c r="J7478" s="139"/>
      <c r="K7478" s="139"/>
      <c r="L7478" s="139"/>
    </row>
    <row r="7479" spans="1:12" ht="16.5" customHeight="1" x14ac:dyDescent="0.35">
      <c r="A7479" s="146"/>
      <c r="B7479" s="197" t="s">
        <v>851</v>
      </c>
      <c r="C7479" s="115" t="s">
        <v>1043</v>
      </c>
      <c r="D7479" s="115">
        <v>5</v>
      </c>
      <c r="E7479" s="117">
        <v>15000</v>
      </c>
      <c r="F7479" s="121">
        <f>+D7479*E7479</f>
        <v>75000</v>
      </c>
      <c r="G7479" s="138"/>
      <c r="H7479" s="177"/>
      <c r="I7479" s="139"/>
      <c r="J7479" s="139"/>
      <c r="K7479" s="139"/>
      <c r="L7479" s="139"/>
    </row>
    <row r="7480" spans="1:12" ht="16.5" customHeight="1" x14ac:dyDescent="0.35">
      <c r="A7480" s="146"/>
      <c r="B7480" s="196" t="s">
        <v>774</v>
      </c>
      <c r="C7480" s="124"/>
      <c r="D7480" s="146"/>
      <c r="E7480" s="117"/>
      <c r="F7480" s="110">
        <f>SUM(F7478:F7479)</f>
        <v>93750</v>
      </c>
      <c r="G7480" s="138"/>
      <c r="H7480" s="177"/>
      <c r="I7480" s="139"/>
      <c r="J7480" s="139"/>
      <c r="K7480" s="139"/>
      <c r="L7480" s="139"/>
    </row>
    <row r="7481" spans="1:12" ht="16.5" customHeight="1" x14ac:dyDescent="0.35">
      <c r="A7481" s="111"/>
      <c r="B7481" s="196" t="s">
        <v>775</v>
      </c>
      <c r="C7481" s="115"/>
      <c r="D7481" s="115"/>
      <c r="E7481" s="117"/>
      <c r="F7481" s="114">
        <f>+F7476+F7480</f>
        <v>258750</v>
      </c>
      <c r="G7481" s="138"/>
      <c r="H7481" s="177"/>
      <c r="I7481" s="139"/>
      <c r="J7481" s="139"/>
      <c r="K7481" s="139"/>
      <c r="L7481" s="139"/>
    </row>
    <row r="7482" spans="1:12" ht="16.5" customHeight="1" x14ac:dyDescent="0.35">
      <c r="A7482" s="111"/>
      <c r="B7482" s="197" t="s">
        <v>792</v>
      </c>
      <c r="C7482" s="115"/>
      <c r="D7482" s="115">
        <v>1.25</v>
      </c>
      <c r="E7482" s="117"/>
      <c r="F7482" s="121">
        <f>+D7482*F7481</f>
        <v>323437.5</v>
      </c>
      <c r="G7482" s="138"/>
      <c r="H7482" s="177"/>
      <c r="I7482" s="139"/>
      <c r="J7482" s="139"/>
      <c r="K7482" s="139"/>
      <c r="L7482" s="139"/>
    </row>
    <row r="7483" spans="1:12" ht="16.5" customHeight="1" x14ac:dyDescent="0.35">
      <c r="A7483" s="104"/>
      <c r="B7483" s="197" t="s">
        <v>813</v>
      </c>
      <c r="C7483" s="173"/>
      <c r="D7483" s="144">
        <v>1.25</v>
      </c>
      <c r="E7483" s="173"/>
      <c r="F7483" s="173"/>
      <c r="G7483" s="138"/>
      <c r="H7483" s="177"/>
      <c r="I7483" s="139"/>
      <c r="J7483" s="139"/>
      <c r="K7483" s="139"/>
      <c r="L7483" s="139"/>
    </row>
    <row r="7484" spans="1:12" ht="16.5" customHeight="1" x14ac:dyDescent="0.35">
      <c r="A7484" s="340" t="s">
        <v>566</v>
      </c>
      <c r="B7484" s="242" t="s">
        <v>785</v>
      </c>
      <c r="C7484" s="208" t="s">
        <v>59</v>
      </c>
      <c r="D7484" s="335"/>
      <c r="E7484" s="210"/>
      <c r="F7484" s="209">
        <f>+D7483*F7482</f>
        <v>404296.875</v>
      </c>
      <c r="G7484" s="138"/>
      <c r="H7484" s="177"/>
      <c r="I7484" s="139"/>
      <c r="J7484" s="139"/>
      <c r="K7484" s="139"/>
      <c r="L7484" s="139"/>
    </row>
    <row r="7485" spans="1:12" ht="16.5" customHeight="1" x14ac:dyDescent="0.35">
      <c r="A7485" s="340"/>
      <c r="B7485" s="242"/>
      <c r="C7485" s="337"/>
      <c r="D7485" s="335"/>
      <c r="E7485" s="210">
        <f>+E7468</f>
        <v>3035.45</v>
      </c>
      <c r="F7485" s="210">
        <f>+F7484/E7485</f>
        <v>133.19174257523596</v>
      </c>
      <c r="G7485" s="138"/>
      <c r="H7485" s="177"/>
      <c r="I7485" s="139"/>
      <c r="J7485" s="139"/>
      <c r="K7485" s="139"/>
      <c r="L7485" s="139"/>
    </row>
    <row r="7486" spans="1:12" ht="16.5" customHeight="1" x14ac:dyDescent="0.35">
      <c r="A7486" s="198"/>
      <c r="B7486" s="106"/>
      <c r="C7486" s="165"/>
      <c r="E7486" s="161"/>
      <c r="F7486" s="161"/>
      <c r="G7486" s="138"/>
      <c r="H7486" s="177"/>
      <c r="I7486" s="139"/>
      <c r="J7486" s="139"/>
      <c r="K7486" s="139"/>
      <c r="L7486" s="139"/>
    </row>
    <row r="7487" spans="1:12" ht="16.5" customHeight="1" x14ac:dyDescent="0.35">
      <c r="A7487" s="198"/>
      <c r="B7487" s="106"/>
      <c r="C7487" s="165"/>
      <c r="D7487" s="163"/>
      <c r="E7487" s="161"/>
      <c r="F7487" s="161"/>
      <c r="G7487" s="138"/>
      <c r="H7487" s="177"/>
      <c r="I7487" s="139"/>
      <c r="J7487" s="139"/>
      <c r="K7487" s="139"/>
      <c r="L7487" s="139"/>
    </row>
    <row r="7488" spans="1:12" ht="16.5" customHeight="1" x14ac:dyDescent="0.35">
      <c r="A7488" s="257" t="s">
        <v>537</v>
      </c>
      <c r="B7488" s="371" t="s">
        <v>1094</v>
      </c>
      <c r="C7488" s="368" t="s">
        <v>611</v>
      </c>
      <c r="D7488" s="369" t="s">
        <v>765</v>
      </c>
      <c r="E7488" s="370" t="s">
        <v>766</v>
      </c>
      <c r="F7488" s="370" t="s">
        <v>767</v>
      </c>
      <c r="G7488" s="138"/>
      <c r="H7488" s="177"/>
      <c r="I7488" s="139"/>
      <c r="J7488" s="139"/>
      <c r="K7488" s="139"/>
      <c r="L7488" s="139"/>
    </row>
    <row r="7489" spans="1:12" ht="16.5" customHeight="1" x14ac:dyDescent="0.35">
      <c r="A7489" s="375" t="s">
        <v>568</v>
      </c>
      <c r="B7489" s="385" t="s">
        <v>569</v>
      </c>
      <c r="C7489" s="330" t="s">
        <v>570</v>
      </c>
      <c r="D7489" s="146"/>
      <c r="E7489" s="117"/>
      <c r="F7489" s="117"/>
      <c r="G7489" s="138"/>
      <c r="H7489" s="177"/>
      <c r="I7489" s="139"/>
      <c r="J7489" s="139"/>
      <c r="K7489" s="139"/>
      <c r="L7489" s="139"/>
    </row>
    <row r="7490" spans="1:12" ht="16.5" customHeight="1" x14ac:dyDescent="0.35">
      <c r="A7490" s="146"/>
      <c r="B7490" s="196" t="s">
        <v>1230</v>
      </c>
      <c r="C7490" s="124"/>
      <c r="D7490" s="146"/>
      <c r="E7490" s="117"/>
      <c r="F7490" s="117"/>
      <c r="G7490" s="138"/>
      <c r="H7490" s="177"/>
      <c r="I7490" s="139"/>
      <c r="J7490" s="139"/>
      <c r="K7490" s="139"/>
      <c r="L7490" s="139"/>
    </row>
    <row r="7491" spans="1:12" ht="16.5" customHeight="1" x14ac:dyDescent="0.35">
      <c r="A7491" s="146"/>
      <c r="B7491" s="384" t="s">
        <v>1257</v>
      </c>
      <c r="C7491" s="124" t="s">
        <v>38</v>
      </c>
      <c r="D7491" s="146">
        <v>1</v>
      </c>
      <c r="E7491" s="117">
        <v>200000</v>
      </c>
      <c r="F7491" s="117">
        <f>+D7491*E7491</f>
        <v>200000</v>
      </c>
      <c r="G7491" s="138"/>
      <c r="H7491" s="177"/>
      <c r="I7491" s="139"/>
      <c r="J7491" s="139"/>
      <c r="K7491" s="139"/>
      <c r="L7491" s="139"/>
    </row>
    <row r="7492" spans="1:12" ht="16.5" customHeight="1" x14ac:dyDescent="0.35">
      <c r="A7492" s="146"/>
      <c r="B7492" s="197" t="s">
        <v>1241</v>
      </c>
      <c r="C7492" s="124"/>
      <c r="D7492" s="146"/>
      <c r="E7492" s="117"/>
      <c r="F7492" s="117">
        <f>0.1*(F7491)</f>
        <v>20000</v>
      </c>
      <c r="G7492" s="138"/>
      <c r="H7492" s="177"/>
      <c r="I7492" s="139"/>
      <c r="J7492" s="139"/>
      <c r="K7492" s="139"/>
      <c r="L7492" s="139"/>
    </row>
    <row r="7493" spans="1:12" ht="16.5" customHeight="1" x14ac:dyDescent="0.35">
      <c r="A7493" s="146"/>
      <c r="B7493" s="196" t="s">
        <v>769</v>
      </c>
      <c r="C7493" s="124"/>
      <c r="D7493" s="146"/>
      <c r="E7493" s="117"/>
      <c r="F7493" s="110">
        <f>SUM(F7491:F7492)</f>
        <v>220000</v>
      </c>
      <c r="G7493" s="138"/>
      <c r="H7493" s="177"/>
      <c r="I7493" s="139"/>
      <c r="J7493" s="139"/>
      <c r="K7493" s="139"/>
      <c r="L7493" s="139"/>
    </row>
    <row r="7494" spans="1:12" ht="16.5" customHeight="1" x14ac:dyDescent="0.35">
      <c r="A7494" s="111"/>
      <c r="B7494" s="196" t="s">
        <v>808</v>
      </c>
      <c r="C7494" s="173"/>
      <c r="D7494" s="173"/>
      <c r="E7494" s="173"/>
      <c r="F7494" s="173"/>
      <c r="G7494" s="138"/>
      <c r="H7494" s="177"/>
      <c r="I7494" s="139"/>
      <c r="J7494" s="139"/>
      <c r="K7494" s="139"/>
      <c r="L7494" s="139"/>
    </row>
    <row r="7495" spans="1:12" ht="16.5" customHeight="1" x14ac:dyDescent="0.35">
      <c r="A7495" s="146"/>
      <c r="B7495" s="197" t="s">
        <v>1233</v>
      </c>
      <c r="C7495" s="115" t="s">
        <v>1043</v>
      </c>
      <c r="D7495" s="115">
        <v>2.5</v>
      </c>
      <c r="E7495" s="117">
        <v>7500</v>
      </c>
      <c r="F7495" s="121">
        <f>+D7495*E7495</f>
        <v>18750</v>
      </c>
      <c r="G7495" s="138"/>
      <c r="H7495" s="177"/>
      <c r="I7495" s="139"/>
      <c r="J7495" s="139"/>
      <c r="K7495" s="139"/>
      <c r="L7495" s="139"/>
    </row>
    <row r="7496" spans="1:12" ht="16.5" customHeight="1" x14ac:dyDescent="0.35">
      <c r="A7496" s="146"/>
      <c r="B7496" s="197" t="s">
        <v>851</v>
      </c>
      <c r="C7496" s="115" t="s">
        <v>1043</v>
      </c>
      <c r="D7496" s="115">
        <v>5</v>
      </c>
      <c r="E7496" s="117">
        <v>15000</v>
      </c>
      <c r="F7496" s="121">
        <f>+D7496*E7496</f>
        <v>75000</v>
      </c>
      <c r="G7496" s="138"/>
      <c r="H7496" s="177"/>
      <c r="I7496" s="139"/>
      <c r="J7496" s="139"/>
      <c r="K7496" s="139"/>
      <c r="L7496" s="139"/>
    </row>
    <row r="7497" spans="1:12" ht="16.5" customHeight="1" x14ac:dyDescent="0.35">
      <c r="A7497" s="146"/>
      <c r="B7497" s="196" t="s">
        <v>774</v>
      </c>
      <c r="C7497" s="124"/>
      <c r="D7497" s="146"/>
      <c r="E7497" s="117"/>
      <c r="F7497" s="110">
        <f>SUM(F7495:F7496)</f>
        <v>93750</v>
      </c>
      <c r="G7497" s="138"/>
      <c r="H7497" s="177"/>
      <c r="I7497" s="139"/>
      <c r="J7497" s="139"/>
      <c r="K7497" s="139"/>
      <c r="L7497" s="139"/>
    </row>
    <row r="7498" spans="1:12" ht="16.5" customHeight="1" x14ac:dyDescent="0.35">
      <c r="A7498" s="111"/>
      <c r="B7498" s="196" t="s">
        <v>775</v>
      </c>
      <c r="C7498" s="115"/>
      <c r="D7498" s="115"/>
      <c r="E7498" s="117"/>
      <c r="F7498" s="114">
        <f>+F7493+F7497</f>
        <v>313750</v>
      </c>
      <c r="G7498" s="138"/>
      <c r="H7498" s="177"/>
      <c r="I7498" s="139"/>
      <c r="J7498" s="139"/>
      <c r="K7498" s="139"/>
      <c r="L7498" s="139"/>
    </row>
    <row r="7499" spans="1:12" ht="16.5" customHeight="1" x14ac:dyDescent="0.35">
      <c r="A7499" s="111"/>
      <c r="B7499" s="197" t="s">
        <v>792</v>
      </c>
      <c r="C7499" s="115"/>
      <c r="D7499" s="115">
        <v>1.25</v>
      </c>
      <c r="E7499" s="117"/>
      <c r="F7499" s="121">
        <f>+D7499*F7498</f>
        <v>392187.5</v>
      </c>
      <c r="G7499" s="138"/>
      <c r="H7499" s="177"/>
      <c r="I7499" s="139"/>
      <c r="J7499" s="139"/>
      <c r="K7499" s="139"/>
      <c r="L7499" s="139"/>
    </row>
    <row r="7500" spans="1:12" ht="16.5" customHeight="1" x14ac:dyDescent="0.35">
      <c r="A7500" s="104"/>
      <c r="B7500" s="197" t="s">
        <v>813</v>
      </c>
      <c r="C7500" s="173"/>
      <c r="D7500" s="144">
        <v>1.25</v>
      </c>
      <c r="E7500" s="173"/>
      <c r="F7500" s="173"/>
      <c r="G7500" s="138"/>
      <c r="H7500" s="177"/>
      <c r="I7500" s="139"/>
      <c r="J7500" s="139"/>
      <c r="K7500" s="139"/>
      <c r="L7500" s="139"/>
    </row>
    <row r="7501" spans="1:12" ht="16.5" customHeight="1" x14ac:dyDescent="0.35">
      <c r="A7501" s="340" t="s">
        <v>568</v>
      </c>
      <c r="B7501" s="242" t="s">
        <v>790</v>
      </c>
      <c r="C7501" s="386" t="s">
        <v>570</v>
      </c>
      <c r="D7501" s="335"/>
      <c r="E7501" s="210"/>
      <c r="F7501" s="209">
        <f>+D7500*F7499</f>
        <v>490234.375</v>
      </c>
      <c r="G7501" s="138"/>
      <c r="H7501" s="177"/>
      <c r="I7501" s="139"/>
      <c r="J7501" s="139"/>
      <c r="K7501" s="139"/>
      <c r="L7501" s="139"/>
    </row>
    <row r="7502" spans="1:12" ht="16.5" customHeight="1" x14ac:dyDescent="0.35">
      <c r="A7502" s="340"/>
      <c r="B7502" s="242"/>
      <c r="C7502" s="337"/>
      <c r="D7502" s="335"/>
      <c r="E7502" s="210">
        <f>+E7485</f>
        <v>3035.45</v>
      </c>
      <c r="F7502" s="210">
        <f>+F7501/E7502</f>
        <v>161.50303085209771</v>
      </c>
      <c r="G7502" s="138"/>
      <c r="H7502" s="177"/>
      <c r="I7502" s="139"/>
      <c r="J7502" s="139"/>
      <c r="K7502" s="139"/>
      <c r="L7502" s="139"/>
    </row>
    <row r="7503" spans="1:12" ht="16.5" customHeight="1" x14ac:dyDescent="0.35">
      <c r="A7503" s="198"/>
      <c r="B7503" s="106"/>
      <c r="C7503" s="165"/>
      <c r="E7503" s="161"/>
      <c r="F7503" s="161"/>
      <c r="G7503" s="138"/>
      <c r="H7503" s="177"/>
      <c r="I7503" s="139"/>
      <c r="J7503" s="139"/>
      <c r="K7503" s="139"/>
      <c r="L7503" s="139"/>
    </row>
    <row r="7504" spans="1:12" ht="16.5" customHeight="1" x14ac:dyDescent="0.35">
      <c r="A7504" s="198"/>
      <c r="B7504" s="106"/>
      <c r="C7504" s="165"/>
      <c r="D7504" s="163"/>
      <c r="E7504" s="161"/>
      <c r="F7504" s="161"/>
      <c r="G7504" s="138"/>
      <c r="H7504" s="177"/>
      <c r="I7504" s="139"/>
      <c r="J7504" s="139"/>
      <c r="K7504" s="139"/>
      <c r="L7504" s="139"/>
    </row>
    <row r="7505" spans="1:12" ht="16.5" customHeight="1" x14ac:dyDescent="0.35">
      <c r="A7505" s="257" t="s">
        <v>537</v>
      </c>
      <c r="B7505" s="371" t="s">
        <v>1094</v>
      </c>
      <c r="C7505" s="368" t="s">
        <v>611</v>
      </c>
      <c r="D7505" s="369" t="s">
        <v>765</v>
      </c>
      <c r="E7505" s="370" t="s">
        <v>766</v>
      </c>
      <c r="F7505" s="370" t="s">
        <v>767</v>
      </c>
      <c r="G7505" s="138"/>
      <c r="H7505" s="177"/>
      <c r="I7505" s="139"/>
      <c r="J7505" s="139"/>
      <c r="K7505" s="139"/>
      <c r="L7505" s="139"/>
    </row>
    <row r="7506" spans="1:12" ht="16.5" customHeight="1" x14ac:dyDescent="0.35">
      <c r="A7506" s="387" t="s">
        <v>571</v>
      </c>
      <c r="B7506" s="343" t="s">
        <v>572</v>
      </c>
      <c r="C7506" s="330"/>
      <c r="D7506" s="146"/>
      <c r="E7506" s="117"/>
      <c r="F7506" s="117"/>
      <c r="G7506" s="138"/>
      <c r="H7506" s="177"/>
      <c r="I7506" s="139"/>
      <c r="J7506" s="139"/>
      <c r="K7506" s="139"/>
      <c r="L7506" s="139"/>
    </row>
    <row r="7507" spans="1:12" ht="16.5" customHeight="1" x14ac:dyDescent="0.3">
      <c r="A7507" s="375" t="s">
        <v>573</v>
      </c>
      <c r="B7507" s="385" t="s">
        <v>574</v>
      </c>
      <c r="C7507" s="388" t="s">
        <v>539</v>
      </c>
      <c r="D7507" s="146"/>
      <c r="E7507" s="117"/>
      <c r="F7507" s="117"/>
      <c r="G7507" s="138"/>
      <c r="H7507" s="177"/>
      <c r="I7507" s="139"/>
      <c r="J7507" s="139"/>
      <c r="K7507" s="139"/>
      <c r="L7507" s="139"/>
    </row>
    <row r="7508" spans="1:12" ht="16.5" customHeight="1" x14ac:dyDescent="0.35">
      <c r="A7508" s="146"/>
      <c r="B7508" s="196" t="s">
        <v>1230</v>
      </c>
      <c r="C7508" s="124"/>
      <c r="D7508" s="146"/>
      <c r="E7508" s="117"/>
      <c r="F7508" s="117"/>
      <c r="G7508" s="138"/>
      <c r="H7508" s="177"/>
      <c r="I7508" s="139"/>
      <c r="J7508" s="139"/>
      <c r="K7508" s="139"/>
      <c r="L7508" s="139"/>
    </row>
    <row r="7509" spans="1:12" ht="16.5" customHeight="1" x14ac:dyDescent="0.35">
      <c r="A7509" s="146"/>
      <c r="B7509" s="384" t="s">
        <v>1258</v>
      </c>
      <c r="C7509" s="124" t="s">
        <v>38</v>
      </c>
      <c r="D7509" s="146">
        <v>1</v>
      </c>
      <c r="E7509" s="117">
        <v>200000</v>
      </c>
      <c r="F7509" s="117">
        <f>+D7509*E7509</f>
        <v>200000</v>
      </c>
      <c r="G7509" s="138"/>
      <c r="H7509" s="177"/>
      <c r="I7509" s="139"/>
      <c r="J7509" s="139"/>
      <c r="K7509" s="139"/>
      <c r="L7509" s="139"/>
    </row>
    <row r="7510" spans="1:12" ht="16.5" customHeight="1" x14ac:dyDescent="0.35">
      <c r="A7510" s="146"/>
      <c r="B7510" s="197" t="s">
        <v>1241</v>
      </c>
      <c r="C7510" s="124"/>
      <c r="D7510" s="146"/>
      <c r="E7510" s="117"/>
      <c r="F7510" s="117">
        <f>0.1*(F7509)</f>
        <v>20000</v>
      </c>
      <c r="G7510" s="138"/>
      <c r="H7510" s="177"/>
      <c r="I7510" s="139"/>
      <c r="J7510" s="139"/>
      <c r="K7510" s="139"/>
      <c r="L7510" s="139"/>
    </row>
    <row r="7511" spans="1:12" ht="16.5" customHeight="1" x14ac:dyDescent="0.35">
      <c r="A7511" s="146"/>
      <c r="B7511" s="196" t="s">
        <v>769</v>
      </c>
      <c r="C7511" s="124"/>
      <c r="D7511" s="146"/>
      <c r="E7511" s="117"/>
      <c r="F7511" s="110">
        <f>SUM(F7509:F7510)</f>
        <v>220000</v>
      </c>
      <c r="G7511" s="138"/>
      <c r="H7511" s="177"/>
      <c r="I7511" s="139"/>
      <c r="J7511" s="139"/>
      <c r="K7511" s="139"/>
      <c r="L7511" s="139"/>
    </row>
    <row r="7512" spans="1:12" ht="16.5" customHeight="1" x14ac:dyDescent="0.35">
      <c r="A7512" s="111"/>
      <c r="B7512" s="196" t="s">
        <v>808</v>
      </c>
      <c r="C7512" s="173"/>
      <c r="D7512" s="173"/>
      <c r="E7512" s="173"/>
      <c r="F7512" s="173"/>
      <c r="G7512" s="138"/>
      <c r="H7512" s="177"/>
      <c r="I7512" s="139"/>
      <c r="J7512" s="139"/>
      <c r="K7512" s="139"/>
      <c r="L7512" s="139"/>
    </row>
    <row r="7513" spans="1:12" ht="16.5" customHeight="1" x14ac:dyDescent="0.35">
      <c r="A7513" s="146"/>
      <c r="B7513" s="197" t="s">
        <v>1233</v>
      </c>
      <c r="C7513" s="115" t="s">
        <v>1043</v>
      </c>
      <c r="D7513" s="115">
        <v>1.5</v>
      </c>
      <c r="E7513" s="117">
        <v>7500</v>
      </c>
      <c r="F7513" s="121">
        <f>+D7513*E7513</f>
        <v>11250</v>
      </c>
      <c r="G7513" s="138"/>
      <c r="H7513" s="177"/>
      <c r="I7513" s="139"/>
      <c r="J7513" s="139"/>
      <c r="K7513" s="139"/>
      <c r="L7513" s="139"/>
    </row>
    <row r="7514" spans="1:12" ht="16.5" customHeight="1" x14ac:dyDescent="0.35">
      <c r="A7514" s="146"/>
      <c r="B7514" s="197" t="s">
        <v>851</v>
      </c>
      <c r="C7514" s="115" t="s">
        <v>1043</v>
      </c>
      <c r="D7514" s="115">
        <v>3.5</v>
      </c>
      <c r="E7514" s="117">
        <v>15000</v>
      </c>
      <c r="F7514" s="121">
        <f>+D7514*E7514</f>
        <v>52500</v>
      </c>
      <c r="G7514" s="138"/>
      <c r="H7514" s="177"/>
      <c r="I7514" s="139"/>
      <c r="J7514" s="139"/>
      <c r="K7514" s="139"/>
      <c r="L7514" s="139"/>
    </row>
    <row r="7515" spans="1:12" ht="16.5" customHeight="1" x14ac:dyDescent="0.35">
      <c r="A7515" s="146"/>
      <c r="B7515" s="196" t="s">
        <v>774</v>
      </c>
      <c r="C7515" s="124"/>
      <c r="D7515" s="146"/>
      <c r="E7515" s="117"/>
      <c r="F7515" s="110">
        <f>SUM(F7513:F7514)</f>
        <v>63750</v>
      </c>
      <c r="G7515" s="138"/>
      <c r="H7515" s="177"/>
      <c r="I7515" s="139"/>
      <c r="J7515" s="139"/>
      <c r="K7515" s="139"/>
      <c r="L7515" s="139"/>
    </row>
    <row r="7516" spans="1:12" ht="16.5" customHeight="1" x14ac:dyDescent="0.35">
      <c r="A7516" s="111"/>
      <c r="B7516" s="196" t="s">
        <v>775</v>
      </c>
      <c r="C7516" s="115"/>
      <c r="D7516" s="115"/>
      <c r="E7516" s="117"/>
      <c r="F7516" s="114">
        <f>+F7511+F7515</f>
        <v>283750</v>
      </c>
      <c r="G7516" s="138"/>
      <c r="H7516" s="177"/>
      <c r="I7516" s="139"/>
      <c r="J7516" s="139"/>
      <c r="K7516" s="139"/>
      <c r="L7516" s="139"/>
    </row>
    <row r="7517" spans="1:12" ht="16.5" customHeight="1" x14ac:dyDescent="0.35">
      <c r="A7517" s="111"/>
      <c r="B7517" s="197" t="s">
        <v>792</v>
      </c>
      <c r="C7517" s="115"/>
      <c r="D7517" s="115">
        <v>1.1000000000000001</v>
      </c>
      <c r="E7517" s="117"/>
      <c r="F7517" s="121">
        <f>+D7517*F7516</f>
        <v>312125</v>
      </c>
      <c r="G7517" s="138"/>
      <c r="H7517" s="177"/>
      <c r="I7517" s="139"/>
      <c r="J7517" s="139"/>
      <c r="K7517" s="139"/>
      <c r="L7517" s="139"/>
    </row>
    <row r="7518" spans="1:12" ht="16.5" customHeight="1" x14ac:dyDescent="0.35">
      <c r="A7518" s="104"/>
      <c r="B7518" s="197" t="s">
        <v>813</v>
      </c>
      <c r="C7518" s="173"/>
      <c r="D7518" s="144">
        <v>1.1499999999999999</v>
      </c>
      <c r="E7518" s="173"/>
      <c r="F7518" s="173"/>
      <c r="G7518" s="138"/>
      <c r="H7518" s="177"/>
      <c r="I7518" s="139"/>
      <c r="J7518" s="139"/>
      <c r="K7518" s="139"/>
      <c r="L7518" s="139"/>
    </row>
    <row r="7519" spans="1:12" ht="16.5" customHeight="1" x14ac:dyDescent="0.35">
      <c r="A7519" s="340" t="s">
        <v>573</v>
      </c>
      <c r="B7519" s="242" t="s">
        <v>790</v>
      </c>
      <c r="C7519" s="386" t="s">
        <v>570</v>
      </c>
      <c r="D7519" s="335"/>
      <c r="E7519" s="210"/>
      <c r="F7519" s="209">
        <f>+D7518*F7517</f>
        <v>358943.75</v>
      </c>
      <c r="G7519" s="138"/>
      <c r="H7519" s="177"/>
      <c r="I7519" s="139"/>
      <c r="J7519" s="139"/>
      <c r="K7519" s="139"/>
      <c r="L7519" s="139"/>
    </row>
    <row r="7520" spans="1:12" ht="16.5" customHeight="1" x14ac:dyDescent="0.35">
      <c r="A7520" s="340"/>
      <c r="B7520" s="242"/>
      <c r="C7520" s="337"/>
      <c r="D7520" s="335"/>
      <c r="E7520" s="210">
        <f>+E7502</f>
        <v>3035.45</v>
      </c>
      <c r="F7520" s="210">
        <f>+F7519/E7520</f>
        <v>118.25058887479616</v>
      </c>
      <c r="G7520" s="138"/>
      <c r="H7520" s="177"/>
      <c r="I7520" s="139"/>
      <c r="J7520" s="139"/>
      <c r="K7520" s="139"/>
      <c r="L7520" s="139"/>
    </row>
    <row r="7521" spans="1:12" ht="16.5" customHeight="1" x14ac:dyDescent="0.35">
      <c r="A7521" s="198"/>
      <c r="B7521" s="106"/>
      <c r="C7521" s="165"/>
      <c r="E7521" s="161"/>
      <c r="F7521" s="161"/>
      <c r="G7521" s="138"/>
      <c r="H7521" s="177"/>
      <c r="I7521" s="139"/>
      <c r="J7521" s="139"/>
      <c r="K7521" s="139"/>
      <c r="L7521" s="139"/>
    </row>
    <row r="7522" spans="1:12" ht="16.5" customHeight="1" x14ac:dyDescent="0.35">
      <c r="A7522" s="198"/>
      <c r="B7522" s="106"/>
      <c r="C7522" s="165"/>
      <c r="D7522" s="163"/>
      <c r="E7522" s="161"/>
      <c r="F7522" s="161"/>
      <c r="G7522" s="138"/>
      <c r="H7522" s="177"/>
      <c r="I7522" s="139"/>
      <c r="J7522" s="139"/>
      <c r="K7522" s="139"/>
      <c r="L7522" s="139"/>
    </row>
    <row r="7523" spans="1:12" ht="16.5" customHeight="1" x14ac:dyDescent="0.35">
      <c r="A7523" s="257" t="s">
        <v>537</v>
      </c>
      <c r="B7523" s="371" t="s">
        <v>1094</v>
      </c>
      <c r="C7523" s="368" t="s">
        <v>611</v>
      </c>
      <c r="D7523" s="369" t="s">
        <v>765</v>
      </c>
      <c r="E7523" s="370" t="s">
        <v>766</v>
      </c>
      <c r="F7523" s="370" t="s">
        <v>767</v>
      </c>
      <c r="G7523" s="138"/>
      <c r="H7523" s="177"/>
      <c r="I7523" s="139"/>
      <c r="J7523" s="139"/>
      <c r="K7523" s="139"/>
      <c r="L7523" s="139"/>
    </row>
    <row r="7524" spans="1:12" ht="16.5" customHeight="1" x14ac:dyDescent="0.35">
      <c r="A7524" s="387" t="s">
        <v>571</v>
      </c>
      <c r="B7524" s="343" t="s">
        <v>572</v>
      </c>
      <c r="C7524" s="330"/>
      <c r="D7524" s="146"/>
      <c r="E7524" s="117"/>
      <c r="F7524" s="117"/>
      <c r="G7524" s="138"/>
      <c r="H7524" s="177"/>
      <c r="I7524" s="139"/>
      <c r="J7524" s="139"/>
      <c r="K7524" s="139"/>
      <c r="L7524" s="139"/>
    </row>
    <row r="7525" spans="1:12" ht="16.5" customHeight="1" x14ac:dyDescent="0.3">
      <c r="A7525" s="375" t="s">
        <v>575</v>
      </c>
      <c r="B7525" s="385" t="s">
        <v>576</v>
      </c>
      <c r="C7525" s="388" t="s">
        <v>539</v>
      </c>
      <c r="D7525" s="146"/>
      <c r="E7525" s="117"/>
      <c r="F7525" s="117"/>
      <c r="G7525" s="138"/>
      <c r="H7525" s="177"/>
      <c r="I7525" s="139"/>
      <c r="J7525" s="139"/>
      <c r="K7525" s="139"/>
      <c r="L7525" s="139"/>
    </row>
    <row r="7526" spans="1:12" ht="16.5" customHeight="1" x14ac:dyDescent="0.35">
      <c r="A7526" s="146"/>
      <c r="B7526" s="196" t="s">
        <v>1230</v>
      </c>
      <c r="C7526" s="124"/>
      <c r="D7526" s="146"/>
      <c r="E7526" s="117"/>
      <c r="F7526" s="117"/>
      <c r="G7526" s="138"/>
      <c r="H7526" s="177"/>
      <c r="I7526" s="139"/>
      <c r="J7526" s="139"/>
      <c r="K7526" s="139"/>
      <c r="L7526" s="139"/>
    </row>
    <row r="7527" spans="1:12" ht="16.5" customHeight="1" x14ac:dyDescent="0.35">
      <c r="A7527" s="146"/>
      <c r="B7527" s="384" t="s">
        <v>1259</v>
      </c>
      <c r="C7527" s="124" t="s">
        <v>38</v>
      </c>
      <c r="D7527" s="146">
        <v>1</v>
      </c>
      <c r="E7527" s="117">
        <v>250000</v>
      </c>
      <c r="F7527" s="117">
        <f>+D7527*E7527</f>
        <v>250000</v>
      </c>
      <c r="G7527" s="138"/>
      <c r="H7527" s="177"/>
      <c r="I7527" s="139"/>
      <c r="J7527" s="139"/>
      <c r="K7527" s="139"/>
      <c r="L7527" s="139"/>
    </row>
    <row r="7528" spans="1:12" ht="16.5" customHeight="1" x14ac:dyDescent="0.35">
      <c r="A7528" s="146"/>
      <c r="B7528" s="197" t="s">
        <v>1241</v>
      </c>
      <c r="C7528" s="124"/>
      <c r="D7528" s="146"/>
      <c r="E7528" s="117"/>
      <c r="F7528" s="117">
        <f>0.1*(F7527)</f>
        <v>25000</v>
      </c>
      <c r="G7528" s="138"/>
      <c r="H7528" s="177"/>
      <c r="I7528" s="139"/>
      <c r="J7528" s="139"/>
      <c r="K7528" s="139"/>
      <c r="L7528" s="139"/>
    </row>
    <row r="7529" spans="1:12" ht="16.5" customHeight="1" x14ac:dyDescent="0.35">
      <c r="A7529" s="146"/>
      <c r="B7529" s="196" t="s">
        <v>769</v>
      </c>
      <c r="C7529" s="124"/>
      <c r="D7529" s="146"/>
      <c r="E7529" s="117"/>
      <c r="F7529" s="110">
        <f>SUM(F7527:F7528)</f>
        <v>275000</v>
      </c>
      <c r="G7529" s="138"/>
      <c r="H7529" s="177"/>
      <c r="I7529" s="139"/>
      <c r="J7529" s="139"/>
      <c r="K7529" s="139"/>
      <c r="L7529" s="139"/>
    </row>
    <row r="7530" spans="1:12" ht="16.5" customHeight="1" x14ac:dyDescent="0.35">
      <c r="A7530" s="111"/>
      <c r="B7530" s="196" t="s">
        <v>808</v>
      </c>
      <c r="C7530" s="173"/>
      <c r="D7530" s="173"/>
      <c r="E7530" s="173"/>
      <c r="F7530" s="173"/>
      <c r="G7530" s="138"/>
      <c r="H7530" s="177"/>
      <c r="I7530" s="139"/>
      <c r="J7530" s="139"/>
      <c r="K7530" s="139"/>
      <c r="L7530" s="139"/>
    </row>
    <row r="7531" spans="1:12" ht="16.5" customHeight="1" x14ac:dyDescent="0.35">
      <c r="A7531" s="146"/>
      <c r="B7531" s="197" t="s">
        <v>1233</v>
      </c>
      <c r="C7531" s="115" t="s">
        <v>1043</v>
      </c>
      <c r="D7531" s="115">
        <v>1.5</v>
      </c>
      <c r="E7531" s="117">
        <v>7500</v>
      </c>
      <c r="F7531" s="121">
        <f>+D7531*E7531</f>
        <v>11250</v>
      </c>
      <c r="G7531" s="138"/>
      <c r="H7531" s="177"/>
      <c r="I7531" s="139"/>
      <c r="J7531" s="139"/>
      <c r="K7531" s="139"/>
      <c r="L7531" s="139"/>
    </row>
    <row r="7532" spans="1:12" ht="16.5" customHeight="1" x14ac:dyDescent="0.35">
      <c r="A7532" s="146"/>
      <c r="B7532" s="197" t="s">
        <v>851</v>
      </c>
      <c r="C7532" s="115" t="s">
        <v>1043</v>
      </c>
      <c r="D7532" s="115">
        <v>3.5</v>
      </c>
      <c r="E7532" s="117">
        <v>15000</v>
      </c>
      <c r="F7532" s="121">
        <f>+D7532*E7532</f>
        <v>52500</v>
      </c>
      <c r="G7532" s="138"/>
      <c r="H7532" s="177"/>
      <c r="I7532" s="139"/>
      <c r="J7532" s="139"/>
      <c r="K7532" s="139"/>
      <c r="L7532" s="139"/>
    </row>
    <row r="7533" spans="1:12" ht="16.5" customHeight="1" x14ac:dyDescent="0.35">
      <c r="A7533" s="146"/>
      <c r="B7533" s="196" t="s">
        <v>774</v>
      </c>
      <c r="C7533" s="124"/>
      <c r="D7533" s="146"/>
      <c r="E7533" s="117"/>
      <c r="F7533" s="110">
        <f>SUM(F7531:F7532)</f>
        <v>63750</v>
      </c>
      <c r="G7533" s="138"/>
      <c r="H7533" s="177"/>
      <c r="I7533" s="139"/>
      <c r="J7533" s="139"/>
      <c r="K7533" s="139"/>
      <c r="L7533" s="139"/>
    </row>
    <row r="7534" spans="1:12" ht="16.5" customHeight="1" x14ac:dyDescent="0.35">
      <c r="A7534" s="111"/>
      <c r="B7534" s="196" t="s">
        <v>775</v>
      </c>
      <c r="C7534" s="115"/>
      <c r="D7534" s="115"/>
      <c r="E7534" s="117"/>
      <c r="F7534" s="114">
        <f>+F7529+F7533</f>
        <v>338750</v>
      </c>
      <c r="G7534" s="138"/>
      <c r="H7534" s="177"/>
      <c r="I7534" s="139"/>
      <c r="J7534" s="139"/>
      <c r="K7534" s="139"/>
      <c r="L7534" s="139"/>
    </row>
    <row r="7535" spans="1:12" ht="16.5" customHeight="1" x14ac:dyDescent="0.35">
      <c r="A7535" s="111"/>
      <c r="B7535" s="197" t="s">
        <v>792</v>
      </c>
      <c r="C7535" s="115"/>
      <c r="D7535" s="115">
        <v>1.1000000000000001</v>
      </c>
      <c r="E7535" s="117"/>
      <c r="F7535" s="121">
        <f>+D7535*F7534</f>
        <v>372625.00000000006</v>
      </c>
      <c r="G7535" s="138"/>
      <c r="H7535" s="177"/>
      <c r="I7535" s="139"/>
      <c r="J7535" s="139"/>
      <c r="K7535" s="139"/>
      <c r="L7535" s="139"/>
    </row>
    <row r="7536" spans="1:12" ht="16.5" customHeight="1" x14ac:dyDescent="0.35">
      <c r="A7536" s="104"/>
      <c r="B7536" s="197" t="s">
        <v>813</v>
      </c>
      <c r="C7536" s="173"/>
      <c r="D7536" s="144">
        <v>1.1499999999999999</v>
      </c>
      <c r="E7536" s="173"/>
      <c r="F7536" s="173"/>
      <c r="G7536" s="138"/>
      <c r="H7536" s="177"/>
      <c r="I7536" s="139"/>
      <c r="J7536" s="139"/>
      <c r="K7536" s="139"/>
      <c r="L7536" s="139"/>
    </row>
    <row r="7537" spans="1:12" ht="16.5" customHeight="1" x14ac:dyDescent="0.35">
      <c r="A7537" s="340" t="s">
        <v>1260</v>
      </c>
      <c r="B7537" s="242" t="s">
        <v>790</v>
      </c>
      <c r="C7537" s="386" t="s">
        <v>570</v>
      </c>
      <c r="D7537" s="335"/>
      <c r="E7537" s="210"/>
      <c r="F7537" s="209">
        <f>+D7536*F7535</f>
        <v>428518.75000000006</v>
      </c>
      <c r="G7537" s="138"/>
      <c r="H7537" s="177"/>
      <c r="I7537" s="139"/>
      <c r="J7537" s="139"/>
      <c r="K7537" s="139"/>
      <c r="L7537" s="139"/>
    </row>
    <row r="7538" spans="1:12" ht="16.5" customHeight="1" x14ac:dyDescent="0.35">
      <c r="A7538" s="340"/>
      <c r="B7538" s="242"/>
      <c r="C7538" s="337"/>
      <c r="D7538" s="335"/>
      <c r="E7538" s="210">
        <f>+E7520</f>
        <v>3035.45</v>
      </c>
      <c r="F7538" s="210">
        <f>+F7537/E7538</f>
        <v>141.17140786374347</v>
      </c>
      <c r="G7538" s="138"/>
      <c r="H7538" s="177"/>
      <c r="I7538" s="139"/>
      <c r="J7538" s="139"/>
      <c r="K7538" s="139"/>
      <c r="L7538" s="139"/>
    </row>
    <row r="7539" spans="1:12" ht="16.5" customHeight="1" x14ac:dyDescent="0.35">
      <c r="A7539" s="198"/>
      <c r="B7539" s="106"/>
      <c r="C7539" s="165"/>
      <c r="E7539" s="161"/>
      <c r="F7539" s="161"/>
      <c r="G7539" s="138"/>
      <c r="H7539" s="177"/>
      <c r="I7539" s="139"/>
      <c r="J7539" s="139"/>
      <c r="K7539" s="139"/>
      <c r="L7539" s="139"/>
    </row>
    <row r="7540" spans="1:12" ht="16.5" customHeight="1" x14ac:dyDescent="0.35">
      <c r="A7540" s="198"/>
      <c r="B7540" s="106"/>
      <c r="C7540" s="165"/>
      <c r="D7540" s="163"/>
      <c r="E7540" s="161"/>
      <c r="F7540" s="161"/>
      <c r="G7540" s="138"/>
      <c r="H7540" s="177"/>
      <c r="I7540" s="139"/>
      <c r="J7540" s="139"/>
      <c r="K7540" s="139"/>
      <c r="L7540" s="139"/>
    </row>
    <row r="7541" spans="1:12" ht="16.5" customHeight="1" x14ac:dyDescent="0.35">
      <c r="A7541" s="257" t="s">
        <v>537</v>
      </c>
      <c r="B7541" s="371" t="s">
        <v>1094</v>
      </c>
      <c r="C7541" s="368" t="s">
        <v>611</v>
      </c>
      <c r="D7541" s="369" t="s">
        <v>765</v>
      </c>
      <c r="E7541" s="370" t="s">
        <v>766</v>
      </c>
      <c r="F7541" s="370" t="s">
        <v>767</v>
      </c>
      <c r="G7541" s="138"/>
      <c r="H7541" s="177"/>
      <c r="I7541" s="139"/>
      <c r="J7541" s="139"/>
      <c r="K7541" s="139"/>
      <c r="L7541" s="139"/>
    </row>
    <row r="7542" spans="1:12" ht="16.5" customHeight="1" x14ac:dyDescent="0.35">
      <c r="A7542" s="387" t="s">
        <v>571</v>
      </c>
      <c r="B7542" s="343" t="s">
        <v>572</v>
      </c>
      <c r="C7542" s="330"/>
      <c r="D7542" s="146"/>
      <c r="E7542" s="117"/>
      <c r="F7542" s="117"/>
      <c r="G7542" s="138"/>
      <c r="H7542" s="177"/>
      <c r="I7542" s="139"/>
      <c r="J7542" s="139"/>
      <c r="K7542" s="139"/>
      <c r="L7542" s="139"/>
    </row>
    <row r="7543" spans="1:12" ht="16.5" customHeight="1" x14ac:dyDescent="0.3">
      <c r="A7543" s="375" t="s">
        <v>577</v>
      </c>
      <c r="B7543" s="344" t="s">
        <v>578</v>
      </c>
      <c r="C7543" s="388" t="s">
        <v>539</v>
      </c>
      <c r="D7543" s="146"/>
      <c r="E7543" s="117"/>
      <c r="F7543" s="117"/>
      <c r="G7543" s="138"/>
      <c r="H7543" s="177"/>
      <c r="I7543" s="139"/>
      <c r="J7543" s="139"/>
      <c r="K7543" s="139"/>
      <c r="L7543" s="139"/>
    </row>
    <row r="7544" spans="1:12" ht="16.5" customHeight="1" x14ac:dyDescent="0.35">
      <c r="A7544" s="146"/>
      <c r="B7544" s="196" t="s">
        <v>1230</v>
      </c>
      <c r="C7544" s="124"/>
      <c r="D7544" s="146"/>
      <c r="E7544" s="117"/>
      <c r="F7544" s="117"/>
      <c r="G7544" s="138"/>
      <c r="H7544" s="177"/>
      <c r="I7544" s="139"/>
      <c r="J7544" s="139"/>
      <c r="K7544" s="139"/>
      <c r="L7544" s="139"/>
    </row>
    <row r="7545" spans="1:12" ht="16.5" customHeight="1" x14ac:dyDescent="0.35">
      <c r="A7545" s="146"/>
      <c r="B7545" s="384" t="s">
        <v>1261</v>
      </c>
      <c r="C7545" s="124" t="s">
        <v>38</v>
      </c>
      <c r="D7545" s="146">
        <v>1</v>
      </c>
      <c r="E7545" s="117">
        <v>300000</v>
      </c>
      <c r="F7545" s="117">
        <f>+D7545*E7545</f>
        <v>300000</v>
      </c>
      <c r="G7545" s="138"/>
      <c r="H7545" s="177"/>
      <c r="I7545" s="139"/>
      <c r="J7545" s="139"/>
      <c r="K7545" s="139"/>
      <c r="L7545" s="139"/>
    </row>
    <row r="7546" spans="1:12" ht="16.5" customHeight="1" x14ac:dyDescent="0.35">
      <c r="A7546" s="146"/>
      <c r="B7546" s="197" t="s">
        <v>1241</v>
      </c>
      <c r="C7546" s="124"/>
      <c r="D7546" s="146"/>
      <c r="E7546" s="117"/>
      <c r="F7546" s="117">
        <f>0.1*(F7545)</f>
        <v>30000</v>
      </c>
      <c r="G7546" s="138"/>
      <c r="H7546" s="177"/>
      <c r="I7546" s="139"/>
      <c r="J7546" s="139"/>
      <c r="K7546" s="139"/>
      <c r="L7546" s="139"/>
    </row>
    <row r="7547" spans="1:12" ht="16.5" customHeight="1" x14ac:dyDescent="0.35">
      <c r="A7547" s="146"/>
      <c r="B7547" s="196" t="s">
        <v>769</v>
      </c>
      <c r="C7547" s="124"/>
      <c r="D7547" s="146"/>
      <c r="E7547" s="117"/>
      <c r="F7547" s="110">
        <f>SUM(F7545:F7546)</f>
        <v>330000</v>
      </c>
      <c r="G7547" s="138"/>
      <c r="H7547" s="177"/>
      <c r="I7547" s="139"/>
      <c r="J7547" s="139"/>
      <c r="K7547" s="139"/>
      <c r="L7547" s="139"/>
    </row>
    <row r="7548" spans="1:12" ht="16.5" customHeight="1" x14ac:dyDescent="0.35">
      <c r="A7548" s="111"/>
      <c r="B7548" s="196" t="s">
        <v>808</v>
      </c>
      <c r="C7548" s="173"/>
      <c r="D7548" s="173"/>
      <c r="E7548" s="173"/>
      <c r="F7548" s="173"/>
      <c r="G7548" s="138"/>
      <c r="H7548" s="177"/>
      <c r="I7548" s="139"/>
      <c r="J7548" s="139"/>
      <c r="K7548" s="139"/>
      <c r="L7548" s="139"/>
    </row>
    <row r="7549" spans="1:12" ht="16.5" customHeight="1" x14ac:dyDescent="0.35">
      <c r="A7549" s="146"/>
      <c r="B7549" s="197" t="s">
        <v>1233</v>
      </c>
      <c r="C7549" s="115" t="s">
        <v>1043</v>
      </c>
      <c r="D7549" s="115">
        <v>1.5</v>
      </c>
      <c r="E7549" s="117">
        <v>7500</v>
      </c>
      <c r="F7549" s="121">
        <f>+D7549*E7549</f>
        <v>11250</v>
      </c>
      <c r="G7549" s="138"/>
      <c r="H7549" s="177"/>
      <c r="I7549" s="139"/>
      <c r="J7549" s="139"/>
      <c r="K7549" s="139"/>
      <c r="L7549" s="139"/>
    </row>
    <row r="7550" spans="1:12" ht="16.5" customHeight="1" x14ac:dyDescent="0.35">
      <c r="A7550" s="146"/>
      <c r="B7550" s="197" t="s">
        <v>851</v>
      </c>
      <c r="C7550" s="115" t="s">
        <v>1043</v>
      </c>
      <c r="D7550" s="115">
        <v>3.5</v>
      </c>
      <c r="E7550" s="117">
        <v>15000</v>
      </c>
      <c r="F7550" s="121">
        <f>+D7550*E7550</f>
        <v>52500</v>
      </c>
      <c r="G7550" s="138"/>
      <c r="H7550" s="177"/>
      <c r="I7550" s="139"/>
      <c r="J7550" s="139"/>
      <c r="K7550" s="139"/>
      <c r="L7550" s="139"/>
    </row>
    <row r="7551" spans="1:12" ht="16.5" customHeight="1" x14ac:dyDescent="0.35">
      <c r="A7551" s="146"/>
      <c r="B7551" s="196" t="s">
        <v>774</v>
      </c>
      <c r="C7551" s="124"/>
      <c r="D7551" s="146"/>
      <c r="E7551" s="117"/>
      <c r="F7551" s="110">
        <f>SUM(F7549:F7550)</f>
        <v>63750</v>
      </c>
      <c r="G7551" s="138"/>
      <c r="H7551" s="177"/>
      <c r="I7551" s="139"/>
      <c r="J7551" s="139"/>
      <c r="K7551" s="139"/>
      <c r="L7551" s="139"/>
    </row>
    <row r="7552" spans="1:12" ht="16.5" customHeight="1" x14ac:dyDescent="0.35">
      <c r="A7552" s="111"/>
      <c r="B7552" s="196" t="s">
        <v>775</v>
      </c>
      <c r="C7552" s="115"/>
      <c r="D7552" s="115"/>
      <c r="E7552" s="117"/>
      <c r="F7552" s="114">
        <f>+F7547+F7551</f>
        <v>393750</v>
      </c>
      <c r="G7552" s="138"/>
      <c r="H7552" s="177"/>
      <c r="I7552" s="139"/>
      <c r="J7552" s="139"/>
      <c r="K7552" s="139"/>
      <c r="L7552" s="139"/>
    </row>
    <row r="7553" spans="1:12" ht="16.5" customHeight="1" x14ac:dyDescent="0.35">
      <c r="A7553" s="111"/>
      <c r="B7553" s="197" t="s">
        <v>792</v>
      </c>
      <c r="C7553" s="115"/>
      <c r="D7553" s="115">
        <v>1.1000000000000001</v>
      </c>
      <c r="E7553" s="117"/>
      <c r="F7553" s="121">
        <f>+D7553*F7552</f>
        <v>433125.00000000006</v>
      </c>
      <c r="G7553" s="138"/>
      <c r="H7553" s="177"/>
      <c r="I7553" s="139"/>
      <c r="J7553" s="139"/>
      <c r="K7553" s="139"/>
      <c r="L7553" s="139"/>
    </row>
    <row r="7554" spans="1:12" ht="16.5" customHeight="1" x14ac:dyDescent="0.35">
      <c r="A7554" s="104"/>
      <c r="B7554" s="197" t="s">
        <v>813</v>
      </c>
      <c r="C7554" s="173"/>
      <c r="D7554" s="144">
        <v>1.1499999999999999</v>
      </c>
      <c r="E7554" s="173"/>
      <c r="F7554" s="173"/>
      <c r="G7554" s="138"/>
      <c r="H7554" s="177"/>
      <c r="I7554" s="139"/>
      <c r="J7554" s="139"/>
      <c r="K7554" s="139"/>
      <c r="L7554" s="139"/>
    </row>
    <row r="7555" spans="1:12" ht="16.5" customHeight="1" x14ac:dyDescent="0.35">
      <c r="A7555" s="340" t="s">
        <v>577</v>
      </c>
      <c r="B7555" s="242" t="s">
        <v>790</v>
      </c>
      <c r="C7555" s="386" t="s">
        <v>570</v>
      </c>
      <c r="D7555" s="335"/>
      <c r="E7555" s="210"/>
      <c r="F7555" s="209">
        <f>+D7554*F7553</f>
        <v>498093.75</v>
      </c>
      <c r="G7555" s="138"/>
      <c r="H7555" s="177"/>
      <c r="I7555" s="139"/>
      <c r="J7555" s="139"/>
      <c r="K7555" s="139"/>
      <c r="L7555" s="139"/>
    </row>
    <row r="7556" spans="1:12" ht="16.5" customHeight="1" x14ac:dyDescent="0.35">
      <c r="A7556" s="340"/>
      <c r="B7556" s="242"/>
      <c r="C7556" s="337"/>
      <c r="D7556" s="335"/>
      <c r="E7556" s="210">
        <f>+E7538</f>
        <v>3035.45</v>
      </c>
      <c r="F7556" s="210">
        <f>+F7555/E7556</f>
        <v>164.09222685269071</v>
      </c>
      <c r="G7556" s="138"/>
      <c r="H7556" s="177"/>
      <c r="I7556" s="139"/>
      <c r="J7556" s="139"/>
      <c r="K7556" s="139"/>
      <c r="L7556" s="139"/>
    </row>
    <row r="7557" spans="1:12" ht="16.5" customHeight="1" x14ac:dyDescent="0.35">
      <c r="A7557" s="198"/>
      <c r="B7557" s="106"/>
      <c r="C7557" s="165"/>
      <c r="E7557" s="161"/>
      <c r="F7557" s="161"/>
      <c r="G7557" s="138"/>
      <c r="H7557" s="177"/>
      <c r="I7557" s="139"/>
      <c r="J7557" s="139"/>
      <c r="K7557" s="139"/>
      <c r="L7557" s="139"/>
    </row>
    <row r="7558" spans="1:12" ht="16.5" customHeight="1" x14ac:dyDescent="0.35">
      <c r="A7558" s="198"/>
      <c r="B7558" s="106"/>
      <c r="C7558" s="165"/>
      <c r="D7558" s="163"/>
      <c r="E7558" s="161"/>
      <c r="F7558" s="161"/>
      <c r="G7558" s="138"/>
      <c r="H7558" s="177"/>
      <c r="I7558" s="139"/>
      <c r="J7558" s="139"/>
      <c r="K7558" s="139"/>
      <c r="L7558" s="139"/>
    </row>
    <row r="7559" spans="1:12" ht="16.5" customHeight="1" x14ac:dyDescent="0.35">
      <c r="A7559" s="257" t="s">
        <v>537</v>
      </c>
      <c r="B7559" s="371" t="s">
        <v>1094</v>
      </c>
      <c r="C7559" s="368" t="s">
        <v>611</v>
      </c>
      <c r="D7559" s="369" t="s">
        <v>765</v>
      </c>
      <c r="E7559" s="370" t="s">
        <v>766</v>
      </c>
      <c r="F7559" s="370" t="s">
        <v>767</v>
      </c>
      <c r="G7559" s="138"/>
      <c r="H7559" s="177"/>
      <c r="I7559" s="139"/>
      <c r="J7559" s="139"/>
      <c r="K7559" s="139"/>
      <c r="L7559" s="139"/>
    </row>
    <row r="7560" spans="1:12" ht="16.5" customHeight="1" x14ac:dyDescent="0.35">
      <c r="A7560" s="387" t="s">
        <v>571</v>
      </c>
      <c r="B7560" s="343" t="s">
        <v>572</v>
      </c>
      <c r="C7560" s="330"/>
      <c r="D7560" s="146"/>
      <c r="E7560" s="117"/>
      <c r="F7560" s="117"/>
      <c r="G7560" s="138"/>
      <c r="H7560" s="177"/>
      <c r="I7560" s="139"/>
      <c r="J7560" s="139"/>
      <c r="K7560" s="139"/>
      <c r="L7560" s="139"/>
    </row>
    <row r="7561" spans="1:12" ht="16.5" customHeight="1" x14ac:dyDescent="0.3">
      <c r="A7561" s="375" t="s">
        <v>579</v>
      </c>
      <c r="B7561" s="344" t="s">
        <v>580</v>
      </c>
      <c r="C7561" s="388" t="s">
        <v>539</v>
      </c>
      <c r="D7561" s="146"/>
      <c r="E7561" s="117"/>
      <c r="F7561" s="117"/>
      <c r="G7561" s="138"/>
      <c r="H7561" s="177"/>
      <c r="I7561" s="139"/>
      <c r="J7561" s="139"/>
      <c r="K7561" s="139"/>
      <c r="L7561" s="139"/>
    </row>
    <row r="7562" spans="1:12" ht="16.5" customHeight="1" x14ac:dyDescent="0.35">
      <c r="A7562" s="146"/>
      <c r="B7562" s="196" t="s">
        <v>1230</v>
      </c>
      <c r="C7562" s="124"/>
      <c r="D7562" s="146"/>
      <c r="E7562" s="117"/>
      <c r="F7562" s="117"/>
      <c r="G7562" s="138"/>
      <c r="H7562" s="177"/>
      <c r="I7562" s="139"/>
      <c r="J7562" s="139"/>
      <c r="K7562" s="139"/>
      <c r="L7562" s="139"/>
    </row>
    <row r="7563" spans="1:12" ht="16.5" customHeight="1" x14ac:dyDescent="0.35">
      <c r="A7563" s="146"/>
      <c r="B7563" s="384" t="s">
        <v>1262</v>
      </c>
      <c r="C7563" s="124" t="s">
        <v>38</v>
      </c>
      <c r="D7563" s="146">
        <v>1</v>
      </c>
      <c r="E7563" s="117">
        <v>450000</v>
      </c>
      <c r="F7563" s="117">
        <f>+D7563*E7563</f>
        <v>450000</v>
      </c>
      <c r="G7563" s="138"/>
      <c r="H7563" s="177"/>
      <c r="I7563" s="139"/>
      <c r="J7563" s="139"/>
      <c r="K7563" s="139"/>
      <c r="L7563" s="139"/>
    </row>
    <row r="7564" spans="1:12" ht="16.5" customHeight="1" x14ac:dyDescent="0.35">
      <c r="A7564" s="146"/>
      <c r="B7564" s="197" t="s">
        <v>1241</v>
      </c>
      <c r="C7564" s="124"/>
      <c r="D7564" s="146"/>
      <c r="E7564" s="117"/>
      <c r="F7564" s="117">
        <f>0.1*(F7563)</f>
        <v>45000</v>
      </c>
      <c r="G7564" s="138"/>
      <c r="H7564" s="177"/>
      <c r="I7564" s="139"/>
      <c r="J7564" s="139"/>
      <c r="K7564" s="139"/>
      <c r="L7564" s="139"/>
    </row>
    <row r="7565" spans="1:12" ht="16.5" customHeight="1" x14ac:dyDescent="0.35">
      <c r="A7565" s="146"/>
      <c r="B7565" s="196" t="s">
        <v>769</v>
      </c>
      <c r="C7565" s="124"/>
      <c r="D7565" s="146"/>
      <c r="E7565" s="117"/>
      <c r="F7565" s="110">
        <f>SUM(F7563:F7564)</f>
        <v>495000</v>
      </c>
      <c r="G7565" s="138"/>
      <c r="H7565" s="177"/>
      <c r="I7565" s="139"/>
      <c r="J7565" s="139"/>
      <c r="K7565" s="139"/>
      <c r="L7565" s="139"/>
    </row>
    <row r="7566" spans="1:12" ht="16.5" customHeight="1" x14ac:dyDescent="0.35">
      <c r="A7566" s="111"/>
      <c r="B7566" s="196" t="s">
        <v>808</v>
      </c>
      <c r="C7566" s="173"/>
      <c r="D7566" s="173"/>
      <c r="E7566" s="173"/>
      <c r="F7566" s="173"/>
      <c r="G7566" s="138"/>
      <c r="H7566" s="177"/>
      <c r="I7566" s="139"/>
      <c r="J7566" s="139"/>
      <c r="K7566" s="139"/>
      <c r="L7566" s="139"/>
    </row>
    <row r="7567" spans="1:12" ht="16.5" customHeight="1" x14ac:dyDescent="0.35">
      <c r="A7567" s="146"/>
      <c r="B7567" s="197" t="s">
        <v>1233</v>
      </c>
      <c r="C7567" s="115" t="s">
        <v>1043</v>
      </c>
      <c r="D7567" s="115">
        <v>1.5</v>
      </c>
      <c r="E7567" s="117">
        <v>7500</v>
      </c>
      <c r="F7567" s="121">
        <f>+D7567*E7567</f>
        <v>11250</v>
      </c>
      <c r="G7567" s="138"/>
      <c r="H7567" s="177"/>
      <c r="I7567" s="139"/>
      <c r="J7567" s="139"/>
      <c r="K7567" s="139"/>
      <c r="L7567" s="139"/>
    </row>
    <row r="7568" spans="1:12" ht="16.5" customHeight="1" x14ac:dyDescent="0.35">
      <c r="A7568" s="146"/>
      <c r="B7568" s="197" t="s">
        <v>851</v>
      </c>
      <c r="C7568" s="115" t="s">
        <v>1043</v>
      </c>
      <c r="D7568" s="115">
        <v>3.5</v>
      </c>
      <c r="E7568" s="117">
        <v>15000</v>
      </c>
      <c r="F7568" s="121">
        <f>+D7568*E7568</f>
        <v>52500</v>
      </c>
      <c r="G7568" s="138"/>
      <c r="H7568" s="177"/>
      <c r="I7568" s="139"/>
      <c r="J7568" s="139"/>
      <c r="K7568" s="139"/>
      <c r="L7568" s="139"/>
    </row>
    <row r="7569" spans="1:12" ht="16.5" customHeight="1" x14ac:dyDescent="0.35">
      <c r="A7569" s="146"/>
      <c r="B7569" s="196" t="s">
        <v>774</v>
      </c>
      <c r="C7569" s="124"/>
      <c r="D7569" s="146"/>
      <c r="E7569" s="117"/>
      <c r="F7569" s="110">
        <f>SUM(F7567:F7568)</f>
        <v>63750</v>
      </c>
      <c r="G7569" s="138"/>
      <c r="H7569" s="177"/>
      <c r="I7569" s="139"/>
      <c r="J7569" s="139"/>
      <c r="K7569" s="139"/>
      <c r="L7569" s="139"/>
    </row>
    <row r="7570" spans="1:12" ht="16.5" customHeight="1" x14ac:dyDescent="0.35">
      <c r="A7570" s="111"/>
      <c r="B7570" s="196" t="s">
        <v>775</v>
      </c>
      <c r="C7570" s="115"/>
      <c r="D7570" s="115"/>
      <c r="E7570" s="117"/>
      <c r="F7570" s="114">
        <f>+F7565+F7569</f>
        <v>558750</v>
      </c>
      <c r="G7570" s="138"/>
      <c r="H7570" s="177"/>
      <c r="I7570" s="139"/>
      <c r="J7570" s="139"/>
      <c r="K7570" s="139"/>
      <c r="L7570" s="139"/>
    </row>
    <row r="7571" spans="1:12" ht="16.5" customHeight="1" x14ac:dyDescent="0.35">
      <c r="A7571" s="111"/>
      <c r="B7571" s="197" t="s">
        <v>792</v>
      </c>
      <c r="C7571" s="115"/>
      <c r="D7571" s="115">
        <v>1.1000000000000001</v>
      </c>
      <c r="E7571" s="117"/>
      <c r="F7571" s="121">
        <f>+D7571*F7570</f>
        <v>614625</v>
      </c>
      <c r="G7571" s="138"/>
      <c r="H7571" s="177"/>
      <c r="I7571" s="139"/>
      <c r="J7571" s="139"/>
      <c r="K7571" s="139"/>
      <c r="L7571" s="139"/>
    </row>
    <row r="7572" spans="1:12" ht="16.5" customHeight="1" x14ac:dyDescent="0.35">
      <c r="A7572" s="104"/>
      <c r="B7572" s="197" t="s">
        <v>813</v>
      </c>
      <c r="C7572" s="173"/>
      <c r="D7572" s="144">
        <v>1.1499999999999999</v>
      </c>
      <c r="E7572" s="173"/>
      <c r="F7572" s="173"/>
      <c r="G7572" s="138"/>
      <c r="H7572" s="177"/>
      <c r="I7572" s="139"/>
      <c r="J7572" s="139"/>
      <c r="K7572" s="139"/>
      <c r="L7572" s="139"/>
    </row>
    <row r="7573" spans="1:12" ht="16.5" customHeight="1" x14ac:dyDescent="0.35">
      <c r="A7573" s="340" t="s">
        <v>579</v>
      </c>
      <c r="B7573" s="242" t="s">
        <v>790</v>
      </c>
      <c r="C7573" s="386" t="s">
        <v>570</v>
      </c>
      <c r="D7573" s="335"/>
      <c r="E7573" s="210"/>
      <c r="F7573" s="209">
        <f>+D7572*F7571</f>
        <v>706818.75</v>
      </c>
      <c r="G7573" s="138"/>
      <c r="H7573" s="177"/>
      <c r="I7573" s="139"/>
      <c r="J7573" s="139"/>
      <c r="K7573" s="139"/>
      <c r="L7573" s="139"/>
    </row>
    <row r="7574" spans="1:12" ht="16.5" customHeight="1" x14ac:dyDescent="0.35">
      <c r="A7574" s="340"/>
      <c r="B7574" s="242"/>
      <c r="C7574" s="337"/>
      <c r="D7574" s="335"/>
      <c r="E7574" s="210">
        <f>+E7556</f>
        <v>3035.45</v>
      </c>
      <c r="F7574" s="210">
        <f>+F7573/E7574</f>
        <v>232.85468381953254</v>
      </c>
      <c r="G7574" s="138"/>
      <c r="H7574" s="177"/>
      <c r="I7574" s="139"/>
      <c r="J7574" s="139"/>
      <c r="K7574" s="139"/>
      <c r="L7574" s="139"/>
    </row>
    <row r="7575" spans="1:12" ht="16.5" customHeight="1" x14ac:dyDescent="0.35">
      <c r="A7575" s="198"/>
      <c r="B7575" s="106"/>
      <c r="C7575" s="165"/>
      <c r="E7575" s="161"/>
      <c r="F7575" s="161"/>
      <c r="G7575" s="138"/>
      <c r="H7575" s="177"/>
      <c r="I7575" s="139"/>
      <c r="J7575" s="139"/>
      <c r="K7575" s="139"/>
      <c r="L7575" s="139"/>
    </row>
    <row r="7576" spans="1:12" ht="16.5" customHeight="1" x14ac:dyDescent="0.35">
      <c r="A7576" s="198"/>
      <c r="B7576" s="106"/>
      <c r="C7576" s="165"/>
      <c r="D7576" s="163"/>
      <c r="E7576" s="161"/>
      <c r="F7576" s="161"/>
      <c r="G7576" s="138"/>
      <c r="H7576" s="177"/>
      <c r="I7576" s="139"/>
      <c r="J7576" s="139"/>
      <c r="K7576" s="139"/>
      <c r="L7576" s="139"/>
    </row>
    <row r="7577" spans="1:12" ht="16.5" customHeight="1" x14ac:dyDescent="0.35">
      <c r="A7577" s="257" t="s">
        <v>537</v>
      </c>
      <c r="B7577" s="371" t="s">
        <v>1094</v>
      </c>
      <c r="C7577" s="368" t="s">
        <v>611</v>
      </c>
      <c r="D7577" s="369" t="s">
        <v>765</v>
      </c>
      <c r="E7577" s="370" t="s">
        <v>766</v>
      </c>
      <c r="F7577" s="370" t="s">
        <v>767</v>
      </c>
      <c r="G7577" s="138"/>
      <c r="H7577" s="177"/>
      <c r="I7577" s="139"/>
      <c r="J7577" s="139"/>
      <c r="K7577" s="139"/>
      <c r="L7577" s="139"/>
    </row>
    <row r="7578" spans="1:12" ht="16.5" customHeight="1" x14ac:dyDescent="0.35">
      <c r="A7578" s="387" t="s">
        <v>571</v>
      </c>
      <c r="B7578" s="343" t="s">
        <v>572</v>
      </c>
      <c r="C7578" s="330"/>
      <c r="D7578" s="146"/>
      <c r="E7578" s="117"/>
      <c r="F7578" s="117"/>
      <c r="G7578" s="138"/>
      <c r="H7578" s="177"/>
      <c r="I7578" s="139"/>
      <c r="J7578" s="139"/>
      <c r="K7578" s="139"/>
      <c r="L7578" s="139"/>
    </row>
    <row r="7579" spans="1:12" ht="16.5" customHeight="1" x14ac:dyDescent="0.3">
      <c r="A7579" s="375" t="s">
        <v>581</v>
      </c>
      <c r="B7579" s="388" t="s">
        <v>582</v>
      </c>
      <c r="C7579" s="388" t="s">
        <v>539</v>
      </c>
      <c r="D7579" s="146"/>
      <c r="E7579" s="117"/>
      <c r="F7579" s="117"/>
      <c r="G7579" s="138"/>
      <c r="H7579" s="177"/>
      <c r="I7579" s="139"/>
      <c r="J7579" s="139"/>
      <c r="K7579" s="139"/>
      <c r="L7579" s="139"/>
    </row>
    <row r="7580" spans="1:12" ht="16.5" customHeight="1" x14ac:dyDescent="0.35">
      <c r="A7580" s="146"/>
      <c r="B7580" s="196" t="s">
        <v>1230</v>
      </c>
      <c r="C7580" s="124"/>
      <c r="D7580" s="146"/>
      <c r="E7580" s="117"/>
      <c r="F7580" s="117"/>
      <c r="G7580" s="138"/>
      <c r="H7580" s="177"/>
      <c r="I7580" s="139"/>
      <c r="J7580" s="139"/>
      <c r="K7580" s="139"/>
      <c r="L7580" s="139"/>
    </row>
    <row r="7581" spans="1:12" ht="16.5" customHeight="1" x14ac:dyDescent="0.35">
      <c r="A7581" s="146"/>
      <c r="B7581" s="384" t="s">
        <v>1263</v>
      </c>
      <c r="C7581" s="124" t="s">
        <v>38</v>
      </c>
      <c r="D7581" s="146">
        <v>1</v>
      </c>
      <c r="E7581" s="117">
        <v>500000</v>
      </c>
      <c r="F7581" s="117">
        <f>+D7581*E7581</f>
        <v>500000</v>
      </c>
      <c r="G7581" s="138"/>
      <c r="H7581" s="177"/>
      <c r="I7581" s="139"/>
      <c r="J7581" s="139"/>
      <c r="K7581" s="139"/>
      <c r="L7581" s="139"/>
    </row>
    <row r="7582" spans="1:12" ht="16.5" customHeight="1" x14ac:dyDescent="0.35">
      <c r="A7582" s="146"/>
      <c r="B7582" s="197" t="s">
        <v>1241</v>
      </c>
      <c r="C7582" s="124"/>
      <c r="D7582" s="146"/>
      <c r="E7582" s="117"/>
      <c r="F7582" s="117">
        <f>0.1*(F7581)</f>
        <v>50000</v>
      </c>
      <c r="G7582" s="138"/>
      <c r="H7582" s="177"/>
      <c r="I7582" s="139"/>
      <c r="J7582" s="139"/>
      <c r="K7582" s="139"/>
      <c r="L7582" s="139"/>
    </row>
    <row r="7583" spans="1:12" ht="16.5" customHeight="1" x14ac:dyDescent="0.35">
      <c r="A7583" s="146"/>
      <c r="B7583" s="196" t="s">
        <v>769</v>
      </c>
      <c r="C7583" s="124"/>
      <c r="D7583" s="146"/>
      <c r="E7583" s="117"/>
      <c r="F7583" s="110">
        <f>SUM(F7581:F7582)</f>
        <v>550000</v>
      </c>
      <c r="G7583" s="138"/>
      <c r="H7583" s="177"/>
      <c r="I7583" s="139"/>
      <c r="J7583" s="139"/>
      <c r="K7583" s="139"/>
      <c r="L7583" s="139"/>
    </row>
    <row r="7584" spans="1:12" ht="16.5" customHeight="1" x14ac:dyDescent="0.35">
      <c r="A7584" s="111"/>
      <c r="B7584" s="196" t="s">
        <v>808</v>
      </c>
      <c r="C7584" s="173"/>
      <c r="D7584" s="173"/>
      <c r="E7584" s="173"/>
      <c r="F7584" s="173"/>
      <c r="G7584" s="138"/>
      <c r="H7584" s="177"/>
      <c r="I7584" s="139"/>
      <c r="J7584" s="139"/>
      <c r="K7584" s="139"/>
      <c r="L7584" s="139"/>
    </row>
    <row r="7585" spans="1:12" ht="16.5" customHeight="1" x14ac:dyDescent="0.35">
      <c r="A7585" s="146"/>
      <c r="B7585" s="197" t="s">
        <v>1233</v>
      </c>
      <c r="C7585" s="115" t="s">
        <v>1043</v>
      </c>
      <c r="D7585" s="115">
        <v>1.5</v>
      </c>
      <c r="E7585" s="117">
        <v>7500</v>
      </c>
      <c r="F7585" s="121">
        <f>+D7585*E7585</f>
        <v>11250</v>
      </c>
      <c r="G7585" s="138"/>
      <c r="H7585" s="177"/>
      <c r="I7585" s="139"/>
      <c r="J7585" s="139"/>
      <c r="K7585" s="139"/>
      <c r="L7585" s="139"/>
    </row>
    <row r="7586" spans="1:12" ht="16.5" customHeight="1" x14ac:dyDescent="0.35">
      <c r="A7586" s="146"/>
      <c r="B7586" s="197" t="s">
        <v>851</v>
      </c>
      <c r="C7586" s="115" t="s">
        <v>1043</v>
      </c>
      <c r="D7586" s="115">
        <v>3.5</v>
      </c>
      <c r="E7586" s="117">
        <v>15000</v>
      </c>
      <c r="F7586" s="121">
        <f>+D7586*E7586</f>
        <v>52500</v>
      </c>
      <c r="G7586" s="138"/>
      <c r="H7586" s="177"/>
      <c r="I7586" s="139"/>
      <c r="J7586" s="139"/>
      <c r="K7586" s="139"/>
      <c r="L7586" s="139"/>
    </row>
    <row r="7587" spans="1:12" ht="16.5" customHeight="1" x14ac:dyDescent="0.35">
      <c r="A7587" s="146"/>
      <c r="B7587" s="196" t="s">
        <v>774</v>
      </c>
      <c r="C7587" s="124"/>
      <c r="D7587" s="146"/>
      <c r="E7587" s="117"/>
      <c r="F7587" s="110">
        <f>SUM(F7585:F7586)</f>
        <v>63750</v>
      </c>
      <c r="G7587" s="138"/>
      <c r="H7587" s="177"/>
      <c r="I7587" s="139"/>
      <c r="J7587" s="139"/>
      <c r="K7587" s="139"/>
      <c r="L7587" s="139"/>
    </row>
    <row r="7588" spans="1:12" ht="16.5" customHeight="1" x14ac:dyDescent="0.35">
      <c r="A7588" s="111"/>
      <c r="B7588" s="196" t="s">
        <v>775</v>
      </c>
      <c r="C7588" s="115"/>
      <c r="D7588" s="115"/>
      <c r="E7588" s="117"/>
      <c r="F7588" s="114">
        <f>+F7583+F7587</f>
        <v>613750</v>
      </c>
      <c r="G7588" s="138"/>
      <c r="H7588" s="177"/>
      <c r="I7588" s="139"/>
      <c r="J7588" s="139"/>
      <c r="K7588" s="139"/>
      <c r="L7588" s="139"/>
    </row>
    <row r="7589" spans="1:12" ht="16.5" customHeight="1" x14ac:dyDescent="0.35">
      <c r="A7589" s="111"/>
      <c r="B7589" s="197" t="s">
        <v>792</v>
      </c>
      <c r="C7589" s="115"/>
      <c r="D7589" s="115">
        <v>1.1000000000000001</v>
      </c>
      <c r="E7589" s="117"/>
      <c r="F7589" s="121">
        <f>+D7589*F7588</f>
        <v>675125</v>
      </c>
      <c r="G7589" s="138"/>
      <c r="H7589" s="177"/>
      <c r="I7589" s="139"/>
      <c r="J7589" s="139"/>
      <c r="K7589" s="139"/>
      <c r="L7589" s="139"/>
    </row>
    <row r="7590" spans="1:12" ht="16.5" customHeight="1" x14ac:dyDescent="0.35">
      <c r="A7590" s="104"/>
      <c r="B7590" s="197" t="s">
        <v>813</v>
      </c>
      <c r="C7590" s="173"/>
      <c r="D7590" s="144">
        <v>1.1499999999999999</v>
      </c>
      <c r="E7590" s="173"/>
      <c r="F7590" s="173"/>
      <c r="G7590" s="138"/>
      <c r="H7590" s="177"/>
      <c r="I7590" s="139"/>
      <c r="J7590" s="139"/>
      <c r="K7590" s="139"/>
      <c r="L7590" s="139"/>
    </row>
    <row r="7591" spans="1:12" ht="16.5" customHeight="1" x14ac:dyDescent="0.35">
      <c r="A7591" s="340" t="s">
        <v>581</v>
      </c>
      <c r="B7591" s="242" t="s">
        <v>790</v>
      </c>
      <c r="C7591" s="386" t="s">
        <v>570</v>
      </c>
      <c r="D7591" s="335"/>
      <c r="E7591" s="210"/>
      <c r="F7591" s="209">
        <f>+D7590*F7589</f>
        <v>776393.74999999988</v>
      </c>
      <c r="G7591" s="138"/>
      <c r="H7591" s="177"/>
      <c r="I7591" s="139"/>
      <c r="J7591" s="139"/>
      <c r="K7591" s="139"/>
      <c r="L7591" s="139"/>
    </row>
    <row r="7592" spans="1:12" ht="16.5" customHeight="1" x14ac:dyDescent="0.35">
      <c r="A7592" s="340"/>
      <c r="B7592" s="242"/>
      <c r="C7592" s="337"/>
      <c r="D7592" s="335"/>
      <c r="E7592" s="210">
        <f>+E7574</f>
        <v>3035.45</v>
      </c>
      <c r="F7592" s="210">
        <f>+F7591/E7592</f>
        <v>255.77550280847979</v>
      </c>
      <c r="G7592" s="138"/>
      <c r="H7592" s="177"/>
      <c r="I7592" s="139"/>
      <c r="J7592" s="139"/>
      <c r="K7592" s="139"/>
      <c r="L7592" s="139"/>
    </row>
    <row r="7593" spans="1:12" ht="16.5" customHeight="1" x14ac:dyDescent="0.35">
      <c r="A7593" s="198"/>
      <c r="B7593" s="106"/>
      <c r="C7593" s="165"/>
      <c r="E7593" s="161"/>
      <c r="F7593" s="161"/>
      <c r="G7593" s="138"/>
      <c r="H7593" s="177"/>
      <c r="I7593" s="139"/>
      <c r="J7593" s="139"/>
      <c r="K7593" s="139"/>
      <c r="L7593" s="139"/>
    </row>
    <row r="7594" spans="1:12" ht="16.5" customHeight="1" x14ac:dyDescent="0.35">
      <c r="A7594" s="198"/>
      <c r="B7594" s="106"/>
      <c r="C7594" s="165"/>
      <c r="D7594" s="163"/>
      <c r="E7594" s="161"/>
      <c r="F7594" s="161"/>
      <c r="G7594" s="138"/>
      <c r="H7594" s="177"/>
      <c r="I7594" s="139"/>
      <c r="J7594" s="139"/>
      <c r="K7594" s="139"/>
      <c r="L7594" s="139"/>
    </row>
    <row r="7595" spans="1:12" ht="16.5" customHeight="1" x14ac:dyDescent="0.35">
      <c r="A7595" s="257" t="s">
        <v>537</v>
      </c>
      <c r="B7595" s="371" t="s">
        <v>1094</v>
      </c>
      <c r="C7595" s="368" t="s">
        <v>611</v>
      </c>
      <c r="D7595" s="369" t="s">
        <v>765</v>
      </c>
      <c r="E7595" s="370" t="s">
        <v>766</v>
      </c>
      <c r="F7595" s="370" t="s">
        <v>767</v>
      </c>
      <c r="G7595" s="138"/>
      <c r="H7595" s="177"/>
      <c r="I7595" s="139"/>
      <c r="J7595" s="139"/>
      <c r="K7595" s="139"/>
      <c r="L7595" s="139"/>
    </row>
    <row r="7596" spans="1:12" ht="16.5" customHeight="1" x14ac:dyDescent="0.35">
      <c r="A7596" s="387" t="s">
        <v>571</v>
      </c>
      <c r="B7596" s="343" t="s">
        <v>572</v>
      </c>
      <c r="C7596" s="330"/>
      <c r="D7596" s="146"/>
      <c r="E7596" s="117"/>
      <c r="F7596" s="117"/>
      <c r="G7596" s="138"/>
      <c r="H7596" s="177"/>
      <c r="I7596" s="139"/>
      <c r="J7596" s="139"/>
      <c r="K7596" s="139"/>
      <c r="L7596" s="139"/>
    </row>
    <row r="7597" spans="1:12" ht="16.5" customHeight="1" x14ac:dyDescent="0.3">
      <c r="A7597" s="375" t="s">
        <v>583</v>
      </c>
      <c r="B7597" s="388" t="s">
        <v>584</v>
      </c>
      <c r="C7597" s="388" t="s">
        <v>539</v>
      </c>
      <c r="D7597" s="146"/>
      <c r="E7597" s="117"/>
      <c r="F7597" s="117"/>
      <c r="G7597" s="138"/>
      <c r="H7597" s="177"/>
      <c r="I7597" s="139"/>
      <c r="J7597" s="139"/>
      <c r="K7597" s="139"/>
      <c r="L7597" s="139"/>
    </row>
    <row r="7598" spans="1:12" ht="16.5" customHeight="1" x14ac:dyDescent="0.35">
      <c r="A7598" s="146"/>
      <c r="B7598" s="196" t="s">
        <v>1230</v>
      </c>
      <c r="C7598" s="124"/>
      <c r="D7598" s="146"/>
      <c r="E7598" s="117"/>
      <c r="F7598" s="117"/>
      <c r="G7598" s="138"/>
      <c r="H7598" s="177"/>
      <c r="I7598" s="139"/>
      <c r="J7598" s="139"/>
      <c r="K7598" s="139"/>
      <c r="L7598" s="139"/>
    </row>
    <row r="7599" spans="1:12" ht="16.5" customHeight="1" x14ac:dyDescent="0.35">
      <c r="A7599" s="146"/>
      <c r="B7599" s="384" t="s">
        <v>1263</v>
      </c>
      <c r="C7599" s="124" t="s">
        <v>38</v>
      </c>
      <c r="D7599" s="146">
        <v>1</v>
      </c>
      <c r="E7599" s="117">
        <v>480000</v>
      </c>
      <c r="F7599" s="117">
        <f>+D7599*E7599</f>
        <v>480000</v>
      </c>
      <c r="G7599" s="138"/>
      <c r="H7599" s="177"/>
      <c r="I7599" s="139"/>
      <c r="J7599" s="139"/>
      <c r="K7599" s="139"/>
      <c r="L7599" s="139"/>
    </row>
    <row r="7600" spans="1:12" ht="16.5" customHeight="1" x14ac:dyDescent="0.35">
      <c r="A7600" s="146"/>
      <c r="B7600" s="197" t="s">
        <v>1241</v>
      </c>
      <c r="C7600" s="124"/>
      <c r="D7600" s="146"/>
      <c r="E7600" s="117"/>
      <c r="F7600" s="117">
        <f>0.1*(F7599)</f>
        <v>48000</v>
      </c>
      <c r="G7600" s="138"/>
      <c r="H7600" s="177"/>
      <c r="I7600" s="139"/>
      <c r="J7600" s="139"/>
      <c r="K7600" s="139"/>
      <c r="L7600" s="139"/>
    </row>
    <row r="7601" spans="1:12" ht="16.5" customHeight="1" x14ac:dyDescent="0.35">
      <c r="A7601" s="146"/>
      <c r="B7601" s="196" t="s">
        <v>769</v>
      </c>
      <c r="C7601" s="124"/>
      <c r="D7601" s="146"/>
      <c r="E7601" s="117"/>
      <c r="F7601" s="110">
        <f>SUM(F7599:F7600)</f>
        <v>528000</v>
      </c>
      <c r="G7601" s="138"/>
      <c r="H7601" s="177"/>
      <c r="I7601" s="139"/>
      <c r="J7601" s="139"/>
      <c r="K7601" s="139"/>
      <c r="L7601" s="139"/>
    </row>
    <row r="7602" spans="1:12" ht="16.5" customHeight="1" x14ac:dyDescent="0.35">
      <c r="A7602" s="111"/>
      <c r="B7602" s="196" t="s">
        <v>808</v>
      </c>
      <c r="C7602" s="173"/>
      <c r="D7602" s="173"/>
      <c r="E7602" s="173"/>
      <c r="F7602" s="173"/>
      <c r="G7602" s="138"/>
      <c r="H7602" s="177"/>
      <c r="I7602" s="139"/>
      <c r="J7602" s="139"/>
      <c r="K7602" s="139"/>
      <c r="L7602" s="139"/>
    </row>
    <row r="7603" spans="1:12" ht="16.5" customHeight="1" x14ac:dyDescent="0.35">
      <c r="A7603" s="146"/>
      <c r="B7603" s="197" t="s">
        <v>1233</v>
      </c>
      <c r="C7603" s="115" t="s">
        <v>1043</v>
      </c>
      <c r="D7603" s="115">
        <v>1.5</v>
      </c>
      <c r="E7603" s="117">
        <v>7500</v>
      </c>
      <c r="F7603" s="121">
        <f>+D7603*E7603</f>
        <v>11250</v>
      </c>
      <c r="G7603" s="138"/>
      <c r="H7603" s="177"/>
      <c r="I7603" s="139"/>
      <c r="J7603" s="139"/>
      <c r="K7603" s="139"/>
      <c r="L7603" s="139"/>
    </row>
    <row r="7604" spans="1:12" ht="16.5" customHeight="1" x14ac:dyDescent="0.35">
      <c r="A7604" s="146"/>
      <c r="B7604" s="197" t="s">
        <v>851</v>
      </c>
      <c r="C7604" s="115" t="s">
        <v>1043</v>
      </c>
      <c r="D7604" s="115">
        <v>3.5</v>
      </c>
      <c r="E7604" s="117">
        <v>15000</v>
      </c>
      <c r="F7604" s="121">
        <f>+D7604*E7604</f>
        <v>52500</v>
      </c>
      <c r="G7604" s="138"/>
      <c r="H7604" s="177"/>
      <c r="I7604" s="139"/>
      <c r="J7604" s="139"/>
      <c r="K7604" s="139"/>
      <c r="L7604" s="139"/>
    </row>
    <row r="7605" spans="1:12" ht="16.5" customHeight="1" x14ac:dyDescent="0.35">
      <c r="A7605" s="146"/>
      <c r="B7605" s="196" t="s">
        <v>774</v>
      </c>
      <c r="C7605" s="124"/>
      <c r="D7605" s="146"/>
      <c r="E7605" s="117"/>
      <c r="F7605" s="110">
        <f>SUM(F7603:F7604)</f>
        <v>63750</v>
      </c>
      <c r="G7605" s="138"/>
      <c r="H7605" s="177"/>
      <c r="I7605" s="139"/>
      <c r="J7605" s="139"/>
      <c r="K7605" s="139"/>
      <c r="L7605" s="139"/>
    </row>
    <row r="7606" spans="1:12" ht="16.5" customHeight="1" x14ac:dyDescent="0.35">
      <c r="A7606" s="111"/>
      <c r="B7606" s="196" t="s">
        <v>775</v>
      </c>
      <c r="C7606" s="115"/>
      <c r="D7606" s="115"/>
      <c r="E7606" s="117"/>
      <c r="F7606" s="114">
        <f>+F7601+F7605</f>
        <v>591750</v>
      </c>
      <c r="G7606" s="138"/>
      <c r="H7606" s="177"/>
      <c r="I7606" s="139"/>
      <c r="J7606" s="139"/>
      <c r="K7606" s="139"/>
      <c r="L7606" s="139"/>
    </row>
    <row r="7607" spans="1:12" ht="16.5" customHeight="1" x14ac:dyDescent="0.35">
      <c r="A7607" s="111"/>
      <c r="B7607" s="197" t="s">
        <v>792</v>
      </c>
      <c r="C7607" s="115"/>
      <c r="D7607" s="115">
        <v>1.1000000000000001</v>
      </c>
      <c r="E7607" s="117"/>
      <c r="F7607" s="121">
        <f>+D7607*F7606</f>
        <v>650925</v>
      </c>
      <c r="G7607" s="138"/>
      <c r="H7607" s="177"/>
      <c r="I7607" s="139"/>
      <c r="J7607" s="139"/>
      <c r="K7607" s="139"/>
      <c r="L7607" s="139"/>
    </row>
    <row r="7608" spans="1:12" ht="16.5" customHeight="1" x14ac:dyDescent="0.35">
      <c r="A7608" s="104"/>
      <c r="B7608" s="197" t="s">
        <v>813</v>
      </c>
      <c r="C7608" s="173"/>
      <c r="D7608" s="144">
        <v>1.1499999999999999</v>
      </c>
      <c r="E7608" s="173"/>
      <c r="F7608" s="173"/>
      <c r="G7608" s="138"/>
      <c r="H7608" s="177"/>
      <c r="I7608" s="139"/>
      <c r="J7608" s="139"/>
      <c r="K7608" s="139"/>
      <c r="L7608" s="139"/>
    </row>
    <row r="7609" spans="1:12" ht="16.5" customHeight="1" x14ac:dyDescent="0.35">
      <c r="A7609" s="340" t="s">
        <v>583</v>
      </c>
      <c r="B7609" s="242" t="s">
        <v>790</v>
      </c>
      <c r="C7609" s="386" t="s">
        <v>570</v>
      </c>
      <c r="D7609" s="335"/>
      <c r="E7609" s="210"/>
      <c r="F7609" s="209">
        <f>+D7608*F7607</f>
        <v>748563.75</v>
      </c>
      <c r="G7609" s="138"/>
      <c r="H7609" s="177"/>
      <c r="I7609" s="139"/>
      <c r="J7609" s="139"/>
      <c r="K7609" s="139"/>
      <c r="L7609" s="139"/>
    </row>
    <row r="7610" spans="1:12" ht="16.5" customHeight="1" x14ac:dyDescent="0.35">
      <c r="A7610" s="340"/>
      <c r="B7610" s="242"/>
      <c r="C7610" s="337"/>
      <c r="D7610" s="335"/>
      <c r="E7610" s="210">
        <f>+E7592</f>
        <v>3035.45</v>
      </c>
      <c r="F7610" s="210">
        <f>+F7609/E7610</f>
        <v>246.6071752129009</v>
      </c>
      <c r="G7610" s="138"/>
      <c r="H7610" s="177"/>
      <c r="I7610" s="139"/>
      <c r="J7610" s="139"/>
      <c r="K7610" s="139"/>
      <c r="L7610" s="139"/>
    </row>
    <row r="7611" spans="1:12" ht="16.5" customHeight="1" x14ac:dyDescent="0.35">
      <c r="A7611" s="198"/>
      <c r="B7611" s="106"/>
      <c r="C7611" s="165"/>
      <c r="E7611" s="161"/>
      <c r="F7611" s="161"/>
      <c r="G7611" s="138"/>
      <c r="H7611" s="177"/>
      <c r="I7611" s="139"/>
      <c r="J7611" s="139"/>
      <c r="K7611" s="139"/>
      <c r="L7611" s="139"/>
    </row>
    <row r="7612" spans="1:12" ht="16.5" customHeight="1" x14ac:dyDescent="0.35">
      <c r="A7612" s="198"/>
      <c r="B7612" s="106"/>
      <c r="C7612" s="165"/>
      <c r="D7612" s="163"/>
      <c r="E7612" s="161"/>
      <c r="F7612" s="161"/>
      <c r="G7612" s="138"/>
      <c r="H7612" s="177"/>
      <c r="I7612" s="139"/>
      <c r="J7612" s="139"/>
      <c r="K7612" s="139"/>
      <c r="L7612" s="139"/>
    </row>
    <row r="7613" spans="1:12" ht="16.5" customHeight="1" x14ac:dyDescent="0.35">
      <c r="A7613" s="257" t="s">
        <v>537</v>
      </c>
      <c r="B7613" s="371" t="s">
        <v>1094</v>
      </c>
      <c r="C7613" s="368" t="s">
        <v>611</v>
      </c>
      <c r="D7613" s="369" t="s">
        <v>765</v>
      </c>
      <c r="E7613" s="370" t="s">
        <v>766</v>
      </c>
      <c r="F7613" s="370" t="s">
        <v>767</v>
      </c>
      <c r="G7613" s="138"/>
      <c r="H7613" s="177"/>
      <c r="I7613" s="139"/>
      <c r="J7613" s="139"/>
      <c r="K7613" s="139"/>
      <c r="L7613" s="139"/>
    </row>
    <row r="7614" spans="1:12" ht="16.5" customHeight="1" x14ac:dyDescent="0.35">
      <c r="A7614" s="387" t="s">
        <v>571</v>
      </c>
      <c r="B7614" s="343" t="s">
        <v>572</v>
      </c>
      <c r="C7614" s="330"/>
      <c r="D7614" s="146"/>
      <c r="E7614" s="117"/>
      <c r="F7614" s="117"/>
      <c r="G7614" s="138"/>
      <c r="H7614" s="177"/>
      <c r="I7614" s="139"/>
      <c r="J7614" s="139"/>
      <c r="K7614" s="139"/>
      <c r="L7614" s="139"/>
    </row>
    <row r="7615" spans="1:12" ht="16.5" customHeight="1" x14ac:dyDescent="0.3">
      <c r="A7615" s="375" t="s">
        <v>585</v>
      </c>
      <c r="B7615" s="388" t="s">
        <v>1264</v>
      </c>
      <c r="C7615" s="388" t="s">
        <v>7</v>
      </c>
      <c r="D7615" s="146"/>
      <c r="E7615" s="117"/>
      <c r="F7615" s="117"/>
      <c r="G7615" s="138"/>
      <c r="H7615" s="177"/>
      <c r="I7615" s="139"/>
      <c r="J7615" s="139"/>
      <c r="K7615" s="139"/>
      <c r="L7615" s="139"/>
    </row>
    <row r="7616" spans="1:12" ht="16.5" customHeight="1" x14ac:dyDescent="0.35">
      <c r="A7616" s="146"/>
      <c r="B7616" s="196" t="s">
        <v>1230</v>
      </c>
      <c r="C7616" s="124"/>
      <c r="D7616" s="146"/>
      <c r="E7616" s="117"/>
      <c r="F7616" s="117"/>
      <c r="G7616" s="138"/>
      <c r="H7616" s="177"/>
      <c r="I7616" s="139"/>
      <c r="J7616" s="139"/>
      <c r="K7616" s="139"/>
      <c r="L7616" s="139"/>
    </row>
    <row r="7617" spans="1:12" ht="16.5" customHeight="1" x14ac:dyDescent="0.35">
      <c r="A7617" s="146"/>
      <c r="B7617" s="384" t="s">
        <v>1263</v>
      </c>
      <c r="C7617" s="124" t="s">
        <v>38</v>
      </c>
      <c r="D7617" s="146">
        <v>1</v>
      </c>
      <c r="E7617" s="117">
        <v>14500000</v>
      </c>
      <c r="F7617" s="117">
        <f>+D7617*E7617</f>
        <v>14500000</v>
      </c>
      <c r="G7617" s="138"/>
      <c r="H7617" s="177"/>
      <c r="I7617" s="139"/>
      <c r="J7617" s="139"/>
      <c r="K7617" s="139"/>
      <c r="L7617" s="139"/>
    </row>
    <row r="7618" spans="1:12" ht="16.5" customHeight="1" x14ac:dyDescent="0.35">
      <c r="A7618" s="146"/>
      <c r="B7618" s="197" t="s">
        <v>1241</v>
      </c>
      <c r="C7618" s="124"/>
      <c r="D7618" s="146"/>
      <c r="E7618" s="117"/>
      <c r="F7618" s="117">
        <f>0.1*(F7617)</f>
        <v>1450000</v>
      </c>
      <c r="G7618" s="138"/>
      <c r="H7618" s="177"/>
      <c r="I7618" s="139"/>
      <c r="J7618" s="139"/>
      <c r="K7618" s="139"/>
      <c r="L7618" s="139"/>
    </row>
    <row r="7619" spans="1:12" ht="16.5" customHeight="1" x14ac:dyDescent="0.35">
      <c r="A7619" s="146"/>
      <c r="B7619" s="196" t="s">
        <v>769</v>
      </c>
      <c r="C7619" s="124"/>
      <c r="D7619" s="146"/>
      <c r="E7619" s="117"/>
      <c r="F7619" s="110">
        <f>SUM(F7617:F7618)</f>
        <v>15950000</v>
      </c>
      <c r="G7619" s="138"/>
      <c r="H7619" s="177"/>
      <c r="I7619" s="139"/>
      <c r="J7619" s="139"/>
      <c r="K7619" s="139"/>
      <c r="L7619" s="139"/>
    </row>
    <row r="7620" spans="1:12" ht="16.5" customHeight="1" x14ac:dyDescent="0.35">
      <c r="A7620" s="111"/>
      <c r="B7620" s="196" t="s">
        <v>808</v>
      </c>
      <c r="C7620" s="173"/>
      <c r="D7620" s="173"/>
      <c r="E7620" s="173"/>
      <c r="F7620" s="173"/>
      <c r="G7620" s="138"/>
      <c r="H7620" s="177"/>
      <c r="I7620" s="139"/>
      <c r="J7620" s="139"/>
      <c r="K7620" s="139"/>
      <c r="L7620" s="139"/>
    </row>
    <row r="7621" spans="1:12" ht="16.5" customHeight="1" x14ac:dyDescent="0.35">
      <c r="A7621" s="146"/>
      <c r="B7621" s="197" t="s">
        <v>1233</v>
      </c>
      <c r="C7621" s="115" t="s">
        <v>1043</v>
      </c>
      <c r="D7621" s="115">
        <v>1.5</v>
      </c>
      <c r="E7621" s="117">
        <v>7500</v>
      </c>
      <c r="F7621" s="121">
        <f>+D7621*E7621</f>
        <v>11250</v>
      </c>
      <c r="G7621" s="138"/>
      <c r="H7621" s="177"/>
      <c r="I7621" s="139"/>
      <c r="J7621" s="139"/>
      <c r="K7621" s="139"/>
      <c r="L7621" s="139"/>
    </row>
    <row r="7622" spans="1:12" ht="16.5" customHeight="1" x14ac:dyDescent="0.35">
      <c r="A7622" s="146"/>
      <c r="B7622" s="197" t="s">
        <v>851</v>
      </c>
      <c r="C7622" s="115" t="s">
        <v>1043</v>
      </c>
      <c r="D7622" s="115">
        <v>3.5</v>
      </c>
      <c r="E7622" s="117">
        <v>15000</v>
      </c>
      <c r="F7622" s="121">
        <f>+D7622*E7622</f>
        <v>52500</v>
      </c>
      <c r="G7622" s="138"/>
      <c r="H7622" s="177"/>
      <c r="I7622" s="139"/>
      <c r="J7622" s="139"/>
      <c r="K7622" s="139"/>
      <c r="L7622" s="139"/>
    </row>
    <row r="7623" spans="1:12" ht="16.5" customHeight="1" x14ac:dyDescent="0.35">
      <c r="A7623" s="146"/>
      <c r="B7623" s="196" t="s">
        <v>774</v>
      </c>
      <c r="C7623" s="124"/>
      <c r="D7623" s="146"/>
      <c r="E7623" s="117"/>
      <c r="F7623" s="110">
        <f>SUM(F7621:F7622)</f>
        <v>63750</v>
      </c>
      <c r="G7623" s="138"/>
      <c r="H7623" s="177"/>
      <c r="I7623" s="139"/>
      <c r="J7623" s="139"/>
      <c r="K7623" s="139"/>
      <c r="L7623" s="139"/>
    </row>
    <row r="7624" spans="1:12" ht="16.5" customHeight="1" x14ac:dyDescent="0.35">
      <c r="A7624" s="111"/>
      <c r="B7624" s="196" t="s">
        <v>775</v>
      </c>
      <c r="C7624" s="115"/>
      <c r="D7624" s="115"/>
      <c r="E7624" s="117"/>
      <c r="F7624" s="114">
        <f>+F7619+F7623</f>
        <v>16013750</v>
      </c>
      <c r="G7624" s="138"/>
      <c r="H7624" s="177"/>
      <c r="I7624" s="139"/>
      <c r="J7624" s="139"/>
      <c r="K7624" s="139"/>
      <c r="L7624" s="139"/>
    </row>
    <row r="7625" spans="1:12" ht="16.5" customHeight="1" x14ac:dyDescent="0.35">
      <c r="A7625" s="111"/>
      <c r="B7625" s="197" t="s">
        <v>792</v>
      </c>
      <c r="C7625" s="115"/>
      <c r="D7625" s="115">
        <v>1.1000000000000001</v>
      </c>
      <c r="E7625" s="117"/>
      <c r="F7625" s="121">
        <f>+D7625*F7624</f>
        <v>17615125</v>
      </c>
      <c r="G7625" s="138"/>
      <c r="H7625" s="177"/>
      <c r="I7625" s="139"/>
      <c r="J7625" s="139"/>
      <c r="K7625" s="139"/>
      <c r="L7625" s="139"/>
    </row>
    <row r="7626" spans="1:12" ht="16.5" customHeight="1" x14ac:dyDescent="0.35">
      <c r="A7626" s="104"/>
      <c r="B7626" s="197" t="s">
        <v>813</v>
      </c>
      <c r="C7626" s="173"/>
      <c r="D7626" s="144">
        <v>1.1499999999999999</v>
      </c>
      <c r="E7626" s="173"/>
      <c r="F7626" s="173"/>
      <c r="G7626" s="138"/>
      <c r="H7626" s="177"/>
      <c r="I7626" s="139"/>
      <c r="J7626" s="139"/>
      <c r="K7626" s="139"/>
      <c r="L7626" s="139"/>
    </row>
    <row r="7627" spans="1:12" ht="16.5" customHeight="1" x14ac:dyDescent="0.35">
      <c r="A7627" s="340" t="s">
        <v>585</v>
      </c>
      <c r="B7627" s="242" t="s">
        <v>778</v>
      </c>
      <c r="C7627" s="386" t="s">
        <v>7</v>
      </c>
      <c r="D7627" s="335"/>
      <c r="E7627" s="210"/>
      <c r="F7627" s="209">
        <f>+D7626*F7625</f>
        <v>20257393.75</v>
      </c>
      <c r="G7627" s="138"/>
      <c r="H7627" s="177"/>
      <c r="I7627" s="139"/>
      <c r="J7627" s="139"/>
      <c r="K7627" s="139"/>
      <c r="L7627" s="139"/>
    </row>
    <row r="7628" spans="1:12" ht="16.5" customHeight="1" x14ac:dyDescent="0.35">
      <c r="A7628" s="340"/>
      <c r="B7628" s="242"/>
      <c r="C7628" s="337"/>
      <c r="D7628" s="335"/>
      <c r="E7628" s="210">
        <f>+E7610</f>
        <v>3035.45</v>
      </c>
      <c r="F7628" s="210">
        <f>+F7627/E7628</f>
        <v>6673.604819713717</v>
      </c>
      <c r="G7628" s="138"/>
      <c r="H7628" s="177"/>
      <c r="I7628" s="139"/>
      <c r="J7628" s="139"/>
      <c r="K7628" s="139"/>
      <c r="L7628" s="139"/>
    </row>
    <row r="7629" spans="1:12" ht="16.5" customHeight="1" x14ac:dyDescent="0.35">
      <c r="A7629" s="198"/>
      <c r="B7629" s="106"/>
      <c r="C7629" s="165"/>
      <c r="E7629" s="161"/>
      <c r="F7629" s="161"/>
      <c r="G7629" s="138"/>
      <c r="H7629" s="177"/>
      <c r="I7629" s="139"/>
      <c r="J7629" s="139"/>
      <c r="K7629" s="139"/>
      <c r="L7629" s="139"/>
    </row>
    <row r="7630" spans="1:12" ht="16.5" customHeight="1" x14ac:dyDescent="0.35">
      <c r="A7630" s="198"/>
      <c r="B7630" s="106"/>
      <c r="C7630" s="165"/>
      <c r="D7630" s="163"/>
      <c r="E7630" s="161"/>
      <c r="F7630" s="161"/>
      <c r="G7630" s="138"/>
      <c r="H7630" s="177"/>
      <c r="I7630" s="139"/>
      <c r="J7630" s="139"/>
      <c r="K7630" s="139"/>
      <c r="L7630" s="139"/>
    </row>
    <row r="7631" spans="1:12" ht="16.5" customHeight="1" x14ac:dyDescent="0.35">
      <c r="A7631" s="257" t="s">
        <v>537</v>
      </c>
      <c r="B7631" s="371" t="s">
        <v>1094</v>
      </c>
      <c r="C7631" s="368" t="s">
        <v>611</v>
      </c>
      <c r="D7631" s="369" t="s">
        <v>765</v>
      </c>
      <c r="E7631" s="370" t="s">
        <v>766</v>
      </c>
      <c r="F7631" s="370" t="s">
        <v>767</v>
      </c>
      <c r="G7631" s="138"/>
      <c r="H7631" s="177"/>
      <c r="I7631" s="139"/>
      <c r="J7631" s="139"/>
      <c r="K7631" s="139"/>
      <c r="L7631" s="139"/>
    </row>
    <row r="7632" spans="1:12" ht="16.5" customHeight="1" x14ac:dyDescent="0.35">
      <c r="A7632" s="387" t="s">
        <v>571</v>
      </c>
      <c r="B7632" s="343" t="s">
        <v>572</v>
      </c>
      <c r="C7632" s="330"/>
      <c r="D7632" s="146"/>
      <c r="E7632" s="117"/>
      <c r="F7632" s="117"/>
      <c r="G7632" s="138"/>
      <c r="H7632" s="177"/>
      <c r="I7632" s="139"/>
      <c r="J7632" s="139"/>
      <c r="K7632" s="139"/>
      <c r="L7632" s="139"/>
    </row>
    <row r="7633" spans="1:12" ht="16.5" customHeight="1" x14ac:dyDescent="0.3">
      <c r="A7633" s="375" t="s">
        <v>586</v>
      </c>
      <c r="B7633" s="344" t="s">
        <v>587</v>
      </c>
      <c r="C7633" s="388" t="s">
        <v>7</v>
      </c>
      <c r="D7633" s="146"/>
      <c r="E7633" s="117"/>
      <c r="F7633" s="117"/>
      <c r="G7633" s="138"/>
      <c r="H7633" s="177"/>
      <c r="I7633" s="139"/>
      <c r="J7633" s="139"/>
      <c r="K7633" s="139"/>
      <c r="L7633" s="139"/>
    </row>
    <row r="7634" spans="1:12" ht="16.5" customHeight="1" x14ac:dyDescent="0.35">
      <c r="A7634" s="146"/>
      <c r="B7634" s="196" t="s">
        <v>1230</v>
      </c>
      <c r="C7634" s="124"/>
      <c r="D7634" s="146"/>
      <c r="E7634" s="117"/>
      <c r="F7634" s="117"/>
      <c r="G7634" s="138"/>
      <c r="H7634" s="177"/>
      <c r="I7634" s="139"/>
      <c r="J7634" s="139"/>
      <c r="K7634" s="139"/>
      <c r="L7634" s="139"/>
    </row>
    <row r="7635" spans="1:12" ht="16.5" customHeight="1" x14ac:dyDescent="0.3">
      <c r="A7635" s="146"/>
      <c r="B7635" s="388" t="s">
        <v>587</v>
      </c>
      <c r="C7635" s="124" t="s">
        <v>38</v>
      </c>
      <c r="D7635" s="146">
        <v>1</v>
      </c>
      <c r="E7635" s="117">
        <v>2500000</v>
      </c>
      <c r="F7635" s="117">
        <f>+D7635*E7635</f>
        <v>2500000</v>
      </c>
      <c r="G7635" s="138"/>
      <c r="H7635" s="177"/>
      <c r="I7635" s="139"/>
      <c r="J7635" s="139"/>
      <c r="K7635" s="139"/>
      <c r="L7635" s="139"/>
    </row>
    <row r="7636" spans="1:12" ht="16.5" customHeight="1" x14ac:dyDescent="0.35">
      <c r="A7636" s="146"/>
      <c r="B7636" s="197" t="s">
        <v>1241</v>
      </c>
      <c r="C7636" s="124"/>
      <c r="D7636" s="146"/>
      <c r="E7636" s="117"/>
      <c r="F7636" s="117">
        <f>0.1*(F7635)</f>
        <v>250000</v>
      </c>
      <c r="G7636" s="138"/>
      <c r="H7636" s="177"/>
      <c r="I7636" s="139"/>
      <c r="J7636" s="139"/>
      <c r="K7636" s="139"/>
      <c r="L7636" s="139"/>
    </row>
    <row r="7637" spans="1:12" ht="16.5" customHeight="1" x14ac:dyDescent="0.35">
      <c r="A7637" s="146"/>
      <c r="B7637" s="196" t="s">
        <v>769</v>
      </c>
      <c r="C7637" s="124"/>
      <c r="D7637" s="146"/>
      <c r="E7637" s="117"/>
      <c r="F7637" s="110">
        <f>SUM(F7635:F7636)</f>
        <v>2750000</v>
      </c>
      <c r="G7637" s="138"/>
      <c r="H7637" s="177"/>
      <c r="I7637" s="139"/>
      <c r="J7637" s="139"/>
      <c r="K7637" s="139"/>
      <c r="L7637" s="139"/>
    </row>
    <row r="7638" spans="1:12" ht="16.5" customHeight="1" x14ac:dyDescent="0.35">
      <c r="A7638" s="111"/>
      <c r="B7638" s="196" t="s">
        <v>808</v>
      </c>
      <c r="C7638" s="173"/>
      <c r="D7638" s="173"/>
      <c r="E7638" s="173"/>
      <c r="F7638" s="173"/>
      <c r="G7638" s="138"/>
      <c r="H7638" s="177"/>
      <c r="I7638" s="139"/>
      <c r="J7638" s="139"/>
      <c r="K7638" s="139"/>
      <c r="L7638" s="139"/>
    </row>
    <row r="7639" spans="1:12" ht="16.5" customHeight="1" x14ac:dyDescent="0.35">
      <c r="A7639" s="146"/>
      <c r="B7639" s="197" t="s">
        <v>1233</v>
      </c>
      <c r="C7639" s="115" t="s">
        <v>1043</v>
      </c>
      <c r="D7639" s="115">
        <v>1.5</v>
      </c>
      <c r="E7639" s="117">
        <v>7500</v>
      </c>
      <c r="F7639" s="121">
        <f>+D7639*E7639</f>
        <v>11250</v>
      </c>
      <c r="G7639" s="138"/>
      <c r="H7639" s="177"/>
      <c r="I7639" s="139"/>
      <c r="J7639" s="139"/>
      <c r="K7639" s="139"/>
      <c r="L7639" s="139"/>
    </row>
    <row r="7640" spans="1:12" ht="16.5" customHeight="1" x14ac:dyDescent="0.35">
      <c r="A7640" s="146"/>
      <c r="B7640" s="197" t="s">
        <v>851</v>
      </c>
      <c r="C7640" s="115" t="s">
        <v>1043</v>
      </c>
      <c r="D7640" s="115">
        <v>3.5</v>
      </c>
      <c r="E7640" s="117">
        <v>15000</v>
      </c>
      <c r="F7640" s="121">
        <f>+D7640*E7640</f>
        <v>52500</v>
      </c>
      <c r="G7640" s="138"/>
      <c r="H7640" s="177"/>
      <c r="I7640" s="139"/>
      <c r="J7640" s="139"/>
      <c r="K7640" s="139"/>
      <c r="L7640" s="139"/>
    </row>
    <row r="7641" spans="1:12" ht="16.5" customHeight="1" x14ac:dyDescent="0.35">
      <c r="A7641" s="146"/>
      <c r="B7641" s="196" t="s">
        <v>774</v>
      </c>
      <c r="C7641" s="124"/>
      <c r="D7641" s="146"/>
      <c r="E7641" s="117"/>
      <c r="F7641" s="110">
        <f>SUM(F7639:F7640)</f>
        <v>63750</v>
      </c>
      <c r="G7641" s="138"/>
      <c r="H7641" s="177"/>
      <c r="I7641" s="139"/>
      <c r="J7641" s="139"/>
      <c r="K7641" s="139"/>
      <c r="L7641" s="139"/>
    </row>
    <row r="7642" spans="1:12" ht="16.5" customHeight="1" x14ac:dyDescent="0.35">
      <c r="A7642" s="111"/>
      <c r="B7642" s="196" t="s">
        <v>775</v>
      </c>
      <c r="C7642" s="115"/>
      <c r="D7642" s="115"/>
      <c r="E7642" s="117"/>
      <c r="F7642" s="114">
        <f>+F7637+F7641</f>
        <v>2813750</v>
      </c>
      <c r="G7642" s="138"/>
      <c r="H7642" s="177"/>
      <c r="I7642" s="139"/>
      <c r="J7642" s="139"/>
      <c r="K7642" s="139"/>
      <c r="L7642" s="139"/>
    </row>
    <row r="7643" spans="1:12" ht="16.5" customHeight="1" x14ac:dyDescent="0.35">
      <c r="A7643" s="111"/>
      <c r="B7643" s="197" t="s">
        <v>792</v>
      </c>
      <c r="C7643" s="115"/>
      <c r="D7643" s="115">
        <v>1.1000000000000001</v>
      </c>
      <c r="E7643" s="117"/>
      <c r="F7643" s="121">
        <f>+D7643*F7642</f>
        <v>3095125.0000000005</v>
      </c>
      <c r="G7643" s="138"/>
      <c r="H7643" s="177"/>
      <c r="I7643" s="139"/>
      <c r="J7643" s="139"/>
      <c r="K7643" s="139"/>
      <c r="L7643" s="139"/>
    </row>
    <row r="7644" spans="1:12" ht="16.5" customHeight="1" x14ac:dyDescent="0.35">
      <c r="A7644" s="104"/>
      <c r="B7644" s="197" t="s">
        <v>813</v>
      </c>
      <c r="C7644" s="173"/>
      <c r="D7644" s="144">
        <v>1.1499999999999999</v>
      </c>
      <c r="E7644" s="173"/>
      <c r="F7644" s="173"/>
      <c r="G7644" s="138"/>
      <c r="H7644" s="177"/>
      <c r="I7644" s="139"/>
      <c r="J7644" s="139"/>
      <c r="K7644" s="139"/>
      <c r="L7644" s="139"/>
    </row>
    <row r="7645" spans="1:12" ht="16.5" customHeight="1" x14ac:dyDescent="0.35">
      <c r="A7645" s="340" t="s">
        <v>586</v>
      </c>
      <c r="B7645" s="242" t="s">
        <v>778</v>
      </c>
      <c r="C7645" s="386" t="s">
        <v>7</v>
      </c>
      <c r="D7645" s="335"/>
      <c r="E7645" s="210"/>
      <c r="F7645" s="209">
        <f>+D7644*F7643</f>
        <v>3559393.7500000005</v>
      </c>
      <c r="G7645" s="138"/>
      <c r="H7645" s="177"/>
      <c r="I7645" s="139"/>
      <c r="J7645" s="139"/>
      <c r="K7645" s="139"/>
      <c r="L7645" s="139"/>
    </row>
    <row r="7646" spans="1:12" ht="16.5" customHeight="1" x14ac:dyDescent="0.35">
      <c r="A7646" s="340"/>
      <c r="B7646" s="242"/>
      <c r="C7646" s="337"/>
      <c r="D7646" s="335"/>
      <c r="E7646" s="210">
        <f>+E7628</f>
        <v>3035.45</v>
      </c>
      <c r="F7646" s="210">
        <f>+F7645/E7646</f>
        <v>1172.608262366371</v>
      </c>
      <c r="G7646" s="138"/>
      <c r="H7646" s="177"/>
      <c r="I7646" s="139"/>
      <c r="J7646" s="139"/>
      <c r="K7646" s="139"/>
      <c r="L7646" s="139"/>
    </row>
    <row r="7647" spans="1:12" ht="16.5" customHeight="1" x14ac:dyDescent="0.35">
      <c r="A7647" s="198"/>
      <c r="B7647" s="106"/>
      <c r="C7647" s="165"/>
      <c r="E7647" s="161"/>
      <c r="F7647" s="161"/>
      <c r="G7647" s="138"/>
      <c r="H7647" s="177"/>
      <c r="I7647" s="139"/>
      <c r="J7647" s="139"/>
      <c r="K7647" s="139"/>
      <c r="L7647" s="139"/>
    </row>
    <row r="7648" spans="1:12" ht="16.5" customHeight="1" x14ac:dyDescent="0.35">
      <c r="A7648" s="198"/>
      <c r="B7648" s="106"/>
      <c r="C7648" s="165"/>
      <c r="D7648" s="163"/>
      <c r="E7648" s="161"/>
      <c r="F7648" s="161"/>
      <c r="G7648" s="138"/>
      <c r="H7648" s="177"/>
      <c r="I7648" s="139"/>
      <c r="J7648" s="139"/>
      <c r="K7648" s="139"/>
      <c r="L7648" s="139"/>
    </row>
    <row r="7649" spans="1:12" ht="16.5" customHeight="1" x14ac:dyDescent="0.3">
      <c r="A7649" s="388" t="s">
        <v>588</v>
      </c>
      <c r="B7649" s="258" t="s">
        <v>589</v>
      </c>
      <c r="C7649" s="368" t="s">
        <v>611</v>
      </c>
      <c r="D7649" s="369" t="s">
        <v>765</v>
      </c>
      <c r="E7649" s="370" t="s">
        <v>766</v>
      </c>
      <c r="F7649" s="370" t="s">
        <v>767</v>
      </c>
      <c r="G7649" s="138"/>
      <c r="H7649" s="177"/>
      <c r="I7649" s="139"/>
      <c r="J7649" s="139"/>
      <c r="K7649" s="139"/>
      <c r="L7649" s="139"/>
    </row>
    <row r="7650" spans="1:12" ht="16.5" customHeight="1" x14ac:dyDescent="0.3">
      <c r="A7650" s="388" t="s">
        <v>590</v>
      </c>
      <c r="B7650" s="219" t="s">
        <v>1102</v>
      </c>
      <c r="C7650" s="173"/>
      <c r="D7650" s="173"/>
      <c r="E7650" s="173"/>
      <c r="F7650" s="173"/>
      <c r="G7650" s="138"/>
      <c r="H7650" s="177"/>
      <c r="I7650" s="139"/>
      <c r="J7650" s="139"/>
      <c r="K7650" s="139"/>
      <c r="L7650" s="139"/>
    </row>
    <row r="7651" spans="1:12" ht="16.5" customHeight="1" x14ac:dyDescent="0.3">
      <c r="A7651" s="388" t="s">
        <v>591</v>
      </c>
      <c r="B7651" s="388" t="s">
        <v>1103</v>
      </c>
      <c r="C7651" s="173"/>
      <c r="D7651" s="173"/>
      <c r="E7651" s="173"/>
      <c r="F7651" s="173"/>
      <c r="G7651" s="138"/>
      <c r="H7651" s="177"/>
      <c r="I7651" s="139"/>
      <c r="J7651" s="139"/>
      <c r="K7651" s="139"/>
      <c r="L7651" s="139"/>
    </row>
    <row r="7652" spans="1:12" ht="16.5" customHeight="1" x14ac:dyDescent="0.3">
      <c r="A7652" s="146"/>
      <c r="B7652" s="388" t="s">
        <v>1265</v>
      </c>
      <c r="C7652" s="388" t="s">
        <v>747</v>
      </c>
      <c r="D7652" s="381">
        <v>1</v>
      </c>
      <c r="E7652" s="150">
        <v>12500000</v>
      </c>
      <c r="F7652" s="150">
        <f>D7652*E7652</f>
        <v>12500000</v>
      </c>
      <c r="G7652" s="138"/>
      <c r="H7652" s="177"/>
      <c r="I7652" s="139"/>
      <c r="J7652" s="139"/>
      <c r="K7652" s="139"/>
      <c r="L7652" s="139"/>
    </row>
    <row r="7653" spans="1:12" ht="16.5" customHeight="1" x14ac:dyDescent="0.3">
      <c r="A7653" s="141"/>
      <c r="B7653" s="172" t="s">
        <v>1241</v>
      </c>
      <c r="C7653" s="124"/>
      <c r="D7653" s="146"/>
      <c r="E7653" s="388"/>
      <c r="F7653" s="110">
        <f>0.1*F7652</f>
        <v>1250000</v>
      </c>
      <c r="G7653" s="138"/>
      <c r="H7653" s="177"/>
      <c r="I7653" s="139"/>
      <c r="J7653" s="139"/>
      <c r="K7653" s="139"/>
      <c r="L7653" s="139"/>
    </row>
    <row r="7654" spans="1:12" ht="16.5" customHeight="1" x14ac:dyDescent="0.35">
      <c r="A7654" s="146"/>
      <c r="B7654" s="196" t="s">
        <v>769</v>
      </c>
      <c r="C7654" s="124"/>
      <c r="D7654" s="146"/>
      <c r="E7654" s="117"/>
      <c r="F7654" s="110">
        <f>SUM(F7652:F7653)</f>
        <v>13750000</v>
      </c>
      <c r="G7654" s="138"/>
      <c r="H7654" s="177"/>
      <c r="I7654" s="139"/>
      <c r="J7654" s="139"/>
      <c r="K7654" s="139"/>
      <c r="L7654" s="139"/>
    </row>
    <row r="7655" spans="1:12" ht="16.5" customHeight="1" x14ac:dyDescent="0.35">
      <c r="A7655" s="111"/>
      <c r="B7655" s="196" t="s">
        <v>808</v>
      </c>
      <c r="C7655" s="173"/>
      <c r="D7655" s="173"/>
      <c r="E7655" s="173"/>
      <c r="F7655" s="173"/>
      <c r="G7655" s="138"/>
      <c r="H7655" s="177"/>
      <c r="I7655" s="139"/>
      <c r="J7655" s="139"/>
      <c r="K7655" s="139"/>
      <c r="L7655" s="139"/>
    </row>
    <row r="7656" spans="1:12" ht="16.5" customHeight="1" x14ac:dyDescent="0.35">
      <c r="A7656" s="146"/>
      <c r="B7656" s="172" t="s">
        <v>808</v>
      </c>
      <c r="C7656" s="115" t="s">
        <v>1043</v>
      </c>
      <c r="D7656" s="115">
        <v>1</v>
      </c>
      <c r="E7656" s="117">
        <v>10000</v>
      </c>
      <c r="F7656" s="121">
        <f>+D7656*E7656</f>
        <v>10000</v>
      </c>
      <c r="G7656" s="138"/>
      <c r="H7656" s="177"/>
      <c r="I7656" s="139"/>
      <c r="J7656" s="139"/>
      <c r="K7656" s="139"/>
      <c r="L7656" s="139"/>
    </row>
    <row r="7657" spans="1:12" ht="16.5" customHeight="1" x14ac:dyDescent="0.35">
      <c r="A7657" s="146"/>
      <c r="B7657" s="196" t="s">
        <v>774</v>
      </c>
      <c r="C7657" s="124"/>
      <c r="D7657" s="146"/>
      <c r="E7657" s="117"/>
      <c r="F7657" s="110">
        <f>SUM(F7656:F7656)</f>
        <v>10000</v>
      </c>
      <c r="G7657" s="138"/>
      <c r="H7657" s="177"/>
      <c r="I7657" s="139"/>
      <c r="J7657" s="139"/>
      <c r="K7657" s="139"/>
      <c r="L7657" s="139"/>
    </row>
    <row r="7658" spans="1:12" ht="16.5" customHeight="1" x14ac:dyDescent="0.35">
      <c r="A7658" s="111"/>
      <c r="B7658" s="196" t="s">
        <v>775</v>
      </c>
      <c r="C7658" s="115"/>
      <c r="D7658" s="115"/>
      <c r="E7658" s="117"/>
      <c r="F7658" s="114">
        <f>+F7654+F7657</f>
        <v>13760000</v>
      </c>
      <c r="G7658" s="138"/>
      <c r="H7658" s="177"/>
      <c r="I7658" s="139"/>
      <c r="J7658" s="139"/>
      <c r="K7658" s="139"/>
      <c r="L7658" s="139"/>
    </row>
    <row r="7659" spans="1:12" ht="16.5" customHeight="1" x14ac:dyDescent="0.35">
      <c r="A7659" s="111"/>
      <c r="B7659" s="172" t="s">
        <v>792</v>
      </c>
      <c r="C7659" s="115"/>
      <c r="D7659" s="115">
        <v>1.05</v>
      </c>
      <c r="E7659" s="117"/>
      <c r="F7659" s="121">
        <f>+D7659*F7658</f>
        <v>14448000</v>
      </c>
      <c r="G7659" s="138"/>
      <c r="H7659" s="177"/>
      <c r="I7659" s="139"/>
      <c r="J7659" s="139"/>
      <c r="K7659" s="139"/>
      <c r="L7659" s="139"/>
    </row>
    <row r="7660" spans="1:12" ht="16.5" customHeight="1" x14ac:dyDescent="0.35">
      <c r="A7660" s="173"/>
      <c r="B7660" s="172" t="s">
        <v>848</v>
      </c>
      <c r="C7660" s="173"/>
      <c r="D7660" s="144">
        <v>1.05</v>
      </c>
      <c r="E7660" s="173"/>
      <c r="F7660" s="173"/>
      <c r="G7660" s="138"/>
      <c r="H7660" s="177"/>
      <c r="I7660" s="139"/>
      <c r="J7660" s="139"/>
      <c r="K7660" s="139"/>
      <c r="L7660" s="139"/>
    </row>
    <row r="7661" spans="1:12" ht="16.5" customHeight="1" x14ac:dyDescent="0.35">
      <c r="A7661" s="340" t="s">
        <v>591</v>
      </c>
      <c r="B7661" s="242" t="s">
        <v>778</v>
      </c>
      <c r="C7661" s="386" t="s">
        <v>7</v>
      </c>
      <c r="D7661" s="335"/>
      <c r="E7661" s="210"/>
      <c r="F7661" s="209">
        <f>+D7660*F7659</f>
        <v>15170400</v>
      </c>
      <c r="G7661" s="138"/>
      <c r="H7661" s="177"/>
      <c r="I7661" s="139"/>
      <c r="J7661" s="139"/>
      <c r="K7661" s="139"/>
      <c r="L7661" s="139"/>
    </row>
    <row r="7662" spans="1:12" ht="16.5" customHeight="1" x14ac:dyDescent="0.35">
      <c r="A7662" s="340"/>
      <c r="B7662" s="242"/>
      <c r="C7662" s="337"/>
      <c r="D7662" s="335"/>
      <c r="E7662" s="210">
        <f>+E7646</f>
        <v>3035.45</v>
      </c>
      <c r="F7662" s="210">
        <f>+F7661/E7662</f>
        <v>4997.7433329489868</v>
      </c>
      <c r="G7662" s="138"/>
      <c r="H7662" s="177"/>
      <c r="I7662" s="139"/>
      <c r="J7662" s="139"/>
      <c r="K7662" s="139"/>
      <c r="L7662" s="139"/>
    </row>
    <row r="7663" spans="1:12" ht="16.5" customHeight="1" x14ac:dyDescent="0.35">
      <c r="A7663" s="198"/>
      <c r="B7663" s="106"/>
      <c r="C7663" s="165"/>
      <c r="E7663" s="161"/>
      <c r="F7663" s="161"/>
      <c r="G7663" s="138"/>
      <c r="H7663" s="177"/>
      <c r="I7663" s="139"/>
      <c r="J7663" s="139"/>
      <c r="K7663" s="139"/>
      <c r="L7663" s="139"/>
    </row>
    <row r="7664" spans="1:12" ht="16.5" customHeight="1" x14ac:dyDescent="0.35">
      <c r="A7664" s="198"/>
      <c r="B7664" s="106"/>
      <c r="C7664" s="165"/>
      <c r="D7664" s="163"/>
      <c r="E7664" s="161"/>
      <c r="F7664" s="161"/>
      <c r="G7664" s="138"/>
      <c r="H7664" s="177"/>
      <c r="I7664" s="139"/>
      <c r="J7664" s="139"/>
      <c r="K7664" s="139"/>
      <c r="L7664" s="139"/>
    </row>
    <row r="7665" spans="1:12" ht="16.5" customHeight="1" x14ac:dyDescent="0.3">
      <c r="A7665" s="388" t="s">
        <v>588</v>
      </c>
      <c r="B7665" s="258" t="s">
        <v>589</v>
      </c>
      <c r="C7665" s="368" t="s">
        <v>611</v>
      </c>
      <c r="D7665" s="369" t="s">
        <v>765</v>
      </c>
      <c r="E7665" s="370" t="s">
        <v>766</v>
      </c>
      <c r="F7665" s="370" t="s">
        <v>767</v>
      </c>
      <c r="G7665" s="138"/>
      <c r="H7665" s="177"/>
      <c r="I7665" s="139"/>
      <c r="J7665" s="139"/>
      <c r="K7665" s="139"/>
      <c r="L7665" s="139"/>
    </row>
    <row r="7666" spans="1:12" ht="16.5" customHeight="1" x14ac:dyDescent="0.3">
      <c r="A7666" s="388" t="s">
        <v>590</v>
      </c>
      <c r="B7666" s="219" t="s">
        <v>1102</v>
      </c>
      <c r="C7666" s="173"/>
      <c r="D7666" s="173"/>
      <c r="E7666" s="173"/>
      <c r="F7666" s="173"/>
      <c r="G7666" s="138"/>
      <c r="H7666" s="177"/>
      <c r="I7666" s="139"/>
      <c r="J7666" s="139"/>
      <c r="K7666" s="139"/>
      <c r="L7666" s="139"/>
    </row>
    <row r="7667" spans="1:12" ht="16.5" customHeight="1" x14ac:dyDescent="0.3">
      <c r="A7667" s="388" t="s">
        <v>592</v>
      </c>
      <c r="B7667" s="226" t="s">
        <v>593</v>
      </c>
      <c r="C7667" s="144" t="s">
        <v>747</v>
      </c>
      <c r="D7667" s="173"/>
      <c r="E7667" s="173"/>
      <c r="F7667" s="173"/>
      <c r="G7667" s="138"/>
      <c r="H7667" s="177"/>
      <c r="I7667" s="139"/>
      <c r="J7667" s="139"/>
      <c r="K7667" s="139"/>
      <c r="L7667" s="139"/>
    </row>
    <row r="7668" spans="1:12" ht="16.5" customHeight="1" x14ac:dyDescent="0.3">
      <c r="A7668" s="388" t="s">
        <v>594</v>
      </c>
      <c r="B7668" s="226" t="s">
        <v>1266</v>
      </c>
      <c r="C7668" s="144" t="s">
        <v>747</v>
      </c>
      <c r="D7668" s="173"/>
      <c r="E7668" s="173"/>
      <c r="F7668" s="173"/>
      <c r="G7668" s="138"/>
      <c r="H7668" s="177"/>
      <c r="I7668" s="139"/>
      <c r="J7668" s="139"/>
      <c r="K7668" s="139"/>
      <c r="L7668" s="139"/>
    </row>
    <row r="7669" spans="1:12" ht="16.5" customHeight="1" x14ac:dyDescent="0.3">
      <c r="A7669" s="146"/>
      <c r="B7669" s="388" t="s">
        <v>1267</v>
      </c>
      <c r="C7669" s="388" t="s">
        <v>747</v>
      </c>
      <c r="D7669" s="381">
        <v>1</v>
      </c>
      <c r="E7669" s="150">
        <v>2150000</v>
      </c>
      <c r="F7669" s="150">
        <f>D7669*E7669</f>
        <v>2150000</v>
      </c>
      <c r="G7669" s="138"/>
      <c r="H7669" s="177"/>
      <c r="I7669" s="139"/>
      <c r="J7669" s="139"/>
      <c r="K7669" s="139"/>
      <c r="L7669" s="139"/>
    </row>
    <row r="7670" spans="1:12" ht="16.5" customHeight="1" x14ac:dyDescent="0.3">
      <c r="A7670" s="141"/>
      <c r="B7670" s="172" t="s">
        <v>1241</v>
      </c>
      <c r="C7670" s="124"/>
      <c r="D7670" s="146"/>
      <c r="E7670" s="388"/>
      <c r="F7670" s="110">
        <f>0.1*F7669</f>
        <v>215000</v>
      </c>
      <c r="G7670" s="138"/>
      <c r="H7670" s="177"/>
      <c r="I7670" s="139"/>
      <c r="J7670" s="139"/>
      <c r="K7670" s="139"/>
      <c r="L7670" s="139"/>
    </row>
    <row r="7671" spans="1:12" ht="16.5" customHeight="1" x14ac:dyDescent="0.35">
      <c r="A7671" s="146"/>
      <c r="B7671" s="196" t="s">
        <v>769</v>
      </c>
      <c r="C7671" s="124"/>
      <c r="D7671" s="146"/>
      <c r="E7671" s="117"/>
      <c r="F7671" s="110">
        <f>SUM(F7669:F7670)</f>
        <v>2365000</v>
      </c>
      <c r="G7671" s="138"/>
      <c r="H7671" s="177"/>
      <c r="I7671" s="139"/>
      <c r="J7671" s="139"/>
      <c r="K7671" s="139"/>
      <c r="L7671" s="139"/>
    </row>
    <row r="7672" spans="1:12" ht="16.5" customHeight="1" x14ac:dyDescent="0.35">
      <c r="A7672" s="111"/>
      <c r="B7672" s="196" t="s">
        <v>808</v>
      </c>
      <c r="C7672" s="173"/>
      <c r="D7672" s="173"/>
      <c r="E7672" s="173"/>
      <c r="F7672" s="173"/>
      <c r="G7672" s="138"/>
      <c r="H7672" s="177"/>
      <c r="I7672" s="139"/>
      <c r="J7672" s="139"/>
      <c r="K7672" s="139"/>
      <c r="L7672" s="139"/>
    </row>
    <row r="7673" spans="1:12" ht="16.5" customHeight="1" x14ac:dyDescent="0.35">
      <c r="A7673" s="146"/>
      <c r="B7673" s="172" t="s">
        <v>808</v>
      </c>
      <c r="C7673" s="115" t="s">
        <v>1043</v>
      </c>
      <c r="D7673" s="115">
        <v>1</v>
      </c>
      <c r="E7673" s="117">
        <v>10000</v>
      </c>
      <c r="F7673" s="121">
        <f>+D7673*E7673</f>
        <v>10000</v>
      </c>
      <c r="G7673" s="138"/>
      <c r="H7673" s="177"/>
      <c r="I7673" s="139"/>
      <c r="J7673" s="139"/>
      <c r="K7673" s="139"/>
      <c r="L7673" s="139"/>
    </row>
    <row r="7674" spans="1:12" ht="16.5" customHeight="1" x14ac:dyDescent="0.35">
      <c r="A7674" s="146"/>
      <c r="B7674" s="196" t="s">
        <v>774</v>
      </c>
      <c r="C7674" s="124"/>
      <c r="D7674" s="146"/>
      <c r="E7674" s="117"/>
      <c r="F7674" s="110">
        <f>SUM(F7673:F7673)</f>
        <v>10000</v>
      </c>
      <c r="G7674" s="138"/>
      <c r="H7674" s="177"/>
      <c r="I7674" s="139"/>
      <c r="J7674" s="139"/>
      <c r="K7674" s="139"/>
      <c r="L7674" s="139"/>
    </row>
    <row r="7675" spans="1:12" ht="16.5" customHeight="1" x14ac:dyDescent="0.35">
      <c r="A7675" s="111"/>
      <c r="B7675" s="196" t="s">
        <v>775</v>
      </c>
      <c r="C7675" s="115"/>
      <c r="D7675" s="115"/>
      <c r="E7675" s="117"/>
      <c r="F7675" s="114">
        <f>+F7671+F7674</f>
        <v>2375000</v>
      </c>
      <c r="G7675" s="138"/>
      <c r="H7675" s="177"/>
      <c r="I7675" s="139"/>
      <c r="J7675" s="139"/>
      <c r="K7675" s="139"/>
      <c r="L7675" s="139"/>
    </row>
    <row r="7676" spans="1:12" ht="16.5" customHeight="1" x14ac:dyDescent="0.35">
      <c r="A7676" s="111"/>
      <c r="B7676" s="172" t="s">
        <v>792</v>
      </c>
      <c r="C7676" s="115"/>
      <c r="D7676" s="115">
        <v>1.05</v>
      </c>
      <c r="E7676" s="117"/>
      <c r="F7676" s="121">
        <f>+D7676*F7675</f>
        <v>2493750</v>
      </c>
      <c r="G7676" s="138"/>
      <c r="H7676" s="177"/>
      <c r="I7676" s="139"/>
      <c r="J7676" s="139"/>
      <c r="K7676" s="139"/>
      <c r="L7676" s="139"/>
    </row>
    <row r="7677" spans="1:12" ht="16.5" customHeight="1" x14ac:dyDescent="0.35">
      <c r="A7677" s="173"/>
      <c r="B7677" s="172" t="s">
        <v>848</v>
      </c>
      <c r="C7677" s="173"/>
      <c r="D7677" s="144">
        <v>1.05</v>
      </c>
      <c r="E7677" s="173"/>
      <c r="F7677" s="173"/>
      <c r="G7677" s="138"/>
      <c r="H7677" s="177"/>
      <c r="I7677" s="139"/>
      <c r="J7677" s="139"/>
      <c r="K7677" s="139"/>
      <c r="L7677" s="139"/>
    </row>
    <row r="7678" spans="1:12" ht="25.5" customHeight="1" x14ac:dyDescent="0.35">
      <c r="A7678" s="340" t="s">
        <v>1268</v>
      </c>
      <c r="B7678" s="242" t="s">
        <v>778</v>
      </c>
      <c r="C7678" s="386" t="s">
        <v>7</v>
      </c>
      <c r="D7678" s="335"/>
      <c r="E7678" s="210"/>
      <c r="F7678" s="209">
        <f>+D7677*F7676</f>
        <v>2618437.5</v>
      </c>
      <c r="G7678" s="138"/>
      <c r="H7678" s="177"/>
      <c r="I7678" s="139"/>
      <c r="J7678" s="139"/>
      <c r="K7678" s="139"/>
      <c r="L7678" s="139"/>
    </row>
    <row r="7679" spans="1:12" ht="16.5" customHeight="1" x14ac:dyDescent="0.35">
      <c r="A7679" s="340"/>
      <c r="B7679" s="242"/>
      <c r="C7679" s="337"/>
      <c r="D7679" s="335"/>
      <c r="E7679" s="210">
        <f>+E7662</f>
        <v>3035.45</v>
      </c>
      <c r="F7679" s="210">
        <f>+F7678/E7679</f>
        <v>862.61921626118044</v>
      </c>
      <c r="G7679" s="138"/>
      <c r="H7679" s="177"/>
      <c r="I7679" s="139"/>
      <c r="J7679" s="139"/>
      <c r="K7679" s="139"/>
      <c r="L7679" s="139"/>
    </row>
    <row r="7680" spans="1:12" ht="16.5" customHeight="1" x14ac:dyDescent="0.35">
      <c r="A7680" s="198"/>
      <c r="B7680" s="106"/>
      <c r="C7680" s="165"/>
      <c r="E7680" s="161"/>
      <c r="F7680" s="161"/>
      <c r="G7680" s="138"/>
      <c r="H7680" s="177"/>
      <c r="I7680" s="139"/>
      <c r="J7680" s="139"/>
      <c r="K7680" s="139"/>
      <c r="L7680" s="139"/>
    </row>
    <row r="7681" spans="1:12" ht="16.5" customHeight="1" x14ac:dyDescent="0.35">
      <c r="A7681" s="198"/>
      <c r="B7681" s="106"/>
      <c r="C7681" s="165"/>
      <c r="D7681" s="163"/>
      <c r="E7681" s="161"/>
      <c r="F7681" s="161"/>
      <c r="G7681" s="138"/>
      <c r="H7681" s="177"/>
      <c r="I7681" s="139"/>
      <c r="J7681" s="139"/>
      <c r="K7681" s="139"/>
      <c r="L7681" s="139"/>
    </row>
    <row r="7682" spans="1:12" ht="16.5" customHeight="1" x14ac:dyDescent="0.3">
      <c r="A7682" s="388" t="s">
        <v>588</v>
      </c>
      <c r="B7682" s="258" t="s">
        <v>589</v>
      </c>
      <c r="C7682" s="368" t="s">
        <v>611</v>
      </c>
      <c r="D7682" s="369" t="s">
        <v>765</v>
      </c>
      <c r="E7682" s="370" t="s">
        <v>766</v>
      </c>
      <c r="F7682" s="370" t="s">
        <v>767</v>
      </c>
      <c r="G7682" s="138"/>
      <c r="H7682" s="177"/>
      <c r="I7682" s="139"/>
      <c r="J7682" s="139"/>
      <c r="K7682" s="139"/>
      <c r="L7682" s="139"/>
    </row>
    <row r="7683" spans="1:12" ht="16.5" customHeight="1" x14ac:dyDescent="0.3">
      <c r="A7683" s="388" t="s">
        <v>595</v>
      </c>
      <c r="B7683" s="223" t="s">
        <v>596</v>
      </c>
      <c r="C7683" s="144" t="s">
        <v>747</v>
      </c>
      <c r="D7683" s="173"/>
      <c r="E7683" s="173"/>
      <c r="F7683" s="173"/>
      <c r="G7683" s="138"/>
      <c r="H7683" s="177"/>
      <c r="I7683" s="139"/>
      <c r="J7683" s="139"/>
      <c r="K7683" s="139"/>
      <c r="L7683" s="139"/>
    </row>
    <row r="7684" spans="1:12" ht="16.5" customHeight="1" x14ac:dyDescent="0.3">
      <c r="A7684" s="388" t="s">
        <v>597</v>
      </c>
      <c r="B7684" s="388" t="s">
        <v>598</v>
      </c>
      <c r="C7684" s="144" t="s">
        <v>747</v>
      </c>
      <c r="D7684" s="173"/>
      <c r="E7684" s="173"/>
      <c r="F7684" s="173"/>
      <c r="G7684" s="138"/>
      <c r="H7684" s="177"/>
      <c r="I7684" s="139"/>
      <c r="J7684" s="139"/>
      <c r="K7684" s="139"/>
      <c r="L7684" s="139"/>
    </row>
    <row r="7685" spans="1:12" ht="16.5" customHeight="1" x14ac:dyDescent="0.3">
      <c r="A7685" s="146"/>
      <c r="B7685" s="388" t="s">
        <v>1269</v>
      </c>
      <c r="C7685" s="388" t="s">
        <v>747</v>
      </c>
      <c r="D7685" s="381">
        <v>1</v>
      </c>
      <c r="E7685" s="150">
        <v>4200000</v>
      </c>
      <c r="F7685" s="150">
        <f>D7685*E7685</f>
        <v>4200000</v>
      </c>
      <c r="G7685" s="138"/>
      <c r="H7685" s="177"/>
      <c r="I7685" s="139"/>
      <c r="J7685" s="139"/>
      <c r="K7685" s="139"/>
      <c r="L7685" s="139"/>
    </row>
    <row r="7686" spans="1:12" ht="16.5" customHeight="1" x14ac:dyDescent="0.3">
      <c r="A7686" s="141"/>
      <c r="B7686" s="172" t="s">
        <v>1241</v>
      </c>
      <c r="C7686" s="124"/>
      <c r="D7686" s="146"/>
      <c r="E7686" s="388"/>
      <c r="F7686" s="110">
        <f>0.1*F7685</f>
        <v>420000</v>
      </c>
      <c r="G7686" s="138"/>
      <c r="H7686" s="177"/>
      <c r="I7686" s="139"/>
      <c r="J7686" s="139"/>
      <c r="K7686" s="139"/>
      <c r="L7686" s="139"/>
    </row>
    <row r="7687" spans="1:12" ht="16.5" customHeight="1" x14ac:dyDescent="0.35">
      <c r="A7687" s="146"/>
      <c r="B7687" s="196" t="s">
        <v>769</v>
      </c>
      <c r="C7687" s="124"/>
      <c r="D7687" s="146"/>
      <c r="E7687" s="117"/>
      <c r="F7687" s="110">
        <f>SUM(F7685:F7686)</f>
        <v>4620000</v>
      </c>
      <c r="G7687" s="138"/>
      <c r="H7687" s="177"/>
      <c r="I7687" s="139"/>
      <c r="J7687" s="139"/>
      <c r="K7687" s="139"/>
      <c r="L7687" s="139"/>
    </row>
    <row r="7688" spans="1:12" ht="16.5" customHeight="1" x14ac:dyDescent="0.35">
      <c r="A7688" s="111"/>
      <c r="B7688" s="196" t="s">
        <v>808</v>
      </c>
      <c r="C7688" s="173"/>
      <c r="D7688" s="173"/>
      <c r="E7688" s="173"/>
      <c r="F7688" s="173"/>
      <c r="G7688" s="138"/>
      <c r="H7688" s="177"/>
      <c r="I7688" s="139"/>
      <c r="J7688" s="139"/>
      <c r="K7688" s="139"/>
      <c r="L7688" s="139"/>
    </row>
    <row r="7689" spans="1:12" ht="16.5" customHeight="1" x14ac:dyDescent="0.35">
      <c r="A7689" s="146"/>
      <c r="B7689" s="172" t="s">
        <v>808</v>
      </c>
      <c r="C7689" s="115" t="s">
        <v>1043</v>
      </c>
      <c r="D7689" s="115">
        <v>1</v>
      </c>
      <c r="E7689" s="117">
        <v>10000</v>
      </c>
      <c r="F7689" s="121">
        <f>+D7689*E7689</f>
        <v>10000</v>
      </c>
      <c r="G7689" s="138"/>
      <c r="H7689" s="177"/>
      <c r="I7689" s="139"/>
      <c r="J7689" s="139"/>
      <c r="K7689" s="139"/>
      <c r="L7689" s="139"/>
    </row>
    <row r="7690" spans="1:12" ht="16.5" customHeight="1" x14ac:dyDescent="0.35">
      <c r="A7690" s="146"/>
      <c r="B7690" s="196" t="s">
        <v>774</v>
      </c>
      <c r="C7690" s="124"/>
      <c r="D7690" s="146"/>
      <c r="E7690" s="117"/>
      <c r="F7690" s="110">
        <f>SUM(F7689:F7689)</f>
        <v>10000</v>
      </c>
      <c r="G7690" s="138"/>
      <c r="H7690" s="177"/>
      <c r="I7690" s="139"/>
      <c r="J7690" s="139"/>
      <c r="K7690" s="139"/>
      <c r="L7690" s="139"/>
    </row>
    <row r="7691" spans="1:12" ht="16.5" customHeight="1" x14ac:dyDescent="0.35">
      <c r="A7691" s="111"/>
      <c r="B7691" s="196" t="s">
        <v>775</v>
      </c>
      <c r="C7691" s="115"/>
      <c r="D7691" s="115"/>
      <c r="E7691" s="117"/>
      <c r="F7691" s="114">
        <f>+F7687+F7690</f>
        <v>4630000</v>
      </c>
      <c r="G7691" s="138"/>
      <c r="H7691" s="177"/>
      <c r="I7691" s="139"/>
      <c r="J7691" s="139"/>
      <c r="K7691" s="139"/>
      <c r="L7691" s="139"/>
    </row>
    <row r="7692" spans="1:12" ht="16.5" customHeight="1" x14ac:dyDescent="0.35">
      <c r="A7692" s="111"/>
      <c r="B7692" s="172" t="s">
        <v>792</v>
      </c>
      <c r="C7692" s="115"/>
      <c r="D7692" s="115">
        <v>1.05</v>
      </c>
      <c r="E7692" s="117"/>
      <c r="F7692" s="121">
        <f>+D7692*F7691</f>
        <v>4861500</v>
      </c>
      <c r="G7692" s="138"/>
      <c r="H7692" s="177"/>
      <c r="I7692" s="139"/>
      <c r="J7692" s="139"/>
      <c r="K7692" s="139"/>
      <c r="L7692" s="139"/>
    </row>
    <row r="7693" spans="1:12" ht="16.5" customHeight="1" x14ac:dyDescent="0.35">
      <c r="A7693" s="173"/>
      <c r="B7693" s="172" t="s">
        <v>848</v>
      </c>
      <c r="C7693" s="173"/>
      <c r="D7693" s="144">
        <v>1.05</v>
      </c>
      <c r="E7693" s="173"/>
      <c r="F7693" s="173"/>
      <c r="G7693" s="138"/>
      <c r="H7693" s="177"/>
      <c r="I7693" s="139"/>
      <c r="J7693" s="139"/>
      <c r="K7693" s="139"/>
      <c r="L7693" s="139"/>
    </row>
    <row r="7694" spans="1:12" ht="16.5" customHeight="1" x14ac:dyDescent="0.35">
      <c r="A7694" s="340" t="s">
        <v>597</v>
      </c>
      <c r="B7694" s="242" t="s">
        <v>778</v>
      </c>
      <c r="C7694" s="386" t="s">
        <v>7</v>
      </c>
      <c r="D7694" s="335"/>
      <c r="E7694" s="210"/>
      <c r="F7694" s="209">
        <f>+D7693*F7692</f>
        <v>5104575</v>
      </c>
      <c r="G7694" s="138"/>
      <c r="H7694" s="177"/>
      <c r="I7694" s="139"/>
      <c r="J7694" s="139"/>
      <c r="K7694" s="139"/>
      <c r="L7694" s="139"/>
    </row>
    <row r="7695" spans="1:12" ht="16.5" customHeight="1" x14ac:dyDescent="0.35">
      <c r="A7695" s="340"/>
      <c r="B7695" s="242"/>
      <c r="C7695" s="337"/>
      <c r="D7695" s="335"/>
      <c r="E7695" s="210">
        <f>+E7679</f>
        <v>3035.45</v>
      </c>
      <c r="F7695" s="210">
        <f>+F7694/E7695</f>
        <v>1681.6534615954802</v>
      </c>
      <c r="G7695" s="138"/>
      <c r="H7695" s="177"/>
      <c r="I7695" s="139"/>
      <c r="J7695" s="139"/>
      <c r="K7695" s="139"/>
      <c r="L7695" s="139"/>
    </row>
    <row r="7696" spans="1:12" ht="16.5" customHeight="1" x14ac:dyDescent="0.35">
      <c r="A7696" s="198"/>
      <c r="B7696" s="106"/>
      <c r="C7696" s="165"/>
      <c r="E7696" s="161"/>
      <c r="F7696" s="161"/>
      <c r="G7696" s="138"/>
      <c r="H7696" s="177"/>
      <c r="I7696" s="139"/>
      <c r="J7696" s="139"/>
      <c r="K7696" s="139"/>
      <c r="L7696" s="139"/>
    </row>
    <row r="7697" spans="1:12" ht="16.5" customHeight="1" x14ac:dyDescent="0.35">
      <c r="A7697" s="198"/>
      <c r="B7697" s="106"/>
      <c r="C7697" s="165"/>
      <c r="D7697" s="163"/>
      <c r="E7697" s="161"/>
      <c r="F7697" s="161"/>
      <c r="G7697" s="138"/>
      <c r="H7697" s="177"/>
      <c r="I7697" s="139"/>
      <c r="J7697" s="139"/>
      <c r="K7697" s="139"/>
      <c r="L7697" s="139"/>
    </row>
    <row r="7698" spans="1:12" ht="16.5" customHeight="1" x14ac:dyDescent="0.3">
      <c r="A7698" s="388" t="s">
        <v>588</v>
      </c>
      <c r="B7698" s="258" t="s">
        <v>589</v>
      </c>
      <c r="C7698" s="368" t="s">
        <v>611</v>
      </c>
      <c r="D7698" s="369" t="s">
        <v>765</v>
      </c>
      <c r="E7698" s="370" t="s">
        <v>766</v>
      </c>
      <c r="F7698" s="370" t="s">
        <v>767</v>
      </c>
      <c r="G7698" s="138"/>
      <c r="H7698" s="177"/>
      <c r="I7698" s="139"/>
      <c r="J7698" s="139"/>
      <c r="K7698" s="139"/>
      <c r="L7698" s="139"/>
    </row>
    <row r="7699" spans="1:12" ht="16.5" customHeight="1" x14ac:dyDescent="0.3">
      <c r="A7699" s="388" t="s">
        <v>595</v>
      </c>
      <c r="B7699" s="223" t="s">
        <v>596</v>
      </c>
      <c r="C7699" s="144" t="s">
        <v>747</v>
      </c>
      <c r="D7699" s="173"/>
      <c r="E7699" s="173"/>
      <c r="F7699" s="173"/>
      <c r="G7699" s="138"/>
      <c r="H7699" s="177"/>
      <c r="I7699" s="139"/>
      <c r="J7699" s="139"/>
      <c r="K7699" s="139"/>
      <c r="L7699" s="139"/>
    </row>
    <row r="7700" spans="1:12" ht="16.5" customHeight="1" x14ac:dyDescent="0.3">
      <c r="A7700" s="388" t="s">
        <v>599</v>
      </c>
      <c r="B7700" s="388" t="s">
        <v>600</v>
      </c>
      <c r="C7700" s="144" t="s">
        <v>747</v>
      </c>
      <c r="D7700" s="173"/>
      <c r="E7700" s="173"/>
      <c r="F7700" s="173"/>
      <c r="G7700" s="138"/>
      <c r="H7700" s="177"/>
      <c r="I7700" s="139"/>
      <c r="J7700" s="139"/>
      <c r="K7700" s="139"/>
      <c r="L7700" s="139"/>
    </row>
    <row r="7701" spans="1:12" ht="16.5" customHeight="1" x14ac:dyDescent="0.3">
      <c r="A7701" s="146"/>
      <c r="B7701" s="388" t="s">
        <v>1270</v>
      </c>
      <c r="C7701" s="388" t="s">
        <v>747</v>
      </c>
      <c r="D7701" s="381">
        <v>1</v>
      </c>
      <c r="E7701" s="150">
        <v>2250000</v>
      </c>
      <c r="F7701" s="150">
        <f>D7701*E7701</f>
        <v>2250000</v>
      </c>
      <c r="G7701" s="138"/>
      <c r="H7701" s="177"/>
      <c r="I7701" s="139"/>
      <c r="J7701" s="139"/>
      <c r="K7701" s="139"/>
      <c r="L7701" s="139"/>
    </row>
    <row r="7702" spans="1:12" ht="16.5" customHeight="1" x14ac:dyDescent="0.3">
      <c r="A7702" s="141"/>
      <c r="B7702" s="172" t="s">
        <v>1241</v>
      </c>
      <c r="C7702" s="124"/>
      <c r="D7702" s="146"/>
      <c r="E7702" s="388"/>
      <c r="F7702" s="110">
        <f>0.1*F7701</f>
        <v>225000</v>
      </c>
      <c r="G7702" s="138"/>
      <c r="H7702" s="177"/>
      <c r="I7702" s="139"/>
      <c r="J7702" s="139"/>
      <c r="K7702" s="139"/>
      <c r="L7702" s="139"/>
    </row>
    <row r="7703" spans="1:12" ht="16.5" customHeight="1" x14ac:dyDescent="0.35">
      <c r="A7703" s="146"/>
      <c r="B7703" s="196" t="s">
        <v>769</v>
      </c>
      <c r="C7703" s="124"/>
      <c r="D7703" s="146"/>
      <c r="E7703" s="117"/>
      <c r="F7703" s="110">
        <f>SUM(F7701:F7702)</f>
        <v>2475000</v>
      </c>
      <c r="G7703" s="138"/>
      <c r="H7703" s="177"/>
      <c r="I7703" s="139"/>
      <c r="J7703" s="139"/>
      <c r="K7703" s="139"/>
      <c r="L7703" s="139"/>
    </row>
    <row r="7704" spans="1:12" ht="16.5" customHeight="1" x14ac:dyDescent="0.35">
      <c r="A7704" s="111"/>
      <c r="B7704" s="196" t="s">
        <v>808</v>
      </c>
      <c r="C7704" s="173"/>
      <c r="D7704" s="173"/>
      <c r="E7704" s="173"/>
      <c r="F7704" s="173"/>
      <c r="G7704" s="138"/>
      <c r="H7704" s="177"/>
      <c r="I7704" s="139"/>
      <c r="J7704" s="139"/>
      <c r="K7704" s="139"/>
      <c r="L7704" s="139"/>
    </row>
    <row r="7705" spans="1:12" ht="16.5" customHeight="1" x14ac:dyDescent="0.35">
      <c r="A7705" s="146"/>
      <c r="B7705" s="172" t="s">
        <v>808</v>
      </c>
      <c r="C7705" s="115" t="s">
        <v>1043</v>
      </c>
      <c r="D7705" s="115">
        <v>1</v>
      </c>
      <c r="E7705" s="117">
        <v>10000</v>
      </c>
      <c r="F7705" s="121">
        <f>+D7705*E7705</f>
        <v>10000</v>
      </c>
      <c r="G7705" s="138"/>
      <c r="H7705" s="177"/>
      <c r="I7705" s="139"/>
      <c r="J7705" s="139"/>
      <c r="K7705" s="139"/>
      <c r="L7705" s="139"/>
    </row>
    <row r="7706" spans="1:12" ht="16.5" customHeight="1" x14ac:dyDescent="0.35">
      <c r="A7706" s="146"/>
      <c r="B7706" s="196" t="s">
        <v>774</v>
      </c>
      <c r="C7706" s="124"/>
      <c r="D7706" s="146"/>
      <c r="E7706" s="117"/>
      <c r="F7706" s="110">
        <f>SUM(F7705:F7705)</f>
        <v>10000</v>
      </c>
      <c r="G7706" s="138"/>
      <c r="H7706" s="177"/>
      <c r="I7706" s="139"/>
      <c r="J7706" s="139"/>
      <c r="K7706" s="139"/>
      <c r="L7706" s="139"/>
    </row>
    <row r="7707" spans="1:12" ht="16.5" customHeight="1" x14ac:dyDescent="0.35">
      <c r="A7707" s="111"/>
      <c r="B7707" s="196" t="s">
        <v>775</v>
      </c>
      <c r="C7707" s="115"/>
      <c r="D7707" s="115"/>
      <c r="E7707" s="117"/>
      <c r="F7707" s="114">
        <f>+F7703+F7706</f>
        <v>2485000</v>
      </c>
      <c r="G7707" s="138"/>
      <c r="H7707" s="177"/>
      <c r="I7707" s="139"/>
      <c r="J7707" s="139"/>
      <c r="K7707" s="139"/>
      <c r="L7707" s="139"/>
    </row>
    <row r="7708" spans="1:12" ht="16.5" customHeight="1" x14ac:dyDescent="0.35">
      <c r="A7708" s="111"/>
      <c r="B7708" s="172" t="s">
        <v>792</v>
      </c>
      <c r="C7708" s="115"/>
      <c r="D7708" s="115">
        <v>1.05</v>
      </c>
      <c r="E7708" s="117"/>
      <c r="F7708" s="121">
        <f>+D7708*F7707</f>
        <v>2609250</v>
      </c>
      <c r="G7708" s="138"/>
      <c r="H7708" s="177"/>
      <c r="I7708" s="139"/>
      <c r="J7708" s="139"/>
      <c r="K7708" s="139"/>
      <c r="L7708" s="139"/>
    </row>
    <row r="7709" spans="1:12" ht="16.5" customHeight="1" x14ac:dyDescent="0.35">
      <c r="A7709" s="173"/>
      <c r="B7709" s="172" t="s">
        <v>848</v>
      </c>
      <c r="C7709" s="173"/>
      <c r="D7709" s="144">
        <v>1.05</v>
      </c>
      <c r="E7709" s="173"/>
      <c r="F7709" s="173"/>
      <c r="G7709" s="138"/>
      <c r="H7709" s="177"/>
      <c r="I7709" s="139"/>
      <c r="J7709" s="139"/>
      <c r="K7709" s="139"/>
      <c r="L7709" s="139"/>
    </row>
    <row r="7710" spans="1:12" ht="16.5" customHeight="1" x14ac:dyDescent="0.35">
      <c r="A7710" s="340" t="s">
        <v>599</v>
      </c>
      <c r="B7710" s="242" t="s">
        <v>778</v>
      </c>
      <c r="C7710" s="386" t="s">
        <v>7</v>
      </c>
      <c r="D7710" s="335"/>
      <c r="E7710" s="210"/>
      <c r="F7710" s="209">
        <f>+D7709*F7708</f>
        <v>2739712.5</v>
      </c>
      <c r="G7710" s="138"/>
      <c r="H7710" s="177"/>
      <c r="I7710" s="139"/>
      <c r="J7710" s="139"/>
      <c r="K7710" s="139"/>
      <c r="L7710" s="139"/>
    </row>
    <row r="7711" spans="1:12" ht="16.5" customHeight="1" x14ac:dyDescent="0.35">
      <c r="A7711" s="340"/>
      <c r="B7711" s="242"/>
      <c r="C7711" s="337"/>
      <c r="D7711" s="335"/>
      <c r="E7711" s="210">
        <f>+E7695</f>
        <v>3035.45</v>
      </c>
      <c r="F7711" s="210">
        <f>+F7710/E7711</f>
        <v>902.57210627748771</v>
      </c>
      <c r="G7711" s="138"/>
      <c r="H7711" s="177"/>
      <c r="I7711" s="139"/>
      <c r="J7711" s="139"/>
      <c r="K7711" s="139"/>
      <c r="L7711" s="139"/>
    </row>
    <row r="7712" spans="1:12" ht="16.5" customHeight="1" x14ac:dyDescent="0.35">
      <c r="A7712" s="198"/>
      <c r="B7712" s="106"/>
      <c r="C7712" s="165"/>
      <c r="E7712" s="161"/>
      <c r="F7712" s="161"/>
      <c r="G7712" s="138"/>
      <c r="H7712" s="177"/>
      <c r="I7712" s="139"/>
      <c r="J7712" s="139"/>
      <c r="K7712" s="139"/>
      <c r="L7712" s="139"/>
    </row>
    <row r="7713" spans="1:12" ht="16.5" customHeight="1" x14ac:dyDescent="0.35">
      <c r="A7713" s="198"/>
      <c r="B7713" s="106"/>
      <c r="C7713" s="165"/>
      <c r="D7713" s="163"/>
      <c r="E7713" s="161"/>
      <c r="F7713" s="161"/>
      <c r="G7713" s="138"/>
      <c r="H7713" s="177"/>
      <c r="I7713" s="139"/>
      <c r="J7713" s="139"/>
      <c r="K7713" s="139"/>
      <c r="L7713" s="139"/>
    </row>
    <row r="7714" spans="1:12" ht="16.5" customHeight="1" x14ac:dyDescent="0.3">
      <c r="A7714" s="388" t="s">
        <v>588</v>
      </c>
      <c r="B7714" s="258" t="s">
        <v>589</v>
      </c>
      <c r="C7714" s="368" t="s">
        <v>611</v>
      </c>
      <c r="D7714" s="369" t="s">
        <v>765</v>
      </c>
      <c r="E7714" s="370" t="s">
        <v>766</v>
      </c>
      <c r="F7714" s="370" t="s">
        <v>767</v>
      </c>
      <c r="G7714" s="138"/>
      <c r="H7714" s="177"/>
      <c r="I7714" s="139"/>
      <c r="J7714" s="139"/>
      <c r="K7714" s="139"/>
      <c r="L7714" s="139"/>
    </row>
    <row r="7715" spans="1:12" ht="16.5" customHeight="1" x14ac:dyDescent="0.3">
      <c r="A7715" s="388" t="s">
        <v>1271</v>
      </c>
      <c r="B7715" s="388" t="s">
        <v>601</v>
      </c>
      <c r="C7715" s="144" t="s">
        <v>747</v>
      </c>
      <c r="D7715" s="173"/>
      <c r="E7715" s="173"/>
      <c r="F7715" s="173"/>
      <c r="G7715" s="138"/>
      <c r="H7715" s="177"/>
      <c r="I7715" s="139"/>
      <c r="J7715" s="139"/>
      <c r="K7715" s="139"/>
      <c r="L7715" s="139"/>
    </row>
    <row r="7716" spans="1:12" ht="16.5" customHeight="1" x14ac:dyDescent="0.3">
      <c r="A7716" s="388" t="s">
        <v>602</v>
      </c>
      <c r="B7716" s="388" t="s">
        <v>603</v>
      </c>
      <c r="C7716" s="144" t="s">
        <v>747</v>
      </c>
      <c r="D7716" s="173"/>
      <c r="E7716" s="173"/>
      <c r="F7716" s="173"/>
      <c r="G7716" s="138"/>
      <c r="H7716" s="177"/>
      <c r="I7716" s="139"/>
      <c r="J7716" s="139"/>
      <c r="K7716" s="139"/>
      <c r="L7716" s="139"/>
    </row>
    <row r="7717" spans="1:12" ht="16.5" customHeight="1" x14ac:dyDescent="0.3">
      <c r="A7717" s="146"/>
      <c r="B7717" s="388" t="s">
        <v>1272</v>
      </c>
      <c r="C7717" s="388" t="s">
        <v>747</v>
      </c>
      <c r="D7717" s="381">
        <v>1</v>
      </c>
      <c r="E7717" s="150">
        <v>5000000</v>
      </c>
      <c r="F7717" s="150">
        <f>D7717*E7717</f>
        <v>5000000</v>
      </c>
      <c r="G7717" s="138"/>
      <c r="H7717" s="177"/>
      <c r="I7717" s="139"/>
      <c r="J7717" s="139"/>
      <c r="K7717" s="139"/>
      <c r="L7717" s="139"/>
    </row>
    <row r="7718" spans="1:12" ht="16.5" customHeight="1" x14ac:dyDescent="0.3">
      <c r="A7718" s="141"/>
      <c r="B7718" s="172" t="s">
        <v>1241</v>
      </c>
      <c r="C7718" s="124"/>
      <c r="D7718" s="146"/>
      <c r="E7718" s="388"/>
      <c r="F7718" s="110">
        <f>0.1*F7717</f>
        <v>500000</v>
      </c>
      <c r="G7718" s="138"/>
      <c r="H7718" s="177"/>
      <c r="I7718" s="139"/>
      <c r="J7718" s="139"/>
      <c r="K7718" s="139"/>
      <c r="L7718" s="139"/>
    </row>
    <row r="7719" spans="1:12" ht="16.5" customHeight="1" x14ac:dyDescent="0.35">
      <c r="A7719" s="146"/>
      <c r="B7719" s="196" t="s">
        <v>769</v>
      </c>
      <c r="C7719" s="124"/>
      <c r="D7719" s="146"/>
      <c r="E7719" s="117"/>
      <c r="F7719" s="110">
        <f>SUM(F7717:F7718)</f>
        <v>5500000</v>
      </c>
      <c r="G7719" s="138"/>
      <c r="H7719" s="177"/>
      <c r="I7719" s="139"/>
      <c r="J7719" s="139"/>
      <c r="K7719" s="139"/>
      <c r="L7719" s="139"/>
    </row>
    <row r="7720" spans="1:12" ht="16.5" customHeight="1" x14ac:dyDescent="0.35">
      <c r="A7720" s="111"/>
      <c r="B7720" s="196" t="s">
        <v>808</v>
      </c>
      <c r="C7720" s="173"/>
      <c r="D7720" s="173"/>
      <c r="E7720" s="173"/>
      <c r="F7720" s="173"/>
      <c r="G7720" s="138"/>
      <c r="H7720" s="177"/>
      <c r="I7720" s="139"/>
      <c r="J7720" s="139"/>
      <c r="K7720" s="139"/>
      <c r="L7720" s="139"/>
    </row>
    <row r="7721" spans="1:12" ht="16.5" customHeight="1" x14ac:dyDescent="0.35">
      <c r="A7721" s="146"/>
      <c r="B7721" s="172" t="s">
        <v>808</v>
      </c>
      <c r="C7721" s="115" t="s">
        <v>1043</v>
      </c>
      <c r="D7721" s="115">
        <v>1</v>
      </c>
      <c r="E7721" s="117">
        <v>10000</v>
      </c>
      <c r="F7721" s="121">
        <f>+D7721*E7721</f>
        <v>10000</v>
      </c>
      <c r="G7721" s="138"/>
      <c r="H7721" s="177"/>
      <c r="I7721" s="139"/>
      <c r="J7721" s="139"/>
      <c r="K7721" s="139"/>
      <c r="L7721" s="139"/>
    </row>
    <row r="7722" spans="1:12" ht="16.5" customHeight="1" x14ac:dyDescent="0.35">
      <c r="A7722" s="146"/>
      <c r="B7722" s="196" t="s">
        <v>774</v>
      </c>
      <c r="C7722" s="124"/>
      <c r="D7722" s="146"/>
      <c r="E7722" s="117"/>
      <c r="F7722" s="110">
        <f>SUM(F7721:F7721)</f>
        <v>10000</v>
      </c>
      <c r="G7722" s="138"/>
      <c r="H7722" s="177"/>
      <c r="I7722" s="139"/>
      <c r="J7722" s="139"/>
      <c r="K7722" s="139"/>
      <c r="L7722" s="139"/>
    </row>
    <row r="7723" spans="1:12" ht="16.5" customHeight="1" x14ac:dyDescent="0.35">
      <c r="A7723" s="111"/>
      <c r="B7723" s="196" t="s">
        <v>775</v>
      </c>
      <c r="C7723" s="115"/>
      <c r="D7723" s="115"/>
      <c r="E7723" s="117"/>
      <c r="F7723" s="114">
        <f>+F7719+F7722</f>
        <v>5510000</v>
      </c>
      <c r="G7723" s="138"/>
      <c r="H7723" s="177"/>
      <c r="I7723" s="139"/>
      <c r="J7723" s="139"/>
      <c r="K7723" s="139"/>
      <c r="L7723" s="139"/>
    </row>
    <row r="7724" spans="1:12" ht="16.5" customHeight="1" x14ac:dyDescent="0.35">
      <c r="A7724" s="111"/>
      <c r="B7724" s="172" t="s">
        <v>792</v>
      </c>
      <c r="C7724" s="115"/>
      <c r="D7724" s="115">
        <v>1.05</v>
      </c>
      <c r="E7724" s="117"/>
      <c r="F7724" s="121">
        <f>+D7724*F7723</f>
        <v>5785500</v>
      </c>
      <c r="G7724" s="138"/>
      <c r="H7724" s="177"/>
      <c r="I7724" s="139"/>
      <c r="J7724" s="139"/>
      <c r="K7724" s="139"/>
      <c r="L7724" s="139"/>
    </row>
    <row r="7725" spans="1:12" ht="16.5" customHeight="1" x14ac:dyDescent="0.35">
      <c r="A7725" s="173"/>
      <c r="B7725" s="172" t="s">
        <v>848</v>
      </c>
      <c r="C7725" s="173"/>
      <c r="D7725" s="144">
        <v>1.05</v>
      </c>
      <c r="E7725" s="173"/>
      <c r="F7725" s="173"/>
      <c r="G7725" s="138"/>
      <c r="H7725" s="177"/>
      <c r="I7725" s="139"/>
      <c r="J7725" s="139"/>
      <c r="K7725" s="139"/>
      <c r="L7725" s="139"/>
    </row>
    <row r="7726" spans="1:12" ht="16.5" customHeight="1" x14ac:dyDescent="0.35">
      <c r="A7726" s="340" t="s">
        <v>602</v>
      </c>
      <c r="B7726" s="242" t="s">
        <v>778</v>
      </c>
      <c r="C7726" s="386" t="s">
        <v>7</v>
      </c>
      <c r="D7726" s="335"/>
      <c r="E7726" s="210"/>
      <c r="F7726" s="209">
        <f>+D7725*F7724</f>
        <v>6074775</v>
      </c>
      <c r="G7726" s="138"/>
      <c r="H7726" s="177"/>
      <c r="I7726" s="139"/>
      <c r="J7726" s="139"/>
      <c r="K7726" s="139"/>
      <c r="L7726" s="139"/>
    </row>
    <row r="7727" spans="1:12" ht="16.5" customHeight="1" x14ac:dyDescent="0.35">
      <c r="A7727" s="340"/>
      <c r="B7727" s="242"/>
      <c r="C7727" s="337"/>
      <c r="D7727" s="335"/>
      <c r="E7727" s="210">
        <f>+E7711</f>
        <v>3035.45</v>
      </c>
      <c r="F7727" s="210">
        <f>+F7726/E7727</f>
        <v>2001.2765817259385</v>
      </c>
      <c r="G7727" s="138"/>
      <c r="H7727" s="177"/>
      <c r="I7727" s="139"/>
      <c r="J7727" s="139"/>
      <c r="K7727" s="139"/>
      <c r="L7727" s="139"/>
    </row>
    <row r="7728" spans="1:12" ht="16.5" customHeight="1" x14ac:dyDescent="0.35">
      <c r="A7728" s="198"/>
      <c r="B7728" s="106"/>
      <c r="C7728" s="165"/>
      <c r="E7728" s="161"/>
      <c r="F7728" s="161"/>
      <c r="G7728" s="138"/>
      <c r="H7728" s="177"/>
      <c r="I7728" s="139"/>
      <c r="J7728" s="139"/>
      <c r="K7728" s="139"/>
      <c r="L7728" s="139"/>
    </row>
    <row r="7729" spans="1:12" ht="16.5" customHeight="1" x14ac:dyDescent="0.35">
      <c r="A7729" s="198"/>
      <c r="B7729" s="106"/>
      <c r="C7729" s="165"/>
      <c r="D7729" s="163"/>
      <c r="E7729" s="161"/>
      <c r="F7729" s="161"/>
      <c r="G7729" s="138"/>
      <c r="H7729" s="177"/>
      <c r="I7729" s="139"/>
      <c r="J7729" s="139"/>
      <c r="K7729" s="139"/>
      <c r="L7729" s="139"/>
    </row>
    <row r="7730" spans="1:12" ht="16.5" customHeight="1" x14ac:dyDescent="0.3">
      <c r="A7730" s="388" t="s">
        <v>588</v>
      </c>
      <c r="B7730" s="258" t="s">
        <v>589</v>
      </c>
      <c r="C7730" s="368" t="s">
        <v>611</v>
      </c>
      <c r="D7730" s="369" t="s">
        <v>765</v>
      </c>
      <c r="E7730" s="370" t="s">
        <v>766</v>
      </c>
      <c r="F7730" s="370" t="s">
        <v>767</v>
      </c>
      <c r="G7730" s="138"/>
      <c r="H7730" s="177"/>
      <c r="I7730" s="139"/>
      <c r="J7730" s="139"/>
      <c r="K7730" s="139"/>
      <c r="L7730" s="139"/>
    </row>
    <row r="7731" spans="1:12" ht="16.5" customHeight="1" x14ac:dyDescent="0.3">
      <c r="A7731" s="388" t="s">
        <v>1271</v>
      </c>
      <c r="B7731" s="388" t="s">
        <v>601</v>
      </c>
      <c r="C7731" s="144" t="s">
        <v>747</v>
      </c>
      <c r="D7731" s="173"/>
      <c r="E7731" s="173"/>
      <c r="F7731" s="173"/>
      <c r="G7731" s="138"/>
      <c r="H7731" s="177"/>
      <c r="I7731" s="139"/>
      <c r="J7731" s="139"/>
      <c r="K7731" s="139"/>
      <c r="L7731" s="139"/>
    </row>
    <row r="7732" spans="1:12" ht="16.5" customHeight="1" x14ac:dyDescent="0.3">
      <c r="A7732" s="388" t="s">
        <v>604</v>
      </c>
      <c r="B7732" s="388" t="s">
        <v>605</v>
      </c>
      <c r="C7732" s="144" t="s">
        <v>747</v>
      </c>
      <c r="D7732" s="173"/>
      <c r="E7732" s="173"/>
      <c r="F7732" s="173"/>
      <c r="G7732" s="138"/>
      <c r="H7732" s="177"/>
      <c r="I7732" s="139"/>
      <c r="J7732" s="139"/>
      <c r="K7732" s="139"/>
      <c r="L7732" s="139"/>
    </row>
    <row r="7733" spans="1:12" ht="16.5" customHeight="1" x14ac:dyDescent="0.3">
      <c r="A7733" s="146"/>
      <c r="B7733" s="388" t="s">
        <v>605</v>
      </c>
      <c r="C7733" s="388" t="s">
        <v>747</v>
      </c>
      <c r="D7733" s="381">
        <v>1</v>
      </c>
      <c r="E7733" s="150">
        <v>4800000</v>
      </c>
      <c r="F7733" s="150">
        <f>D7733*E7733</f>
        <v>4800000</v>
      </c>
      <c r="G7733" s="138"/>
      <c r="H7733" s="177"/>
      <c r="I7733" s="139"/>
      <c r="J7733" s="139"/>
      <c r="K7733" s="139"/>
      <c r="L7733" s="139"/>
    </row>
    <row r="7734" spans="1:12" ht="16.5" customHeight="1" x14ac:dyDescent="0.3">
      <c r="A7734" s="141"/>
      <c r="B7734" s="172" t="s">
        <v>1241</v>
      </c>
      <c r="C7734" s="124"/>
      <c r="D7734" s="146"/>
      <c r="E7734" s="388"/>
      <c r="F7734" s="110">
        <f>0.1*F7733</f>
        <v>480000</v>
      </c>
      <c r="G7734" s="138"/>
      <c r="H7734" s="177"/>
      <c r="I7734" s="139"/>
      <c r="J7734" s="139"/>
      <c r="K7734" s="139"/>
      <c r="L7734" s="139"/>
    </row>
    <row r="7735" spans="1:12" ht="16.5" customHeight="1" x14ac:dyDescent="0.35">
      <c r="A7735" s="146"/>
      <c r="B7735" s="196" t="s">
        <v>769</v>
      </c>
      <c r="C7735" s="124"/>
      <c r="D7735" s="146"/>
      <c r="E7735" s="117"/>
      <c r="F7735" s="110">
        <f>SUM(F7733:F7734)</f>
        <v>5280000</v>
      </c>
      <c r="G7735" s="138"/>
      <c r="H7735" s="177"/>
      <c r="I7735" s="139"/>
      <c r="J7735" s="139"/>
      <c r="K7735" s="139"/>
      <c r="L7735" s="139"/>
    </row>
    <row r="7736" spans="1:12" ht="16.5" customHeight="1" x14ac:dyDescent="0.35">
      <c r="A7736" s="111"/>
      <c r="B7736" s="196" t="s">
        <v>808</v>
      </c>
      <c r="C7736" s="173"/>
      <c r="D7736" s="173"/>
      <c r="E7736" s="173"/>
      <c r="F7736" s="173"/>
      <c r="G7736" s="138"/>
      <c r="H7736" s="177"/>
      <c r="I7736" s="139"/>
      <c r="J7736" s="139"/>
      <c r="K7736" s="139"/>
      <c r="L7736" s="139"/>
    </row>
    <row r="7737" spans="1:12" ht="16.5" customHeight="1" x14ac:dyDescent="0.35">
      <c r="A7737" s="146"/>
      <c r="B7737" s="172" t="s">
        <v>808</v>
      </c>
      <c r="C7737" s="115" t="s">
        <v>1043</v>
      </c>
      <c r="D7737" s="115">
        <v>1</v>
      </c>
      <c r="E7737" s="117">
        <v>10000</v>
      </c>
      <c r="F7737" s="121">
        <f>+D7737*E7737</f>
        <v>10000</v>
      </c>
      <c r="G7737" s="138"/>
      <c r="H7737" s="177"/>
      <c r="I7737" s="139"/>
      <c r="J7737" s="139"/>
      <c r="K7737" s="139"/>
      <c r="L7737" s="139"/>
    </row>
    <row r="7738" spans="1:12" ht="16.5" customHeight="1" x14ac:dyDescent="0.35">
      <c r="A7738" s="146"/>
      <c r="B7738" s="196" t="s">
        <v>774</v>
      </c>
      <c r="C7738" s="124"/>
      <c r="D7738" s="146"/>
      <c r="E7738" s="117"/>
      <c r="F7738" s="110">
        <f>SUM(F7737:F7737)</f>
        <v>10000</v>
      </c>
      <c r="G7738" s="138"/>
      <c r="H7738" s="177"/>
      <c r="I7738" s="139"/>
      <c r="J7738" s="139"/>
      <c r="K7738" s="139"/>
      <c r="L7738" s="139"/>
    </row>
    <row r="7739" spans="1:12" ht="16.5" customHeight="1" x14ac:dyDescent="0.35">
      <c r="A7739" s="111"/>
      <c r="B7739" s="196" t="s">
        <v>775</v>
      </c>
      <c r="C7739" s="115"/>
      <c r="D7739" s="115"/>
      <c r="E7739" s="117"/>
      <c r="F7739" s="114">
        <f>+F7735+F7738</f>
        <v>5290000</v>
      </c>
      <c r="G7739" s="138"/>
      <c r="H7739" s="177"/>
      <c r="I7739" s="139"/>
      <c r="J7739" s="139"/>
      <c r="K7739" s="139"/>
      <c r="L7739" s="139"/>
    </row>
    <row r="7740" spans="1:12" ht="16.5" customHeight="1" x14ac:dyDescent="0.35">
      <c r="A7740" s="111"/>
      <c r="B7740" s="172" t="s">
        <v>792</v>
      </c>
      <c r="C7740" s="115"/>
      <c r="D7740" s="115">
        <v>1.05</v>
      </c>
      <c r="E7740" s="117"/>
      <c r="F7740" s="121">
        <f>+D7740*F7739</f>
        <v>5554500</v>
      </c>
      <c r="G7740" s="138"/>
      <c r="H7740" s="177"/>
      <c r="I7740" s="139"/>
      <c r="J7740" s="139"/>
      <c r="K7740" s="139"/>
      <c r="L7740" s="139"/>
    </row>
    <row r="7741" spans="1:12" ht="16.5" customHeight="1" x14ac:dyDescent="0.35">
      <c r="A7741" s="173"/>
      <c r="B7741" s="172" t="s">
        <v>848</v>
      </c>
      <c r="C7741" s="173"/>
      <c r="D7741" s="144">
        <v>1.05</v>
      </c>
      <c r="E7741" s="173"/>
      <c r="F7741" s="173"/>
      <c r="G7741" s="138"/>
      <c r="H7741" s="177"/>
      <c r="I7741" s="139"/>
      <c r="J7741" s="139"/>
      <c r="K7741" s="139"/>
      <c r="L7741" s="139"/>
    </row>
    <row r="7742" spans="1:12" ht="16.5" customHeight="1" x14ac:dyDescent="0.35">
      <c r="A7742" s="340" t="s">
        <v>604</v>
      </c>
      <c r="B7742" s="242" t="s">
        <v>778</v>
      </c>
      <c r="C7742" s="386" t="s">
        <v>7</v>
      </c>
      <c r="D7742" s="335"/>
      <c r="E7742" s="210"/>
      <c r="F7742" s="209">
        <f>+D7741*F7740</f>
        <v>5832225</v>
      </c>
      <c r="G7742" s="138"/>
      <c r="H7742" s="177"/>
      <c r="I7742" s="139"/>
      <c r="J7742" s="139"/>
      <c r="K7742" s="139"/>
      <c r="L7742" s="139"/>
    </row>
    <row r="7743" spans="1:12" ht="16.5" customHeight="1" x14ac:dyDescent="0.35">
      <c r="A7743" s="340"/>
      <c r="B7743" s="242"/>
      <c r="C7743" s="337"/>
      <c r="D7743" s="335"/>
      <c r="E7743" s="210">
        <f>+E7727</f>
        <v>3035.45</v>
      </c>
      <c r="F7743" s="210">
        <f>+F7742/E7743</f>
        <v>1921.370801693324</v>
      </c>
      <c r="G7743" s="138"/>
      <c r="H7743" s="177"/>
      <c r="I7743" s="139"/>
      <c r="J7743" s="139"/>
      <c r="K7743" s="139"/>
      <c r="L7743" s="139"/>
    </row>
    <row r="7744" spans="1:12" ht="16.5" customHeight="1" x14ac:dyDescent="0.35">
      <c r="A7744" s="198"/>
      <c r="B7744" s="106"/>
      <c r="C7744" s="165"/>
      <c r="E7744" s="161"/>
      <c r="F7744" s="161"/>
      <c r="G7744" s="138"/>
      <c r="H7744" s="177"/>
      <c r="I7744" s="139"/>
      <c r="J7744" s="139"/>
      <c r="K7744" s="139"/>
      <c r="L7744" s="139"/>
    </row>
    <row r="7745" spans="1:12" ht="16.5" customHeight="1" x14ac:dyDescent="0.35">
      <c r="A7745" s="198"/>
      <c r="B7745" s="106"/>
      <c r="C7745" s="165"/>
      <c r="D7745" s="163"/>
      <c r="E7745" s="161"/>
      <c r="F7745" s="161"/>
      <c r="G7745" s="138"/>
      <c r="H7745" s="177"/>
      <c r="I7745" s="139"/>
      <c r="J7745" s="139"/>
      <c r="K7745" s="139"/>
      <c r="L7745" s="139"/>
    </row>
    <row r="7746" spans="1:12" ht="16.5" customHeight="1" x14ac:dyDescent="0.3">
      <c r="A7746" s="388" t="s">
        <v>588</v>
      </c>
      <c r="B7746" s="258" t="s">
        <v>589</v>
      </c>
      <c r="C7746" s="368" t="s">
        <v>611</v>
      </c>
      <c r="D7746" s="369" t="s">
        <v>765</v>
      </c>
      <c r="E7746" s="370" t="s">
        <v>766</v>
      </c>
      <c r="F7746" s="370" t="s">
        <v>767</v>
      </c>
      <c r="G7746" s="138"/>
      <c r="H7746" s="177"/>
      <c r="I7746" s="139"/>
      <c r="J7746" s="139"/>
      <c r="K7746" s="139"/>
      <c r="L7746" s="139"/>
    </row>
    <row r="7747" spans="1:12" ht="16.5" customHeight="1" x14ac:dyDescent="0.3">
      <c r="A7747" s="388" t="s">
        <v>1271</v>
      </c>
      <c r="B7747" s="388" t="s">
        <v>601</v>
      </c>
      <c r="C7747" s="144" t="s">
        <v>747</v>
      </c>
      <c r="D7747" s="173"/>
      <c r="E7747" s="173"/>
      <c r="F7747" s="173"/>
      <c r="G7747" s="138"/>
      <c r="H7747" s="177"/>
      <c r="I7747" s="139"/>
      <c r="J7747" s="139"/>
      <c r="K7747" s="139"/>
      <c r="L7747" s="139"/>
    </row>
    <row r="7748" spans="1:12" ht="16.5" customHeight="1" x14ac:dyDescent="0.3">
      <c r="A7748" s="388" t="s">
        <v>606</v>
      </c>
      <c r="B7748" s="388" t="s">
        <v>607</v>
      </c>
      <c r="C7748" s="144" t="s">
        <v>747</v>
      </c>
      <c r="D7748" s="173"/>
      <c r="E7748" s="173"/>
      <c r="F7748" s="173"/>
      <c r="G7748" s="138"/>
      <c r="H7748" s="177"/>
      <c r="I7748" s="139"/>
      <c r="J7748" s="139"/>
      <c r="K7748" s="139"/>
      <c r="L7748" s="139"/>
    </row>
    <row r="7749" spans="1:12" ht="16.5" customHeight="1" x14ac:dyDescent="0.3">
      <c r="A7749" s="146"/>
      <c r="B7749" s="388" t="s">
        <v>607</v>
      </c>
      <c r="C7749" s="388" t="s">
        <v>747</v>
      </c>
      <c r="D7749" s="381">
        <v>1</v>
      </c>
      <c r="E7749" s="150">
        <v>650000</v>
      </c>
      <c r="F7749" s="150">
        <f>D7749*E7749</f>
        <v>650000</v>
      </c>
      <c r="G7749" s="138"/>
      <c r="H7749" s="177"/>
      <c r="I7749" s="139"/>
      <c r="J7749" s="139"/>
      <c r="K7749" s="139"/>
      <c r="L7749" s="139"/>
    </row>
    <row r="7750" spans="1:12" ht="16.5" customHeight="1" x14ac:dyDescent="0.3">
      <c r="A7750" s="141"/>
      <c r="B7750" s="172" t="s">
        <v>1241</v>
      </c>
      <c r="C7750" s="124"/>
      <c r="D7750" s="146"/>
      <c r="E7750" s="388"/>
      <c r="F7750" s="110">
        <f>0.1*F7749</f>
        <v>65000</v>
      </c>
      <c r="G7750" s="138"/>
      <c r="H7750" s="177"/>
      <c r="I7750" s="139"/>
      <c r="J7750" s="139"/>
      <c r="K7750" s="139"/>
      <c r="L7750" s="139"/>
    </row>
    <row r="7751" spans="1:12" ht="16.5" customHeight="1" x14ac:dyDescent="0.35">
      <c r="A7751" s="146"/>
      <c r="B7751" s="196" t="s">
        <v>769</v>
      </c>
      <c r="C7751" s="124"/>
      <c r="D7751" s="146"/>
      <c r="E7751" s="117"/>
      <c r="F7751" s="110">
        <f>SUM(F7749:F7750)</f>
        <v>715000</v>
      </c>
      <c r="G7751" s="138"/>
      <c r="H7751" s="177"/>
      <c r="I7751" s="139"/>
      <c r="J7751" s="139"/>
      <c r="K7751" s="139"/>
      <c r="L7751" s="139"/>
    </row>
    <row r="7752" spans="1:12" ht="16.5" customHeight="1" x14ac:dyDescent="0.35">
      <c r="A7752" s="111"/>
      <c r="B7752" s="196" t="s">
        <v>808</v>
      </c>
      <c r="C7752" s="173"/>
      <c r="D7752" s="173"/>
      <c r="E7752" s="173"/>
      <c r="F7752" s="173"/>
      <c r="G7752" s="138"/>
      <c r="H7752" s="177"/>
      <c r="I7752" s="139"/>
      <c r="J7752" s="139"/>
      <c r="K7752" s="139"/>
      <c r="L7752" s="139"/>
    </row>
    <row r="7753" spans="1:12" ht="16.5" customHeight="1" x14ac:dyDescent="0.35">
      <c r="A7753" s="146"/>
      <c r="B7753" s="172" t="s">
        <v>808</v>
      </c>
      <c r="C7753" s="115" t="s">
        <v>1043</v>
      </c>
      <c r="D7753" s="115">
        <v>1</v>
      </c>
      <c r="E7753" s="117">
        <v>10000</v>
      </c>
      <c r="F7753" s="121">
        <f>+D7753*E7753</f>
        <v>10000</v>
      </c>
      <c r="G7753" s="138"/>
      <c r="H7753" s="177"/>
      <c r="I7753" s="139"/>
      <c r="J7753" s="139"/>
      <c r="K7753" s="139"/>
      <c r="L7753" s="139"/>
    </row>
    <row r="7754" spans="1:12" ht="16.5" customHeight="1" x14ac:dyDescent="0.35">
      <c r="A7754" s="146"/>
      <c r="B7754" s="196" t="s">
        <v>774</v>
      </c>
      <c r="C7754" s="124"/>
      <c r="D7754" s="146"/>
      <c r="E7754" s="117"/>
      <c r="F7754" s="110">
        <f>SUM(F7753:F7753)</f>
        <v>10000</v>
      </c>
      <c r="G7754" s="138"/>
      <c r="H7754" s="177"/>
      <c r="I7754" s="139"/>
      <c r="J7754" s="139"/>
      <c r="K7754" s="139"/>
      <c r="L7754" s="139"/>
    </row>
    <row r="7755" spans="1:12" ht="16.5" customHeight="1" x14ac:dyDescent="0.35">
      <c r="A7755" s="111"/>
      <c r="B7755" s="196" t="s">
        <v>775</v>
      </c>
      <c r="C7755" s="115"/>
      <c r="D7755" s="115"/>
      <c r="E7755" s="117"/>
      <c r="F7755" s="114">
        <f>+F7751+F7754</f>
        <v>725000</v>
      </c>
      <c r="G7755" s="138"/>
      <c r="H7755" s="177"/>
      <c r="I7755" s="139"/>
      <c r="J7755" s="139"/>
      <c r="K7755" s="139"/>
      <c r="L7755" s="139"/>
    </row>
    <row r="7756" spans="1:12" ht="16.5" customHeight="1" x14ac:dyDescent="0.35">
      <c r="A7756" s="111"/>
      <c r="B7756" s="172" t="s">
        <v>792</v>
      </c>
      <c r="C7756" s="115"/>
      <c r="D7756" s="115">
        <v>1.05</v>
      </c>
      <c r="E7756" s="117"/>
      <c r="F7756" s="121">
        <f>+D7756*F7755</f>
        <v>761250</v>
      </c>
      <c r="G7756" s="138"/>
      <c r="H7756" s="177"/>
      <c r="I7756" s="139"/>
      <c r="J7756" s="139"/>
      <c r="K7756" s="139"/>
      <c r="L7756" s="139"/>
    </row>
    <row r="7757" spans="1:12" ht="16.5" customHeight="1" x14ac:dyDescent="0.35">
      <c r="A7757" s="173"/>
      <c r="B7757" s="172" t="s">
        <v>848</v>
      </c>
      <c r="C7757" s="173"/>
      <c r="D7757" s="144">
        <v>1.05</v>
      </c>
      <c r="E7757" s="173"/>
      <c r="F7757" s="173"/>
      <c r="G7757" s="138"/>
      <c r="H7757" s="177"/>
      <c r="I7757" s="139"/>
      <c r="J7757" s="139"/>
      <c r="K7757" s="139"/>
      <c r="L7757" s="139"/>
    </row>
    <row r="7758" spans="1:12" ht="16.5" customHeight="1" x14ac:dyDescent="0.35">
      <c r="A7758" s="340" t="s">
        <v>606</v>
      </c>
      <c r="B7758" s="242" t="s">
        <v>778</v>
      </c>
      <c r="C7758" s="386" t="s">
        <v>7</v>
      </c>
      <c r="D7758" s="335"/>
      <c r="E7758" s="210"/>
      <c r="F7758" s="209">
        <f>+D7757*F7756</f>
        <v>799312.5</v>
      </c>
      <c r="G7758" s="138"/>
      <c r="H7758" s="177"/>
      <c r="I7758" s="139"/>
      <c r="J7758" s="139"/>
      <c r="K7758" s="139"/>
      <c r="L7758" s="139"/>
    </row>
    <row r="7759" spans="1:12" ht="16.5" customHeight="1" x14ac:dyDescent="0.35">
      <c r="A7759" s="340"/>
      <c r="B7759" s="242"/>
      <c r="C7759" s="337"/>
      <c r="D7759" s="335"/>
      <c r="E7759" s="210">
        <f>+E7743</f>
        <v>3035.45</v>
      </c>
      <c r="F7759" s="210">
        <f>+F7758/E7759</f>
        <v>263.32586601657084</v>
      </c>
      <c r="G7759" s="138"/>
      <c r="H7759" s="177"/>
      <c r="I7759" s="139"/>
      <c r="J7759" s="139"/>
      <c r="K7759" s="139"/>
      <c r="L7759" s="139"/>
    </row>
    <row r="7760" spans="1:12" ht="16.5" customHeight="1" x14ac:dyDescent="0.35">
      <c r="A7760" s="198"/>
      <c r="B7760" s="106"/>
      <c r="C7760" s="165"/>
      <c r="E7760" s="161"/>
      <c r="F7760" s="161"/>
      <c r="G7760" s="138"/>
      <c r="H7760" s="177"/>
      <c r="I7760" s="139"/>
      <c r="J7760" s="139"/>
      <c r="K7760" s="139"/>
      <c r="L7760" s="139"/>
    </row>
    <row r="7761" spans="1:12" ht="16.5" customHeight="1" x14ac:dyDescent="0.35">
      <c r="A7761" s="198"/>
      <c r="B7761" s="106"/>
      <c r="C7761" s="165"/>
      <c r="D7761" s="163"/>
      <c r="E7761" s="161"/>
      <c r="F7761" s="161"/>
      <c r="G7761" s="138"/>
      <c r="H7761" s="177"/>
      <c r="I7761" s="139"/>
      <c r="J7761" s="139"/>
      <c r="K7761" s="139"/>
      <c r="L7761" s="139"/>
    </row>
    <row r="7762" spans="1:12" x14ac:dyDescent="0.35">
      <c r="D7762" s="163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AEDDCD-5B8B-4719-B17E-AB68CF006AD4}">
  <dimension ref="B1:F184"/>
  <sheetViews>
    <sheetView topLeftCell="A10" workbookViewId="0">
      <selection activeCell="J12" sqref="J12"/>
    </sheetView>
  </sheetViews>
  <sheetFormatPr baseColWidth="10" defaultColWidth="12.90625" defaultRowHeight="14" x14ac:dyDescent="0.3"/>
  <cols>
    <col min="1" max="1" width="11.453125" style="1" customWidth="1"/>
    <col min="2" max="2" width="12.90625" style="1" customWidth="1"/>
    <col min="3" max="3" width="73.36328125" style="1" customWidth="1"/>
    <col min="4" max="4" width="7.6328125" style="20" customWidth="1"/>
    <col min="5" max="5" width="16.08984375" style="77" bestFit="1" customWidth="1"/>
    <col min="6" max="6" width="29.54296875" style="19" customWidth="1"/>
    <col min="7" max="255" width="12.90625" style="1"/>
    <col min="256" max="256" width="11.453125" style="1" customWidth="1"/>
    <col min="257" max="257" width="12.90625" style="1" customWidth="1"/>
    <col min="258" max="258" width="71.54296875" style="1" bestFit="1" customWidth="1"/>
    <col min="259" max="259" width="7.6328125" style="1" customWidth="1"/>
    <col min="260" max="260" width="14.453125" style="1" customWidth="1"/>
    <col min="261" max="261" width="24" style="1" customWidth="1"/>
    <col min="262" max="262" width="24.08984375" style="1" customWidth="1"/>
    <col min="263" max="511" width="12.90625" style="1"/>
    <col min="512" max="512" width="11.453125" style="1" customWidth="1"/>
    <col min="513" max="513" width="12.90625" style="1" customWidth="1"/>
    <col min="514" max="514" width="71.54296875" style="1" bestFit="1" customWidth="1"/>
    <col min="515" max="515" width="7.6328125" style="1" customWidth="1"/>
    <col min="516" max="516" width="14.453125" style="1" customWidth="1"/>
    <col min="517" max="517" width="24" style="1" customWidth="1"/>
    <col min="518" max="518" width="24.08984375" style="1" customWidth="1"/>
    <col min="519" max="767" width="12.90625" style="1"/>
    <col min="768" max="768" width="11.453125" style="1" customWidth="1"/>
    <col min="769" max="769" width="12.90625" style="1" customWidth="1"/>
    <col min="770" max="770" width="71.54296875" style="1" bestFit="1" customWidth="1"/>
    <col min="771" max="771" width="7.6328125" style="1" customWidth="1"/>
    <col min="772" max="772" width="14.453125" style="1" customWidth="1"/>
    <col min="773" max="773" width="24" style="1" customWidth="1"/>
    <col min="774" max="774" width="24.08984375" style="1" customWidth="1"/>
    <col min="775" max="1023" width="12.90625" style="1"/>
    <col min="1024" max="1024" width="11.453125" style="1" customWidth="1"/>
    <col min="1025" max="1025" width="12.90625" style="1" customWidth="1"/>
    <col min="1026" max="1026" width="71.54296875" style="1" bestFit="1" customWidth="1"/>
    <col min="1027" max="1027" width="7.6328125" style="1" customWidth="1"/>
    <col min="1028" max="1028" width="14.453125" style="1" customWidth="1"/>
    <col min="1029" max="1029" width="24" style="1" customWidth="1"/>
    <col min="1030" max="1030" width="24.08984375" style="1" customWidth="1"/>
    <col min="1031" max="1279" width="12.90625" style="1"/>
    <col min="1280" max="1280" width="11.453125" style="1" customWidth="1"/>
    <col min="1281" max="1281" width="12.90625" style="1" customWidth="1"/>
    <col min="1282" max="1282" width="71.54296875" style="1" bestFit="1" customWidth="1"/>
    <col min="1283" max="1283" width="7.6328125" style="1" customWidth="1"/>
    <col min="1284" max="1284" width="14.453125" style="1" customWidth="1"/>
    <col min="1285" max="1285" width="24" style="1" customWidth="1"/>
    <col min="1286" max="1286" width="24.08984375" style="1" customWidth="1"/>
    <col min="1287" max="1535" width="12.90625" style="1"/>
    <col min="1536" max="1536" width="11.453125" style="1" customWidth="1"/>
    <col min="1537" max="1537" width="12.90625" style="1" customWidth="1"/>
    <col min="1538" max="1538" width="71.54296875" style="1" bestFit="1" customWidth="1"/>
    <col min="1539" max="1539" width="7.6328125" style="1" customWidth="1"/>
    <col min="1540" max="1540" width="14.453125" style="1" customWidth="1"/>
    <col min="1541" max="1541" width="24" style="1" customWidth="1"/>
    <col min="1542" max="1542" width="24.08984375" style="1" customWidth="1"/>
    <col min="1543" max="1791" width="12.90625" style="1"/>
    <col min="1792" max="1792" width="11.453125" style="1" customWidth="1"/>
    <col min="1793" max="1793" width="12.90625" style="1" customWidth="1"/>
    <col min="1794" max="1794" width="71.54296875" style="1" bestFit="1" customWidth="1"/>
    <col min="1795" max="1795" width="7.6328125" style="1" customWidth="1"/>
    <col min="1796" max="1796" width="14.453125" style="1" customWidth="1"/>
    <col min="1797" max="1797" width="24" style="1" customWidth="1"/>
    <col min="1798" max="1798" width="24.08984375" style="1" customWidth="1"/>
    <col min="1799" max="2047" width="12.90625" style="1"/>
    <col min="2048" max="2048" width="11.453125" style="1" customWidth="1"/>
    <col min="2049" max="2049" width="12.90625" style="1" customWidth="1"/>
    <col min="2050" max="2050" width="71.54296875" style="1" bestFit="1" customWidth="1"/>
    <col min="2051" max="2051" width="7.6328125" style="1" customWidth="1"/>
    <col min="2052" max="2052" width="14.453125" style="1" customWidth="1"/>
    <col min="2053" max="2053" width="24" style="1" customWidth="1"/>
    <col min="2054" max="2054" width="24.08984375" style="1" customWidth="1"/>
    <col min="2055" max="2303" width="12.90625" style="1"/>
    <col min="2304" max="2304" width="11.453125" style="1" customWidth="1"/>
    <col min="2305" max="2305" width="12.90625" style="1" customWidth="1"/>
    <col min="2306" max="2306" width="71.54296875" style="1" bestFit="1" customWidth="1"/>
    <col min="2307" max="2307" width="7.6328125" style="1" customWidth="1"/>
    <col min="2308" max="2308" width="14.453125" style="1" customWidth="1"/>
    <col min="2309" max="2309" width="24" style="1" customWidth="1"/>
    <col min="2310" max="2310" width="24.08984375" style="1" customWidth="1"/>
    <col min="2311" max="2559" width="12.90625" style="1"/>
    <col min="2560" max="2560" width="11.453125" style="1" customWidth="1"/>
    <col min="2561" max="2561" width="12.90625" style="1" customWidth="1"/>
    <col min="2562" max="2562" width="71.54296875" style="1" bestFit="1" customWidth="1"/>
    <col min="2563" max="2563" width="7.6328125" style="1" customWidth="1"/>
    <col min="2564" max="2564" width="14.453125" style="1" customWidth="1"/>
    <col min="2565" max="2565" width="24" style="1" customWidth="1"/>
    <col min="2566" max="2566" width="24.08984375" style="1" customWidth="1"/>
    <col min="2567" max="2815" width="12.90625" style="1"/>
    <col min="2816" max="2816" width="11.453125" style="1" customWidth="1"/>
    <col min="2817" max="2817" width="12.90625" style="1" customWidth="1"/>
    <col min="2818" max="2818" width="71.54296875" style="1" bestFit="1" customWidth="1"/>
    <col min="2819" max="2819" width="7.6328125" style="1" customWidth="1"/>
    <col min="2820" max="2820" width="14.453125" style="1" customWidth="1"/>
    <col min="2821" max="2821" width="24" style="1" customWidth="1"/>
    <col min="2822" max="2822" width="24.08984375" style="1" customWidth="1"/>
    <col min="2823" max="3071" width="12.90625" style="1"/>
    <col min="3072" max="3072" width="11.453125" style="1" customWidth="1"/>
    <col min="3073" max="3073" width="12.90625" style="1" customWidth="1"/>
    <col min="3074" max="3074" width="71.54296875" style="1" bestFit="1" customWidth="1"/>
    <col min="3075" max="3075" width="7.6328125" style="1" customWidth="1"/>
    <col min="3076" max="3076" width="14.453125" style="1" customWidth="1"/>
    <col min="3077" max="3077" width="24" style="1" customWidth="1"/>
    <col min="3078" max="3078" width="24.08984375" style="1" customWidth="1"/>
    <col min="3079" max="3327" width="12.90625" style="1"/>
    <col min="3328" max="3328" width="11.453125" style="1" customWidth="1"/>
    <col min="3329" max="3329" width="12.90625" style="1" customWidth="1"/>
    <col min="3330" max="3330" width="71.54296875" style="1" bestFit="1" customWidth="1"/>
    <col min="3331" max="3331" width="7.6328125" style="1" customWidth="1"/>
    <col min="3332" max="3332" width="14.453125" style="1" customWidth="1"/>
    <col min="3333" max="3333" width="24" style="1" customWidth="1"/>
    <col min="3334" max="3334" width="24.08984375" style="1" customWidth="1"/>
    <col min="3335" max="3583" width="12.90625" style="1"/>
    <col min="3584" max="3584" width="11.453125" style="1" customWidth="1"/>
    <col min="3585" max="3585" width="12.90625" style="1" customWidth="1"/>
    <col min="3586" max="3586" width="71.54296875" style="1" bestFit="1" customWidth="1"/>
    <col min="3587" max="3587" width="7.6328125" style="1" customWidth="1"/>
    <col min="3588" max="3588" width="14.453125" style="1" customWidth="1"/>
    <col min="3589" max="3589" width="24" style="1" customWidth="1"/>
    <col min="3590" max="3590" width="24.08984375" style="1" customWidth="1"/>
    <col min="3591" max="3839" width="12.90625" style="1"/>
    <col min="3840" max="3840" width="11.453125" style="1" customWidth="1"/>
    <col min="3841" max="3841" width="12.90625" style="1" customWidth="1"/>
    <col min="3842" max="3842" width="71.54296875" style="1" bestFit="1" customWidth="1"/>
    <col min="3843" max="3843" width="7.6328125" style="1" customWidth="1"/>
    <col min="3844" max="3844" width="14.453125" style="1" customWidth="1"/>
    <col min="3845" max="3845" width="24" style="1" customWidth="1"/>
    <col min="3846" max="3846" width="24.08984375" style="1" customWidth="1"/>
    <col min="3847" max="4095" width="12.90625" style="1"/>
    <col min="4096" max="4096" width="11.453125" style="1" customWidth="1"/>
    <col min="4097" max="4097" width="12.90625" style="1" customWidth="1"/>
    <col min="4098" max="4098" width="71.54296875" style="1" bestFit="1" customWidth="1"/>
    <col min="4099" max="4099" width="7.6328125" style="1" customWidth="1"/>
    <col min="4100" max="4100" width="14.453125" style="1" customWidth="1"/>
    <col min="4101" max="4101" width="24" style="1" customWidth="1"/>
    <col min="4102" max="4102" width="24.08984375" style="1" customWidth="1"/>
    <col min="4103" max="4351" width="12.90625" style="1"/>
    <col min="4352" max="4352" width="11.453125" style="1" customWidth="1"/>
    <col min="4353" max="4353" width="12.90625" style="1" customWidth="1"/>
    <col min="4354" max="4354" width="71.54296875" style="1" bestFit="1" customWidth="1"/>
    <col min="4355" max="4355" width="7.6328125" style="1" customWidth="1"/>
    <col min="4356" max="4356" width="14.453125" style="1" customWidth="1"/>
    <col min="4357" max="4357" width="24" style="1" customWidth="1"/>
    <col min="4358" max="4358" width="24.08984375" style="1" customWidth="1"/>
    <col min="4359" max="4607" width="12.90625" style="1"/>
    <col min="4608" max="4608" width="11.453125" style="1" customWidth="1"/>
    <col min="4609" max="4609" width="12.90625" style="1" customWidth="1"/>
    <col min="4610" max="4610" width="71.54296875" style="1" bestFit="1" customWidth="1"/>
    <col min="4611" max="4611" width="7.6328125" style="1" customWidth="1"/>
    <col min="4612" max="4612" width="14.453125" style="1" customWidth="1"/>
    <col min="4613" max="4613" width="24" style="1" customWidth="1"/>
    <col min="4614" max="4614" width="24.08984375" style="1" customWidth="1"/>
    <col min="4615" max="4863" width="12.90625" style="1"/>
    <col min="4864" max="4864" width="11.453125" style="1" customWidth="1"/>
    <col min="4865" max="4865" width="12.90625" style="1" customWidth="1"/>
    <col min="4866" max="4866" width="71.54296875" style="1" bestFit="1" customWidth="1"/>
    <col min="4867" max="4867" width="7.6328125" style="1" customWidth="1"/>
    <col min="4868" max="4868" width="14.453125" style="1" customWidth="1"/>
    <col min="4869" max="4869" width="24" style="1" customWidth="1"/>
    <col min="4870" max="4870" width="24.08984375" style="1" customWidth="1"/>
    <col min="4871" max="5119" width="12.90625" style="1"/>
    <col min="5120" max="5120" width="11.453125" style="1" customWidth="1"/>
    <col min="5121" max="5121" width="12.90625" style="1" customWidth="1"/>
    <col min="5122" max="5122" width="71.54296875" style="1" bestFit="1" customWidth="1"/>
    <col min="5123" max="5123" width="7.6328125" style="1" customWidth="1"/>
    <col min="5124" max="5124" width="14.453125" style="1" customWidth="1"/>
    <col min="5125" max="5125" width="24" style="1" customWidth="1"/>
    <col min="5126" max="5126" width="24.08984375" style="1" customWidth="1"/>
    <col min="5127" max="5375" width="12.90625" style="1"/>
    <col min="5376" max="5376" width="11.453125" style="1" customWidth="1"/>
    <col min="5377" max="5377" width="12.90625" style="1" customWidth="1"/>
    <col min="5378" max="5378" width="71.54296875" style="1" bestFit="1" customWidth="1"/>
    <col min="5379" max="5379" width="7.6328125" style="1" customWidth="1"/>
    <col min="5380" max="5380" width="14.453125" style="1" customWidth="1"/>
    <col min="5381" max="5381" width="24" style="1" customWidth="1"/>
    <col min="5382" max="5382" width="24.08984375" style="1" customWidth="1"/>
    <col min="5383" max="5631" width="12.90625" style="1"/>
    <col min="5632" max="5632" width="11.453125" style="1" customWidth="1"/>
    <col min="5633" max="5633" width="12.90625" style="1" customWidth="1"/>
    <col min="5634" max="5634" width="71.54296875" style="1" bestFit="1" customWidth="1"/>
    <col min="5635" max="5635" width="7.6328125" style="1" customWidth="1"/>
    <col min="5636" max="5636" width="14.453125" style="1" customWidth="1"/>
    <col min="5637" max="5637" width="24" style="1" customWidth="1"/>
    <col min="5638" max="5638" width="24.08984375" style="1" customWidth="1"/>
    <col min="5639" max="5887" width="12.90625" style="1"/>
    <col min="5888" max="5888" width="11.453125" style="1" customWidth="1"/>
    <col min="5889" max="5889" width="12.90625" style="1" customWidth="1"/>
    <col min="5890" max="5890" width="71.54296875" style="1" bestFit="1" customWidth="1"/>
    <col min="5891" max="5891" width="7.6328125" style="1" customWidth="1"/>
    <col min="5892" max="5892" width="14.453125" style="1" customWidth="1"/>
    <col min="5893" max="5893" width="24" style="1" customWidth="1"/>
    <col min="5894" max="5894" width="24.08984375" style="1" customWidth="1"/>
    <col min="5895" max="6143" width="12.90625" style="1"/>
    <col min="6144" max="6144" width="11.453125" style="1" customWidth="1"/>
    <col min="6145" max="6145" width="12.90625" style="1" customWidth="1"/>
    <col min="6146" max="6146" width="71.54296875" style="1" bestFit="1" customWidth="1"/>
    <col min="6147" max="6147" width="7.6328125" style="1" customWidth="1"/>
    <col min="6148" max="6148" width="14.453125" style="1" customWidth="1"/>
    <col min="6149" max="6149" width="24" style="1" customWidth="1"/>
    <col min="6150" max="6150" width="24.08984375" style="1" customWidth="1"/>
    <col min="6151" max="6399" width="12.90625" style="1"/>
    <col min="6400" max="6400" width="11.453125" style="1" customWidth="1"/>
    <col min="6401" max="6401" width="12.90625" style="1" customWidth="1"/>
    <col min="6402" max="6402" width="71.54296875" style="1" bestFit="1" customWidth="1"/>
    <col min="6403" max="6403" width="7.6328125" style="1" customWidth="1"/>
    <col min="6404" max="6404" width="14.453125" style="1" customWidth="1"/>
    <col min="6405" max="6405" width="24" style="1" customWidth="1"/>
    <col min="6406" max="6406" width="24.08984375" style="1" customWidth="1"/>
    <col min="6407" max="6655" width="12.90625" style="1"/>
    <col min="6656" max="6656" width="11.453125" style="1" customWidth="1"/>
    <col min="6657" max="6657" width="12.90625" style="1" customWidth="1"/>
    <col min="6658" max="6658" width="71.54296875" style="1" bestFit="1" customWidth="1"/>
    <col min="6659" max="6659" width="7.6328125" style="1" customWidth="1"/>
    <col min="6660" max="6660" width="14.453125" style="1" customWidth="1"/>
    <col min="6661" max="6661" width="24" style="1" customWidth="1"/>
    <col min="6662" max="6662" width="24.08984375" style="1" customWidth="1"/>
    <col min="6663" max="6911" width="12.90625" style="1"/>
    <col min="6912" max="6912" width="11.453125" style="1" customWidth="1"/>
    <col min="6913" max="6913" width="12.90625" style="1" customWidth="1"/>
    <col min="6914" max="6914" width="71.54296875" style="1" bestFit="1" customWidth="1"/>
    <col min="6915" max="6915" width="7.6328125" style="1" customWidth="1"/>
    <col min="6916" max="6916" width="14.453125" style="1" customWidth="1"/>
    <col min="6917" max="6917" width="24" style="1" customWidth="1"/>
    <col min="6918" max="6918" width="24.08984375" style="1" customWidth="1"/>
    <col min="6919" max="7167" width="12.90625" style="1"/>
    <col min="7168" max="7168" width="11.453125" style="1" customWidth="1"/>
    <col min="7169" max="7169" width="12.90625" style="1" customWidth="1"/>
    <col min="7170" max="7170" width="71.54296875" style="1" bestFit="1" customWidth="1"/>
    <col min="7171" max="7171" width="7.6328125" style="1" customWidth="1"/>
    <col min="7172" max="7172" width="14.453125" style="1" customWidth="1"/>
    <col min="7173" max="7173" width="24" style="1" customWidth="1"/>
    <col min="7174" max="7174" width="24.08984375" style="1" customWidth="1"/>
    <col min="7175" max="7423" width="12.90625" style="1"/>
    <col min="7424" max="7424" width="11.453125" style="1" customWidth="1"/>
    <col min="7425" max="7425" width="12.90625" style="1" customWidth="1"/>
    <col min="7426" max="7426" width="71.54296875" style="1" bestFit="1" customWidth="1"/>
    <col min="7427" max="7427" width="7.6328125" style="1" customWidth="1"/>
    <col min="7428" max="7428" width="14.453125" style="1" customWidth="1"/>
    <col min="7429" max="7429" width="24" style="1" customWidth="1"/>
    <col min="7430" max="7430" width="24.08984375" style="1" customWidth="1"/>
    <col min="7431" max="7679" width="12.90625" style="1"/>
    <col min="7680" max="7680" width="11.453125" style="1" customWidth="1"/>
    <col min="7681" max="7681" width="12.90625" style="1" customWidth="1"/>
    <col min="7682" max="7682" width="71.54296875" style="1" bestFit="1" customWidth="1"/>
    <col min="7683" max="7683" width="7.6328125" style="1" customWidth="1"/>
    <col min="7684" max="7684" width="14.453125" style="1" customWidth="1"/>
    <col min="7685" max="7685" width="24" style="1" customWidth="1"/>
    <col min="7686" max="7686" width="24.08984375" style="1" customWidth="1"/>
    <col min="7687" max="7935" width="12.90625" style="1"/>
    <col min="7936" max="7936" width="11.453125" style="1" customWidth="1"/>
    <col min="7937" max="7937" width="12.90625" style="1" customWidth="1"/>
    <col min="7938" max="7938" width="71.54296875" style="1" bestFit="1" customWidth="1"/>
    <col min="7939" max="7939" width="7.6328125" style="1" customWidth="1"/>
    <col min="7940" max="7940" width="14.453125" style="1" customWidth="1"/>
    <col min="7941" max="7941" width="24" style="1" customWidth="1"/>
    <col min="7942" max="7942" width="24.08984375" style="1" customWidth="1"/>
    <col min="7943" max="8191" width="12.90625" style="1"/>
    <col min="8192" max="8192" width="11.453125" style="1" customWidth="1"/>
    <col min="8193" max="8193" width="12.90625" style="1" customWidth="1"/>
    <col min="8194" max="8194" width="71.54296875" style="1" bestFit="1" customWidth="1"/>
    <col min="8195" max="8195" width="7.6328125" style="1" customWidth="1"/>
    <col min="8196" max="8196" width="14.453125" style="1" customWidth="1"/>
    <col min="8197" max="8197" width="24" style="1" customWidth="1"/>
    <col min="8198" max="8198" width="24.08984375" style="1" customWidth="1"/>
    <col min="8199" max="8447" width="12.90625" style="1"/>
    <col min="8448" max="8448" width="11.453125" style="1" customWidth="1"/>
    <col min="8449" max="8449" width="12.90625" style="1" customWidth="1"/>
    <col min="8450" max="8450" width="71.54296875" style="1" bestFit="1" customWidth="1"/>
    <col min="8451" max="8451" width="7.6328125" style="1" customWidth="1"/>
    <col min="8452" max="8452" width="14.453125" style="1" customWidth="1"/>
    <col min="8453" max="8453" width="24" style="1" customWidth="1"/>
    <col min="8454" max="8454" width="24.08984375" style="1" customWidth="1"/>
    <col min="8455" max="8703" width="12.90625" style="1"/>
    <col min="8704" max="8704" width="11.453125" style="1" customWidth="1"/>
    <col min="8705" max="8705" width="12.90625" style="1" customWidth="1"/>
    <col min="8706" max="8706" width="71.54296875" style="1" bestFit="1" customWidth="1"/>
    <col min="8707" max="8707" width="7.6328125" style="1" customWidth="1"/>
    <col min="8708" max="8708" width="14.453125" style="1" customWidth="1"/>
    <col min="8709" max="8709" width="24" style="1" customWidth="1"/>
    <col min="8710" max="8710" width="24.08984375" style="1" customWidth="1"/>
    <col min="8711" max="8959" width="12.90625" style="1"/>
    <col min="8960" max="8960" width="11.453125" style="1" customWidth="1"/>
    <col min="8961" max="8961" width="12.90625" style="1" customWidth="1"/>
    <col min="8962" max="8962" width="71.54296875" style="1" bestFit="1" customWidth="1"/>
    <col min="8963" max="8963" width="7.6328125" style="1" customWidth="1"/>
    <col min="8964" max="8964" width="14.453125" style="1" customWidth="1"/>
    <col min="8965" max="8965" width="24" style="1" customWidth="1"/>
    <col min="8966" max="8966" width="24.08984375" style="1" customWidth="1"/>
    <col min="8967" max="9215" width="12.90625" style="1"/>
    <col min="9216" max="9216" width="11.453125" style="1" customWidth="1"/>
    <col min="9217" max="9217" width="12.90625" style="1" customWidth="1"/>
    <col min="9218" max="9218" width="71.54296875" style="1" bestFit="1" customWidth="1"/>
    <col min="9219" max="9219" width="7.6328125" style="1" customWidth="1"/>
    <col min="9220" max="9220" width="14.453125" style="1" customWidth="1"/>
    <col min="9221" max="9221" width="24" style="1" customWidth="1"/>
    <col min="9222" max="9222" width="24.08984375" style="1" customWidth="1"/>
    <col min="9223" max="9471" width="12.90625" style="1"/>
    <col min="9472" max="9472" width="11.453125" style="1" customWidth="1"/>
    <col min="9473" max="9473" width="12.90625" style="1" customWidth="1"/>
    <col min="9474" max="9474" width="71.54296875" style="1" bestFit="1" customWidth="1"/>
    <col min="9475" max="9475" width="7.6328125" style="1" customWidth="1"/>
    <col min="9476" max="9476" width="14.453125" style="1" customWidth="1"/>
    <col min="9477" max="9477" width="24" style="1" customWidth="1"/>
    <col min="9478" max="9478" width="24.08984375" style="1" customWidth="1"/>
    <col min="9479" max="9727" width="12.90625" style="1"/>
    <col min="9728" max="9728" width="11.453125" style="1" customWidth="1"/>
    <col min="9729" max="9729" width="12.90625" style="1" customWidth="1"/>
    <col min="9730" max="9730" width="71.54296875" style="1" bestFit="1" customWidth="1"/>
    <col min="9731" max="9731" width="7.6328125" style="1" customWidth="1"/>
    <col min="9732" max="9732" width="14.453125" style="1" customWidth="1"/>
    <col min="9733" max="9733" width="24" style="1" customWidth="1"/>
    <col min="9734" max="9734" width="24.08984375" style="1" customWidth="1"/>
    <col min="9735" max="9983" width="12.90625" style="1"/>
    <col min="9984" max="9984" width="11.453125" style="1" customWidth="1"/>
    <col min="9985" max="9985" width="12.90625" style="1" customWidth="1"/>
    <col min="9986" max="9986" width="71.54296875" style="1" bestFit="1" customWidth="1"/>
    <col min="9987" max="9987" width="7.6328125" style="1" customWidth="1"/>
    <col min="9988" max="9988" width="14.453125" style="1" customWidth="1"/>
    <col min="9989" max="9989" width="24" style="1" customWidth="1"/>
    <col min="9990" max="9990" width="24.08984375" style="1" customWidth="1"/>
    <col min="9991" max="10239" width="12.90625" style="1"/>
    <col min="10240" max="10240" width="11.453125" style="1" customWidth="1"/>
    <col min="10241" max="10241" width="12.90625" style="1" customWidth="1"/>
    <col min="10242" max="10242" width="71.54296875" style="1" bestFit="1" customWidth="1"/>
    <col min="10243" max="10243" width="7.6328125" style="1" customWidth="1"/>
    <col min="10244" max="10244" width="14.453125" style="1" customWidth="1"/>
    <col min="10245" max="10245" width="24" style="1" customWidth="1"/>
    <col min="10246" max="10246" width="24.08984375" style="1" customWidth="1"/>
    <col min="10247" max="10495" width="12.90625" style="1"/>
    <col min="10496" max="10496" width="11.453125" style="1" customWidth="1"/>
    <col min="10497" max="10497" width="12.90625" style="1" customWidth="1"/>
    <col min="10498" max="10498" width="71.54296875" style="1" bestFit="1" customWidth="1"/>
    <col min="10499" max="10499" width="7.6328125" style="1" customWidth="1"/>
    <col min="10500" max="10500" width="14.453125" style="1" customWidth="1"/>
    <col min="10501" max="10501" width="24" style="1" customWidth="1"/>
    <col min="10502" max="10502" width="24.08984375" style="1" customWidth="1"/>
    <col min="10503" max="10751" width="12.90625" style="1"/>
    <col min="10752" max="10752" width="11.453125" style="1" customWidth="1"/>
    <col min="10753" max="10753" width="12.90625" style="1" customWidth="1"/>
    <col min="10754" max="10754" width="71.54296875" style="1" bestFit="1" customWidth="1"/>
    <col min="10755" max="10755" width="7.6328125" style="1" customWidth="1"/>
    <col min="10756" max="10756" width="14.453125" style="1" customWidth="1"/>
    <col min="10757" max="10757" width="24" style="1" customWidth="1"/>
    <col min="10758" max="10758" width="24.08984375" style="1" customWidth="1"/>
    <col min="10759" max="11007" width="12.90625" style="1"/>
    <col min="11008" max="11008" width="11.453125" style="1" customWidth="1"/>
    <col min="11009" max="11009" width="12.90625" style="1" customWidth="1"/>
    <col min="11010" max="11010" width="71.54296875" style="1" bestFit="1" customWidth="1"/>
    <col min="11011" max="11011" width="7.6328125" style="1" customWidth="1"/>
    <col min="11012" max="11012" width="14.453125" style="1" customWidth="1"/>
    <col min="11013" max="11013" width="24" style="1" customWidth="1"/>
    <col min="11014" max="11014" width="24.08984375" style="1" customWidth="1"/>
    <col min="11015" max="11263" width="12.90625" style="1"/>
    <col min="11264" max="11264" width="11.453125" style="1" customWidth="1"/>
    <col min="11265" max="11265" width="12.90625" style="1" customWidth="1"/>
    <col min="11266" max="11266" width="71.54296875" style="1" bestFit="1" customWidth="1"/>
    <col min="11267" max="11267" width="7.6328125" style="1" customWidth="1"/>
    <col min="11268" max="11268" width="14.453125" style="1" customWidth="1"/>
    <col min="11269" max="11269" width="24" style="1" customWidth="1"/>
    <col min="11270" max="11270" width="24.08984375" style="1" customWidth="1"/>
    <col min="11271" max="11519" width="12.90625" style="1"/>
    <col min="11520" max="11520" width="11.453125" style="1" customWidth="1"/>
    <col min="11521" max="11521" width="12.90625" style="1" customWidth="1"/>
    <col min="11522" max="11522" width="71.54296875" style="1" bestFit="1" customWidth="1"/>
    <col min="11523" max="11523" width="7.6328125" style="1" customWidth="1"/>
    <col min="11524" max="11524" width="14.453125" style="1" customWidth="1"/>
    <col min="11525" max="11525" width="24" style="1" customWidth="1"/>
    <col min="11526" max="11526" width="24.08984375" style="1" customWidth="1"/>
    <col min="11527" max="11775" width="12.90625" style="1"/>
    <col min="11776" max="11776" width="11.453125" style="1" customWidth="1"/>
    <col min="11777" max="11777" width="12.90625" style="1" customWidth="1"/>
    <col min="11778" max="11778" width="71.54296875" style="1" bestFit="1" customWidth="1"/>
    <col min="11779" max="11779" width="7.6328125" style="1" customWidth="1"/>
    <col min="11780" max="11780" width="14.453125" style="1" customWidth="1"/>
    <col min="11781" max="11781" width="24" style="1" customWidth="1"/>
    <col min="11782" max="11782" width="24.08984375" style="1" customWidth="1"/>
    <col min="11783" max="12031" width="12.90625" style="1"/>
    <col min="12032" max="12032" width="11.453125" style="1" customWidth="1"/>
    <col min="12033" max="12033" width="12.90625" style="1" customWidth="1"/>
    <col min="12034" max="12034" width="71.54296875" style="1" bestFit="1" customWidth="1"/>
    <col min="12035" max="12035" width="7.6328125" style="1" customWidth="1"/>
    <col min="12036" max="12036" width="14.453125" style="1" customWidth="1"/>
    <col min="12037" max="12037" width="24" style="1" customWidth="1"/>
    <col min="12038" max="12038" width="24.08984375" style="1" customWidth="1"/>
    <col min="12039" max="12287" width="12.90625" style="1"/>
    <col min="12288" max="12288" width="11.453125" style="1" customWidth="1"/>
    <col min="12289" max="12289" width="12.90625" style="1" customWidth="1"/>
    <col min="12290" max="12290" width="71.54296875" style="1" bestFit="1" customWidth="1"/>
    <col min="12291" max="12291" width="7.6328125" style="1" customWidth="1"/>
    <col min="12292" max="12292" width="14.453125" style="1" customWidth="1"/>
    <col min="12293" max="12293" width="24" style="1" customWidth="1"/>
    <col min="12294" max="12294" width="24.08984375" style="1" customWidth="1"/>
    <col min="12295" max="12543" width="12.90625" style="1"/>
    <col min="12544" max="12544" width="11.453125" style="1" customWidth="1"/>
    <col min="12545" max="12545" width="12.90625" style="1" customWidth="1"/>
    <col min="12546" max="12546" width="71.54296875" style="1" bestFit="1" customWidth="1"/>
    <col min="12547" max="12547" width="7.6328125" style="1" customWidth="1"/>
    <col min="12548" max="12548" width="14.453125" style="1" customWidth="1"/>
    <col min="12549" max="12549" width="24" style="1" customWidth="1"/>
    <col min="12550" max="12550" width="24.08984375" style="1" customWidth="1"/>
    <col min="12551" max="12799" width="12.90625" style="1"/>
    <col min="12800" max="12800" width="11.453125" style="1" customWidth="1"/>
    <col min="12801" max="12801" width="12.90625" style="1" customWidth="1"/>
    <col min="12802" max="12802" width="71.54296875" style="1" bestFit="1" customWidth="1"/>
    <col min="12803" max="12803" width="7.6328125" style="1" customWidth="1"/>
    <col min="12804" max="12804" width="14.453125" style="1" customWidth="1"/>
    <col min="12805" max="12805" width="24" style="1" customWidth="1"/>
    <col min="12806" max="12806" width="24.08984375" style="1" customWidth="1"/>
    <col min="12807" max="13055" width="12.90625" style="1"/>
    <col min="13056" max="13056" width="11.453125" style="1" customWidth="1"/>
    <col min="13057" max="13057" width="12.90625" style="1" customWidth="1"/>
    <col min="13058" max="13058" width="71.54296875" style="1" bestFit="1" customWidth="1"/>
    <col min="13059" max="13059" width="7.6328125" style="1" customWidth="1"/>
    <col min="13060" max="13060" width="14.453125" style="1" customWidth="1"/>
    <col min="13061" max="13061" width="24" style="1" customWidth="1"/>
    <col min="13062" max="13062" width="24.08984375" style="1" customWidth="1"/>
    <col min="13063" max="13311" width="12.90625" style="1"/>
    <col min="13312" max="13312" width="11.453125" style="1" customWidth="1"/>
    <col min="13313" max="13313" width="12.90625" style="1" customWidth="1"/>
    <col min="13314" max="13314" width="71.54296875" style="1" bestFit="1" customWidth="1"/>
    <col min="13315" max="13315" width="7.6328125" style="1" customWidth="1"/>
    <col min="13316" max="13316" width="14.453125" style="1" customWidth="1"/>
    <col min="13317" max="13317" width="24" style="1" customWidth="1"/>
    <col min="13318" max="13318" width="24.08984375" style="1" customWidth="1"/>
    <col min="13319" max="13567" width="12.90625" style="1"/>
    <col min="13568" max="13568" width="11.453125" style="1" customWidth="1"/>
    <col min="13569" max="13569" width="12.90625" style="1" customWidth="1"/>
    <col min="13570" max="13570" width="71.54296875" style="1" bestFit="1" customWidth="1"/>
    <col min="13571" max="13571" width="7.6328125" style="1" customWidth="1"/>
    <col min="13572" max="13572" width="14.453125" style="1" customWidth="1"/>
    <col min="13573" max="13573" width="24" style="1" customWidth="1"/>
    <col min="13574" max="13574" width="24.08984375" style="1" customWidth="1"/>
    <col min="13575" max="13823" width="12.90625" style="1"/>
    <col min="13824" max="13824" width="11.453125" style="1" customWidth="1"/>
    <col min="13825" max="13825" width="12.90625" style="1" customWidth="1"/>
    <col min="13826" max="13826" width="71.54296875" style="1" bestFit="1" customWidth="1"/>
    <col min="13827" max="13827" width="7.6328125" style="1" customWidth="1"/>
    <col min="13828" max="13828" width="14.453125" style="1" customWidth="1"/>
    <col min="13829" max="13829" width="24" style="1" customWidth="1"/>
    <col min="13830" max="13830" width="24.08984375" style="1" customWidth="1"/>
    <col min="13831" max="14079" width="12.90625" style="1"/>
    <col min="14080" max="14080" width="11.453125" style="1" customWidth="1"/>
    <col min="14081" max="14081" width="12.90625" style="1" customWidth="1"/>
    <col min="14082" max="14082" width="71.54296875" style="1" bestFit="1" customWidth="1"/>
    <col min="14083" max="14083" width="7.6328125" style="1" customWidth="1"/>
    <col min="14084" max="14084" width="14.453125" style="1" customWidth="1"/>
    <col min="14085" max="14085" width="24" style="1" customWidth="1"/>
    <col min="14086" max="14086" width="24.08984375" style="1" customWidth="1"/>
    <col min="14087" max="14335" width="12.90625" style="1"/>
    <col min="14336" max="14336" width="11.453125" style="1" customWidth="1"/>
    <col min="14337" max="14337" width="12.90625" style="1" customWidth="1"/>
    <col min="14338" max="14338" width="71.54296875" style="1" bestFit="1" customWidth="1"/>
    <col min="14339" max="14339" width="7.6328125" style="1" customWidth="1"/>
    <col min="14340" max="14340" width="14.453125" style="1" customWidth="1"/>
    <col min="14341" max="14341" width="24" style="1" customWidth="1"/>
    <col min="14342" max="14342" width="24.08984375" style="1" customWidth="1"/>
    <col min="14343" max="14591" width="12.90625" style="1"/>
    <col min="14592" max="14592" width="11.453125" style="1" customWidth="1"/>
    <col min="14593" max="14593" width="12.90625" style="1" customWidth="1"/>
    <col min="14594" max="14594" width="71.54296875" style="1" bestFit="1" customWidth="1"/>
    <col min="14595" max="14595" width="7.6328125" style="1" customWidth="1"/>
    <col min="14596" max="14596" width="14.453125" style="1" customWidth="1"/>
    <col min="14597" max="14597" width="24" style="1" customWidth="1"/>
    <col min="14598" max="14598" width="24.08984375" style="1" customWidth="1"/>
    <col min="14599" max="14847" width="12.90625" style="1"/>
    <col min="14848" max="14848" width="11.453125" style="1" customWidth="1"/>
    <col min="14849" max="14849" width="12.90625" style="1" customWidth="1"/>
    <col min="14850" max="14850" width="71.54296875" style="1" bestFit="1" customWidth="1"/>
    <col min="14851" max="14851" width="7.6328125" style="1" customWidth="1"/>
    <col min="14852" max="14852" width="14.453125" style="1" customWidth="1"/>
    <col min="14853" max="14853" width="24" style="1" customWidth="1"/>
    <col min="14854" max="14854" width="24.08984375" style="1" customWidth="1"/>
    <col min="14855" max="15103" width="12.90625" style="1"/>
    <col min="15104" max="15104" width="11.453125" style="1" customWidth="1"/>
    <col min="15105" max="15105" width="12.90625" style="1" customWidth="1"/>
    <col min="15106" max="15106" width="71.54296875" style="1" bestFit="1" customWidth="1"/>
    <col min="15107" max="15107" width="7.6328125" style="1" customWidth="1"/>
    <col min="15108" max="15108" width="14.453125" style="1" customWidth="1"/>
    <col min="15109" max="15109" width="24" style="1" customWidth="1"/>
    <col min="15110" max="15110" width="24.08984375" style="1" customWidth="1"/>
    <col min="15111" max="15359" width="12.90625" style="1"/>
    <col min="15360" max="15360" width="11.453125" style="1" customWidth="1"/>
    <col min="15361" max="15361" width="12.90625" style="1" customWidth="1"/>
    <col min="15362" max="15362" width="71.54296875" style="1" bestFit="1" customWidth="1"/>
    <col min="15363" max="15363" width="7.6328125" style="1" customWidth="1"/>
    <col min="15364" max="15364" width="14.453125" style="1" customWidth="1"/>
    <col min="15365" max="15365" width="24" style="1" customWidth="1"/>
    <col min="15366" max="15366" width="24.08984375" style="1" customWidth="1"/>
    <col min="15367" max="15615" width="12.90625" style="1"/>
    <col min="15616" max="15616" width="11.453125" style="1" customWidth="1"/>
    <col min="15617" max="15617" width="12.90625" style="1" customWidth="1"/>
    <col min="15618" max="15618" width="71.54296875" style="1" bestFit="1" customWidth="1"/>
    <col min="15619" max="15619" width="7.6328125" style="1" customWidth="1"/>
    <col min="15620" max="15620" width="14.453125" style="1" customWidth="1"/>
    <col min="15621" max="15621" width="24" style="1" customWidth="1"/>
    <col min="15622" max="15622" width="24.08984375" style="1" customWidth="1"/>
    <col min="15623" max="15871" width="12.90625" style="1"/>
    <col min="15872" max="15872" width="11.453125" style="1" customWidth="1"/>
    <col min="15873" max="15873" width="12.90625" style="1" customWidth="1"/>
    <col min="15874" max="15874" width="71.54296875" style="1" bestFit="1" customWidth="1"/>
    <col min="15875" max="15875" width="7.6328125" style="1" customWidth="1"/>
    <col min="15876" max="15876" width="14.453125" style="1" customWidth="1"/>
    <col min="15877" max="15877" width="24" style="1" customWidth="1"/>
    <col min="15878" max="15878" width="24.08984375" style="1" customWidth="1"/>
    <col min="15879" max="16127" width="12.90625" style="1"/>
    <col min="16128" max="16128" width="11.453125" style="1" customWidth="1"/>
    <col min="16129" max="16129" width="12.90625" style="1" customWidth="1"/>
    <col min="16130" max="16130" width="71.54296875" style="1" bestFit="1" customWidth="1"/>
    <col min="16131" max="16131" width="7.6328125" style="1" customWidth="1"/>
    <col min="16132" max="16132" width="14.453125" style="1" customWidth="1"/>
    <col min="16133" max="16133" width="24" style="1" customWidth="1"/>
    <col min="16134" max="16134" width="24.08984375" style="1" customWidth="1"/>
    <col min="16135" max="16384" width="12.90625" style="1"/>
  </cols>
  <sheetData>
    <row r="1" spans="2:6" ht="14.5" thickBot="1" x14ac:dyDescent="0.35"/>
    <row r="2" spans="2:6" s="3" customFormat="1" ht="17" thickBot="1" x14ac:dyDescent="0.4">
      <c r="B2" s="22" t="s">
        <v>8</v>
      </c>
      <c r="C2" s="78" t="s">
        <v>1367</v>
      </c>
      <c r="D2" s="23"/>
      <c r="E2" s="77"/>
      <c r="F2" s="19"/>
    </row>
    <row r="3" spans="2:6" s="3" customFormat="1" ht="14.5" thickBot="1" x14ac:dyDescent="0.4">
      <c r="C3" s="79"/>
      <c r="D3" s="20"/>
      <c r="E3" s="77"/>
      <c r="F3" s="19"/>
    </row>
    <row r="4" spans="2:6" s="3" customFormat="1" ht="29" thickTop="1" thickBot="1" x14ac:dyDescent="0.4">
      <c r="B4" s="4" t="s">
        <v>0</v>
      </c>
      <c r="C4" s="5" t="s">
        <v>1</v>
      </c>
      <c r="D4" s="6" t="s">
        <v>2</v>
      </c>
      <c r="E4" s="7" t="s">
        <v>3</v>
      </c>
      <c r="F4" s="174" t="s">
        <v>4</v>
      </c>
    </row>
    <row r="5" spans="2:6" s="3" customFormat="1" ht="14.5" thickTop="1" x14ac:dyDescent="0.35">
      <c r="B5" s="96" t="s">
        <v>9</v>
      </c>
      <c r="C5" s="71" t="s">
        <v>615</v>
      </c>
      <c r="D5" s="72"/>
      <c r="E5" s="97"/>
      <c r="F5" s="98"/>
    </row>
    <row r="6" spans="2:6" s="3" customFormat="1" x14ac:dyDescent="0.3">
      <c r="B6" s="27" t="s">
        <v>10</v>
      </c>
      <c r="C6" s="30" t="s">
        <v>616</v>
      </c>
      <c r="D6" s="10" t="s">
        <v>29</v>
      </c>
      <c r="E6" s="75"/>
      <c r="F6" s="401"/>
    </row>
    <row r="7" spans="2:6" s="3" customFormat="1" x14ac:dyDescent="0.35">
      <c r="B7" s="82"/>
      <c r="C7" s="11"/>
      <c r="D7" s="83"/>
      <c r="E7" s="84"/>
      <c r="F7" s="85"/>
    </row>
    <row r="8" spans="2:6" s="3" customFormat="1" x14ac:dyDescent="0.35">
      <c r="B8" s="29" t="s">
        <v>61</v>
      </c>
      <c r="C8" s="24" t="s">
        <v>62</v>
      </c>
      <c r="D8" s="400"/>
      <c r="E8" s="80"/>
      <c r="F8" s="81"/>
    </row>
    <row r="9" spans="2:6" s="3" customFormat="1" ht="28" x14ac:dyDescent="0.35">
      <c r="B9" s="32" t="s">
        <v>63</v>
      </c>
      <c r="C9" s="33" t="s">
        <v>617</v>
      </c>
      <c r="D9" s="10" t="s">
        <v>609</v>
      </c>
      <c r="E9" s="75"/>
      <c r="F9" s="81"/>
    </row>
    <row r="10" spans="2:6" s="3" customFormat="1" x14ac:dyDescent="0.35">
      <c r="B10" s="32"/>
      <c r="C10" s="33"/>
      <c r="D10" s="10"/>
      <c r="E10" s="73"/>
      <c r="F10" s="81"/>
    </row>
    <row r="11" spans="2:6" s="3" customFormat="1" x14ac:dyDescent="0.35">
      <c r="B11" s="32" t="s">
        <v>65</v>
      </c>
      <c r="C11" s="31" t="s">
        <v>618</v>
      </c>
      <c r="D11" s="10"/>
      <c r="E11" s="73"/>
      <c r="F11" s="81"/>
    </row>
    <row r="12" spans="2:6" s="3" customFormat="1" ht="16.5" x14ac:dyDescent="0.35">
      <c r="B12" s="32" t="s">
        <v>67</v>
      </c>
      <c r="C12" s="33" t="s">
        <v>619</v>
      </c>
      <c r="D12" s="10" t="s">
        <v>609</v>
      </c>
      <c r="E12" s="75"/>
      <c r="F12" s="81"/>
    </row>
    <row r="13" spans="2:6" s="3" customFormat="1" x14ac:dyDescent="0.35">
      <c r="B13" s="35"/>
      <c r="C13" s="28" t="s">
        <v>655</v>
      </c>
      <c r="D13" s="17"/>
      <c r="E13" s="73"/>
      <c r="F13" s="86"/>
    </row>
    <row r="14" spans="2:6" s="3" customFormat="1" x14ac:dyDescent="0.35">
      <c r="B14" s="32"/>
      <c r="C14" s="36"/>
      <c r="D14" s="10"/>
      <c r="E14" s="73"/>
      <c r="F14" s="81"/>
    </row>
    <row r="15" spans="2:6" x14ac:dyDescent="0.3">
      <c r="B15" s="37" t="s">
        <v>69</v>
      </c>
      <c r="C15" s="24" t="s">
        <v>70</v>
      </c>
      <c r="D15" s="400"/>
      <c r="E15" s="73"/>
      <c r="F15" s="81"/>
    </row>
    <row r="16" spans="2:6" x14ac:dyDescent="0.3">
      <c r="B16" s="37" t="s">
        <v>71</v>
      </c>
      <c r="C16" s="24" t="s">
        <v>72</v>
      </c>
      <c r="D16" s="400"/>
      <c r="E16" s="73"/>
      <c r="F16" s="81"/>
    </row>
    <row r="17" spans="2:6" ht="16.5" x14ac:dyDescent="0.3">
      <c r="B17" s="38" t="s">
        <v>73</v>
      </c>
      <c r="C17" s="39" t="s">
        <v>74</v>
      </c>
      <c r="D17" s="10" t="s">
        <v>609</v>
      </c>
      <c r="E17" s="75"/>
      <c r="F17" s="81"/>
    </row>
    <row r="18" spans="2:6" ht="16.5" x14ac:dyDescent="0.3">
      <c r="B18" s="38" t="s">
        <v>75</v>
      </c>
      <c r="C18" s="39" t="s">
        <v>76</v>
      </c>
      <c r="D18" s="10" t="s">
        <v>609</v>
      </c>
      <c r="E18" s="75"/>
      <c r="F18" s="81"/>
    </row>
    <row r="19" spans="2:6" s="3" customFormat="1" x14ac:dyDescent="0.35">
      <c r="B19" s="38" t="s">
        <v>77</v>
      </c>
      <c r="C19" s="40" t="s">
        <v>688</v>
      </c>
      <c r="D19" s="10" t="s">
        <v>27</v>
      </c>
      <c r="E19" s="75"/>
      <c r="F19" s="81"/>
    </row>
    <row r="20" spans="2:6" s="3" customFormat="1" ht="16.5" x14ac:dyDescent="0.35">
      <c r="B20" s="38" t="s">
        <v>78</v>
      </c>
      <c r="C20" s="40" t="s">
        <v>689</v>
      </c>
      <c r="D20" s="10" t="s">
        <v>609</v>
      </c>
      <c r="E20" s="75"/>
      <c r="F20" s="81"/>
    </row>
    <row r="21" spans="2:6" s="3" customFormat="1" x14ac:dyDescent="0.35">
      <c r="B21" s="37"/>
      <c r="C21" s="40"/>
      <c r="D21" s="400"/>
      <c r="E21" s="73"/>
      <c r="F21" s="81"/>
    </row>
    <row r="22" spans="2:6" x14ac:dyDescent="0.3">
      <c r="B22" s="41" t="s">
        <v>620</v>
      </c>
      <c r="C22" s="42" t="s">
        <v>79</v>
      </c>
      <c r="D22" s="400"/>
      <c r="E22" s="73"/>
      <c r="F22" s="81"/>
    </row>
    <row r="23" spans="2:6" x14ac:dyDescent="0.3">
      <c r="B23" s="41"/>
      <c r="C23" s="42" t="s">
        <v>80</v>
      </c>
      <c r="D23" s="400"/>
      <c r="E23" s="73"/>
      <c r="F23" s="81"/>
    </row>
    <row r="24" spans="2:6" ht="16.5" x14ac:dyDescent="0.3">
      <c r="B24" s="43" t="s">
        <v>81</v>
      </c>
      <c r="C24" s="40" t="s">
        <v>690</v>
      </c>
      <c r="D24" s="10" t="s">
        <v>609</v>
      </c>
      <c r="E24" s="75"/>
      <c r="F24" s="81"/>
    </row>
    <row r="25" spans="2:6" s="3" customFormat="1" ht="16.5" x14ac:dyDescent="0.35">
      <c r="B25" s="32" t="s">
        <v>82</v>
      </c>
      <c r="C25" s="33" t="s">
        <v>83</v>
      </c>
      <c r="D25" s="10" t="s">
        <v>609</v>
      </c>
      <c r="E25" s="75"/>
      <c r="F25" s="81"/>
    </row>
    <row r="26" spans="2:6" ht="16.5" x14ac:dyDescent="0.3">
      <c r="B26" s="32" t="s">
        <v>84</v>
      </c>
      <c r="C26" s="33" t="s">
        <v>1355</v>
      </c>
      <c r="D26" s="10" t="s">
        <v>609</v>
      </c>
      <c r="E26" s="75"/>
      <c r="F26" s="81"/>
    </row>
    <row r="27" spans="2:6" s="3" customFormat="1" ht="16.5" x14ac:dyDescent="0.3">
      <c r="B27" s="43" t="s">
        <v>85</v>
      </c>
      <c r="C27" s="40" t="s">
        <v>86</v>
      </c>
      <c r="D27" s="10" t="s">
        <v>609</v>
      </c>
      <c r="E27" s="75"/>
      <c r="F27" s="81"/>
    </row>
    <row r="28" spans="2:6" s="3" customFormat="1" ht="16.5" x14ac:dyDescent="0.35">
      <c r="B28" s="32" t="s">
        <v>87</v>
      </c>
      <c r="C28" s="40" t="s">
        <v>691</v>
      </c>
      <c r="D28" s="10" t="s">
        <v>609</v>
      </c>
      <c r="E28" s="75"/>
      <c r="F28" s="81"/>
    </row>
    <row r="29" spans="2:6" s="3" customFormat="1" x14ac:dyDescent="0.35">
      <c r="B29" s="32"/>
      <c r="C29" s="40"/>
      <c r="D29" s="10"/>
      <c r="E29" s="75"/>
      <c r="F29" s="81"/>
    </row>
    <row r="30" spans="2:6" s="3" customFormat="1" x14ac:dyDescent="0.35">
      <c r="B30" s="76" t="s">
        <v>88</v>
      </c>
      <c r="C30" s="42" t="s">
        <v>656</v>
      </c>
      <c r="D30" s="14"/>
      <c r="E30" s="73"/>
      <c r="F30" s="81"/>
    </row>
    <row r="31" spans="2:6" s="3" customFormat="1" ht="16.5" x14ac:dyDescent="0.35">
      <c r="B31" s="32" t="s">
        <v>692</v>
      </c>
      <c r="C31" s="40" t="s">
        <v>90</v>
      </c>
      <c r="D31" s="10" t="s">
        <v>609</v>
      </c>
      <c r="E31" s="75"/>
      <c r="F31" s="81"/>
    </row>
    <row r="32" spans="2:6" s="3" customFormat="1" x14ac:dyDescent="0.35">
      <c r="B32" s="35"/>
      <c r="C32" s="28" t="s">
        <v>623</v>
      </c>
      <c r="D32" s="400"/>
      <c r="E32" s="75"/>
      <c r="F32" s="86"/>
    </row>
    <row r="33" spans="2:6" s="3" customFormat="1" x14ac:dyDescent="0.35">
      <c r="B33" s="35"/>
      <c r="C33" s="47"/>
      <c r="D33" s="15"/>
      <c r="E33" s="73"/>
      <c r="F33" s="81"/>
    </row>
    <row r="34" spans="2:6" s="3" customFormat="1" x14ac:dyDescent="0.35">
      <c r="B34" s="37" t="s">
        <v>110</v>
      </c>
      <c r="C34" s="24" t="s">
        <v>111</v>
      </c>
      <c r="D34" s="400"/>
      <c r="E34" s="73"/>
      <c r="F34" s="81"/>
    </row>
    <row r="35" spans="2:6" ht="16.5" x14ac:dyDescent="0.3">
      <c r="B35" s="32" t="s">
        <v>112</v>
      </c>
      <c r="C35" s="40" t="s">
        <v>762</v>
      </c>
      <c r="D35" s="10" t="s">
        <v>608</v>
      </c>
      <c r="E35" s="75"/>
      <c r="F35" s="81"/>
    </row>
    <row r="36" spans="2:6" s="21" customFormat="1" ht="18.75" customHeight="1" x14ac:dyDescent="0.35">
      <c r="B36" s="74" t="s">
        <v>114</v>
      </c>
      <c r="C36" s="92" t="s">
        <v>624</v>
      </c>
      <c r="D36" s="10" t="s">
        <v>609</v>
      </c>
      <c r="E36" s="75"/>
      <c r="F36" s="81"/>
    </row>
    <row r="37" spans="2:6" s="3" customFormat="1" ht="16.5" x14ac:dyDescent="0.35">
      <c r="B37" s="32" t="s">
        <v>115</v>
      </c>
      <c r="C37" s="33" t="s">
        <v>116</v>
      </c>
      <c r="D37" s="10" t="s">
        <v>608</v>
      </c>
      <c r="E37" s="75"/>
      <c r="F37" s="81"/>
    </row>
    <row r="38" spans="2:6" x14ac:dyDescent="0.3">
      <c r="B38" s="35"/>
      <c r="C38" s="49" t="s">
        <v>626</v>
      </c>
      <c r="D38" s="10"/>
      <c r="E38" s="75"/>
      <c r="F38" s="86"/>
    </row>
    <row r="39" spans="2:6" x14ac:dyDescent="0.3">
      <c r="B39" s="35"/>
      <c r="C39" s="47"/>
      <c r="D39" s="15"/>
      <c r="E39" s="73"/>
      <c r="F39" s="81"/>
    </row>
    <row r="40" spans="2:6" x14ac:dyDescent="0.3">
      <c r="B40" s="37" t="s">
        <v>117</v>
      </c>
      <c r="C40" s="24" t="s">
        <v>118</v>
      </c>
      <c r="D40" s="10"/>
      <c r="E40" s="73"/>
      <c r="F40" s="81"/>
    </row>
    <row r="41" spans="2:6" s="3" customFormat="1" x14ac:dyDescent="0.35">
      <c r="B41" s="32" t="s">
        <v>119</v>
      </c>
      <c r="C41" s="40" t="s">
        <v>120</v>
      </c>
      <c r="D41" s="10" t="s">
        <v>27</v>
      </c>
      <c r="E41" s="75"/>
      <c r="F41" s="81"/>
    </row>
    <row r="42" spans="2:6" s="3" customFormat="1" x14ac:dyDescent="0.35">
      <c r="B42" s="32"/>
      <c r="C42" s="40"/>
      <c r="D42" s="10"/>
      <c r="E42" s="73"/>
      <c r="F42" s="81"/>
    </row>
    <row r="43" spans="2:6" s="3" customFormat="1" x14ac:dyDescent="0.3">
      <c r="B43" s="50" t="s">
        <v>121</v>
      </c>
      <c r="C43" s="45" t="s">
        <v>127</v>
      </c>
      <c r="D43" s="10"/>
      <c r="E43" s="75"/>
      <c r="F43" s="81"/>
    </row>
    <row r="44" spans="2:6" s="3" customFormat="1" ht="16.5" x14ac:dyDescent="0.35">
      <c r="B44" s="51" t="s">
        <v>123</v>
      </c>
      <c r="C44" s="40" t="s">
        <v>129</v>
      </c>
      <c r="D44" s="10" t="s">
        <v>608</v>
      </c>
      <c r="E44" s="75"/>
      <c r="F44" s="81"/>
    </row>
    <row r="45" spans="2:6" ht="16.5" x14ac:dyDescent="0.3">
      <c r="B45" s="51" t="s">
        <v>124</v>
      </c>
      <c r="C45" s="40" t="s">
        <v>132</v>
      </c>
      <c r="D45" s="10" t="s">
        <v>608</v>
      </c>
      <c r="E45" s="75"/>
      <c r="F45" s="81"/>
    </row>
    <row r="46" spans="2:6" x14ac:dyDescent="0.3">
      <c r="B46" s="51"/>
      <c r="C46" s="40"/>
      <c r="D46" s="10"/>
      <c r="E46" s="73"/>
      <c r="F46" s="81"/>
    </row>
    <row r="47" spans="2:6" x14ac:dyDescent="0.3">
      <c r="B47" s="76" t="s">
        <v>126</v>
      </c>
      <c r="C47" s="31" t="s">
        <v>693</v>
      </c>
      <c r="D47" s="10" t="s">
        <v>8</v>
      </c>
      <c r="E47" s="75"/>
      <c r="F47" s="81"/>
    </row>
    <row r="48" spans="2:6" s="3" customFormat="1" ht="16.5" x14ac:dyDescent="0.35">
      <c r="B48" s="32" t="s">
        <v>128</v>
      </c>
      <c r="C48" s="33" t="s">
        <v>694</v>
      </c>
      <c r="D48" s="10" t="s">
        <v>610</v>
      </c>
      <c r="E48" s="75"/>
      <c r="F48" s="81"/>
    </row>
    <row r="49" spans="2:6" x14ac:dyDescent="0.3">
      <c r="B49" s="51"/>
      <c r="C49" s="49" t="s">
        <v>628</v>
      </c>
      <c r="D49" s="10"/>
      <c r="E49" s="73"/>
      <c r="F49" s="86"/>
    </row>
    <row r="50" spans="2:6" x14ac:dyDescent="0.3">
      <c r="B50" s="51"/>
      <c r="C50" s="53"/>
      <c r="D50" s="10"/>
      <c r="E50" s="73"/>
      <c r="F50" s="81"/>
    </row>
    <row r="51" spans="2:6" x14ac:dyDescent="0.3">
      <c r="B51" s="54" t="s">
        <v>135</v>
      </c>
      <c r="C51" s="46" t="s">
        <v>136</v>
      </c>
      <c r="D51" s="10"/>
      <c r="E51" s="73"/>
      <c r="F51" s="81"/>
    </row>
    <row r="52" spans="2:6" s="3" customFormat="1" x14ac:dyDescent="0.35">
      <c r="B52" s="55" t="s">
        <v>137</v>
      </c>
      <c r="C52" s="44" t="s">
        <v>138</v>
      </c>
      <c r="D52" s="10"/>
      <c r="E52" s="75"/>
      <c r="F52" s="81"/>
    </row>
    <row r="53" spans="2:6" s="3" customFormat="1" ht="16.5" x14ac:dyDescent="0.35">
      <c r="B53" s="35" t="s">
        <v>139</v>
      </c>
      <c r="C53" s="36" t="s">
        <v>140</v>
      </c>
      <c r="D53" s="10" t="s">
        <v>608</v>
      </c>
      <c r="E53" s="75"/>
      <c r="F53" s="81"/>
    </row>
    <row r="54" spans="2:6" s="3" customFormat="1" x14ac:dyDescent="0.35">
      <c r="B54" s="35"/>
      <c r="C54" s="36"/>
      <c r="D54" s="10"/>
      <c r="E54" s="73"/>
      <c r="F54" s="81"/>
    </row>
    <row r="55" spans="2:6" s="3" customFormat="1" x14ac:dyDescent="0.35">
      <c r="B55" s="55" t="s">
        <v>141</v>
      </c>
      <c r="C55" s="42" t="s">
        <v>142</v>
      </c>
      <c r="D55" s="10" t="s">
        <v>8</v>
      </c>
      <c r="E55" s="73"/>
      <c r="F55" s="81"/>
    </row>
    <row r="56" spans="2:6" s="3" customFormat="1" ht="28" x14ac:dyDescent="0.35">
      <c r="B56" s="56" t="s">
        <v>143</v>
      </c>
      <c r="C56" s="40" t="s">
        <v>1365</v>
      </c>
      <c r="D56" s="10" t="s">
        <v>608</v>
      </c>
      <c r="E56" s="75"/>
      <c r="F56" s="81"/>
    </row>
    <row r="57" spans="2:6" s="3" customFormat="1" ht="16.5" x14ac:dyDescent="0.35">
      <c r="B57" s="35" t="s">
        <v>144</v>
      </c>
      <c r="C57" s="40" t="s">
        <v>146</v>
      </c>
      <c r="D57" s="10" t="s">
        <v>608</v>
      </c>
      <c r="E57" s="75"/>
      <c r="F57" s="81"/>
    </row>
    <row r="58" spans="2:6" s="3" customFormat="1" x14ac:dyDescent="0.35">
      <c r="B58" s="35"/>
      <c r="C58" s="40"/>
      <c r="D58" s="10"/>
      <c r="E58" s="73"/>
      <c r="F58" s="81"/>
    </row>
    <row r="59" spans="2:6" s="3" customFormat="1" x14ac:dyDescent="0.3">
      <c r="B59" s="55" t="s">
        <v>148</v>
      </c>
      <c r="C59" s="45" t="s">
        <v>149</v>
      </c>
      <c r="D59" s="10"/>
      <c r="E59" s="75"/>
      <c r="F59" s="81"/>
    </row>
    <row r="60" spans="2:6" s="3" customFormat="1" ht="16.5" x14ac:dyDescent="0.3">
      <c r="B60" s="35" t="s">
        <v>150</v>
      </c>
      <c r="C60" s="57" t="s">
        <v>753</v>
      </c>
      <c r="D60" s="10" t="s">
        <v>608</v>
      </c>
      <c r="E60" s="75"/>
      <c r="F60" s="81"/>
    </row>
    <row r="61" spans="2:6" s="3" customFormat="1" ht="16.5" x14ac:dyDescent="0.3">
      <c r="B61" s="35" t="s">
        <v>156</v>
      </c>
      <c r="C61" s="30" t="s">
        <v>155</v>
      </c>
      <c r="D61" s="10" t="s">
        <v>608</v>
      </c>
      <c r="E61" s="75"/>
      <c r="F61" s="81"/>
    </row>
    <row r="62" spans="2:6" s="3" customFormat="1" ht="16.5" x14ac:dyDescent="0.35">
      <c r="B62" s="35" t="s">
        <v>158</v>
      </c>
      <c r="C62" s="33" t="s">
        <v>631</v>
      </c>
      <c r="D62" s="10" t="s">
        <v>608</v>
      </c>
      <c r="E62" s="75"/>
      <c r="F62" s="81"/>
    </row>
    <row r="63" spans="2:6" s="3" customFormat="1" x14ac:dyDescent="0.35">
      <c r="B63" s="35"/>
      <c r="C63" s="33"/>
      <c r="D63" s="10"/>
      <c r="E63" s="73"/>
      <c r="F63" s="81"/>
    </row>
    <row r="64" spans="2:6" s="3" customFormat="1" x14ac:dyDescent="0.3">
      <c r="B64" s="55" t="s">
        <v>632</v>
      </c>
      <c r="C64" s="45" t="s">
        <v>159</v>
      </c>
      <c r="D64" s="10"/>
      <c r="E64" s="75"/>
      <c r="F64" s="81"/>
    </row>
    <row r="65" spans="2:6" s="3" customFormat="1" x14ac:dyDescent="0.3">
      <c r="B65" s="35" t="s">
        <v>633</v>
      </c>
      <c r="C65" s="30" t="s">
        <v>754</v>
      </c>
      <c r="D65" s="10" t="s">
        <v>27</v>
      </c>
      <c r="E65" s="75"/>
      <c r="F65" s="81"/>
    </row>
    <row r="66" spans="2:6" s="3" customFormat="1" x14ac:dyDescent="0.35">
      <c r="B66" s="51"/>
      <c r="C66" s="49" t="s">
        <v>634</v>
      </c>
      <c r="D66" s="10"/>
      <c r="E66" s="73"/>
      <c r="F66" s="86"/>
    </row>
    <row r="67" spans="2:6" s="3" customFormat="1" x14ac:dyDescent="0.35">
      <c r="B67" s="55"/>
      <c r="C67" s="42"/>
      <c r="D67" s="10"/>
      <c r="E67" s="73"/>
      <c r="F67" s="81"/>
    </row>
    <row r="68" spans="2:6" x14ac:dyDescent="0.3">
      <c r="B68" s="54" t="s">
        <v>164</v>
      </c>
      <c r="C68" s="46" t="s">
        <v>165</v>
      </c>
      <c r="D68" s="10"/>
      <c r="E68" s="73"/>
      <c r="F68" s="81"/>
    </row>
    <row r="69" spans="2:6" x14ac:dyDescent="0.3">
      <c r="B69" s="55" t="s">
        <v>166</v>
      </c>
      <c r="C69" s="45" t="s">
        <v>167</v>
      </c>
      <c r="D69" s="10"/>
      <c r="E69" s="73"/>
      <c r="F69" s="81"/>
    </row>
    <row r="70" spans="2:6" s="3" customFormat="1" x14ac:dyDescent="0.35">
      <c r="B70" s="35" t="s">
        <v>168</v>
      </c>
      <c r="C70" s="53" t="s">
        <v>1356</v>
      </c>
      <c r="D70" s="10" t="s">
        <v>59</v>
      </c>
      <c r="E70" s="75"/>
      <c r="F70" s="81"/>
    </row>
    <row r="71" spans="2:6" s="3" customFormat="1" x14ac:dyDescent="0.35">
      <c r="B71" s="35" t="s">
        <v>169</v>
      </c>
      <c r="C71" s="33" t="s">
        <v>190</v>
      </c>
      <c r="D71" s="10" t="s">
        <v>27</v>
      </c>
      <c r="E71" s="75"/>
      <c r="F71" s="81"/>
    </row>
    <row r="72" spans="2:6" s="3" customFormat="1" x14ac:dyDescent="0.35">
      <c r="B72" s="35" t="s">
        <v>170</v>
      </c>
      <c r="C72" s="33" t="s">
        <v>191</v>
      </c>
      <c r="D72" s="10" t="s">
        <v>27</v>
      </c>
      <c r="E72" s="75"/>
      <c r="F72" s="81"/>
    </row>
    <row r="73" spans="2:6" s="3" customFormat="1" x14ac:dyDescent="0.35">
      <c r="B73" s="35"/>
      <c r="C73" s="33"/>
      <c r="D73" s="10"/>
      <c r="E73" s="73"/>
      <c r="F73" s="81"/>
    </row>
    <row r="74" spans="2:6" x14ac:dyDescent="0.3">
      <c r="B74" s="55" t="s">
        <v>195</v>
      </c>
      <c r="C74" s="45" t="s">
        <v>196</v>
      </c>
      <c r="D74" s="10"/>
      <c r="E74" s="75"/>
      <c r="F74" s="81"/>
    </row>
    <row r="75" spans="2:6" s="3" customFormat="1" ht="16.5" x14ac:dyDescent="0.35">
      <c r="B75" s="35" t="s">
        <v>197</v>
      </c>
      <c r="C75" s="40" t="s">
        <v>198</v>
      </c>
      <c r="D75" s="10" t="s">
        <v>608</v>
      </c>
      <c r="E75" s="75"/>
      <c r="F75" s="81"/>
    </row>
    <row r="76" spans="2:6" s="3" customFormat="1" x14ac:dyDescent="0.35">
      <c r="B76" s="35" t="s">
        <v>199</v>
      </c>
      <c r="C76" s="40" t="s">
        <v>679</v>
      </c>
      <c r="D76" s="10" t="s">
        <v>27</v>
      </c>
      <c r="E76" s="75"/>
      <c r="F76" s="81"/>
    </row>
    <row r="77" spans="2:6" s="3" customFormat="1" x14ac:dyDescent="0.35">
      <c r="B77" s="35" t="s">
        <v>201</v>
      </c>
      <c r="C77" s="36" t="s">
        <v>202</v>
      </c>
      <c r="D77" s="10" t="s">
        <v>27</v>
      </c>
      <c r="E77" s="75"/>
      <c r="F77" s="81"/>
    </row>
    <row r="78" spans="2:6" s="3" customFormat="1" x14ac:dyDescent="0.35">
      <c r="B78" s="35" t="s">
        <v>203</v>
      </c>
      <c r="C78" s="36" t="s">
        <v>206</v>
      </c>
      <c r="D78" s="10" t="s">
        <v>27</v>
      </c>
      <c r="E78" s="75"/>
      <c r="F78" s="81"/>
    </row>
    <row r="79" spans="2:6" s="3" customFormat="1" x14ac:dyDescent="0.35">
      <c r="B79" s="35" t="s">
        <v>205</v>
      </c>
      <c r="C79" s="33" t="s">
        <v>661</v>
      </c>
      <c r="D79" s="10" t="s">
        <v>27</v>
      </c>
      <c r="E79" s="75"/>
      <c r="F79" s="81"/>
    </row>
    <row r="80" spans="2:6" x14ac:dyDescent="0.3">
      <c r="B80" s="35"/>
      <c r="C80" s="60" t="s">
        <v>635</v>
      </c>
      <c r="D80" s="17"/>
      <c r="E80" s="75"/>
      <c r="F80" s="86"/>
    </row>
    <row r="81" spans="2:6" x14ac:dyDescent="0.3">
      <c r="B81" s="35"/>
      <c r="C81" s="60"/>
      <c r="D81" s="17"/>
      <c r="E81" s="73"/>
      <c r="F81" s="81"/>
    </row>
    <row r="82" spans="2:6" x14ac:dyDescent="0.3">
      <c r="B82" s="54" t="s">
        <v>207</v>
      </c>
      <c r="C82" s="46" t="s">
        <v>208</v>
      </c>
      <c r="D82" s="10"/>
      <c r="E82" s="73"/>
      <c r="F82" s="81"/>
    </row>
    <row r="83" spans="2:6" s="3" customFormat="1" x14ac:dyDescent="0.35">
      <c r="B83" s="55" t="s">
        <v>209</v>
      </c>
      <c r="C83" s="24" t="s">
        <v>210</v>
      </c>
      <c r="D83" s="10"/>
      <c r="E83" s="75"/>
      <c r="F83" s="81"/>
    </row>
    <row r="84" spans="2:6" s="3" customFormat="1" ht="28" x14ac:dyDescent="0.35">
      <c r="B84" s="35" t="s">
        <v>211</v>
      </c>
      <c r="C84" s="61" t="s">
        <v>662</v>
      </c>
      <c r="D84" s="10" t="s">
        <v>27</v>
      </c>
      <c r="E84" s="75"/>
      <c r="F84" s="81"/>
    </row>
    <row r="85" spans="2:6" s="3" customFormat="1" x14ac:dyDescent="0.35">
      <c r="B85" s="35"/>
      <c r="C85" s="28" t="s">
        <v>637</v>
      </c>
      <c r="D85" s="17"/>
      <c r="E85" s="73"/>
      <c r="F85" s="86"/>
    </row>
    <row r="86" spans="2:6" s="3" customFormat="1" x14ac:dyDescent="0.35">
      <c r="B86" s="35"/>
      <c r="C86" s="47"/>
      <c r="D86" s="17"/>
      <c r="E86" s="75"/>
      <c r="F86" s="81"/>
    </row>
    <row r="87" spans="2:6" s="3" customFormat="1" x14ac:dyDescent="0.3">
      <c r="B87" s="54" t="s">
        <v>222</v>
      </c>
      <c r="C87" s="46" t="s">
        <v>223</v>
      </c>
      <c r="D87" s="10"/>
      <c r="E87" s="75"/>
      <c r="F87" s="81"/>
    </row>
    <row r="88" spans="2:6" s="3" customFormat="1" ht="16.5" x14ac:dyDescent="0.35">
      <c r="B88" s="35" t="s">
        <v>224</v>
      </c>
      <c r="C88" s="61" t="s">
        <v>225</v>
      </c>
      <c r="D88" s="10" t="s">
        <v>608</v>
      </c>
      <c r="E88" s="75"/>
      <c r="F88" s="81"/>
    </row>
    <row r="89" spans="2:6" s="3" customFormat="1" x14ac:dyDescent="0.3">
      <c r="B89" s="62"/>
      <c r="C89" s="63" t="s">
        <v>638</v>
      </c>
      <c r="D89" s="10"/>
      <c r="E89" s="73"/>
      <c r="F89" s="86"/>
    </row>
    <row r="90" spans="2:6" s="3" customFormat="1" x14ac:dyDescent="0.3">
      <c r="B90" s="62"/>
      <c r="C90" s="64"/>
      <c r="D90" s="15"/>
      <c r="E90" s="73"/>
      <c r="F90" s="81"/>
    </row>
    <row r="91" spans="2:6" s="3" customFormat="1" x14ac:dyDescent="0.3">
      <c r="B91" s="54" t="s">
        <v>227</v>
      </c>
      <c r="C91" s="46" t="s">
        <v>228</v>
      </c>
      <c r="D91" s="10"/>
      <c r="E91" s="75"/>
      <c r="F91" s="81"/>
    </row>
    <row r="92" spans="2:6" s="3" customFormat="1" x14ac:dyDescent="0.3">
      <c r="B92" s="55" t="s">
        <v>229</v>
      </c>
      <c r="C92" s="65" t="s">
        <v>230</v>
      </c>
      <c r="D92" s="400"/>
      <c r="E92" s="73"/>
      <c r="F92" s="81"/>
    </row>
    <row r="93" spans="2:6" s="3" customFormat="1" x14ac:dyDescent="0.3">
      <c r="B93" s="35" t="s">
        <v>231</v>
      </c>
      <c r="C93" s="58" t="s">
        <v>695</v>
      </c>
      <c r="D93" s="10" t="s">
        <v>59</v>
      </c>
      <c r="E93" s="75"/>
      <c r="F93" s="81"/>
    </row>
    <row r="94" spans="2:6" s="3" customFormat="1" x14ac:dyDescent="0.3">
      <c r="B94" s="35" t="s">
        <v>232</v>
      </c>
      <c r="C94" s="58" t="s">
        <v>696</v>
      </c>
      <c r="D94" s="10" t="s">
        <v>59</v>
      </c>
      <c r="E94" s="75"/>
      <c r="F94" s="81"/>
    </row>
    <row r="95" spans="2:6" s="3" customFormat="1" x14ac:dyDescent="0.3">
      <c r="B95" s="35" t="s">
        <v>233</v>
      </c>
      <c r="C95" s="58" t="s">
        <v>697</v>
      </c>
      <c r="D95" s="10" t="s">
        <v>59</v>
      </c>
      <c r="E95" s="75"/>
      <c r="F95" s="81"/>
    </row>
    <row r="96" spans="2:6" s="3" customFormat="1" x14ac:dyDescent="0.3">
      <c r="B96" s="35" t="s">
        <v>234</v>
      </c>
      <c r="C96" s="58" t="s">
        <v>698</v>
      </c>
      <c r="D96" s="10" t="s">
        <v>59</v>
      </c>
      <c r="E96" s="75"/>
      <c r="F96" s="81"/>
    </row>
    <row r="97" spans="2:6" s="3" customFormat="1" x14ac:dyDescent="0.3">
      <c r="B97" s="35" t="s">
        <v>235</v>
      </c>
      <c r="C97" s="58" t="s">
        <v>699</v>
      </c>
      <c r="D97" s="10" t="s">
        <v>59</v>
      </c>
      <c r="E97" s="75"/>
      <c r="F97" s="81"/>
    </row>
    <row r="98" spans="2:6" s="3" customFormat="1" x14ac:dyDescent="0.3">
      <c r="B98" s="35" t="s">
        <v>236</v>
      </c>
      <c r="C98" s="58" t="s">
        <v>700</v>
      </c>
      <c r="D98" s="10" t="s">
        <v>59</v>
      </c>
      <c r="E98" s="75"/>
      <c r="F98" s="81"/>
    </row>
    <row r="99" spans="2:6" s="3" customFormat="1" x14ac:dyDescent="0.3">
      <c r="B99" s="35"/>
      <c r="C99" s="58"/>
      <c r="D99" s="10"/>
      <c r="E99" s="73"/>
      <c r="F99" s="81"/>
    </row>
    <row r="100" spans="2:6" s="3" customFormat="1" x14ac:dyDescent="0.3">
      <c r="B100" s="55" t="s">
        <v>265</v>
      </c>
      <c r="C100" s="45" t="s">
        <v>640</v>
      </c>
      <c r="D100" s="10"/>
      <c r="E100" s="75"/>
      <c r="F100" s="81"/>
    </row>
    <row r="101" spans="2:6" s="3" customFormat="1" x14ac:dyDescent="0.3">
      <c r="B101" s="35" t="s">
        <v>701</v>
      </c>
      <c r="C101" s="30" t="s">
        <v>702</v>
      </c>
      <c r="D101" s="10" t="s">
        <v>59</v>
      </c>
      <c r="E101" s="75"/>
      <c r="F101" s="81"/>
    </row>
    <row r="102" spans="2:6" s="3" customFormat="1" x14ac:dyDescent="0.3">
      <c r="B102" s="35"/>
      <c r="C102" s="30"/>
      <c r="D102" s="10"/>
      <c r="E102" s="73"/>
      <c r="F102" s="81"/>
    </row>
    <row r="103" spans="2:6" s="3" customFormat="1" x14ac:dyDescent="0.3">
      <c r="B103" s="55" t="s">
        <v>277</v>
      </c>
      <c r="C103" s="65" t="s">
        <v>639</v>
      </c>
      <c r="D103" s="10"/>
      <c r="E103" s="73"/>
      <c r="F103" s="81"/>
    </row>
    <row r="104" spans="2:6" s="3" customFormat="1" x14ac:dyDescent="0.3">
      <c r="B104" s="35" t="s">
        <v>703</v>
      </c>
      <c r="C104" s="30" t="s">
        <v>663</v>
      </c>
      <c r="D104" s="10" t="s">
        <v>59</v>
      </c>
      <c r="E104" s="75"/>
      <c r="F104" s="81"/>
    </row>
    <row r="105" spans="2:6" s="3" customFormat="1" x14ac:dyDescent="0.3">
      <c r="B105" s="35" t="s">
        <v>704</v>
      </c>
      <c r="C105" s="30" t="s">
        <v>664</v>
      </c>
      <c r="D105" s="10" t="s">
        <v>59</v>
      </c>
      <c r="E105" s="75"/>
      <c r="F105" s="81"/>
    </row>
    <row r="106" spans="2:6" s="3" customFormat="1" x14ac:dyDescent="0.3">
      <c r="B106" s="35"/>
      <c r="C106" s="30"/>
      <c r="D106" s="10"/>
      <c r="E106" s="75"/>
      <c r="F106" s="81"/>
    </row>
    <row r="107" spans="2:6" s="3" customFormat="1" x14ac:dyDescent="0.3">
      <c r="B107" s="55" t="s">
        <v>288</v>
      </c>
      <c r="C107" s="45" t="s">
        <v>705</v>
      </c>
      <c r="D107" s="10"/>
      <c r="E107" s="75"/>
      <c r="F107" s="81"/>
    </row>
    <row r="108" spans="2:6" s="3" customFormat="1" x14ac:dyDescent="0.3">
      <c r="B108" s="35" t="s">
        <v>289</v>
      </c>
      <c r="C108" s="30" t="s">
        <v>706</v>
      </c>
      <c r="D108" s="10" t="s">
        <v>59</v>
      </c>
      <c r="E108" s="75"/>
      <c r="F108" s="81"/>
    </row>
    <row r="109" spans="2:6" s="3" customFormat="1" x14ac:dyDescent="0.3">
      <c r="B109" s="35"/>
      <c r="C109" s="30"/>
      <c r="D109" s="10"/>
      <c r="E109" s="73"/>
      <c r="F109" s="81"/>
    </row>
    <row r="110" spans="2:6" s="3" customFormat="1" x14ac:dyDescent="0.35">
      <c r="B110" s="55" t="s">
        <v>299</v>
      </c>
      <c r="C110" s="44" t="s">
        <v>321</v>
      </c>
      <c r="D110" s="10"/>
      <c r="E110" s="73"/>
      <c r="F110" s="81"/>
    </row>
    <row r="111" spans="2:6" s="3" customFormat="1" x14ac:dyDescent="0.35">
      <c r="B111" s="35" t="s">
        <v>301</v>
      </c>
      <c r="C111" s="36" t="s">
        <v>684</v>
      </c>
      <c r="D111" s="10" t="s">
        <v>59</v>
      </c>
      <c r="E111" s="75"/>
      <c r="F111" s="81"/>
    </row>
    <row r="112" spans="2:6" s="3" customFormat="1" x14ac:dyDescent="0.3">
      <c r="B112" s="35" t="s">
        <v>642</v>
      </c>
      <c r="C112" s="30" t="s">
        <v>333</v>
      </c>
      <c r="D112" s="10" t="s">
        <v>27</v>
      </c>
      <c r="E112" s="75"/>
      <c r="F112" s="81"/>
    </row>
    <row r="113" spans="2:6" s="3" customFormat="1" x14ac:dyDescent="0.3">
      <c r="B113" s="35" t="s">
        <v>643</v>
      </c>
      <c r="C113" s="30" t="s">
        <v>334</v>
      </c>
      <c r="D113" s="10" t="s">
        <v>59</v>
      </c>
      <c r="E113" s="75"/>
      <c r="F113" s="81"/>
    </row>
    <row r="114" spans="2:6" s="3" customFormat="1" x14ac:dyDescent="0.3">
      <c r="B114" s="66"/>
      <c r="C114" s="59" t="s">
        <v>644</v>
      </c>
      <c r="D114" s="10"/>
      <c r="E114" s="73"/>
      <c r="F114" s="86"/>
    </row>
    <row r="115" spans="2:6" s="3" customFormat="1" x14ac:dyDescent="0.3">
      <c r="B115" s="66"/>
      <c r="C115" s="30"/>
      <c r="D115" s="10"/>
      <c r="E115" s="73"/>
      <c r="F115" s="81"/>
    </row>
    <row r="116" spans="2:6" s="3" customFormat="1" x14ac:dyDescent="0.3">
      <c r="B116" s="54" t="s">
        <v>335</v>
      </c>
      <c r="C116" s="46" t="s">
        <v>336</v>
      </c>
      <c r="D116" s="10"/>
      <c r="E116" s="75"/>
      <c r="F116" s="81"/>
    </row>
    <row r="117" spans="2:6" s="3" customFormat="1" x14ac:dyDescent="0.3">
      <c r="B117" s="35"/>
      <c r="C117" s="46" t="s">
        <v>622</v>
      </c>
      <c r="D117" s="10"/>
      <c r="E117" s="75"/>
      <c r="F117" s="81"/>
    </row>
    <row r="118" spans="2:6" s="3" customFormat="1" ht="16.5" x14ac:dyDescent="0.3">
      <c r="B118" s="35" t="s">
        <v>337</v>
      </c>
      <c r="C118" s="30" t="s">
        <v>338</v>
      </c>
      <c r="D118" s="10" t="s">
        <v>608</v>
      </c>
      <c r="E118" s="75"/>
      <c r="F118" s="81"/>
    </row>
    <row r="119" spans="2:6" s="3" customFormat="1" ht="16.5" x14ac:dyDescent="0.3">
      <c r="B119" s="35" t="s">
        <v>341</v>
      </c>
      <c r="C119" s="48" t="s">
        <v>648</v>
      </c>
      <c r="D119" s="10" t="s">
        <v>608</v>
      </c>
      <c r="E119" s="75"/>
      <c r="F119" s="81"/>
    </row>
    <row r="120" spans="2:6" s="3" customFormat="1" ht="28" x14ac:dyDescent="0.35">
      <c r="B120" s="35" t="s">
        <v>342</v>
      </c>
      <c r="C120" s="33" t="s">
        <v>707</v>
      </c>
      <c r="D120" s="10" t="s">
        <v>608</v>
      </c>
      <c r="E120" s="75"/>
      <c r="F120" s="81"/>
    </row>
    <row r="121" spans="2:6" s="3" customFormat="1" x14ac:dyDescent="0.3">
      <c r="B121" s="35"/>
      <c r="C121" s="59" t="s">
        <v>649</v>
      </c>
      <c r="D121" s="10"/>
      <c r="E121" s="73"/>
      <c r="F121" s="86"/>
    </row>
    <row r="122" spans="2:6" s="3" customFormat="1" x14ac:dyDescent="0.3">
      <c r="B122" s="66"/>
      <c r="C122" s="30"/>
      <c r="D122" s="10"/>
      <c r="E122" s="73"/>
      <c r="F122" s="81"/>
    </row>
    <row r="123" spans="2:6" s="3" customFormat="1" x14ac:dyDescent="0.3">
      <c r="B123" s="54" t="s">
        <v>343</v>
      </c>
      <c r="C123" s="46" t="s">
        <v>344</v>
      </c>
      <c r="D123" s="10"/>
      <c r="E123" s="73"/>
      <c r="F123" s="81"/>
    </row>
    <row r="124" spans="2:6" s="3" customFormat="1" x14ac:dyDescent="0.3">
      <c r="B124" s="35"/>
      <c r="C124" s="46" t="s">
        <v>622</v>
      </c>
      <c r="D124" s="10"/>
      <c r="E124" s="73"/>
      <c r="F124" s="81"/>
    </row>
    <row r="125" spans="2:6" s="3" customFormat="1" x14ac:dyDescent="0.3">
      <c r="B125" s="55" t="s">
        <v>345</v>
      </c>
      <c r="C125" s="45" t="s">
        <v>346</v>
      </c>
      <c r="D125" s="10"/>
      <c r="E125" s="75"/>
      <c r="F125" s="81"/>
    </row>
    <row r="126" spans="2:6" s="3" customFormat="1" x14ac:dyDescent="0.3">
      <c r="B126" s="35" t="s">
        <v>347</v>
      </c>
      <c r="C126" s="48" t="s">
        <v>351</v>
      </c>
      <c r="D126" s="10"/>
      <c r="E126" s="75"/>
      <c r="F126" s="81"/>
    </row>
    <row r="127" spans="2:6" s="3" customFormat="1" x14ac:dyDescent="0.3">
      <c r="B127" s="35"/>
      <c r="C127" s="67" t="s">
        <v>751</v>
      </c>
      <c r="D127" s="10" t="s">
        <v>27</v>
      </c>
      <c r="E127" s="75"/>
      <c r="F127" s="81"/>
    </row>
    <row r="128" spans="2:6" s="3" customFormat="1" x14ac:dyDescent="0.3">
      <c r="B128" s="35"/>
      <c r="C128" s="67" t="s">
        <v>752</v>
      </c>
      <c r="D128" s="10" t="s">
        <v>27</v>
      </c>
      <c r="E128" s="75"/>
      <c r="F128" s="81"/>
    </row>
    <row r="129" spans="2:6" x14ac:dyDescent="0.3">
      <c r="B129" s="55" t="s">
        <v>350</v>
      </c>
      <c r="C129" s="45" t="s">
        <v>361</v>
      </c>
      <c r="D129" s="10"/>
      <c r="E129" s="75"/>
      <c r="F129" s="81"/>
    </row>
    <row r="130" spans="2:6" x14ac:dyDescent="0.3">
      <c r="B130" s="35" t="s">
        <v>352</v>
      </c>
      <c r="C130" s="48" t="s">
        <v>650</v>
      </c>
      <c r="D130" s="10"/>
      <c r="E130" s="75"/>
      <c r="F130" s="81"/>
    </row>
    <row r="131" spans="2:6" x14ac:dyDescent="0.3">
      <c r="B131" s="35"/>
      <c r="C131" s="67" t="s">
        <v>363</v>
      </c>
      <c r="D131" s="10" t="s">
        <v>27</v>
      </c>
      <c r="E131" s="75"/>
      <c r="F131" s="81"/>
    </row>
    <row r="132" spans="2:6" x14ac:dyDescent="0.3">
      <c r="B132" s="35"/>
      <c r="C132" s="67" t="s">
        <v>365</v>
      </c>
      <c r="D132" s="10" t="s">
        <v>27</v>
      </c>
      <c r="E132" s="75"/>
      <c r="F132" s="81"/>
    </row>
    <row r="133" spans="2:6" x14ac:dyDescent="0.3">
      <c r="B133" s="35"/>
      <c r="C133" s="67" t="s">
        <v>367</v>
      </c>
      <c r="D133" s="10" t="s">
        <v>27</v>
      </c>
      <c r="E133" s="75"/>
      <c r="F133" s="81"/>
    </row>
    <row r="134" spans="2:6" x14ac:dyDescent="0.3">
      <c r="B134" s="35" t="s">
        <v>360</v>
      </c>
      <c r="C134" s="46" t="s">
        <v>374</v>
      </c>
      <c r="D134" s="10"/>
      <c r="E134" s="75"/>
      <c r="F134" s="81"/>
    </row>
    <row r="135" spans="2:6" x14ac:dyDescent="0.3">
      <c r="B135" s="35" t="s">
        <v>362</v>
      </c>
      <c r="C135" s="30" t="s">
        <v>376</v>
      </c>
      <c r="D135" s="10" t="s">
        <v>59</v>
      </c>
      <c r="E135" s="75"/>
      <c r="F135" s="81"/>
    </row>
    <row r="136" spans="2:6" x14ac:dyDescent="0.3">
      <c r="B136" s="35"/>
      <c r="C136" s="30"/>
      <c r="D136" s="10"/>
      <c r="E136" s="75"/>
      <c r="F136" s="81"/>
    </row>
    <row r="137" spans="2:6" x14ac:dyDescent="0.3">
      <c r="B137" s="55" t="s">
        <v>364</v>
      </c>
      <c r="C137" s="45" t="s">
        <v>381</v>
      </c>
      <c r="D137" s="10"/>
      <c r="E137" s="75"/>
      <c r="F137" s="81"/>
    </row>
    <row r="138" spans="2:6" x14ac:dyDescent="0.3">
      <c r="B138" s="35" t="s">
        <v>708</v>
      </c>
      <c r="C138" s="30" t="s">
        <v>382</v>
      </c>
      <c r="D138" s="10" t="s">
        <v>59</v>
      </c>
      <c r="E138" s="75"/>
      <c r="F138" s="81"/>
    </row>
    <row r="139" spans="2:6" x14ac:dyDescent="0.3">
      <c r="B139" s="35" t="s">
        <v>709</v>
      </c>
      <c r="C139" s="30" t="s">
        <v>383</v>
      </c>
      <c r="D139" s="10" t="s">
        <v>59</v>
      </c>
      <c r="E139" s="75"/>
      <c r="F139" s="81"/>
    </row>
    <row r="140" spans="2:6" x14ac:dyDescent="0.3">
      <c r="B140" s="35" t="s">
        <v>710</v>
      </c>
      <c r="C140" s="30" t="s">
        <v>711</v>
      </c>
      <c r="D140" s="10" t="s">
        <v>59</v>
      </c>
      <c r="E140" s="75"/>
      <c r="F140" s="81"/>
    </row>
    <row r="141" spans="2:6" x14ac:dyDescent="0.3">
      <c r="B141" s="35"/>
      <c r="C141" s="60" t="s">
        <v>651</v>
      </c>
      <c r="D141" s="17"/>
      <c r="E141" s="75"/>
      <c r="F141" s="86"/>
    </row>
    <row r="142" spans="2:6" x14ac:dyDescent="0.3">
      <c r="B142" s="32"/>
      <c r="C142" s="68"/>
      <c r="D142" s="10"/>
      <c r="E142" s="73"/>
      <c r="F142" s="81"/>
    </row>
    <row r="143" spans="2:6" x14ac:dyDescent="0.3">
      <c r="B143" s="16" t="s">
        <v>392</v>
      </c>
      <c r="C143" s="46" t="s">
        <v>393</v>
      </c>
      <c r="D143" s="10"/>
      <c r="E143" s="75"/>
      <c r="F143" s="81"/>
    </row>
    <row r="144" spans="2:6" x14ac:dyDescent="0.3">
      <c r="B144" s="13" t="s">
        <v>394</v>
      </c>
      <c r="C144" s="45" t="s">
        <v>409</v>
      </c>
      <c r="D144" s="10"/>
      <c r="E144" s="73"/>
      <c r="F144" s="81"/>
    </row>
    <row r="145" spans="2:6" ht="28" x14ac:dyDescent="0.3">
      <c r="B145" s="12" t="s">
        <v>395</v>
      </c>
      <c r="C145" s="39" t="s">
        <v>414</v>
      </c>
      <c r="D145" s="10" t="s">
        <v>7</v>
      </c>
      <c r="E145" s="75"/>
      <c r="F145" s="81"/>
    </row>
    <row r="146" spans="2:6" s="20" customFormat="1" x14ac:dyDescent="0.35">
      <c r="B146" s="12" t="s">
        <v>397</v>
      </c>
      <c r="C146" s="89" t="s">
        <v>712</v>
      </c>
      <c r="D146" s="10" t="s">
        <v>13</v>
      </c>
      <c r="E146" s="75"/>
      <c r="F146" s="81"/>
    </row>
    <row r="147" spans="2:6" x14ac:dyDescent="0.3">
      <c r="B147" s="12"/>
      <c r="C147" s="30"/>
      <c r="D147" s="90"/>
      <c r="E147" s="75"/>
      <c r="F147" s="81"/>
    </row>
    <row r="148" spans="2:6" ht="28" x14ac:dyDescent="0.3">
      <c r="B148" s="13" t="s">
        <v>401</v>
      </c>
      <c r="C148" s="69" t="s">
        <v>425</v>
      </c>
      <c r="D148" s="10"/>
      <c r="E148" s="73"/>
      <c r="F148" s="81"/>
    </row>
    <row r="149" spans="2:6" ht="28" x14ac:dyDescent="0.3">
      <c r="B149" s="12" t="s">
        <v>402</v>
      </c>
      <c r="C149" s="39" t="s">
        <v>435</v>
      </c>
      <c r="D149" s="10" t="s">
        <v>7</v>
      </c>
      <c r="E149" s="75"/>
      <c r="F149" s="81"/>
    </row>
    <row r="150" spans="2:6" x14ac:dyDescent="0.3">
      <c r="B150" s="12"/>
      <c r="C150" s="39"/>
      <c r="D150" s="10"/>
      <c r="E150" s="75"/>
      <c r="F150" s="81"/>
    </row>
    <row r="151" spans="2:6" x14ac:dyDescent="0.3">
      <c r="B151" s="13" t="s">
        <v>404</v>
      </c>
      <c r="C151" s="69" t="s">
        <v>444</v>
      </c>
      <c r="D151" s="10"/>
      <c r="E151" s="73"/>
      <c r="F151" s="81"/>
    </row>
    <row r="152" spans="2:6" s="2" customFormat="1" ht="17.25" customHeight="1" x14ac:dyDescent="0.35">
      <c r="B152" s="26" t="s">
        <v>406</v>
      </c>
      <c r="C152" s="9" t="s">
        <v>455</v>
      </c>
      <c r="D152" s="10" t="s">
        <v>7</v>
      </c>
      <c r="E152" s="75"/>
      <c r="F152" s="81"/>
    </row>
    <row r="153" spans="2:6" x14ac:dyDescent="0.3">
      <c r="B153" s="12"/>
      <c r="C153" s="39"/>
      <c r="D153" s="10"/>
      <c r="E153" s="73"/>
      <c r="F153" s="81"/>
    </row>
    <row r="154" spans="2:6" x14ac:dyDescent="0.3">
      <c r="B154" s="13" t="s">
        <v>408</v>
      </c>
      <c r="C154" s="69" t="s">
        <v>473</v>
      </c>
      <c r="D154" s="10"/>
      <c r="E154" s="75"/>
      <c r="F154" s="81"/>
    </row>
    <row r="155" spans="2:6" x14ac:dyDescent="0.3">
      <c r="B155" s="12" t="s">
        <v>410</v>
      </c>
      <c r="C155" s="39" t="s">
        <v>475</v>
      </c>
      <c r="D155" s="10" t="s">
        <v>7</v>
      </c>
      <c r="E155" s="75"/>
      <c r="F155" s="81"/>
    </row>
    <row r="156" spans="2:6" x14ac:dyDescent="0.3">
      <c r="B156" s="12" t="s">
        <v>411</v>
      </c>
      <c r="C156" s="39" t="s">
        <v>477</v>
      </c>
      <c r="D156" s="10" t="s">
        <v>7</v>
      </c>
      <c r="E156" s="75"/>
      <c r="F156" s="81"/>
    </row>
    <row r="157" spans="2:6" x14ac:dyDescent="0.3">
      <c r="B157" s="12" t="s">
        <v>412</v>
      </c>
      <c r="C157" s="39" t="s">
        <v>499</v>
      </c>
      <c r="D157" s="10" t="s">
        <v>7</v>
      </c>
      <c r="E157" s="75"/>
      <c r="F157" s="81"/>
    </row>
    <row r="158" spans="2:6" ht="16.5" customHeight="1" x14ac:dyDescent="0.3">
      <c r="B158" s="12" t="s">
        <v>413</v>
      </c>
      <c r="C158" s="39" t="s">
        <v>481</v>
      </c>
      <c r="D158" s="10" t="s">
        <v>7</v>
      </c>
      <c r="E158" s="75"/>
      <c r="F158" s="81"/>
    </row>
    <row r="159" spans="2:6" ht="16.5" customHeight="1" x14ac:dyDescent="0.3">
      <c r="B159" s="12" t="s">
        <v>415</v>
      </c>
      <c r="C159" s="39" t="s">
        <v>483</v>
      </c>
      <c r="D159" s="10" t="s">
        <v>7</v>
      </c>
      <c r="E159" s="75"/>
      <c r="F159" s="81"/>
    </row>
    <row r="160" spans="2:6" x14ac:dyDescent="0.3">
      <c r="B160" s="12"/>
      <c r="C160" s="39"/>
      <c r="D160" s="10"/>
      <c r="E160" s="75"/>
      <c r="F160" s="81"/>
    </row>
    <row r="161" spans="2:6" x14ac:dyDescent="0.3">
      <c r="B161" s="13" t="s">
        <v>424</v>
      </c>
      <c r="C161" s="69" t="s">
        <v>485</v>
      </c>
      <c r="D161" s="10"/>
      <c r="E161" s="73"/>
      <c r="F161" s="81"/>
    </row>
    <row r="162" spans="2:6" x14ac:dyDescent="0.3">
      <c r="B162" s="12" t="s">
        <v>426</v>
      </c>
      <c r="C162" s="39" t="s">
        <v>487</v>
      </c>
      <c r="D162" s="10" t="s">
        <v>7</v>
      </c>
      <c r="E162" s="75"/>
      <c r="F162" s="81"/>
    </row>
    <row r="163" spans="2:6" x14ac:dyDescent="0.3">
      <c r="B163" s="12"/>
      <c r="C163" s="39"/>
      <c r="D163" s="10"/>
      <c r="E163" s="75"/>
      <c r="F163" s="81"/>
    </row>
    <row r="164" spans="2:6" x14ac:dyDescent="0.3">
      <c r="B164" s="13" t="s">
        <v>443</v>
      </c>
      <c r="C164" s="69" t="s">
        <v>511</v>
      </c>
      <c r="D164" s="10"/>
      <c r="E164" s="75"/>
      <c r="F164" s="81"/>
    </row>
    <row r="165" spans="2:6" ht="28" x14ac:dyDescent="0.3">
      <c r="B165" s="12" t="s">
        <v>445</v>
      </c>
      <c r="C165" s="39" t="s">
        <v>513</v>
      </c>
      <c r="D165" s="10" t="s">
        <v>59</v>
      </c>
      <c r="E165" s="75"/>
      <c r="F165" s="81"/>
    </row>
    <row r="166" spans="2:6" ht="28" x14ac:dyDescent="0.3">
      <c r="B166" s="12" t="s">
        <v>447</v>
      </c>
      <c r="C166" s="39" t="s">
        <v>514</v>
      </c>
      <c r="D166" s="10" t="s">
        <v>59</v>
      </c>
      <c r="E166" s="75"/>
      <c r="F166" s="81"/>
    </row>
    <row r="167" spans="2:6" x14ac:dyDescent="0.3">
      <c r="B167" s="12" t="s">
        <v>449</v>
      </c>
      <c r="C167" s="39" t="s">
        <v>515</v>
      </c>
      <c r="D167" s="10" t="s">
        <v>59</v>
      </c>
      <c r="E167" s="75"/>
      <c r="F167" s="81"/>
    </row>
    <row r="168" spans="2:6" x14ac:dyDescent="0.3">
      <c r="B168" s="12" t="s">
        <v>451</v>
      </c>
      <c r="C168" s="39" t="s">
        <v>512</v>
      </c>
      <c r="D168" s="10" t="s">
        <v>59</v>
      </c>
      <c r="E168" s="75"/>
      <c r="F168" s="81"/>
    </row>
    <row r="169" spans="2:6" x14ac:dyDescent="0.3">
      <c r="B169" s="12"/>
      <c r="C169" s="39"/>
      <c r="D169" s="10"/>
      <c r="E169" s="75"/>
      <c r="F169" s="81"/>
    </row>
    <row r="170" spans="2:6" x14ac:dyDescent="0.3">
      <c r="B170" s="13" t="s">
        <v>472</v>
      </c>
      <c r="C170" s="69" t="s">
        <v>517</v>
      </c>
      <c r="D170" s="10"/>
      <c r="E170" s="75"/>
      <c r="F170" s="81"/>
    </row>
    <row r="171" spans="2:6" x14ac:dyDescent="0.3">
      <c r="B171" s="12" t="s">
        <v>474</v>
      </c>
      <c r="C171" s="39" t="s">
        <v>518</v>
      </c>
      <c r="D171" s="10" t="s">
        <v>59</v>
      </c>
      <c r="E171" s="75"/>
      <c r="F171" s="81"/>
    </row>
    <row r="172" spans="2:6" x14ac:dyDescent="0.3">
      <c r="B172" s="12" t="s">
        <v>476</v>
      </c>
      <c r="C172" s="39" t="s">
        <v>519</v>
      </c>
      <c r="D172" s="10" t="s">
        <v>59</v>
      </c>
      <c r="E172" s="75"/>
      <c r="F172" s="81"/>
    </row>
    <row r="173" spans="2:6" x14ac:dyDescent="0.3">
      <c r="B173" s="12"/>
      <c r="C173" s="39"/>
      <c r="D173" s="10"/>
      <c r="E173" s="73"/>
      <c r="F173" s="81"/>
    </row>
    <row r="174" spans="2:6" x14ac:dyDescent="0.3">
      <c r="B174" s="13" t="s">
        <v>484</v>
      </c>
      <c r="C174" s="69" t="s">
        <v>522</v>
      </c>
      <c r="D174" s="10"/>
      <c r="E174" s="73"/>
      <c r="F174" s="81"/>
    </row>
    <row r="175" spans="2:6" x14ac:dyDescent="0.3">
      <c r="B175" s="12" t="s">
        <v>486</v>
      </c>
      <c r="C175" s="39" t="s">
        <v>523</v>
      </c>
      <c r="D175" s="10" t="s">
        <v>59</v>
      </c>
      <c r="E175" s="75"/>
      <c r="F175" s="81"/>
    </row>
    <row r="176" spans="2:6" x14ac:dyDescent="0.3">
      <c r="B176" s="12" t="s">
        <v>671</v>
      </c>
      <c r="C176" s="39" t="s">
        <v>526</v>
      </c>
      <c r="D176" s="10" t="s">
        <v>59</v>
      </c>
      <c r="E176" s="75"/>
      <c r="F176" s="81"/>
    </row>
    <row r="177" spans="2:6" x14ac:dyDescent="0.3">
      <c r="B177" s="12"/>
      <c r="C177" s="39"/>
      <c r="D177" s="10"/>
      <c r="E177" s="75"/>
      <c r="F177" s="81"/>
    </row>
    <row r="178" spans="2:6" x14ac:dyDescent="0.3">
      <c r="B178" s="13" t="s">
        <v>488</v>
      </c>
      <c r="C178" s="69" t="s">
        <v>527</v>
      </c>
      <c r="D178" s="10"/>
      <c r="E178" s="75"/>
      <c r="F178" s="81"/>
    </row>
    <row r="179" spans="2:6" x14ac:dyDescent="0.3">
      <c r="B179" s="12" t="s">
        <v>489</v>
      </c>
      <c r="C179" s="39" t="s">
        <v>528</v>
      </c>
      <c r="D179" s="10" t="s">
        <v>59</v>
      </c>
      <c r="E179" s="75"/>
      <c r="F179" s="81"/>
    </row>
    <row r="180" spans="2:6" x14ac:dyDescent="0.3">
      <c r="B180" s="12" t="s">
        <v>490</v>
      </c>
      <c r="C180" s="39" t="s">
        <v>529</v>
      </c>
      <c r="D180" s="10" t="s">
        <v>59</v>
      </c>
      <c r="E180" s="75"/>
      <c r="F180" s="81"/>
    </row>
    <row r="181" spans="2:6" x14ac:dyDescent="0.3">
      <c r="B181" s="12" t="s">
        <v>491</v>
      </c>
      <c r="C181" s="39" t="s">
        <v>531</v>
      </c>
      <c r="D181" s="10" t="s">
        <v>59</v>
      </c>
      <c r="E181" s="75"/>
      <c r="F181" s="81"/>
    </row>
    <row r="182" spans="2:6" x14ac:dyDescent="0.3">
      <c r="B182" s="35"/>
      <c r="C182" s="59" t="s">
        <v>654</v>
      </c>
      <c r="D182" s="10"/>
      <c r="E182" s="75"/>
      <c r="F182" s="86"/>
    </row>
    <row r="183" spans="2:6" s="21" customFormat="1" ht="14.5" thickBot="1" x14ac:dyDescent="0.4">
      <c r="B183" s="70"/>
      <c r="C183" s="415" t="s">
        <v>713</v>
      </c>
      <c r="D183" s="415"/>
      <c r="E183" s="93"/>
      <c r="F183" s="91"/>
    </row>
    <row r="184" spans="2:6" ht="14.5" thickTop="1" x14ac:dyDescent="0.3">
      <c r="E184" s="94"/>
    </row>
  </sheetData>
  <mergeCells count="1">
    <mergeCell ref="C183:D18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H186"/>
  <sheetViews>
    <sheetView tabSelected="1" workbookViewId="0">
      <selection activeCell="C9" sqref="C9"/>
    </sheetView>
  </sheetViews>
  <sheetFormatPr baseColWidth="10" defaultColWidth="12.90625" defaultRowHeight="14" x14ac:dyDescent="0.3"/>
  <cols>
    <col min="1" max="1" width="11.453125" style="1" customWidth="1"/>
    <col min="2" max="2" width="12.90625" style="1" customWidth="1"/>
    <col min="3" max="3" width="73.36328125" style="1" customWidth="1"/>
    <col min="4" max="4" width="7.6328125" style="20" customWidth="1"/>
    <col min="5" max="5" width="9.36328125" style="20" bestFit="1" customWidth="1"/>
    <col min="6" max="6" width="17.6328125" style="20" customWidth="1"/>
    <col min="7" max="7" width="16.08984375" style="77" bestFit="1" customWidth="1"/>
    <col min="8" max="253" width="12.90625" style="1"/>
    <col min="254" max="254" width="11.453125" style="1" customWidth="1"/>
    <col min="255" max="255" width="12.90625" style="1" customWidth="1"/>
    <col min="256" max="256" width="71.54296875" style="1" bestFit="1" customWidth="1"/>
    <col min="257" max="257" width="7.6328125" style="1" customWidth="1"/>
    <col min="258" max="258" width="14.453125" style="1" customWidth="1"/>
    <col min="259" max="259" width="24" style="1" customWidth="1"/>
    <col min="260" max="260" width="24.08984375" style="1" customWidth="1"/>
    <col min="261" max="509" width="12.90625" style="1"/>
    <col min="510" max="510" width="11.453125" style="1" customWidth="1"/>
    <col min="511" max="511" width="12.90625" style="1" customWidth="1"/>
    <col min="512" max="512" width="71.54296875" style="1" bestFit="1" customWidth="1"/>
    <col min="513" max="513" width="7.6328125" style="1" customWidth="1"/>
    <col min="514" max="514" width="14.453125" style="1" customWidth="1"/>
    <col min="515" max="515" width="24" style="1" customWidth="1"/>
    <col min="516" max="516" width="24.08984375" style="1" customWidth="1"/>
    <col min="517" max="765" width="12.90625" style="1"/>
    <col min="766" max="766" width="11.453125" style="1" customWidth="1"/>
    <col min="767" max="767" width="12.90625" style="1" customWidth="1"/>
    <col min="768" max="768" width="71.54296875" style="1" bestFit="1" customWidth="1"/>
    <col min="769" max="769" width="7.6328125" style="1" customWidth="1"/>
    <col min="770" max="770" width="14.453125" style="1" customWidth="1"/>
    <col min="771" max="771" width="24" style="1" customWidth="1"/>
    <col min="772" max="772" width="24.08984375" style="1" customWidth="1"/>
    <col min="773" max="1021" width="12.90625" style="1"/>
    <col min="1022" max="1022" width="11.453125" style="1" customWidth="1"/>
    <col min="1023" max="1023" width="12.90625" style="1" customWidth="1"/>
    <col min="1024" max="1024" width="71.54296875" style="1" bestFit="1" customWidth="1"/>
    <col min="1025" max="1025" width="7.6328125" style="1" customWidth="1"/>
    <col min="1026" max="1026" width="14.453125" style="1" customWidth="1"/>
    <col min="1027" max="1027" width="24" style="1" customWidth="1"/>
    <col min="1028" max="1028" width="24.08984375" style="1" customWidth="1"/>
    <col min="1029" max="1277" width="12.90625" style="1"/>
    <col min="1278" max="1278" width="11.453125" style="1" customWidth="1"/>
    <col min="1279" max="1279" width="12.90625" style="1" customWidth="1"/>
    <col min="1280" max="1280" width="71.54296875" style="1" bestFit="1" customWidth="1"/>
    <col min="1281" max="1281" width="7.6328125" style="1" customWidth="1"/>
    <col min="1282" max="1282" width="14.453125" style="1" customWidth="1"/>
    <col min="1283" max="1283" width="24" style="1" customWidth="1"/>
    <col min="1284" max="1284" width="24.08984375" style="1" customWidth="1"/>
    <col min="1285" max="1533" width="12.90625" style="1"/>
    <col min="1534" max="1534" width="11.453125" style="1" customWidth="1"/>
    <col min="1535" max="1535" width="12.90625" style="1" customWidth="1"/>
    <col min="1536" max="1536" width="71.54296875" style="1" bestFit="1" customWidth="1"/>
    <col min="1537" max="1537" width="7.6328125" style="1" customWidth="1"/>
    <col min="1538" max="1538" width="14.453125" style="1" customWidth="1"/>
    <col min="1539" max="1539" width="24" style="1" customWidth="1"/>
    <col min="1540" max="1540" width="24.08984375" style="1" customWidth="1"/>
    <col min="1541" max="1789" width="12.90625" style="1"/>
    <col min="1790" max="1790" width="11.453125" style="1" customWidth="1"/>
    <col min="1791" max="1791" width="12.90625" style="1" customWidth="1"/>
    <col min="1792" max="1792" width="71.54296875" style="1" bestFit="1" customWidth="1"/>
    <col min="1793" max="1793" width="7.6328125" style="1" customWidth="1"/>
    <col min="1794" max="1794" width="14.453125" style="1" customWidth="1"/>
    <col min="1795" max="1795" width="24" style="1" customWidth="1"/>
    <col min="1796" max="1796" width="24.08984375" style="1" customWidth="1"/>
    <col min="1797" max="2045" width="12.90625" style="1"/>
    <col min="2046" max="2046" width="11.453125" style="1" customWidth="1"/>
    <col min="2047" max="2047" width="12.90625" style="1" customWidth="1"/>
    <col min="2048" max="2048" width="71.54296875" style="1" bestFit="1" customWidth="1"/>
    <col min="2049" max="2049" width="7.6328125" style="1" customWidth="1"/>
    <col min="2050" max="2050" width="14.453125" style="1" customWidth="1"/>
    <col min="2051" max="2051" width="24" style="1" customWidth="1"/>
    <col min="2052" max="2052" width="24.08984375" style="1" customWidth="1"/>
    <col min="2053" max="2301" width="12.90625" style="1"/>
    <col min="2302" max="2302" width="11.453125" style="1" customWidth="1"/>
    <col min="2303" max="2303" width="12.90625" style="1" customWidth="1"/>
    <col min="2304" max="2304" width="71.54296875" style="1" bestFit="1" customWidth="1"/>
    <col min="2305" max="2305" width="7.6328125" style="1" customWidth="1"/>
    <col min="2306" max="2306" width="14.453125" style="1" customWidth="1"/>
    <col min="2307" max="2307" width="24" style="1" customWidth="1"/>
    <col min="2308" max="2308" width="24.08984375" style="1" customWidth="1"/>
    <col min="2309" max="2557" width="12.90625" style="1"/>
    <col min="2558" max="2558" width="11.453125" style="1" customWidth="1"/>
    <col min="2559" max="2559" width="12.90625" style="1" customWidth="1"/>
    <col min="2560" max="2560" width="71.54296875" style="1" bestFit="1" customWidth="1"/>
    <col min="2561" max="2561" width="7.6328125" style="1" customWidth="1"/>
    <col min="2562" max="2562" width="14.453125" style="1" customWidth="1"/>
    <col min="2563" max="2563" width="24" style="1" customWidth="1"/>
    <col min="2564" max="2564" width="24.08984375" style="1" customWidth="1"/>
    <col min="2565" max="2813" width="12.90625" style="1"/>
    <col min="2814" max="2814" width="11.453125" style="1" customWidth="1"/>
    <col min="2815" max="2815" width="12.90625" style="1" customWidth="1"/>
    <col min="2816" max="2816" width="71.54296875" style="1" bestFit="1" customWidth="1"/>
    <col min="2817" max="2817" width="7.6328125" style="1" customWidth="1"/>
    <col min="2818" max="2818" width="14.453125" style="1" customWidth="1"/>
    <col min="2819" max="2819" width="24" style="1" customWidth="1"/>
    <col min="2820" max="2820" width="24.08984375" style="1" customWidth="1"/>
    <col min="2821" max="3069" width="12.90625" style="1"/>
    <col min="3070" max="3070" width="11.453125" style="1" customWidth="1"/>
    <col min="3071" max="3071" width="12.90625" style="1" customWidth="1"/>
    <col min="3072" max="3072" width="71.54296875" style="1" bestFit="1" customWidth="1"/>
    <col min="3073" max="3073" width="7.6328125" style="1" customWidth="1"/>
    <col min="3074" max="3074" width="14.453125" style="1" customWidth="1"/>
    <col min="3075" max="3075" width="24" style="1" customWidth="1"/>
    <col min="3076" max="3076" width="24.08984375" style="1" customWidth="1"/>
    <col min="3077" max="3325" width="12.90625" style="1"/>
    <col min="3326" max="3326" width="11.453125" style="1" customWidth="1"/>
    <col min="3327" max="3327" width="12.90625" style="1" customWidth="1"/>
    <col min="3328" max="3328" width="71.54296875" style="1" bestFit="1" customWidth="1"/>
    <col min="3329" max="3329" width="7.6328125" style="1" customWidth="1"/>
    <col min="3330" max="3330" width="14.453125" style="1" customWidth="1"/>
    <col min="3331" max="3331" width="24" style="1" customWidth="1"/>
    <col min="3332" max="3332" width="24.08984375" style="1" customWidth="1"/>
    <col min="3333" max="3581" width="12.90625" style="1"/>
    <col min="3582" max="3582" width="11.453125" style="1" customWidth="1"/>
    <col min="3583" max="3583" width="12.90625" style="1" customWidth="1"/>
    <col min="3584" max="3584" width="71.54296875" style="1" bestFit="1" customWidth="1"/>
    <col min="3585" max="3585" width="7.6328125" style="1" customWidth="1"/>
    <col min="3586" max="3586" width="14.453125" style="1" customWidth="1"/>
    <col min="3587" max="3587" width="24" style="1" customWidth="1"/>
    <col min="3588" max="3588" width="24.08984375" style="1" customWidth="1"/>
    <col min="3589" max="3837" width="12.90625" style="1"/>
    <col min="3838" max="3838" width="11.453125" style="1" customWidth="1"/>
    <col min="3839" max="3839" width="12.90625" style="1" customWidth="1"/>
    <col min="3840" max="3840" width="71.54296875" style="1" bestFit="1" customWidth="1"/>
    <col min="3841" max="3841" width="7.6328125" style="1" customWidth="1"/>
    <col min="3842" max="3842" width="14.453125" style="1" customWidth="1"/>
    <col min="3843" max="3843" width="24" style="1" customWidth="1"/>
    <col min="3844" max="3844" width="24.08984375" style="1" customWidth="1"/>
    <col min="3845" max="4093" width="12.90625" style="1"/>
    <col min="4094" max="4094" width="11.453125" style="1" customWidth="1"/>
    <col min="4095" max="4095" width="12.90625" style="1" customWidth="1"/>
    <col min="4096" max="4096" width="71.54296875" style="1" bestFit="1" customWidth="1"/>
    <col min="4097" max="4097" width="7.6328125" style="1" customWidth="1"/>
    <col min="4098" max="4098" width="14.453125" style="1" customWidth="1"/>
    <col min="4099" max="4099" width="24" style="1" customWidth="1"/>
    <col min="4100" max="4100" width="24.08984375" style="1" customWidth="1"/>
    <col min="4101" max="4349" width="12.90625" style="1"/>
    <col min="4350" max="4350" width="11.453125" style="1" customWidth="1"/>
    <col min="4351" max="4351" width="12.90625" style="1" customWidth="1"/>
    <col min="4352" max="4352" width="71.54296875" style="1" bestFit="1" customWidth="1"/>
    <col min="4353" max="4353" width="7.6328125" style="1" customWidth="1"/>
    <col min="4354" max="4354" width="14.453125" style="1" customWidth="1"/>
    <col min="4355" max="4355" width="24" style="1" customWidth="1"/>
    <col min="4356" max="4356" width="24.08984375" style="1" customWidth="1"/>
    <col min="4357" max="4605" width="12.90625" style="1"/>
    <col min="4606" max="4606" width="11.453125" style="1" customWidth="1"/>
    <col min="4607" max="4607" width="12.90625" style="1" customWidth="1"/>
    <col min="4608" max="4608" width="71.54296875" style="1" bestFit="1" customWidth="1"/>
    <col min="4609" max="4609" width="7.6328125" style="1" customWidth="1"/>
    <col min="4610" max="4610" width="14.453125" style="1" customWidth="1"/>
    <col min="4611" max="4611" width="24" style="1" customWidth="1"/>
    <col min="4612" max="4612" width="24.08984375" style="1" customWidth="1"/>
    <col min="4613" max="4861" width="12.90625" style="1"/>
    <col min="4862" max="4862" width="11.453125" style="1" customWidth="1"/>
    <col min="4863" max="4863" width="12.90625" style="1" customWidth="1"/>
    <col min="4864" max="4864" width="71.54296875" style="1" bestFit="1" customWidth="1"/>
    <col min="4865" max="4865" width="7.6328125" style="1" customWidth="1"/>
    <col min="4866" max="4866" width="14.453125" style="1" customWidth="1"/>
    <col min="4867" max="4867" width="24" style="1" customWidth="1"/>
    <col min="4868" max="4868" width="24.08984375" style="1" customWidth="1"/>
    <col min="4869" max="5117" width="12.90625" style="1"/>
    <col min="5118" max="5118" width="11.453125" style="1" customWidth="1"/>
    <col min="5119" max="5119" width="12.90625" style="1" customWidth="1"/>
    <col min="5120" max="5120" width="71.54296875" style="1" bestFit="1" customWidth="1"/>
    <col min="5121" max="5121" width="7.6328125" style="1" customWidth="1"/>
    <col min="5122" max="5122" width="14.453125" style="1" customWidth="1"/>
    <col min="5123" max="5123" width="24" style="1" customWidth="1"/>
    <col min="5124" max="5124" width="24.08984375" style="1" customWidth="1"/>
    <col min="5125" max="5373" width="12.90625" style="1"/>
    <col min="5374" max="5374" width="11.453125" style="1" customWidth="1"/>
    <col min="5375" max="5375" width="12.90625" style="1" customWidth="1"/>
    <col min="5376" max="5376" width="71.54296875" style="1" bestFit="1" customWidth="1"/>
    <col min="5377" max="5377" width="7.6328125" style="1" customWidth="1"/>
    <col min="5378" max="5378" width="14.453125" style="1" customWidth="1"/>
    <col min="5379" max="5379" width="24" style="1" customWidth="1"/>
    <col min="5380" max="5380" width="24.08984375" style="1" customWidth="1"/>
    <col min="5381" max="5629" width="12.90625" style="1"/>
    <col min="5630" max="5630" width="11.453125" style="1" customWidth="1"/>
    <col min="5631" max="5631" width="12.90625" style="1" customWidth="1"/>
    <col min="5632" max="5632" width="71.54296875" style="1" bestFit="1" customWidth="1"/>
    <col min="5633" max="5633" width="7.6328125" style="1" customWidth="1"/>
    <col min="5634" max="5634" width="14.453125" style="1" customWidth="1"/>
    <col min="5635" max="5635" width="24" style="1" customWidth="1"/>
    <col min="5636" max="5636" width="24.08984375" style="1" customWidth="1"/>
    <col min="5637" max="5885" width="12.90625" style="1"/>
    <col min="5886" max="5886" width="11.453125" style="1" customWidth="1"/>
    <col min="5887" max="5887" width="12.90625" style="1" customWidth="1"/>
    <col min="5888" max="5888" width="71.54296875" style="1" bestFit="1" customWidth="1"/>
    <col min="5889" max="5889" width="7.6328125" style="1" customWidth="1"/>
    <col min="5890" max="5890" width="14.453125" style="1" customWidth="1"/>
    <col min="5891" max="5891" width="24" style="1" customWidth="1"/>
    <col min="5892" max="5892" width="24.08984375" style="1" customWidth="1"/>
    <col min="5893" max="6141" width="12.90625" style="1"/>
    <col min="6142" max="6142" width="11.453125" style="1" customWidth="1"/>
    <col min="6143" max="6143" width="12.90625" style="1" customWidth="1"/>
    <col min="6144" max="6144" width="71.54296875" style="1" bestFit="1" customWidth="1"/>
    <col min="6145" max="6145" width="7.6328125" style="1" customWidth="1"/>
    <col min="6146" max="6146" width="14.453125" style="1" customWidth="1"/>
    <col min="6147" max="6147" width="24" style="1" customWidth="1"/>
    <col min="6148" max="6148" width="24.08984375" style="1" customWidth="1"/>
    <col min="6149" max="6397" width="12.90625" style="1"/>
    <col min="6398" max="6398" width="11.453125" style="1" customWidth="1"/>
    <col min="6399" max="6399" width="12.90625" style="1" customWidth="1"/>
    <col min="6400" max="6400" width="71.54296875" style="1" bestFit="1" customWidth="1"/>
    <col min="6401" max="6401" width="7.6328125" style="1" customWidth="1"/>
    <col min="6402" max="6402" width="14.453125" style="1" customWidth="1"/>
    <col min="6403" max="6403" width="24" style="1" customWidth="1"/>
    <col min="6404" max="6404" width="24.08984375" style="1" customWidth="1"/>
    <col min="6405" max="6653" width="12.90625" style="1"/>
    <col min="6654" max="6654" width="11.453125" style="1" customWidth="1"/>
    <col min="6655" max="6655" width="12.90625" style="1" customWidth="1"/>
    <col min="6656" max="6656" width="71.54296875" style="1" bestFit="1" customWidth="1"/>
    <col min="6657" max="6657" width="7.6328125" style="1" customWidth="1"/>
    <col min="6658" max="6658" width="14.453125" style="1" customWidth="1"/>
    <col min="6659" max="6659" width="24" style="1" customWidth="1"/>
    <col min="6660" max="6660" width="24.08984375" style="1" customWidth="1"/>
    <col min="6661" max="6909" width="12.90625" style="1"/>
    <col min="6910" max="6910" width="11.453125" style="1" customWidth="1"/>
    <col min="6911" max="6911" width="12.90625" style="1" customWidth="1"/>
    <col min="6912" max="6912" width="71.54296875" style="1" bestFit="1" customWidth="1"/>
    <col min="6913" max="6913" width="7.6328125" style="1" customWidth="1"/>
    <col min="6914" max="6914" width="14.453125" style="1" customWidth="1"/>
    <col min="6915" max="6915" width="24" style="1" customWidth="1"/>
    <col min="6916" max="6916" width="24.08984375" style="1" customWidth="1"/>
    <col min="6917" max="7165" width="12.90625" style="1"/>
    <col min="7166" max="7166" width="11.453125" style="1" customWidth="1"/>
    <col min="7167" max="7167" width="12.90625" style="1" customWidth="1"/>
    <col min="7168" max="7168" width="71.54296875" style="1" bestFit="1" customWidth="1"/>
    <col min="7169" max="7169" width="7.6328125" style="1" customWidth="1"/>
    <col min="7170" max="7170" width="14.453125" style="1" customWidth="1"/>
    <col min="7171" max="7171" width="24" style="1" customWidth="1"/>
    <col min="7172" max="7172" width="24.08984375" style="1" customWidth="1"/>
    <col min="7173" max="7421" width="12.90625" style="1"/>
    <col min="7422" max="7422" width="11.453125" style="1" customWidth="1"/>
    <col min="7423" max="7423" width="12.90625" style="1" customWidth="1"/>
    <col min="7424" max="7424" width="71.54296875" style="1" bestFit="1" customWidth="1"/>
    <col min="7425" max="7425" width="7.6328125" style="1" customWidth="1"/>
    <col min="7426" max="7426" width="14.453125" style="1" customWidth="1"/>
    <col min="7427" max="7427" width="24" style="1" customWidth="1"/>
    <col min="7428" max="7428" width="24.08984375" style="1" customWidth="1"/>
    <col min="7429" max="7677" width="12.90625" style="1"/>
    <col min="7678" max="7678" width="11.453125" style="1" customWidth="1"/>
    <col min="7679" max="7679" width="12.90625" style="1" customWidth="1"/>
    <col min="7680" max="7680" width="71.54296875" style="1" bestFit="1" customWidth="1"/>
    <col min="7681" max="7681" width="7.6328125" style="1" customWidth="1"/>
    <col min="7682" max="7682" width="14.453125" style="1" customWidth="1"/>
    <col min="7683" max="7683" width="24" style="1" customWidth="1"/>
    <col min="7684" max="7684" width="24.08984375" style="1" customWidth="1"/>
    <col min="7685" max="7933" width="12.90625" style="1"/>
    <col min="7934" max="7934" width="11.453125" style="1" customWidth="1"/>
    <col min="7935" max="7935" width="12.90625" style="1" customWidth="1"/>
    <col min="7936" max="7936" width="71.54296875" style="1" bestFit="1" customWidth="1"/>
    <col min="7937" max="7937" width="7.6328125" style="1" customWidth="1"/>
    <col min="7938" max="7938" width="14.453125" style="1" customWidth="1"/>
    <col min="7939" max="7939" width="24" style="1" customWidth="1"/>
    <col min="7940" max="7940" width="24.08984375" style="1" customWidth="1"/>
    <col min="7941" max="8189" width="12.90625" style="1"/>
    <col min="8190" max="8190" width="11.453125" style="1" customWidth="1"/>
    <col min="8191" max="8191" width="12.90625" style="1" customWidth="1"/>
    <col min="8192" max="8192" width="71.54296875" style="1" bestFit="1" customWidth="1"/>
    <col min="8193" max="8193" width="7.6328125" style="1" customWidth="1"/>
    <col min="8194" max="8194" width="14.453125" style="1" customWidth="1"/>
    <col min="8195" max="8195" width="24" style="1" customWidth="1"/>
    <col min="8196" max="8196" width="24.08984375" style="1" customWidth="1"/>
    <col min="8197" max="8445" width="12.90625" style="1"/>
    <col min="8446" max="8446" width="11.453125" style="1" customWidth="1"/>
    <col min="8447" max="8447" width="12.90625" style="1" customWidth="1"/>
    <col min="8448" max="8448" width="71.54296875" style="1" bestFit="1" customWidth="1"/>
    <col min="8449" max="8449" width="7.6328125" style="1" customWidth="1"/>
    <col min="8450" max="8450" width="14.453125" style="1" customWidth="1"/>
    <col min="8451" max="8451" width="24" style="1" customWidth="1"/>
    <col min="8452" max="8452" width="24.08984375" style="1" customWidth="1"/>
    <col min="8453" max="8701" width="12.90625" style="1"/>
    <col min="8702" max="8702" width="11.453125" style="1" customWidth="1"/>
    <col min="8703" max="8703" width="12.90625" style="1" customWidth="1"/>
    <col min="8704" max="8704" width="71.54296875" style="1" bestFit="1" customWidth="1"/>
    <col min="8705" max="8705" width="7.6328125" style="1" customWidth="1"/>
    <col min="8706" max="8706" width="14.453125" style="1" customWidth="1"/>
    <col min="8707" max="8707" width="24" style="1" customWidth="1"/>
    <col min="8708" max="8708" width="24.08984375" style="1" customWidth="1"/>
    <col min="8709" max="8957" width="12.90625" style="1"/>
    <col min="8958" max="8958" width="11.453125" style="1" customWidth="1"/>
    <col min="8959" max="8959" width="12.90625" style="1" customWidth="1"/>
    <col min="8960" max="8960" width="71.54296875" style="1" bestFit="1" customWidth="1"/>
    <col min="8961" max="8961" width="7.6328125" style="1" customWidth="1"/>
    <col min="8962" max="8962" width="14.453125" style="1" customWidth="1"/>
    <col min="8963" max="8963" width="24" style="1" customWidth="1"/>
    <col min="8964" max="8964" width="24.08984375" style="1" customWidth="1"/>
    <col min="8965" max="9213" width="12.90625" style="1"/>
    <col min="9214" max="9214" width="11.453125" style="1" customWidth="1"/>
    <col min="9215" max="9215" width="12.90625" style="1" customWidth="1"/>
    <col min="9216" max="9216" width="71.54296875" style="1" bestFit="1" customWidth="1"/>
    <col min="9217" max="9217" width="7.6328125" style="1" customWidth="1"/>
    <col min="9218" max="9218" width="14.453125" style="1" customWidth="1"/>
    <col min="9219" max="9219" width="24" style="1" customWidth="1"/>
    <col min="9220" max="9220" width="24.08984375" style="1" customWidth="1"/>
    <col min="9221" max="9469" width="12.90625" style="1"/>
    <col min="9470" max="9470" width="11.453125" style="1" customWidth="1"/>
    <col min="9471" max="9471" width="12.90625" style="1" customWidth="1"/>
    <col min="9472" max="9472" width="71.54296875" style="1" bestFit="1" customWidth="1"/>
    <col min="9473" max="9473" width="7.6328125" style="1" customWidth="1"/>
    <col min="9474" max="9474" width="14.453125" style="1" customWidth="1"/>
    <col min="9475" max="9475" width="24" style="1" customWidth="1"/>
    <col min="9476" max="9476" width="24.08984375" style="1" customWidth="1"/>
    <col min="9477" max="9725" width="12.90625" style="1"/>
    <col min="9726" max="9726" width="11.453125" style="1" customWidth="1"/>
    <col min="9727" max="9727" width="12.90625" style="1" customWidth="1"/>
    <col min="9728" max="9728" width="71.54296875" style="1" bestFit="1" customWidth="1"/>
    <col min="9729" max="9729" width="7.6328125" style="1" customWidth="1"/>
    <col min="9730" max="9730" width="14.453125" style="1" customWidth="1"/>
    <col min="9731" max="9731" width="24" style="1" customWidth="1"/>
    <col min="9732" max="9732" width="24.08984375" style="1" customWidth="1"/>
    <col min="9733" max="9981" width="12.90625" style="1"/>
    <col min="9982" max="9982" width="11.453125" style="1" customWidth="1"/>
    <col min="9983" max="9983" width="12.90625" style="1" customWidth="1"/>
    <col min="9984" max="9984" width="71.54296875" style="1" bestFit="1" customWidth="1"/>
    <col min="9985" max="9985" width="7.6328125" style="1" customWidth="1"/>
    <col min="9986" max="9986" width="14.453125" style="1" customWidth="1"/>
    <col min="9987" max="9987" width="24" style="1" customWidth="1"/>
    <col min="9988" max="9988" width="24.08984375" style="1" customWidth="1"/>
    <col min="9989" max="10237" width="12.90625" style="1"/>
    <col min="10238" max="10238" width="11.453125" style="1" customWidth="1"/>
    <col min="10239" max="10239" width="12.90625" style="1" customWidth="1"/>
    <col min="10240" max="10240" width="71.54296875" style="1" bestFit="1" customWidth="1"/>
    <col min="10241" max="10241" width="7.6328125" style="1" customWidth="1"/>
    <col min="10242" max="10242" width="14.453125" style="1" customWidth="1"/>
    <col min="10243" max="10243" width="24" style="1" customWidth="1"/>
    <col min="10244" max="10244" width="24.08984375" style="1" customWidth="1"/>
    <col min="10245" max="10493" width="12.90625" style="1"/>
    <col min="10494" max="10494" width="11.453125" style="1" customWidth="1"/>
    <col min="10495" max="10495" width="12.90625" style="1" customWidth="1"/>
    <col min="10496" max="10496" width="71.54296875" style="1" bestFit="1" customWidth="1"/>
    <col min="10497" max="10497" width="7.6328125" style="1" customWidth="1"/>
    <col min="10498" max="10498" width="14.453125" style="1" customWidth="1"/>
    <col min="10499" max="10499" width="24" style="1" customWidth="1"/>
    <col min="10500" max="10500" width="24.08984375" style="1" customWidth="1"/>
    <col min="10501" max="10749" width="12.90625" style="1"/>
    <col min="10750" max="10750" width="11.453125" style="1" customWidth="1"/>
    <col min="10751" max="10751" width="12.90625" style="1" customWidth="1"/>
    <col min="10752" max="10752" width="71.54296875" style="1" bestFit="1" customWidth="1"/>
    <col min="10753" max="10753" width="7.6328125" style="1" customWidth="1"/>
    <col min="10754" max="10754" width="14.453125" style="1" customWidth="1"/>
    <col min="10755" max="10755" width="24" style="1" customWidth="1"/>
    <col min="10756" max="10756" width="24.08984375" style="1" customWidth="1"/>
    <col min="10757" max="11005" width="12.90625" style="1"/>
    <col min="11006" max="11006" width="11.453125" style="1" customWidth="1"/>
    <col min="11007" max="11007" width="12.90625" style="1" customWidth="1"/>
    <col min="11008" max="11008" width="71.54296875" style="1" bestFit="1" customWidth="1"/>
    <col min="11009" max="11009" width="7.6328125" style="1" customWidth="1"/>
    <col min="11010" max="11010" width="14.453125" style="1" customWidth="1"/>
    <col min="11011" max="11011" width="24" style="1" customWidth="1"/>
    <col min="11012" max="11012" width="24.08984375" style="1" customWidth="1"/>
    <col min="11013" max="11261" width="12.90625" style="1"/>
    <col min="11262" max="11262" width="11.453125" style="1" customWidth="1"/>
    <col min="11263" max="11263" width="12.90625" style="1" customWidth="1"/>
    <col min="11264" max="11264" width="71.54296875" style="1" bestFit="1" customWidth="1"/>
    <col min="11265" max="11265" width="7.6328125" style="1" customWidth="1"/>
    <col min="11266" max="11266" width="14.453125" style="1" customWidth="1"/>
    <col min="11267" max="11267" width="24" style="1" customWidth="1"/>
    <col min="11268" max="11268" width="24.08984375" style="1" customWidth="1"/>
    <col min="11269" max="11517" width="12.90625" style="1"/>
    <col min="11518" max="11518" width="11.453125" style="1" customWidth="1"/>
    <col min="11519" max="11519" width="12.90625" style="1" customWidth="1"/>
    <col min="11520" max="11520" width="71.54296875" style="1" bestFit="1" customWidth="1"/>
    <col min="11521" max="11521" width="7.6328125" style="1" customWidth="1"/>
    <col min="11522" max="11522" width="14.453125" style="1" customWidth="1"/>
    <col min="11523" max="11523" width="24" style="1" customWidth="1"/>
    <col min="11524" max="11524" width="24.08984375" style="1" customWidth="1"/>
    <col min="11525" max="11773" width="12.90625" style="1"/>
    <col min="11774" max="11774" width="11.453125" style="1" customWidth="1"/>
    <col min="11775" max="11775" width="12.90625" style="1" customWidth="1"/>
    <col min="11776" max="11776" width="71.54296875" style="1" bestFit="1" customWidth="1"/>
    <col min="11777" max="11777" width="7.6328125" style="1" customWidth="1"/>
    <col min="11778" max="11778" width="14.453125" style="1" customWidth="1"/>
    <col min="11779" max="11779" width="24" style="1" customWidth="1"/>
    <col min="11780" max="11780" width="24.08984375" style="1" customWidth="1"/>
    <col min="11781" max="12029" width="12.90625" style="1"/>
    <col min="12030" max="12030" width="11.453125" style="1" customWidth="1"/>
    <col min="12031" max="12031" width="12.90625" style="1" customWidth="1"/>
    <col min="12032" max="12032" width="71.54296875" style="1" bestFit="1" customWidth="1"/>
    <col min="12033" max="12033" width="7.6328125" style="1" customWidth="1"/>
    <col min="12034" max="12034" width="14.453125" style="1" customWidth="1"/>
    <col min="12035" max="12035" width="24" style="1" customWidth="1"/>
    <col min="12036" max="12036" width="24.08984375" style="1" customWidth="1"/>
    <col min="12037" max="12285" width="12.90625" style="1"/>
    <col min="12286" max="12286" width="11.453125" style="1" customWidth="1"/>
    <col min="12287" max="12287" width="12.90625" style="1" customWidth="1"/>
    <col min="12288" max="12288" width="71.54296875" style="1" bestFit="1" customWidth="1"/>
    <col min="12289" max="12289" width="7.6328125" style="1" customWidth="1"/>
    <col min="12290" max="12290" width="14.453125" style="1" customWidth="1"/>
    <col min="12291" max="12291" width="24" style="1" customWidth="1"/>
    <col min="12292" max="12292" width="24.08984375" style="1" customWidth="1"/>
    <col min="12293" max="12541" width="12.90625" style="1"/>
    <col min="12542" max="12542" width="11.453125" style="1" customWidth="1"/>
    <col min="12543" max="12543" width="12.90625" style="1" customWidth="1"/>
    <col min="12544" max="12544" width="71.54296875" style="1" bestFit="1" customWidth="1"/>
    <col min="12545" max="12545" width="7.6328125" style="1" customWidth="1"/>
    <col min="12546" max="12546" width="14.453125" style="1" customWidth="1"/>
    <col min="12547" max="12547" width="24" style="1" customWidth="1"/>
    <col min="12548" max="12548" width="24.08984375" style="1" customWidth="1"/>
    <col min="12549" max="12797" width="12.90625" style="1"/>
    <col min="12798" max="12798" width="11.453125" style="1" customWidth="1"/>
    <col min="12799" max="12799" width="12.90625" style="1" customWidth="1"/>
    <col min="12800" max="12800" width="71.54296875" style="1" bestFit="1" customWidth="1"/>
    <col min="12801" max="12801" width="7.6328125" style="1" customWidth="1"/>
    <col min="12802" max="12802" width="14.453125" style="1" customWidth="1"/>
    <col min="12803" max="12803" width="24" style="1" customWidth="1"/>
    <col min="12804" max="12804" width="24.08984375" style="1" customWidth="1"/>
    <col min="12805" max="13053" width="12.90625" style="1"/>
    <col min="13054" max="13054" width="11.453125" style="1" customWidth="1"/>
    <col min="13055" max="13055" width="12.90625" style="1" customWidth="1"/>
    <col min="13056" max="13056" width="71.54296875" style="1" bestFit="1" customWidth="1"/>
    <col min="13057" max="13057" width="7.6328125" style="1" customWidth="1"/>
    <col min="13058" max="13058" width="14.453125" style="1" customWidth="1"/>
    <col min="13059" max="13059" width="24" style="1" customWidth="1"/>
    <col min="13060" max="13060" width="24.08984375" style="1" customWidth="1"/>
    <col min="13061" max="13309" width="12.90625" style="1"/>
    <col min="13310" max="13310" width="11.453125" style="1" customWidth="1"/>
    <col min="13311" max="13311" width="12.90625" style="1" customWidth="1"/>
    <col min="13312" max="13312" width="71.54296875" style="1" bestFit="1" customWidth="1"/>
    <col min="13313" max="13313" width="7.6328125" style="1" customWidth="1"/>
    <col min="13314" max="13314" width="14.453125" style="1" customWidth="1"/>
    <col min="13315" max="13315" width="24" style="1" customWidth="1"/>
    <col min="13316" max="13316" width="24.08984375" style="1" customWidth="1"/>
    <col min="13317" max="13565" width="12.90625" style="1"/>
    <col min="13566" max="13566" width="11.453125" style="1" customWidth="1"/>
    <col min="13567" max="13567" width="12.90625" style="1" customWidth="1"/>
    <col min="13568" max="13568" width="71.54296875" style="1" bestFit="1" customWidth="1"/>
    <col min="13569" max="13569" width="7.6328125" style="1" customWidth="1"/>
    <col min="13570" max="13570" width="14.453125" style="1" customWidth="1"/>
    <col min="13571" max="13571" width="24" style="1" customWidth="1"/>
    <col min="13572" max="13572" width="24.08984375" style="1" customWidth="1"/>
    <col min="13573" max="13821" width="12.90625" style="1"/>
    <col min="13822" max="13822" width="11.453125" style="1" customWidth="1"/>
    <col min="13823" max="13823" width="12.90625" style="1" customWidth="1"/>
    <col min="13824" max="13824" width="71.54296875" style="1" bestFit="1" customWidth="1"/>
    <col min="13825" max="13825" width="7.6328125" style="1" customWidth="1"/>
    <col min="13826" max="13826" width="14.453125" style="1" customWidth="1"/>
    <col min="13827" max="13827" width="24" style="1" customWidth="1"/>
    <col min="13828" max="13828" width="24.08984375" style="1" customWidth="1"/>
    <col min="13829" max="14077" width="12.90625" style="1"/>
    <col min="14078" max="14078" width="11.453125" style="1" customWidth="1"/>
    <col min="14079" max="14079" width="12.90625" style="1" customWidth="1"/>
    <col min="14080" max="14080" width="71.54296875" style="1" bestFit="1" customWidth="1"/>
    <col min="14081" max="14081" width="7.6328125" style="1" customWidth="1"/>
    <col min="14082" max="14082" width="14.453125" style="1" customWidth="1"/>
    <col min="14083" max="14083" width="24" style="1" customWidth="1"/>
    <col min="14084" max="14084" width="24.08984375" style="1" customWidth="1"/>
    <col min="14085" max="14333" width="12.90625" style="1"/>
    <col min="14334" max="14334" width="11.453125" style="1" customWidth="1"/>
    <col min="14335" max="14335" width="12.90625" style="1" customWidth="1"/>
    <col min="14336" max="14336" width="71.54296875" style="1" bestFit="1" customWidth="1"/>
    <col min="14337" max="14337" width="7.6328125" style="1" customWidth="1"/>
    <col min="14338" max="14338" width="14.453125" style="1" customWidth="1"/>
    <col min="14339" max="14339" width="24" style="1" customWidth="1"/>
    <col min="14340" max="14340" width="24.08984375" style="1" customWidth="1"/>
    <col min="14341" max="14589" width="12.90625" style="1"/>
    <col min="14590" max="14590" width="11.453125" style="1" customWidth="1"/>
    <col min="14591" max="14591" width="12.90625" style="1" customWidth="1"/>
    <col min="14592" max="14592" width="71.54296875" style="1" bestFit="1" customWidth="1"/>
    <col min="14593" max="14593" width="7.6328125" style="1" customWidth="1"/>
    <col min="14594" max="14594" width="14.453125" style="1" customWidth="1"/>
    <col min="14595" max="14595" width="24" style="1" customWidth="1"/>
    <col min="14596" max="14596" width="24.08984375" style="1" customWidth="1"/>
    <col min="14597" max="14845" width="12.90625" style="1"/>
    <col min="14846" max="14846" width="11.453125" style="1" customWidth="1"/>
    <col min="14847" max="14847" width="12.90625" style="1" customWidth="1"/>
    <col min="14848" max="14848" width="71.54296875" style="1" bestFit="1" customWidth="1"/>
    <col min="14849" max="14849" width="7.6328125" style="1" customWidth="1"/>
    <col min="14850" max="14850" width="14.453125" style="1" customWidth="1"/>
    <col min="14851" max="14851" width="24" style="1" customWidth="1"/>
    <col min="14852" max="14852" width="24.08984375" style="1" customWidth="1"/>
    <col min="14853" max="15101" width="12.90625" style="1"/>
    <col min="15102" max="15102" width="11.453125" style="1" customWidth="1"/>
    <col min="15103" max="15103" width="12.90625" style="1" customWidth="1"/>
    <col min="15104" max="15104" width="71.54296875" style="1" bestFit="1" customWidth="1"/>
    <col min="15105" max="15105" width="7.6328125" style="1" customWidth="1"/>
    <col min="15106" max="15106" width="14.453125" style="1" customWidth="1"/>
    <col min="15107" max="15107" width="24" style="1" customWidth="1"/>
    <col min="15108" max="15108" width="24.08984375" style="1" customWidth="1"/>
    <col min="15109" max="15357" width="12.90625" style="1"/>
    <col min="15358" max="15358" width="11.453125" style="1" customWidth="1"/>
    <col min="15359" max="15359" width="12.90625" style="1" customWidth="1"/>
    <col min="15360" max="15360" width="71.54296875" style="1" bestFit="1" customWidth="1"/>
    <col min="15361" max="15361" width="7.6328125" style="1" customWidth="1"/>
    <col min="15362" max="15362" width="14.453125" style="1" customWidth="1"/>
    <col min="15363" max="15363" width="24" style="1" customWidth="1"/>
    <col min="15364" max="15364" width="24.08984375" style="1" customWidth="1"/>
    <col min="15365" max="15613" width="12.90625" style="1"/>
    <col min="15614" max="15614" width="11.453125" style="1" customWidth="1"/>
    <col min="15615" max="15615" width="12.90625" style="1" customWidth="1"/>
    <col min="15616" max="15616" width="71.54296875" style="1" bestFit="1" customWidth="1"/>
    <col min="15617" max="15617" width="7.6328125" style="1" customWidth="1"/>
    <col min="15618" max="15618" width="14.453125" style="1" customWidth="1"/>
    <col min="15619" max="15619" width="24" style="1" customWidth="1"/>
    <col min="15620" max="15620" width="24.08984375" style="1" customWidth="1"/>
    <col min="15621" max="15869" width="12.90625" style="1"/>
    <col min="15870" max="15870" width="11.453125" style="1" customWidth="1"/>
    <col min="15871" max="15871" width="12.90625" style="1" customWidth="1"/>
    <col min="15872" max="15872" width="71.54296875" style="1" bestFit="1" customWidth="1"/>
    <col min="15873" max="15873" width="7.6328125" style="1" customWidth="1"/>
    <col min="15874" max="15874" width="14.453125" style="1" customWidth="1"/>
    <col min="15875" max="15875" width="24" style="1" customWidth="1"/>
    <col min="15876" max="15876" width="24.08984375" style="1" customWidth="1"/>
    <col min="15877" max="16125" width="12.90625" style="1"/>
    <col min="16126" max="16126" width="11.453125" style="1" customWidth="1"/>
    <col min="16127" max="16127" width="12.90625" style="1" customWidth="1"/>
    <col min="16128" max="16128" width="71.54296875" style="1" bestFit="1" customWidth="1"/>
    <col min="16129" max="16129" width="7.6328125" style="1" customWidth="1"/>
    <col min="16130" max="16130" width="14.453125" style="1" customWidth="1"/>
    <col min="16131" max="16131" width="24" style="1" customWidth="1"/>
    <col min="16132" max="16132" width="24.08984375" style="1" customWidth="1"/>
    <col min="16133" max="16384" width="12.90625" style="1"/>
  </cols>
  <sheetData>
    <row r="1" spans="2:7" ht="14.5" thickBot="1" x14ac:dyDescent="0.35"/>
    <row r="2" spans="2:7" s="3" customFormat="1" ht="17" thickBot="1" x14ac:dyDescent="0.4">
      <c r="B2" s="22" t="s">
        <v>8</v>
      </c>
      <c r="C2" s="78" t="s">
        <v>1368</v>
      </c>
      <c r="D2" s="23"/>
      <c r="E2" s="20"/>
      <c r="F2" s="20"/>
      <c r="G2" s="77"/>
    </row>
    <row r="3" spans="2:7" s="3" customFormat="1" ht="14.5" thickBot="1" x14ac:dyDescent="0.4">
      <c r="C3" s="79"/>
      <c r="D3" s="20"/>
      <c r="E3" s="20"/>
      <c r="F3" s="20"/>
      <c r="G3" s="77"/>
    </row>
    <row r="4" spans="2:7" s="3" customFormat="1" ht="24.65" customHeight="1" thickTop="1" thickBot="1" x14ac:dyDescent="0.4">
      <c r="B4" s="99" t="s">
        <v>0</v>
      </c>
      <c r="C4" s="5" t="s">
        <v>1</v>
      </c>
      <c r="D4" s="6" t="s">
        <v>611</v>
      </c>
      <c r="E4" s="4" t="s">
        <v>612</v>
      </c>
      <c r="F4" s="4" t="s">
        <v>613</v>
      </c>
      <c r="G4" s="4" t="s">
        <v>614</v>
      </c>
    </row>
    <row r="5" spans="2:7" s="3" customFormat="1" ht="14.5" thickTop="1" x14ac:dyDescent="0.35">
      <c r="B5" s="96" t="s">
        <v>9</v>
      </c>
      <c r="C5" s="71" t="s">
        <v>615</v>
      </c>
      <c r="D5" s="72"/>
      <c r="E5" s="400"/>
      <c r="F5" s="400"/>
      <c r="G5" s="402"/>
    </row>
    <row r="6" spans="2:7" s="3" customFormat="1" x14ac:dyDescent="0.3">
      <c r="B6" s="27" t="s">
        <v>10</v>
      </c>
      <c r="C6" s="30" t="s">
        <v>616</v>
      </c>
      <c r="D6" s="10" t="s">
        <v>29</v>
      </c>
      <c r="E6" s="34">
        <v>1</v>
      </c>
      <c r="F6" s="34">
        <f>+BPU!E6</f>
        <v>0</v>
      </c>
      <c r="G6" s="25">
        <f t="shared" ref="G6" si="0">E6*F6</f>
        <v>0</v>
      </c>
    </row>
    <row r="7" spans="2:7" s="3" customFormat="1" x14ac:dyDescent="0.35">
      <c r="B7" s="82"/>
      <c r="C7" s="11"/>
      <c r="D7" s="83"/>
      <c r="E7" s="400"/>
      <c r="F7" s="400"/>
      <c r="G7" s="95">
        <f>SUM(G3:G6)</f>
        <v>0</v>
      </c>
    </row>
    <row r="8" spans="2:7" s="3" customFormat="1" x14ac:dyDescent="0.35">
      <c r="B8" s="29" t="s">
        <v>61</v>
      </c>
      <c r="C8" s="24" t="s">
        <v>62</v>
      </c>
      <c r="D8" s="400"/>
      <c r="E8" s="400"/>
      <c r="F8" s="400"/>
      <c r="G8" s="25"/>
    </row>
    <row r="9" spans="2:7" s="3" customFormat="1" ht="28" x14ac:dyDescent="0.35">
      <c r="B9" s="32" t="s">
        <v>63</v>
      </c>
      <c r="C9" s="33" t="s">
        <v>617</v>
      </c>
      <c r="D9" s="10" t="s">
        <v>609</v>
      </c>
      <c r="E9" s="34">
        <v>168.6</v>
      </c>
      <c r="F9" s="34">
        <f>BPU!E9</f>
        <v>0</v>
      </c>
      <c r="G9" s="25">
        <f>E9*F9</f>
        <v>0</v>
      </c>
    </row>
    <row r="10" spans="2:7" s="3" customFormat="1" x14ac:dyDescent="0.35">
      <c r="B10" s="32"/>
      <c r="C10" s="33"/>
      <c r="D10" s="10"/>
      <c r="E10" s="34"/>
      <c r="F10" s="34"/>
      <c r="G10" s="403"/>
    </row>
    <row r="11" spans="2:7" s="3" customFormat="1" x14ac:dyDescent="0.35">
      <c r="B11" s="32" t="s">
        <v>65</v>
      </c>
      <c r="C11" s="31" t="s">
        <v>618</v>
      </c>
      <c r="D11" s="10"/>
      <c r="E11" s="10"/>
      <c r="F11" s="34"/>
      <c r="G11" s="403"/>
    </row>
    <row r="12" spans="2:7" s="3" customFormat="1" ht="16.5" x14ac:dyDescent="0.35">
      <c r="B12" s="32" t="s">
        <v>67</v>
      </c>
      <c r="C12" s="33" t="s">
        <v>619</v>
      </c>
      <c r="D12" s="10" t="s">
        <v>609</v>
      </c>
      <c r="E12" s="34">
        <v>182.43</v>
      </c>
      <c r="F12" s="34">
        <f>BPU!E12</f>
        <v>0</v>
      </c>
      <c r="G12" s="25">
        <f>E12*F12</f>
        <v>0</v>
      </c>
    </row>
    <row r="13" spans="2:7" s="3" customFormat="1" x14ac:dyDescent="0.35">
      <c r="B13" s="35"/>
      <c r="C13" s="28" t="s">
        <v>655</v>
      </c>
      <c r="D13" s="17"/>
      <c r="E13" s="15"/>
      <c r="F13" s="34"/>
      <c r="G13" s="95">
        <f>SUM(G9:G12)</f>
        <v>0</v>
      </c>
    </row>
    <row r="14" spans="2:7" s="3" customFormat="1" x14ac:dyDescent="0.35">
      <c r="B14" s="32"/>
      <c r="C14" s="36"/>
      <c r="D14" s="10"/>
      <c r="E14" s="10"/>
      <c r="F14" s="34"/>
      <c r="G14" s="403"/>
    </row>
    <row r="15" spans="2:7" x14ac:dyDescent="0.3">
      <c r="B15" s="37" t="s">
        <v>69</v>
      </c>
      <c r="C15" s="24" t="s">
        <v>70</v>
      </c>
      <c r="D15" s="400"/>
      <c r="E15" s="10"/>
      <c r="F15" s="34"/>
      <c r="G15" s="403"/>
    </row>
    <row r="16" spans="2:7" x14ac:dyDescent="0.3">
      <c r="B16" s="37" t="s">
        <v>71</v>
      </c>
      <c r="C16" s="24" t="s">
        <v>72</v>
      </c>
      <c r="D16" s="400"/>
      <c r="E16" s="10"/>
      <c r="F16" s="34"/>
      <c r="G16" s="403"/>
    </row>
    <row r="17" spans="2:7" ht="16.5" x14ac:dyDescent="0.3">
      <c r="B17" s="38" t="s">
        <v>73</v>
      </c>
      <c r="C17" s="39" t="s">
        <v>74</v>
      </c>
      <c r="D17" s="10" t="s">
        <v>609</v>
      </c>
      <c r="E17" s="34">
        <v>5.92</v>
      </c>
      <c r="F17" s="34">
        <f>BPU!E17</f>
        <v>0</v>
      </c>
      <c r="G17" s="25">
        <f t="shared" ref="G17:G20" si="1">E17*F17</f>
        <v>0</v>
      </c>
    </row>
    <row r="18" spans="2:7" ht="16.5" x14ac:dyDescent="0.3">
      <c r="B18" s="38" t="s">
        <v>75</v>
      </c>
      <c r="C18" s="39" t="s">
        <v>76</v>
      </c>
      <c r="D18" s="10" t="s">
        <v>609</v>
      </c>
      <c r="E18" s="34">
        <v>14.98</v>
      </c>
      <c r="F18" s="34">
        <f>BPU!E18</f>
        <v>0</v>
      </c>
      <c r="G18" s="25">
        <f t="shared" si="1"/>
        <v>0</v>
      </c>
    </row>
    <row r="19" spans="2:7" s="3" customFormat="1" x14ac:dyDescent="0.35">
      <c r="B19" s="38" t="s">
        <v>77</v>
      </c>
      <c r="C19" s="40" t="s">
        <v>688</v>
      </c>
      <c r="D19" s="10" t="s">
        <v>27</v>
      </c>
      <c r="E19" s="34">
        <v>17.600000000000001</v>
      </c>
      <c r="F19" s="34">
        <f>BPU!E19</f>
        <v>0</v>
      </c>
      <c r="G19" s="25">
        <f t="shared" si="1"/>
        <v>0</v>
      </c>
    </row>
    <row r="20" spans="2:7" s="3" customFormat="1" ht="16.5" x14ac:dyDescent="0.35">
      <c r="B20" s="38" t="s">
        <v>78</v>
      </c>
      <c r="C20" s="40" t="s">
        <v>689</v>
      </c>
      <c r="D20" s="10" t="s">
        <v>609</v>
      </c>
      <c r="E20" s="34">
        <v>3.23</v>
      </c>
      <c r="F20" s="34">
        <f>BPU!E20</f>
        <v>0</v>
      </c>
      <c r="G20" s="25">
        <f t="shared" si="1"/>
        <v>0</v>
      </c>
    </row>
    <row r="21" spans="2:7" s="3" customFormat="1" x14ac:dyDescent="0.35">
      <c r="B21" s="37"/>
      <c r="C21" s="40"/>
      <c r="D21" s="400"/>
      <c r="E21" s="10"/>
      <c r="F21" s="34"/>
      <c r="G21" s="403"/>
    </row>
    <row r="22" spans="2:7" x14ac:dyDescent="0.3">
      <c r="B22" s="41" t="s">
        <v>620</v>
      </c>
      <c r="C22" s="42" t="s">
        <v>79</v>
      </c>
      <c r="D22" s="400"/>
      <c r="E22" s="10"/>
      <c r="F22" s="34"/>
      <c r="G22" s="403"/>
    </row>
    <row r="23" spans="2:7" x14ac:dyDescent="0.3">
      <c r="B23" s="41"/>
      <c r="C23" s="42" t="s">
        <v>80</v>
      </c>
      <c r="D23" s="400"/>
      <c r="E23" s="10"/>
      <c r="F23" s="34"/>
      <c r="G23" s="403"/>
    </row>
    <row r="24" spans="2:7" ht="16.5" x14ac:dyDescent="0.3">
      <c r="B24" s="43" t="s">
        <v>81</v>
      </c>
      <c r="C24" s="40" t="s">
        <v>690</v>
      </c>
      <c r="D24" s="10" t="s">
        <v>609</v>
      </c>
      <c r="E24" s="34">
        <v>16.420000000000002</v>
      </c>
      <c r="F24" s="34">
        <f>BPU!E24</f>
        <v>0</v>
      </c>
      <c r="G24" s="25">
        <f t="shared" ref="G24:G28" si="2">E24*F24</f>
        <v>0</v>
      </c>
    </row>
    <row r="25" spans="2:7" s="3" customFormat="1" ht="16.5" x14ac:dyDescent="0.35">
      <c r="B25" s="32" t="s">
        <v>82</v>
      </c>
      <c r="C25" s="33" t="s">
        <v>83</v>
      </c>
      <c r="D25" s="10" t="s">
        <v>609</v>
      </c>
      <c r="E25" s="34">
        <v>2.58</v>
      </c>
      <c r="F25" s="34">
        <f>BPU!E25</f>
        <v>0</v>
      </c>
      <c r="G25" s="25">
        <f t="shared" si="2"/>
        <v>0</v>
      </c>
    </row>
    <row r="26" spans="2:7" ht="16.5" x14ac:dyDescent="0.3">
      <c r="B26" s="32" t="s">
        <v>84</v>
      </c>
      <c r="C26" s="33" t="s">
        <v>1355</v>
      </c>
      <c r="D26" s="10" t="s">
        <v>609</v>
      </c>
      <c r="E26" s="34">
        <v>7.39</v>
      </c>
      <c r="F26" s="34">
        <f>BPU!E26</f>
        <v>0</v>
      </c>
      <c r="G26" s="25">
        <f t="shared" si="2"/>
        <v>0</v>
      </c>
    </row>
    <row r="27" spans="2:7" s="3" customFormat="1" ht="16.5" x14ac:dyDescent="0.3">
      <c r="B27" s="43" t="s">
        <v>85</v>
      </c>
      <c r="C27" s="40" t="s">
        <v>86</v>
      </c>
      <c r="D27" s="10" t="s">
        <v>609</v>
      </c>
      <c r="E27" s="34">
        <v>24.64</v>
      </c>
      <c r="F27" s="34">
        <f>BPU!E27</f>
        <v>0</v>
      </c>
      <c r="G27" s="25">
        <f t="shared" si="2"/>
        <v>0</v>
      </c>
    </row>
    <row r="28" spans="2:7" s="3" customFormat="1" ht="16.5" x14ac:dyDescent="0.35">
      <c r="B28" s="32" t="s">
        <v>87</v>
      </c>
      <c r="C28" s="40" t="s">
        <v>691</v>
      </c>
      <c r="D28" s="10" t="s">
        <v>609</v>
      </c>
      <c r="E28" s="34">
        <v>6.98</v>
      </c>
      <c r="F28" s="34">
        <f>BPU!E28</f>
        <v>0</v>
      </c>
      <c r="G28" s="25">
        <f t="shared" si="2"/>
        <v>0</v>
      </c>
    </row>
    <row r="29" spans="2:7" s="3" customFormat="1" x14ac:dyDescent="0.35">
      <c r="B29" s="32"/>
      <c r="C29" s="40"/>
      <c r="D29" s="10"/>
      <c r="E29" s="34"/>
      <c r="F29" s="34"/>
      <c r="G29" s="25"/>
    </row>
    <row r="30" spans="2:7" s="3" customFormat="1" x14ac:dyDescent="0.35">
      <c r="B30" s="76" t="s">
        <v>88</v>
      </c>
      <c r="C30" s="42" t="s">
        <v>656</v>
      </c>
      <c r="D30" s="14"/>
      <c r="E30" s="10"/>
      <c r="F30" s="34"/>
      <c r="G30" s="403"/>
    </row>
    <row r="31" spans="2:7" s="3" customFormat="1" ht="16.5" x14ac:dyDescent="0.35">
      <c r="B31" s="32" t="s">
        <v>692</v>
      </c>
      <c r="C31" s="40" t="s">
        <v>90</v>
      </c>
      <c r="D31" s="10" t="s">
        <v>609</v>
      </c>
      <c r="E31" s="34">
        <v>0.38</v>
      </c>
      <c r="F31" s="34">
        <f>BPU!E31</f>
        <v>0</v>
      </c>
      <c r="G31" s="25">
        <f>E31*F31</f>
        <v>0</v>
      </c>
    </row>
    <row r="32" spans="2:7" s="3" customFormat="1" x14ac:dyDescent="0.35">
      <c r="B32" s="35"/>
      <c r="C32" s="28" t="s">
        <v>623</v>
      </c>
      <c r="D32" s="400"/>
      <c r="E32" s="15"/>
      <c r="F32" s="34"/>
      <c r="G32" s="95">
        <f>SUM(G16:G31)</f>
        <v>0</v>
      </c>
    </row>
    <row r="33" spans="2:7" s="3" customFormat="1" x14ac:dyDescent="0.35">
      <c r="B33" s="35"/>
      <c r="C33" s="47"/>
      <c r="D33" s="15"/>
      <c r="E33" s="15"/>
      <c r="F33" s="34"/>
      <c r="G33" s="403"/>
    </row>
    <row r="34" spans="2:7" s="3" customFormat="1" x14ac:dyDescent="0.35">
      <c r="B34" s="37" t="s">
        <v>110</v>
      </c>
      <c r="C34" s="24" t="s">
        <v>111</v>
      </c>
      <c r="D34" s="400"/>
      <c r="E34" s="10"/>
      <c r="F34" s="34"/>
      <c r="G34" s="403"/>
    </row>
    <row r="35" spans="2:7" ht="16.5" x14ac:dyDescent="0.3">
      <c r="B35" s="32" t="s">
        <v>112</v>
      </c>
      <c r="C35" s="40" t="s">
        <v>762</v>
      </c>
      <c r="D35" s="10" t="s">
        <v>608</v>
      </c>
      <c r="E35" s="34">
        <v>292.60000000000002</v>
      </c>
      <c r="F35" s="34">
        <f>BPU!E35</f>
        <v>0</v>
      </c>
      <c r="G35" s="25">
        <f t="shared" ref="G35:G37" si="3">E35*F35</f>
        <v>0</v>
      </c>
    </row>
    <row r="36" spans="2:7" s="21" customFormat="1" ht="18.75" customHeight="1" x14ac:dyDescent="0.35">
      <c r="B36" s="74" t="s">
        <v>114</v>
      </c>
      <c r="C36" s="92" t="s">
        <v>624</v>
      </c>
      <c r="D36" s="10" t="s">
        <v>609</v>
      </c>
      <c r="E36" s="34">
        <v>73.150000000000006</v>
      </c>
      <c r="F36" s="34">
        <f>BPU!E36</f>
        <v>0</v>
      </c>
      <c r="G36" s="25">
        <f t="shared" si="3"/>
        <v>0</v>
      </c>
    </row>
    <row r="37" spans="2:7" s="3" customFormat="1" ht="16.5" x14ac:dyDescent="0.35">
      <c r="B37" s="32" t="s">
        <v>115</v>
      </c>
      <c r="C37" s="33" t="s">
        <v>116</v>
      </c>
      <c r="D37" s="10" t="s">
        <v>608</v>
      </c>
      <c r="E37" s="34">
        <v>292.60000000000002</v>
      </c>
      <c r="F37" s="34">
        <f>BPU!E37</f>
        <v>0</v>
      </c>
      <c r="G37" s="25">
        <f t="shared" si="3"/>
        <v>0</v>
      </c>
    </row>
    <row r="38" spans="2:7" x14ac:dyDescent="0.3">
      <c r="B38" s="35"/>
      <c r="C38" s="49" t="s">
        <v>626</v>
      </c>
      <c r="D38" s="10"/>
      <c r="E38" s="15"/>
      <c r="F38" s="34"/>
      <c r="G38" s="95">
        <f>SUM(G35:G37)</f>
        <v>0</v>
      </c>
    </row>
    <row r="39" spans="2:7" x14ac:dyDescent="0.3">
      <c r="B39" s="35"/>
      <c r="C39" s="47"/>
      <c r="D39" s="15"/>
      <c r="E39" s="15"/>
      <c r="F39" s="34"/>
      <c r="G39" s="403"/>
    </row>
    <row r="40" spans="2:7" x14ac:dyDescent="0.3">
      <c r="B40" s="37" t="s">
        <v>117</v>
      </c>
      <c r="C40" s="24" t="s">
        <v>118</v>
      </c>
      <c r="D40" s="10"/>
      <c r="E40" s="10"/>
      <c r="F40" s="34"/>
      <c r="G40" s="403"/>
    </row>
    <row r="41" spans="2:7" s="3" customFormat="1" x14ac:dyDescent="0.35">
      <c r="B41" s="32" t="s">
        <v>119</v>
      </c>
      <c r="C41" s="40" t="s">
        <v>120</v>
      </c>
      <c r="D41" s="10" t="s">
        <v>27</v>
      </c>
      <c r="E41" s="34">
        <v>104.57</v>
      </c>
      <c r="F41" s="34">
        <f>BPU!E41</f>
        <v>0</v>
      </c>
      <c r="G41" s="25">
        <f>E41*F41</f>
        <v>0</v>
      </c>
    </row>
    <row r="42" spans="2:7" s="3" customFormat="1" x14ac:dyDescent="0.35">
      <c r="B42" s="32"/>
      <c r="C42" s="40"/>
      <c r="D42" s="10"/>
      <c r="E42" s="34"/>
      <c r="F42" s="34"/>
      <c r="G42" s="403"/>
    </row>
    <row r="43" spans="2:7" s="3" customFormat="1" x14ac:dyDescent="0.3">
      <c r="B43" s="50" t="s">
        <v>121</v>
      </c>
      <c r="C43" s="45" t="s">
        <v>127</v>
      </c>
      <c r="D43" s="10"/>
      <c r="E43" s="34"/>
      <c r="F43" s="34"/>
      <c r="G43" s="25"/>
    </row>
    <row r="44" spans="2:7" s="3" customFormat="1" ht="16.5" x14ac:dyDescent="0.35">
      <c r="B44" s="51" t="s">
        <v>123</v>
      </c>
      <c r="C44" s="40" t="s">
        <v>129</v>
      </c>
      <c r="D44" s="10" t="s">
        <v>608</v>
      </c>
      <c r="E44" s="34">
        <v>457.32</v>
      </c>
      <c r="F44" s="34">
        <f>BPU!E44</f>
        <v>0</v>
      </c>
      <c r="G44" s="25">
        <f t="shared" ref="G44:G45" si="4">E44*F44</f>
        <v>0</v>
      </c>
    </row>
    <row r="45" spans="2:7" ht="16.5" x14ac:dyDescent="0.3">
      <c r="B45" s="51" t="s">
        <v>124</v>
      </c>
      <c r="C45" s="40" t="s">
        <v>132</v>
      </c>
      <c r="D45" s="10" t="s">
        <v>608</v>
      </c>
      <c r="E45" s="34">
        <v>6.06</v>
      </c>
      <c r="F45" s="34">
        <f>BPU!E45</f>
        <v>0</v>
      </c>
      <c r="G45" s="25">
        <f t="shared" si="4"/>
        <v>0</v>
      </c>
    </row>
    <row r="46" spans="2:7" x14ac:dyDescent="0.3">
      <c r="B46" s="51"/>
      <c r="C46" s="40"/>
      <c r="D46" s="10"/>
      <c r="E46" s="34"/>
      <c r="F46" s="34"/>
      <c r="G46" s="403"/>
    </row>
    <row r="47" spans="2:7" x14ac:dyDescent="0.3">
      <c r="B47" s="76" t="s">
        <v>126</v>
      </c>
      <c r="C47" s="31" t="s">
        <v>693</v>
      </c>
      <c r="D47" s="10" t="s">
        <v>8</v>
      </c>
      <c r="E47" s="34"/>
      <c r="F47" s="34"/>
      <c r="G47" s="25"/>
    </row>
    <row r="48" spans="2:7" s="3" customFormat="1" ht="16.5" x14ac:dyDescent="0.35">
      <c r="B48" s="32" t="s">
        <v>128</v>
      </c>
      <c r="C48" s="33" t="s">
        <v>694</v>
      </c>
      <c r="D48" s="10" t="s">
        <v>610</v>
      </c>
      <c r="E48" s="34">
        <v>7.39</v>
      </c>
      <c r="F48" s="34">
        <f>BPU!E48</f>
        <v>0</v>
      </c>
      <c r="G48" s="25">
        <f>E48*F48</f>
        <v>0</v>
      </c>
    </row>
    <row r="49" spans="2:7" x14ac:dyDescent="0.3">
      <c r="B49" s="51"/>
      <c r="C49" s="49" t="s">
        <v>628</v>
      </c>
      <c r="D49" s="10"/>
      <c r="E49" s="15"/>
      <c r="F49" s="34"/>
      <c r="G49" s="95">
        <f>SUM(G41:G48)</f>
        <v>0</v>
      </c>
    </row>
    <row r="50" spans="2:7" x14ac:dyDescent="0.3">
      <c r="B50" s="51"/>
      <c r="C50" s="53"/>
      <c r="D50" s="10"/>
      <c r="E50" s="10"/>
      <c r="F50" s="34"/>
      <c r="G50" s="403"/>
    </row>
    <row r="51" spans="2:7" x14ac:dyDescent="0.3">
      <c r="B51" s="54" t="s">
        <v>135</v>
      </c>
      <c r="C51" s="46" t="s">
        <v>136</v>
      </c>
      <c r="D51" s="10"/>
      <c r="E51" s="10"/>
      <c r="F51" s="34"/>
      <c r="G51" s="403"/>
    </row>
    <row r="52" spans="2:7" s="3" customFormat="1" x14ac:dyDescent="0.35">
      <c r="B52" s="55" t="s">
        <v>137</v>
      </c>
      <c r="C52" s="44" t="s">
        <v>138</v>
      </c>
      <c r="D52" s="10"/>
      <c r="E52" s="10"/>
      <c r="F52" s="34"/>
      <c r="G52" s="25"/>
    </row>
    <row r="53" spans="2:7" s="3" customFormat="1" ht="16.5" x14ac:dyDescent="0.35">
      <c r="B53" s="35" t="s">
        <v>139</v>
      </c>
      <c r="C53" s="36" t="s">
        <v>140</v>
      </c>
      <c r="D53" s="10" t="s">
        <v>608</v>
      </c>
      <c r="E53" s="34">
        <v>217.76</v>
      </c>
      <c r="F53" s="34">
        <f>BPU!E53</f>
        <v>0</v>
      </c>
      <c r="G53" s="25">
        <f>E53*F53</f>
        <v>0</v>
      </c>
    </row>
    <row r="54" spans="2:7" s="3" customFormat="1" x14ac:dyDescent="0.35">
      <c r="B54" s="35"/>
      <c r="C54" s="36"/>
      <c r="D54" s="10"/>
      <c r="E54" s="34"/>
      <c r="F54" s="34"/>
      <c r="G54" s="403"/>
    </row>
    <row r="55" spans="2:7" s="3" customFormat="1" x14ac:dyDescent="0.35">
      <c r="B55" s="55" t="s">
        <v>141</v>
      </c>
      <c r="C55" s="42" t="s">
        <v>142</v>
      </c>
      <c r="D55" s="10" t="s">
        <v>8</v>
      </c>
      <c r="E55" s="10"/>
      <c r="F55" s="34"/>
      <c r="G55" s="403"/>
    </row>
    <row r="56" spans="2:7" s="3" customFormat="1" ht="28" x14ac:dyDescent="0.35">
      <c r="B56" s="56" t="s">
        <v>143</v>
      </c>
      <c r="C56" s="40" t="s">
        <v>1365</v>
      </c>
      <c r="D56" s="10" t="s">
        <v>608</v>
      </c>
      <c r="E56" s="34">
        <v>619.25</v>
      </c>
      <c r="F56" s="34">
        <f>BPU!E56</f>
        <v>0</v>
      </c>
      <c r="G56" s="25">
        <f t="shared" ref="G56:G57" si="5">E56*F56</f>
        <v>0</v>
      </c>
    </row>
    <row r="57" spans="2:7" s="3" customFormat="1" ht="16.5" x14ac:dyDescent="0.35">
      <c r="B57" s="35" t="s">
        <v>144</v>
      </c>
      <c r="C57" s="40" t="s">
        <v>146</v>
      </c>
      <c r="D57" s="10" t="s">
        <v>608</v>
      </c>
      <c r="E57" s="34">
        <v>45.47</v>
      </c>
      <c r="F57" s="34">
        <f>BPU!E57</f>
        <v>0</v>
      </c>
      <c r="G57" s="25">
        <f t="shared" si="5"/>
        <v>0</v>
      </c>
    </row>
    <row r="58" spans="2:7" s="3" customFormat="1" x14ac:dyDescent="0.35">
      <c r="B58" s="35"/>
      <c r="C58" s="40"/>
      <c r="D58" s="10"/>
      <c r="E58" s="34"/>
      <c r="F58" s="34"/>
      <c r="G58" s="403"/>
    </row>
    <row r="59" spans="2:7" s="3" customFormat="1" x14ac:dyDescent="0.3">
      <c r="B59" s="55" t="s">
        <v>148</v>
      </c>
      <c r="C59" s="45" t="s">
        <v>149</v>
      </c>
      <c r="D59" s="10"/>
      <c r="E59" s="10"/>
      <c r="F59" s="34"/>
      <c r="G59" s="25"/>
    </row>
    <row r="60" spans="2:7" s="3" customFormat="1" ht="16.5" x14ac:dyDescent="0.3">
      <c r="B60" s="35" t="s">
        <v>150</v>
      </c>
      <c r="C60" s="57" t="s">
        <v>753</v>
      </c>
      <c r="D60" s="10" t="s">
        <v>608</v>
      </c>
      <c r="E60" s="34">
        <v>235.18</v>
      </c>
      <c r="F60" s="34">
        <f>BPU!E60</f>
        <v>0</v>
      </c>
      <c r="G60" s="25">
        <f t="shared" ref="G60:G62" si="6">E60*F60</f>
        <v>0</v>
      </c>
    </row>
    <row r="61" spans="2:7" s="3" customFormat="1" ht="16.5" x14ac:dyDescent="0.3">
      <c r="B61" s="35" t="s">
        <v>156</v>
      </c>
      <c r="C61" s="30" t="s">
        <v>155</v>
      </c>
      <c r="D61" s="10" t="s">
        <v>608</v>
      </c>
      <c r="E61" s="34">
        <v>46.2</v>
      </c>
      <c r="F61" s="34">
        <f>BPU!E61</f>
        <v>0</v>
      </c>
      <c r="G61" s="25">
        <f t="shared" si="6"/>
        <v>0</v>
      </c>
    </row>
    <row r="62" spans="2:7" s="3" customFormat="1" ht="16.5" x14ac:dyDescent="0.35">
      <c r="B62" s="35" t="s">
        <v>158</v>
      </c>
      <c r="C62" s="33" t="s">
        <v>631</v>
      </c>
      <c r="D62" s="10" t="s">
        <v>608</v>
      </c>
      <c r="E62" s="34">
        <v>11.22</v>
      </c>
      <c r="F62" s="34">
        <f>BPU!E62</f>
        <v>0</v>
      </c>
      <c r="G62" s="25">
        <f t="shared" si="6"/>
        <v>0</v>
      </c>
    </row>
    <row r="63" spans="2:7" s="3" customFormat="1" x14ac:dyDescent="0.35">
      <c r="B63" s="35"/>
      <c r="C63" s="33"/>
      <c r="D63" s="10"/>
      <c r="E63" s="34"/>
      <c r="F63" s="34"/>
      <c r="G63" s="403"/>
    </row>
    <row r="64" spans="2:7" s="3" customFormat="1" x14ac:dyDescent="0.3">
      <c r="B64" s="55" t="s">
        <v>632</v>
      </c>
      <c r="C64" s="45" t="s">
        <v>159</v>
      </c>
      <c r="D64" s="10"/>
      <c r="E64" s="34"/>
      <c r="F64" s="34"/>
      <c r="G64" s="25"/>
    </row>
    <row r="65" spans="2:7" s="3" customFormat="1" x14ac:dyDescent="0.3">
      <c r="B65" s="35" t="s">
        <v>633</v>
      </c>
      <c r="C65" s="30" t="s">
        <v>754</v>
      </c>
      <c r="D65" s="10" t="s">
        <v>27</v>
      </c>
      <c r="E65" s="34">
        <v>168.1</v>
      </c>
      <c r="F65" s="34">
        <f>BPU!E65</f>
        <v>0</v>
      </c>
      <c r="G65" s="25">
        <f>E65*F65</f>
        <v>0</v>
      </c>
    </row>
    <row r="66" spans="2:7" s="3" customFormat="1" x14ac:dyDescent="0.35">
      <c r="B66" s="51"/>
      <c r="C66" s="49" t="s">
        <v>634</v>
      </c>
      <c r="D66" s="10"/>
      <c r="E66" s="10"/>
      <c r="F66" s="34"/>
      <c r="G66" s="95">
        <f>SUM(G52:G65)</f>
        <v>0</v>
      </c>
    </row>
    <row r="67" spans="2:7" s="3" customFormat="1" x14ac:dyDescent="0.35">
      <c r="B67" s="55"/>
      <c r="C67" s="42"/>
      <c r="D67" s="10"/>
      <c r="E67" s="10"/>
      <c r="F67" s="34"/>
      <c r="G67" s="403"/>
    </row>
    <row r="68" spans="2:7" x14ac:dyDescent="0.3">
      <c r="B68" s="54" t="s">
        <v>164</v>
      </c>
      <c r="C68" s="46" t="s">
        <v>165</v>
      </c>
      <c r="D68" s="10"/>
      <c r="E68" s="10"/>
      <c r="F68" s="34"/>
      <c r="G68" s="403"/>
    </row>
    <row r="69" spans="2:7" x14ac:dyDescent="0.3">
      <c r="B69" s="55" t="s">
        <v>166</v>
      </c>
      <c r="C69" s="45" t="s">
        <v>167</v>
      </c>
      <c r="D69" s="10"/>
      <c r="E69" s="10"/>
      <c r="F69" s="34"/>
      <c r="G69" s="403"/>
    </row>
    <row r="70" spans="2:7" s="3" customFormat="1" x14ac:dyDescent="0.35">
      <c r="B70" s="35" t="s">
        <v>168</v>
      </c>
      <c r="C70" s="53" t="s">
        <v>1356</v>
      </c>
      <c r="D70" s="10" t="s">
        <v>59</v>
      </c>
      <c r="E70" s="34">
        <v>4</v>
      </c>
      <c r="F70" s="34">
        <f>BPU!E70</f>
        <v>0</v>
      </c>
      <c r="G70" s="25">
        <f t="shared" ref="G70:G72" si="7">E70*F70</f>
        <v>0</v>
      </c>
    </row>
    <row r="71" spans="2:7" s="3" customFormat="1" x14ac:dyDescent="0.35">
      <c r="B71" s="35" t="s">
        <v>169</v>
      </c>
      <c r="C71" s="33" t="s">
        <v>190</v>
      </c>
      <c r="D71" s="10" t="s">
        <v>27</v>
      </c>
      <c r="E71" s="34">
        <v>32.159999999999997</v>
      </c>
      <c r="F71" s="34">
        <f>BPU!E71</f>
        <v>0</v>
      </c>
      <c r="G71" s="25">
        <f t="shared" si="7"/>
        <v>0</v>
      </c>
    </row>
    <row r="72" spans="2:7" s="3" customFormat="1" x14ac:dyDescent="0.35">
      <c r="B72" s="35" t="s">
        <v>170</v>
      </c>
      <c r="C72" s="33" t="s">
        <v>191</v>
      </c>
      <c r="D72" s="10" t="s">
        <v>27</v>
      </c>
      <c r="E72" s="34">
        <v>722</v>
      </c>
      <c r="F72" s="34">
        <f>BPU!E72</f>
        <v>0</v>
      </c>
      <c r="G72" s="25">
        <f t="shared" si="7"/>
        <v>0</v>
      </c>
    </row>
    <row r="73" spans="2:7" s="3" customFormat="1" x14ac:dyDescent="0.35">
      <c r="B73" s="35"/>
      <c r="C73" s="33"/>
      <c r="D73" s="10"/>
      <c r="E73" s="34"/>
      <c r="F73" s="34"/>
      <c r="G73" s="403"/>
    </row>
    <row r="74" spans="2:7" x14ac:dyDescent="0.3">
      <c r="B74" s="55" t="s">
        <v>195</v>
      </c>
      <c r="C74" s="45" t="s">
        <v>196</v>
      </c>
      <c r="D74" s="10"/>
      <c r="E74" s="34"/>
      <c r="F74" s="34"/>
      <c r="G74" s="25"/>
    </row>
    <row r="75" spans="2:7" s="3" customFormat="1" ht="16.5" x14ac:dyDescent="0.35">
      <c r="B75" s="35" t="s">
        <v>197</v>
      </c>
      <c r="C75" s="40" t="s">
        <v>198</v>
      </c>
      <c r="D75" s="10" t="s">
        <v>608</v>
      </c>
      <c r="E75" s="34">
        <v>305.52</v>
      </c>
      <c r="F75" s="34">
        <f>BPU!E75</f>
        <v>0</v>
      </c>
      <c r="G75" s="25">
        <f t="shared" ref="G75:G79" si="8">E75*F75</f>
        <v>0</v>
      </c>
    </row>
    <row r="76" spans="2:7" s="3" customFormat="1" x14ac:dyDescent="0.35">
      <c r="B76" s="35" t="s">
        <v>199</v>
      </c>
      <c r="C76" s="40" t="s">
        <v>679</v>
      </c>
      <c r="D76" s="10" t="s">
        <v>27</v>
      </c>
      <c r="E76" s="34">
        <v>19</v>
      </c>
      <c r="F76" s="34">
        <f>BPU!E76</f>
        <v>0</v>
      </c>
      <c r="G76" s="25">
        <f t="shared" si="8"/>
        <v>0</v>
      </c>
    </row>
    <row r="77" spans="2:7" s="3" customFormat="1" x14ac:dyDescent="0.35">
      <c r="B77" s="35" t="s">
        <v>201</v>
      </c>
      <c r="C77" s="36" t="s">
        <v>202</v>
      </c>
      <c r="D77" s="10" t="s">
        <v>27</v>
      </c>
      <c r="E77" s="34">
        <v>70.16</v>
      </c>
      <c r="F77" s="34">
        <f>BPU!E77</f>
        <v>0</v>
      </c>
      <c r="G77" s="25">
        <f t="shared" si="8"/>
        <v>0</v>
      </c>
    </row>
    <row r="78" spans="2:7" s="3" customFormat="1" x14ac:dyDescent="0.35">
      <c r="B78" s="35" t="s">
        <v>203</v>
      </c>
      <c r="C78" s="36" t="s">
        <v>206</v>
      </c>
      <c r="D78" s="10" t="s">
        <v>27</v>
      </c>
      <c r="E78" s="34">
        <v>38</v>
      </c>
      <c r="F78" s="34">
        <f>BPU!E78</f>
        <v>0</v>
      </c>
      <c r="G78" s="25">
        <f t="shared" si="8"/>
        <v>0</v>
      </c>
    </row>
    <row r="79" spans="2:7" s="3" customFormat="1" x14ac:dyDescent="0.35">
      <c r="B79" s="35" t="s">
        <v>205</v>
      </c>
      <c r="C79" s="33" t="s">
        <v>661</v>
      </c>
      <c r="D79" s="10" t="s">
        <v>27</v>
      </c>
      <c r="E79" s="34">
        <v>24</v>
      </c>
      <c r="F79" s="34">
        <f>BPU!E79</f>
        <v>0</v>
      </c>
      <c r="G79" s="25">
        <f t="shared" si="8"/>
        <v>0</v>
      </c>
    </row>
    <row r="80" spans="2:7" x14ac:dyDescent="0.3">
      <c r="B80" s="35"/>
      <c r="C80" s="60" t="s">
        <v>635</v>
      </c>
      <c r="D80" s="17"/>
      <c r="E80" s="10"/>
      <c r="F80" s="34"/>
      <c r="G80" s="95">
        <f>SUM(G70:G79)</f>
        <v>0</v>
      </c>
    </row>
    <row r="81" spans="2:7" x14ac:dyDescent="0.3">
      <c r="B81" s="35"/>
      <c r="C81" s="60"/>
      <c r="D81" s="17"/>
      <c r="E81" s="10"/>
      <c r="F81" s="34"/>
      <c r="G81" s="403"/>
    </row>
    <row r="82" spans="2:7" x14ac:dyDescent="0.3">
      <c r="B82" s="54" t="s">
        <v>207</v>
      </c>
      <c r="C82" s="46" t="s">
        <v>208</v>
      </c>
      <c r="D82" s="10"/>
      <c r="E82" s="10"/>
      <c r="F82" s="34"/>
      <c r="G82" s="403"/>
    </row>
    <row r="83" spans="2:7" s="3" customFormat="1" x14ac:dyDescent="0.35">
      <c r="B83" s="55" t="s">
        <v>209</v>
      </c>
      <c r="C83" s="24" t="s">
        <v>210</v>
      </c>
      <c r="D83" s="10"/>
      <c r="E83" s="10"/>
      <c r="F83" s="34"/>
      <c r="G83" s="25"/>
    </row>
    <row r="84" spans="2:7" s="3" customFormat="1" ht="28" x14ac:dyDescent="0.35">
      <c r="B84" s="35" t="s">
        <v>211</v>
      </c>
      <c r="C84" s="61" t="s">
        <v>662</v>
      </c>
      <c r="D84" s="10" t="s">
        <v>27</v>
      </c>
      <c r="E84" s="52">
        <v>56.2</v>
      </c>
      <c r="F84" s="34">
        <f>BPU!E84</f>
        <v>0</v>
      </c>
      <c r="G84" s="25">
        <f>E84*F84</f>
        <v>0</v>
      </c>
    </row>
    <row r="85" spans="2:7" s="3" customFormat="1" x14ac:dyDescent="0.35">
      <c r="B85" s="35"/>
      <c r="C85" s="28" t="s">
        <v>637</v>
      </c>
      <c r="D85" s="17"/>
      <c r="E85" s="10"/>
      <c r="F85" s="34"/>
      <c r="G85" s="95">
        <f>SUM(G84)</f>
        <v>0</v>
      </c>
    </row>
    <row r="86" spans="2:7" s="3" customFormat="1" x14ac:dyDescent="0.35">
      <c r="B86" s="35"/>
      <c r="C86" s="47"/>
      <c r="D86" s="17"/>
      <c r="E86" s="10"/>
      <c r="F86" s="34"/>
      <c r="G86" s="25"/>
    </row>
    <row r="87" spans="2:7" s="3" customFormat="1" x14ac:dyDescent="0.3">
      <c r="B87" s="54" t="s">
        <v>222</v>
      </c>
      <c r="C87" s="46" t="s">
        <v>223</v>
      </c>
      <c r="D87" s="10"/>
      <c r="E87" s="10"/>
      <c r="F87" s="34"/>
      <c r="G87" s="25"/>
    </row>
    <row r="88" spans="2:7" s="3" customFormat="1" ht="16.5" x14ac:dyDescent="0.35">
      <c r="B88" s="35" t="s">
        <v>224</v>
      </c>
      <c r="C88" s="61" t="s">
        <v>225</v>
      </c>
      <c r="D88" s="10" t="s">
        <v>608</v>
      </c>
      <c r="E88" s="52">
        <v>56.2</v>
      </c>
      <c r="F88" s="34">
        <f>BPU!E88</f>
        <v>0</v>
      </c>
      <c r="G88" s="25">
        <f>E88*F88</f>
        <v>0</v>
      </c>
    </row>
    <row r="89" spans="2:7" s="3" customFormat="1" x14ac:dyDescent="0.3">
      <c r="B89" s="62"/>
      <c r="C89" s="63" t="s">
        <v>638</v>
      </c>
      <c r="D89" s="10"/>
      <c r="E89" s="10"/>
      <c r="F89" s="34"/>
      <c r="G89" s="95">
        <f>SUM(G88)</f>
        <v>0</v>
      </c>
    </row>
    <row r="90" spans="2:7" s="3" customFormat="1" x14ac:dyDescent="0.3">
      <c r="B90" s="62"/>
      <c r="C90" s="64"/>
      <c r="D90" s="15"/>
      <c r="E90" s="10"/>
      <c r="F90" s="34"/>
      <c r="G90" s="403"/>
    </row>
    <row r="91" spans="2:7" s="3" customFormat="1" x14ac:dyDescent="0.3">
      <c r="B91" s="54" t="s">
        <v>227</v>
      </c>
      <c r="C91" s="46" t="s">
        <v>228</v>
      </c>
      <c r="D91" s="10"/>
      <c r="E91" s="10"/>
      <c r="F91" s="34"/>
      <c r="G91" s="25"/>
    </row>
    <row r="92" spans="2:7" s="3" customFormat="1" x14ac:dyDescent="0.3">
      <c r="B92" s="55" t="s">
        <v>229</v>
      </c>
      <c r="C92" s="65" t="s">
        <v>230</v>
      </c>
      <c r="D92" s="400"/>
      <c r="E92" s="10"/>
      <c r="F92" s="34">
        <f>BPU!E92</f>
        <v>0</v>
      </c>
      <c r="G92" s="403" t="s">
        <v>8</v>
      </c>
    </row>
    <row r="93" spans="2:7" s="3" customFormat="1" x14ac:dyDescent="0.3">
      <c r="B93" s="35" t="s">
        <v>231</v>
      </c>
      <c r="C93" s="58" t="s">
        <v>695</v>
      </c>
      <c r="D93" s="10" t="s">
        <v>59</v>
      </c>
      <c r="E93" s="8">
        <v>2</v>
      </c>
      <c r="F93" s="34">
        <f>BPU!E93</f>
        <v>0</v>
      </c>
      <c r="G93" s="25">
        <f t="shared" ref="G93:G98" si="9">E93*F93</f>
        <v>0</v>
      </c>
    </row>
    <row r="94" spans="2:7" s="3" customFormat="1" x14ac:dyDescent="0.3">
      <c r="B94" s="35" t="s">
        <v>232</v>
      </c>
      <c r="C94" s="58" t="s">
        <v>696</v>
      </c>
      <c r="D94" s="10" t="s">
        <v>59</v>
      </c>
      <c r="E94" s="8">
        <v>4</v>
      </c>
      <c r="F94" s="34">
        <f>BPU!E94</f>
        <v>0</v>
      </c>
      <c r="G94" s="25">
        <f t="shared" si="9"/>
        <v>0</v>
      </c>
    </row>
    <row r="95" spans="2:7" s="3" customFormat="1" x14ac:dyDescent="0.3">
      <c r="B95" s="35" t="s">
        <v>233</v>
      </c>
      <c r="C95" s="58" t="s">
        <v>697</v>
      </c>
      <c r="D95" s="10" t="s">
        <v>59</v>
      </c>
      <c r="E95" s="8">
        <v>2</v>
      </c>
      <c r="F95" s="34">
        <f>BPU!E95</f>
        <v>0</v>
      </c>
      <c r="G95" s="25">
        <f t="shared" si="9"/>
        <v>0</v>
      </c>
    </row>
    <row r="96" spans="2:7" s="3" customFormat="1" x14ac:dyDescent="0.3">
      <c r="B96" s="35" t="s">
        <v>234</v>
      </c>
      <c r="C96" s="58" t="s">
        <v>698</v>
      </c>
      <c r="D96" s="10" t="s">
        <v>59</v>
      </c>
      <c r="E96" s="8">
        <v>2</v>
      </c>
      <c r="F96" s="34">
        <f>BPU!E96</f>
        <v>0</v>
      </c>
      <c r="G96" s="25">
        <f t="shared" si="9"/>
        <v>0</v>
      </c>
    </row>
    <row r="97" spans="2:7" s="3" customFormat="1" x14ac:dyDescent="0.3">
      <c r="B97" s="35" t="s">
        <v>235</v>
      </c>
      <c r="C97" s="58" t="s">
        <v>699</v>
      </c>
      <c r="D97" s="10" t="s">
        <v>59</v>
      </c>
      <c r="E97" s="8">
        <v>3</v>
      </c>
      <c r="F97" s="34">
        <f>BPU!E97</f>
        <v>0</v>
      </c>
      <c r="G97" s="25">
        <f t="shared" si="9"/>
        <v>0</v>
      </c>
    </row>
    <row r="98" spans="2:7" s="3" customFormat="1" x14ac:dyDescent="0.3">
      <c r="B98" s="35" t="s">
        <v>236</v>
      </c>
      <c r="C98" s="58" t="s">
        <v>700</v>
      </c>
      <c r="D98" s="10" t="s">
        <v>59</v>
      </c>
      <c r="E98" s="8">
        <v>1</v>
      </c>
      <c r="F98" s="34">
        <f>BPU!E98</f>
        <v>0</v>
      </c>
      <c r="G98" s="25">
        <f t="shared" si="9"/>
        <v>0</v>
      </c>
    </row>
    <row r="99" spans="2:7" s="3" customFormat="1" x14ac:dyDescent="0.3">
      <c r="B99" s="35"/>
      <c r="C99" s="58"/>
      <c r="D99" s="10"/>
      <c r="E99" s="10"/>
      <c r="F99" s="34"/>
      <c r="G99" s="403"/>
    </row>
    <row r="100" spans="2:7" s="3" customFormat="1" x14ac:dyDescent="0.3">
      <c r="B100" s="55" t="s">
        <v>265</v>
      </c>
      <c r="C100" s="45" t="s">
        <v>640</v>
      </c>
      <c r="D100" s="10"/>
      <c r="E100" s="10"/>
      <c r="F100" s="34"/>
      <c r="G100" s="25"/>
    </row>
    <row r="101" spans="2:7" s="3" customFormat="1" x14ac:dyDescent="0.3">
      <c r="B101" s="35" t="s">
        <v>701</v>
      </c>
      <c r="C101" s="30" t="s">
        <v>702</v>
      </c>
      <c r="D101" s="10" t="s">
        <v>59</v>
      </c>
      <c r="E101" s="8">
        <v>6</v>
      </c>
      <c r="F101" s="34">
        <f>BPU!E101</f>
        <v>0</v>
      </c>
      <c r="G101" s="25">
        <f>E101*F101</f>
        <v>0</v>
      </c>
    </row>
    <row r="102" spans="2:7" s="3" customFormat="1" x14ac:dyDescent="0.3">
      <c r="B102" s="35"/>
      <c r="C102" s="30"/>
      <c r="D102" s="10"/>
      <c r="E102" s="8"/>
      <c r="F102" s="34"/>
      <c r="G102" s="403"/>
    </row>
    <row r="103" spans="2:7" s="3" customFormat="1" x14ac:dyDescent="0.3">
      <c r="B103" s="55" t="s">
        <v>277</v>
      </c>
      <c r="C103" s="65" t="s">
        <v>639</v>
      </c>
      <c r="D103" s="10"/>
      <c r="E103" s="8"/>
      <c r="F103" s="34"/>
      <c r="G103" s="403"/>
    </row>
    <row r="104" spans="2:7" s="3" customFormat="1" x14ac:dyDescent="0.3">
      <c r="B104" s="35" t="s">
        <v>703</v>
      </c>
      <c r="C104" s="30" t="s">
        <v>663</v>
      </c>
      <c r="D104" s="10" t="s">
        <v>59</v>
      </c>
      <c r="E104" s="8">
        <v>3</v>
      </c>
      <c r="F104" s="34">
        <f>BPU!E104</f>
        <v>0</v>
      </c>
      <c r="G104" s="25">
        <f t="shared" ref="G104:G105" si="10">E104*F104</f>
        <v>0</v>
      </c>
    </row>
    <row r="105" spans="2:7" s="3" customFormat="1" x14ac:dyDescent="0.3">
      <c r="B105" s="35" t="s">
        <v>704</v>
      </c>
      <c r="C105" s="30" t="s">
        <v>664</v>
      </c>
      <c r="D105" s="10" t="s">
        <v>59</v>
      </c>
      <c r="E105" s="8">
        <v>8</v>
      </c>
      <c r="F105" s="34">
        <f>BPU!E105</f>
        <v>0</v>
      </c>
      <c r="G105" s="25">
        <f t="shared" si="10"/>
        <v>0</v>
      </c>
    </row>
    <row r="106" spans="2:7" s="3" customFormat="1" x14ac:dyDescent="0.3">
      <c r="B106" s="35"/>
      <c r="C106" s="30"/>
      <c r="D106" s="10"/>
      <c r="E106" s="8"/>
      <c r="F106" s="34"/>
      <c r="G106" s="25"/>
    </row>
    <row r="107" spans="2:7" s="3" customFormat="1" x14ac:dyDescent="0.3">
      <c r="B107" s="55" t="s">
        <v>288</v>
      </c>
      <c r="C107" s="45" t="s">
        <v>705</v>
      </c>
      <c r="D107" s="10"/>
      <c r="E107" s="8"/>
      <c r="F107" s="34"/>
      <c r="G107" s="25"/>
    </row>
    <row r="108" spans="2:7" s="3" customFormat="1" x14ac:dyDescent="0.3">
      <c r="B108" s="35" t="s">
        <v>289</v>
      </c>
      <c r="C108" s="30" t="s">
        <v>706</v>
      </c>
      <c r="D108" s="10" t="s">
        <v>59</v>
      </c>
      <c r="E108" s="8">
        <v>1</v>
      </c>
      <c r="F108" s="34">
        <f>BPU!E108</f>
        <v>0</v>
      </c>
      <c r="G108" s="25">
        <f>E108*F108</f>
        <v>0</v>
      </c>
    </row>
    <row r="109" spans="2:7" s="3" customFormat="1" x14ac:dyDescent="0.3">
      <c r="B109" s="35"/>
      <c r="C109" s="30"/>
      <c r="D109" s="10"/>
      <c r="E109" s="8"/>
      <c r="F109" s="34"/>
      <c r="G109" s="403"/>
    </row>
    <row r="110" spans="2:7" s="3" customFormat="1" x14ac:dyDescent="0.35">
      <c r="B110" s="55" t="s">
        <v>299</v>
      </c>
      <c r="C110" s="44" t="s">
        <v>321</v>
      </c>
      <c r="D110" s="10"/>
      <c r="E110" s="8"/>
      <c r="F110" s="34"/>
      <c r="G110" s="403"/>
    </row>
    <row r="111" spans="2:7" s="3" customFormat="1" x14ac:dyDescent="0.35">
      <c r="B111" s="35" t="s">
        <v>301</v>
      </c>
      <c r="C111" s="36" t="s">
        <v>684</v>
      </c>
      <c r="D111" s="10" t="s">
        <v>59</v>
      </c>
      <c r="E111" s="87">
        <v>1</v>
      </c>
      <c r="F111" s="34">
        <f>BPU!E111</f>
        <v>0</v>
      </c>
      <c r="G111" s="25">
        <f t="shared" ref="G111:G113" si="11">E111*F111</f>
        <v>0</v>
      </c>
    </row>
    <row r="112" spans="2:7" s="3" customFormat="1" x14ac:dyDescent="0.3">
      <c r="B112" s="35" t="s">
        <v>642</v>
      </c>
      <c r="C112" s="30" t="s">
        <v>333</v>
      </c>
      <c r="D112" s="10" t="s">
        <v>27</v>
      </c>
      <c r="E112" s="87">
        <v>8.4</v>
      </c>
      <c r="F112" s="34">
        <f>BPU!E112</f>
        <v>0</v>
      </c>
      <c r="G112" s="25">
        <f t="shared" si="11"/>
        <v>0</v>
      </c>
    </row>
    <row r="113" spans="2:7" s="3" customFormat="1" x14ac:dyDescent="0.3">
      <c r="B113" s="35" t="s">
        <v>643</v>
      </c>
      <c r="C113" s="30" t="s">
        <v>334</v>
      </c>
      <c r="D113" s="10" t="s">
        <v>59</v>
      </c>
      <c r="E113" s="87">
        <v>17</v>
      </c>
      <c r="F113" s="34">
        <f>BPU!E113</f>
        <v>0</v>
      </c>
      <c r="G113" s="25">
        <f t="shared" si="11"/>
        <v>0</v>
      </c>
    </row>
    <row r="114" spans="2:7" s="3" customFormat="1" x14ac:dyDescent="0.3">
      <c r="B114" s="66"/>
      <c r="C114" s="59" t="s">
        <v>644</v>
      </c>
      <c r="D114" s="10"/>
      <c r="E114" s="10"/>
      <c r="F114" s="34"/>
      <c r="G114" s="95">
        <f>SUM(G92:G113)</f>
        <v>0</v>
      </c>
    </row>
    <row r="115" spans="2:7" s="3" customFormat="1" x14ac:dyDescent="0.3">
      <c r="B115" s="66"/>
      <c r="C115" s="30"/>
      <c r="D115" s="10"/>
      <c r="E115" s="10"/>
      <c r="F115" s="34"/>
      <c r="G115" s="403"/>
    </row>
    <row r="116" spans="2:7" s="3" customFormat="1" x14ac:dyDescent="0.3">
      <c r="B116" s="54" t="s">
        <v>335</v>
      </c>
      <c r="C116" s="46" t="s">
        <v>336</v>
      </c>
      <c r="D116" s="10"/>
      <c r="E116" s="10"/>
      <c r="F116" s="34"/>
      <c r="G116" s="25"/>
    </row>
    <row r="117" spans="2:7" s="3" customFormat="1" x14ac:dyDescent="0.3">
      <c r="B117" s="35"/>
      <c r="C117" s="46" t="s">
        <v>622</v>
      </c>
      <c r="D117" s="10"/>
      <c r="E117" s="10"/>
      <c r="F117" s="34"/>
      <c r="G117" s="25"/>
    </row>
    <row r="118" spans="2:7" s="3" customFormat="1" ht="16.5" x14ac:dyDescent="0.3">
      <c r="B118" s="35" t="s">
        <v>337</v>
      </c>
      <c r="C118" s="30" t="s">
        <v>338</v>
      </c>
      <c r="D118" s="10" t="s">
        <v>608</v>
      </c>
      <c r="E118" s="34">
        <v>619.25</v>
      </c>
      <c r="F118" s="34">
        <f>BPU!E118</f>
        <v>0</v>
      </c>
      <c r="G118" s="25">
        <f t="shared" ref="G118:G120" si="12">E118*F118</f>
        <v>0</v>
      </c>
    </row>
    <row r="119" spans="2:7" s="3" customFormat="1" ht="16.5" x14ac:dyDescent="0.3">
      <c r="B119" s="35" t="s">
        <v>341</v>
      </c>
      <c r="C119" s="48" t="s">
        <v>648</v>
      </c>
      <c r="D119" s="10" t="s">
        <v>608</v>
      </c>
      <c r="E119" s="34">
        <v>448.42</v>
      </c>
      <c r="F119" s="34">
        <f>BPU!E119</f>
        <v>0</v>
      </c>
      <c r="G119" s="25">
        <f t="shared" si="12"/>
        <v>0</v>
      </c>
    </row>
    <row r="120" spans="2:7" s="3" customFormat="1" ht="28" x14ac:dyDescent="0.35">
      <c r="B120" s="35" t="s">
        <v>342</v>
      </c>
      <c r="C120" s="33" t="s">
        <v>707</v>
      </c>
      <c r="D120" s="10" t="s">
        <v>608</v>
      </c>
      <c r="E120" s="34">
        <v>6.06</v>
      </c>
      <c r="F120" s="34">
        <f>BPU!E120</f>
        <v>0</v>
      </c>
      <c r="G120" s="25">
        <f t="shared" si="12"/>
        <v>0</v>
      </c>
    </row>
    <row r="121" spans="2:7" s="3" customFormat="1" x14ac:dyDescent="0.3">
      <c r="B121" s="35"/>
      <c r="C121" s="59" t="s">
        <v>649</v>
      </c>
      <c r="D121" s="10"/>
      <c r="E121" s="10"/>
      <c r="F121" s="34"/>
      <c r="G121" s="95">
        <f>SUM(G118:G120)</f>
        <v>0</v>
      </c>
    </row>
    <row r="122" spans="2:7" s="3" customFormat="1" x14ac:dyDescent="0.3">
      <c r="B122" s="66"/>
      <c r="C122" s="30"/>
      <c r="D122" s="10"/>
      <c r="E122" s="10"/>
      <c r="F122" s="34"/>
      <c r="G122" s="403"/>
    </row>
    <row r="123" spans="2:7" s="3" customFormat="1" x14ac:dyDescent="0.3">
      <c r="B123" s="54" t="s">
        <v>343</v>
      </c>
      <c r="C123" s="46" t="s">
        <v>344</v>
      </c>
      <c r="D123" s="10"/>
      <c r="E123" s="10"/>
      <c r="F123" s="34"/>
      <c r="G123" s="403"/>
    </row>
    <row r="124" spans="2:7" s="3" customFormat="1" x14ac:dyDescent="0.3">
      <c r="B124" s="35"/>
      <c r="C124" s="46" t="s">
        <v>622</v>
      </c>
      <c r="D124" s="10"/>
      <c r="E124" s="10"/>
      <c r="F124" s="34"/>
      <c r="G124" s="403"/>
    </row>
    <row r="125" spans="2:7" s="3" customFormat="1" x14ac:dyDescent="0.3">
      <c r="B125" s="55" t="s">
        <v>345</v>
      </c>
      <c r="C125" s="45" t="s">
        <v>346</v>
      </c>
      <c r="D125" s="10"/>
      <c r="E125" s="10"/>
      <c r="F125" s="34"/>
      <c r="G125" s="25"/>
    </row>
    <row r="126" spans="2:7" s="3" customFormat="1" x14ac:dyDescent="0.3">
      <c r="B126" s="35" t="s">
        <v>347</v>
      </c>
      <c r="C126" s="48" t="s">
        <v>351</v>
      </c>
      <c r="D126" s="10"/>
      <c r="E126" s="10"/>
      <c r="F126" s="34"/>
      <c r="G126" s="25"/>
    </row>
    <row r="127" spans="2:7" s="3" customFormat="1" x14ac:dyDescent="0.3">
      <c r="B127" s="35"/>
      <c r="C127" s="67" t="s">
        <v>751</v>
      </c>
      <c r="D127" s="10" t="s">
        <v>27</v>
      </c>
      <c r="E127" s="52">
        <v>18</v>
      </c>
      <c r="F127" s="34">
        <f>BPU!E127</f>
        <v>0</v>
      </c>
      <c r="G127" s="25">
        <f t="shared" ref="G127:G128" si="13">E127*F127</f>
        <v>0</v>
      </c>
    </row>
    <row r="128" spans="2:7" s="3" customFormat="1" x14ac:dyDescent="0.3">
      <c r="B128" s="35"/>
      <c r="C128" s="67" t="s">
        <v>752</v>
      </c>
      <c r="D128" s="10" t="s">
        <v>27</v>
      </c>
      <c r="E128" s="52">
        <v>18</v>
      </c>
      <c r="F128" s="34">
        <f>BPU!E128</f>
        <v>0</v>
      </c>
      <c r="G128" s="25">
        <f t="shared" si="13"/>
        <v>0</v>
      </c>
    </row>
    <row r="129" spans="2:7" x14ac:dyDescent="0.3">
      <c r="B129" s="55" t="s">
        <v>350</v>
      </c>
      <c r="C129" s="45" t="s">
        <v>361</v>
      </c>
      <c r="D129" s="10"/>
      <c r="E129" s="52"/>
      <c r="F129" s="34"/>
      <c r="G129" s="25"/>
    </row>
    <row r="130" spans="2:7" x14ac:dyDescent="0.3">
      <c r="B130" s="35" t="s">
        <v>352</v>
      </c>
      <c r="C130" s="48" t="s">
        <v>650</v>
      </c>
      <c r="D130" s="10"/>
      <c r="E130" s="52"/>
      <c r="F130" s="34"/>
      <c r="G130" s="25"/>
    </row>
    <row r="131" spans="2:7" x14ac:dyDescent="0.3">
      <c r="B131" s="35"/>
      <c r="C131" s="67" t="s">
        <v>363</v>
      </c>
      <c r="D131" s="10" t="s">
        <v>27</v>
      </c>
      <c r="E131" s="52">
        <v>12</v>
      </c>
      <c r="F131" s="34">
        <f>BPU!E131</f>
        <v>0</v>
      </c>
      <c r="G131" s="25">
        <f t="shared" ref="G131:G133" si="14">E131*F131</f>
        <v>0</v>
      </c>
    </row>
    <row r="132" spans="2:7" x14ac:dyDescent="0.3">
      <c r="B132" s="35"/>
      <c r="C132" s="67" t="s">
        <v>365</v>
      </c>
      <c r="D132" s="10" t="s">
        <v>27</v>
      </c>
      <c r="E132" s="52">
        <v>18</v>
      </c>
      <c r="F132" s="34">
        <f>BPU!E132</f>
        <v>0</v>
      </c>
      <c r="G132" s="25">
        <f t="shared" si="14"/>
        <v>0</v>
      </c>
    </row>
    <row r="133" spans="2:7" x14ac:dyDescent="0.3">
      <c r="B133" s="35"/>
      <c r="C133" s="67" t="s">
        <v>367</v>
      </c>
      <c r="D133" s="10" t="s">
        <v>27</v>
      </c>
      <c r="E133" s="52">
        <v>18</v>
      </c>
      <c r="F133" s="34">
        <f>BPU!E133</f>
        <v>0</v>
      </c>
      <c r="G133" s="25">
        <f t="shared" si="14"/>
        <v>0</v>
      </c>
    </row>
    <row r="134" spans="2:7" x14ac:dyDescent="0.3">
      <c r="B134" s="35" t="s">
        <v>360</v>
      </c>
      <c r="C134" s="46" t="s">
        <v>374</v>
      </c>
      <c r="D134" s="10"/>
      <c r="E134" s="52"/>
      <c r="F134" s="34"/>
      <c r="G134" s="25"/>
    </row>
    <row r="135" spans="2:7" x14ac:dyDescent="0.3">
      <c r="B135" s="35" t="s">
        <v>362</v>
      </c>
      <c r="C135" s="30" t="s">
        <v>376</v>
      </c>
      <c r="D135" s="10" t="s">
        <v>59</v>
      </c>
      <c r="E135" s="52">
        <v>3</v>
      </c>
      <c r="F135" s="34">
        <f>BPU!E135</f>
        <v>0</v>
      </c>
      <c r="G135" s="25">
        <f>E135*F135</f>
        <v>0</v>
      </c>
    </row>
    <row r="136" spans="2:7" x14ac:dyDescent="0.3">
      <c r="B136" s="35"/>
      <c r="C136" s="30"/>
      <c r="D136" s="10"/>
      <c r="E136" s="52"/>
      <c r="F136" s="34"/>
      <c r="G136" s="25"/>
    </row>
    <row r="137" spans="2:7" x14ac:dyDescent="0.3">
      <c r="B137" s="55" t="s">
        <v>364</v>
      </c>
      <c r="C137" s="45" t="s">
        <v>381</v>
      </c>
      <c r="D137" s="10"/>
      <c r="E137" s="52"/>
      <c r="F137" s="34"/>
      <c r="G137" s="25"/>
    </row>
    <row r="138" spans="2:7" x14ac:dyDescent="0.3">
      <c r="B138" s="35" t="s">
        <v>708</v>
      </c>
      <c r="C138" s="30" t="s">
        <v>382</v>
      </c>
      <c r="D138" s="10" t="s">
        <v>59</v>
      </c>
      <c r="E138" s="52">
        <v>3</v>
      </c>
      <c r="F138" s="34">
        <f>BPU!E138</f>
        <v>0</v>
      </c>
      <c r="G138" s="25">
        <f t="shared" ref="G138:G140" si="15">E138*F138</f>
        <v>0</v>
      </c>
    </row>
    <row r="139" spans="2:7" x14ac:dyDescent="0.3">
      <c r="B139" s="35" t="s">
        <v>709</v>
      </c>
      <c r="C139" s="30" t="s">
        <v>383</v>
      </c>
      <c r="D139" s="10" t="s">
        <v>59</v>
      </c>
      <c r="E139" s="52">
        <v>2</v>
      </c>
      <c r="F139" s="34">
        <f>BPU!E139</f>
        <v>0</v>
      </c>
      <c r="G139" s="25">
        <f t="shared" si="15"/>
        <v>0</v>
      </c>
    </row>
    <row r="140" spans="2:7" x14ac:dyDescent="0.3">
      <c r="B140" s="35" t="s">
        <v>710</v>
      </c>
      <c r="C140" s="30" t="s">
        <v>711</v>
      </c>
      <c r="D140" s="10" t="s">
        <v>59</v>
      </c>
      <c r="E140" s="52">
        <v>1</v>
      </c>
      <c r="F140" s="34">
        <f>BPU!E140</f>
        <v>0</v>
      </c>
      <c r="G140" s="25">
        <f t="shared" si="15"/>
        <v>0</v>
      </c>
    </row>
    <row r="141" spans="2:7" x14ac:dyDescent="0.3">
      <c r="B141" s="35"/>
      <c r="C141" s="60" t="s">
        <v>651</v>
      </c>
      <c r="D141" s="17"/>
      <c r="E141" s="10"/>
      <c r="F141" s="34"/>
      <c r="G141" s="95">
        <f>SUM(G126:G140)</f>
        <v>0</v>
      </c>
    </row>
    <row r="142" spans="2:7" x14ac:dyDescent="0.3">
      <c r="B142" s="32"/>
      <c r="C142" s="68"/>
      <c r="D142" s="10"/>
      <c r="E142" s="10"/>
      <c r="F142" s="34"/>
      <c r="G142" s="403"/>
    </row>
    <row r="143" spans="2:7" x14ac:dyDescent="0.3">
      <c r="B143" s="16" t="s">
        <v>392</v>
      </c>
      <c r="C143" s="46" t="s">
        <v>393</v>
      </c>
      <c r="D143" s="10"/>
      <c r="E143" s="10"/>
      <c r="F143" s="34"/>
      <c r="G143" s="25"/>
    </row>
    <row r="144" spans="2:7" x14ac:dyDescent="0.3">
      <c r="B144" s="13" t="s">
        <v>394</v>
      </c>
      <c r="C144" s="45" t="s">
        <v>409</v>
      </c>
      <c r="D144" s="10"/>
      <c r="E144" s="34"/>
      <c r="F144" s="34"/>
      <c r="G144" s="403"/>
    </row>
    <row r="145" spans="2:7" ht="28" x14ac:dyDescent="0.3">
      <c r="B145" s="12" t="s">
        <v>395</v>
      </c>
      <c r="C145" s="39" t="s">
        <v>414</v>
      </c>
      <c r="D145" s="10" t="s">
        <v>7</v>
      </c>
      <c r="E145" s="8">
        <v>1</v>
      </c>
      <c r="F145" s="34">
        <f>BPU!E145</f>
        <v>0</v>
      </c>
      <c r="G145" s="25">
        <f t="shared" ref="G145:G146" si="16">E145*F145</f>
        <v>0</v>
      </c>
    </row>
    <row r="146" spans="2:7" s="20" customFormat="1" x14ac:dyDescent="0.35">
      <c r="B146" s="12" t="s">
        <v>397</v>
      </c>
      <c r="C146" s="89" t="s">
        <v>712</v>
      </c>
      <c r="D146" s="10" t="s">
        <v>13</v>
      </c>
      <c r="E146" s="8">
        <v>1</v>
      </c>
      <c r="F146" s="34">
        <f>BPU!E146</f>
        <v>0</v>
      </c>
      <c r="G146" s="25">
        <f t="shared" si="16"/>
        <v>0</v>
      </c>
    </row>
    <row r="147" spans="2:7" x14ac:dyDescent="0.3">
      <c r="B147" s="12"/>
      <c r="C147" s="30"/>
      <c r="D147" s="90"/>
      <c r="E147" s="88"/>
      <c r="F147" s="34"/>
      <c r="G147" s="25"/>
    </row>
    <row r="148" spans="2:7" ht="28" x14ac:dyDescent="0.3">
      <c r="B148" s="13" t="s">
        <v>401</v>
      </c>
      <c r="C148" s="69" t="s">
        <v>425</v>
      </c>
      <c r="D148" s="10"/>
      <c r="E148" s="88"/>
      <c r="F148" s="34"/>
      <c r="G148" s="403"/>
    </row>
    <row r="149" spans="2:7" ht="28" x14ac:dyDescent="0.3">
      <c r="B149" s="12" t="s">
        <v>402</v>
      </c>
      <c r="C149" s="39" t="s">
        <v>435</v>
      </c>
      <c r="D149" s="10" t="s">
        <v>7</v>
      </c>
      <c r="E149" s="8">
        <v>1</v>
      </c>
      <c r="F149" s="34">
        <f>BPU!E149</f>
        <v>0</v>
      </c>
      <c r="G149" s="25">
        <f>E149*F149</f>
        <v>0</v>
      </c>
    </row>
    <row r="150" spans="2:7" x14ac:dyDescent="0.3">
      <c r="B150" s="12"/>
      <c r="C150" s="39"/>
      <c r="D150" s="10"/>
      <c r="E150" s="8"/>
      <c r="F150" s="34"/>
      <c r="G150" s="25"/>
    </row>
    <row r="151" spans="2:7" x14ac:dyDescent="0.3">
      <c r="B151" s="13" t="s">
        <v>404</v>
      </c>
      <c r="C151" s="69" t="s">
        <v>444</v>
      </c>
      <c r="D151" s="10"/>
      <c r="E151" s="8"/>
      <c r="F151" s="34"/>
      <c r="G151" s="403"/>
    </row>
    <row r="152" spans="2:7" s="2" customFormat="1" ht="17.25" customHeight="1" x14ac:dyDescent="0.35">
      <c r="B152" s="26" t="s">
        <v>406</v>
      </c>
      <c r="C152" s="9" t="s">
        <v>455</v>
      </c>
      <c r="D152" s="10" t="s">
        <v>7</v>
      </c>
      <c r="E152" s="8">
        <v>1</v>
      </c>
      <c r="F152" s="34">
        <f>BPU!E152</f>
        <v>0</v>
      </c>
      <c r="G152" s="25">
        <f>E152*F152</f>
        <v>0</v>
      </c>
    </row>
    <row r="153" spans="2:7" x14ac:dyDescent="0.3">
      <c r="B153" s="12"/>
      <c r="C153" s="39"/>
      <c r="D153" s="10"/>
      <c r="E153" s="8"/>
      <c r="F153" s="34"/>
      <c r="G153" s="403"/>
    </row>
    <row r="154" spans="2:7" x14ac:dyDescent="0.3">
      <c r="B154" s="13" t="s">
        <v>408</v>
      </c>
      <c r="C154" s="69" t="s">
        <v>473</v>
      </c>
      <c r="D154" s="10"/>
      <c r="E154" s="8"/>
      <c r="F154" s="34"/>
      <c r="G154" s="25"/>
    </row>
    <row r="155" spans="2:7" x14ac:dyDescent="0.3">
      <c r="B155" s="12" t="s">
        <v>410</v>
      </c>
      <c r="C155" s="39" t="s">
        <v>475</v>
      </c>
      <c r="D155" s="10" t="s">
        <v>7</v>
      </c>
      <c r="E155" s="8">
        <v>1</v>
      </c>
      <c r="F155" s="34">
        <f>BPU!E155</f>
        <v>0</v>
      </c>
      <c r="G155" s="25">
        <f t="shared" ref="G155:G159" si="17">E155*F155</f>
        <v>0</v>
      </c>
    </row>
    <row r="156" spans="2:7" x14ac:dyDescent="0.3">
      <c r="B156" s="12" t="s">
        <v>411</v>
      </c>
      <c r="C156" s="39" t="s">
        <v>477</v>
      </c>
      <c r="D156" s="10" t="s">
        <v>7</v>
      </c>
      <c r="E156" s="8">
        <v>1</v>
      </c>
      <c r="F156" s="34">
        <f>BPU!E156</f>
        <v>0</v>
      </c>
      <c r="G156" s="25">
        <f t="shared" si="17"/>
        <v>0</v>
      </c>
    </row>
    <row r="157" spans="2:7" x14ac:dyDescent="0.3">
      <c r="B157" s="12" t="s">
        <v>412</v>
      </c>
      <c r="C157" s="39" t="s">
        <v>499</v>
      </c>
      <c r="D157" s="10" t="s">
        <v>7</v>
      </c>
      <c r="E157" s="8">
        <v>1</v>
      </c>
      <c r="F157" s="34">
        <f>BPU!E157</f>
        <v>0</v>
      </c>
      <c r="G157" s="25">
        <f t="shared" si="17"/>
        <v>0</v>
      </c>
    </row>
    <row r="158" spans="2:7" ht="16.5" customHeight="1" x14ac:dyDescent="0.3">
      <c r="B158" s="12" t="s">
        <v>413</v>
      </c>
      <c r="C158" s="39" t="s">
        <v>481</v>
      </c>
      <c r="D158" s="10" t="s">
        <v>7</v>
      </c>
      <c r="E158" s="8">
        <v>1</v>
      </c>
      <c r="F158" s="34">
        <f>BPU!E158</f>
        <v>0</v>
      </c>
      <c r="G158" s="25">
        <f t="shared" si="17"/>
        <v>0</v>
      </c>
    </row>
    <row r="159" spans="2:7" ht="16.5" customHeight="1" x14ac:dyDescent="0.3">
      <c r="B159" s="12" t="s">
        <v>415</v>
      </c>
      <c r="C159" s="39" t="s">
        <v>483</v>
      </c>
      <c r="D159" s="10" t="s">
        <v>7</v>
      </c>
      <c r="E159" s="8">
        <v>1</v>
      </c>
      <c r="F159" s="34">
        <f>BPU!E159</f>
        <v>0</v>
      </c>
      <c r="G159" s="25">
        <f t="shared" si="17"/>
        <v>0</v>
      </c>
    </row>
    <row r="160" spans="2:7" x14ac:dyDescent="0.3">
      <c r="B160" s="12"/>
      <c r="C160" s="39"/>
      <c r="D160" s="10"/>
      <c r="E160" s="8"/>
      <c r="F160" s="34"/>
      <c r="G160" s="25"/>
    </row>
    <row r="161" spans="2:7" x14ac:dyDescent="0.3">
      <c r="B161" s="13" t="s">
        <v>424</v>
      </c>
      <c r="C161" s="69" t="s">
        <v>485</v>
      </c>
      <c r="D161" s="10"/>
      <c r="E161" s="8"/>
      <c r="F161" s="34"/>
      <c r="G161" s="403"/>
    </row>
    <row r="162" spans="2:7" x14ac:dyDescent="0.3">
      <c r="B162" s="12" t="s">
        <v>426</v>
      </c>
      <c r="C162" s="39" t="s">
        <v>487</v>
      </c>
      <c r="D162" s="10" t="s">
        <v>7</v>
      </c>
      <c r="E162" s="8">
        <v>1</v>
      </c>
      <c r="F162" s="34">
        <f>BPU!E162</f>
        <v>0</v>
      </c>
      <c r="G162" s="25">
        <f>E162*F162</f>
        <v>0</v>
      </c>
    </row>
    <row r="163" spans="2:7" x14ac:dyDescent="0.3">
      <c r="B163" s="12"/>
      <c r="C163" s="39"/>
      <c r="D163" s="10"/>
      <c r="E163" s="8"/>
      <c r="F163" s="34"/>
      <c r="G163" s="25"/>
    </row>
    <row r="164" spans="2:7" x14ac:dyDescent="0.3">
      <c r="B164" s="13" t="s">
        <v>443</v>
      </c>
      <c r="C164" s="69" t="s">
        <v>511</v>
      </c>
      <c r="D164" s="10"/>
      <c r="E164" s="8"/>
      <c r="F164" s="34"/>
      <c r="G164" s="25"/>
    </row>
    <row r="165" spans="2:7" ht="28" x14ac:dyDescent="0.3">
      <c r="B165" s="12" t="s">
        <v>445</v>
      </c>
      <c r="C165" s="39" t="s">
        <v>513</v>
      </c>
      <c r="D165" s="10" t="s">
        <v>59</v>
      </c>
      <c r="E165" s="8">
        <v>26</v>
      </c>
      <c r="F165" s="34">
        <f>BPU!E165</f>
        <v>0</v>
      </c>
      <c r="G165" s="25">
        <f>E165*F165</f>
        <v>0</v>
      </c>
    </row>
    <row r="166" spans="2:7" ht="28" x14ac:dyDescent="0.3">
      <c r="B166" s="12" t="s">
        <v>447</v>
      </c>
      <c r="C166" s="39" t="s">
        <v>514</v>
      </c>
      <c r="D166" s="10" t="s">
        <v>59</v>
      </c>
      <c r="E166" s="8">
        <v>16</v>
      </c>
      <c r="F166" s="34">
        <f>BPU!E166</f>
        <v>0</v>
      </c>
      <c r="G166" s="25">
        <f t="shared" ref="G166:G168" si="18">E166*F166</f>
        <v>0</v>
      </c>
    </row>
    <row r="167" spans="2:7" x14ac:dyDescent="0.3">
      <c r="B167" s="12" t="s">
        <v>449</v>
      </c>
      <c r="C167" s="39" t="s">
        <v>515</v>
      </c>
      <c r="D167" s="10" t="s">
        <v>59</v>
      </c>
      <c r="E167" s="8">
        <v>1</v>
      </c>
      <c r="F167" s="34">
        <f>BPU!E167</f>
        <v>0</v>
      </c>
      <c r="G167" s="25">
        <f t="shared" si="18"/>
        <v>0</v>
      </c>
    </row>
    <row r="168" spans="2:7" x14ac:dyDescent="0.3">
      <c r="B168" s="12" t="s">
        <v>451</v>
      </c>
      <c r="C168" s="39" t="s">
        <v>512</v>
      </c>
      <c r="D168" s="10" t="s">
        <v>59</v>
      </c>
      <c r="E168" s="8">
        <v>6</v>
      </c>
      <c r="F168" s="34">
        <f>BPU!E168</f>
        <v>0</v>
      </c>
      <c r="G168" s="25">
        <f t="shared" si="18"/>
        <v>0</v>
      </c>
    </row>
    <row r="169" spans="2:7" x14ac:dyDescent="0.3">
      <c r="B169" s="12"/>
      <c r="C169" s="39"/>
      <c r="D169" s="10"/>
      <c r="E169" s="8"/>
      <c r="F169" s="34"/>
      <c r="G169" s="25"/>
    </row>
    <row r="170" spans="2:7" x14ac:dyDescent="0.3">
      <c r="B170" s="13" t="s">
        <v>472</v>
      </c>
      <c r="C170" s="69" t="s">
        <v>517</v>
      </c>
      <c r="D170" s="10"/>
      <c r="E170" s="8"/>
      <c r="F170" s="34"/>
      <c r="G170" s="25"/>
    </row>
    <row r="171" spans="2:7" x14ac:dyDescent="0.3">
      <c r="B171" s="12" t="s">
        <v>474</v>
      </c>
      <c r="C171" s="39" t="s">
        <v>518</v>
      </c>
      <c r="D171" s="10" t="s">
        <v>59</v>
      </c>
      <c r="E171" s="8">
        <v>9</v>
      </c>
      <c r="F171" s="34">
        <f>BPU!E171</f>
        <v>0</v>
      </c>
      <c r="G171" s="25">
        <f t="shared" ref="G171:G172" si="19">E171*F171</f>
        <v>0</v>
      </c>
    </row>
    <row r="172" spans="2:7" x14ac:dyDescent="0.3">
      <c r="B172" s="12" t="s">
        <v>476</v>
      </c>
      <c r="C172" s="39" t="s">
        <v>519</v>
      </c>
      <c r="D172" s="10" t="s">
        <v>59</v>
      </c>
      <c r="E172" s="8">
        <v>10</v>
      </c>
      <c r="F172" s="34">
        <f>BPU!E172</f>
        <v>0</v>
      </c>
      <c r="G172" s="25">
        <f t="shared" si="19"/>
        <v>0</v>
      </c>
    </row>
    <row r="173" spans="2:7" x14ac:dyDescent="0.3">
      <c r="B173" s="12"/>
      <c r="C173" s="39"/>
      <c r="D173" s="10"/>
      <c r="E173" s="8"/>
      <c r="F173" s="34"/>
      <c r="G173" s="403"/>
    </row>
    <row r="174" spans="2:7" x14ac:dyDescent="0.3">
      <c r="B174" s="13" t="s">
        <v>484</v>
      </c>
      <c r="C174" s="69" t="s">
        <v>522</v>
      </c>
      <c r="D174" s="10"/>
      <c r="E174" s="8"/>
      <c r="F174" s="34"/>
      <c r="G174" s="403"/>
    </row>
    <row r="175" spans="2:7" x14ac:dyDescent="0.3">
      <c r="B175" s="12" t="s">
        <v>486</v>
      </c>
      <c r="C175" s="39" t="s">
        <v>523</v>
      </c>
      <c r="D175" s="10" t="s">
        <v>59</v>
      </c>
      <c r="E175" s="8">
        <v>61</v>
      </c>
      <c r="F175" s="34">
        <f>BPU!E175</f>
        <v>0</v>
      </c>
      <c r="G175" s="25">
        <f t="shared" ref="G175:G176" si="20">E175*F175</f>
        <v>0</v>
      </c>
    </row>
    <row r="176" spans="2:7" x14ac:dyDescent="0.3">
      <c r="B176" s="12" t="s">
        <v>671</v>
      </c>
      <c r="C176" s="39" t="s">
        <v>526</v>
      </c>
      <c r="D176" s="10" t="s">
        <v>59</v>
      </c>
      <c r="E176" s="8">
        <v>1</v>
      </c>
      <c r="F176" s="34">
        <f>BPU!E176</f>
        <v>0</v>
      </c>
      <c r="G176" s="25">
        <f t="shared" si="20"/>
        <v>0</v>
      </c>
    </row>
    <row r="177" spans="2:8" x14ac:dyDescent="0.3">
      <c r="B177" s="12"/>
      <c r="C177" s="39"/>
      <c r="D177" s="10"/>
      <c r="E177" s="8"/>
      <c r="F177" s="34"/>
      <c r="G177" s="25"/>
    </row>
    <row r="178" spans="2:8" x14ac:dyDescent="0.3">
      <c r="B178" s="13" t="s">
        <v>488</v>
      </c>
      <c r="C178" s="69" t="s">
        <v>527</v>
      </c>
      <c r="D178" s="10"/>
      <c r="E178" s="8"/>
      <c r="F178" s="34"/>
      <c r="G178" s="25"/>
    </row>
    <row r="179" spans="2:8" x14ac:dyDescent="0.3">
      <c r="B179" s="12" t="s">
        <v>489</v>
      </c>
      <c r="C179" s="39" t="s">
        <v>528</v>
      </c>
      <c r="D179" s="10" t="s">
        <v>59</v>
      </c>
      <c r="E179" s="8">
        <v>23</v>
      </c>
      <c r="F179" s="34">
        <f>BPU!E179</f>
        <v>0</v>
      </c>
      <c r="G179" s="25">
        <f t="shared" ref="G179:G181" si="21">E179*F179</f>
        <v>0</v>
      </c>
    </row>
    <row r="180" spans="2:8" x14ac:dyDescent="0.3">
      <c r="B180" s="12" t="s">
        <v>490</v>
      </c>
      <c r="C180" s="39" t="s">
        <v>529</v>
      </c>
      <c r="D180" s="10" t="s">
        <v>59</v>
      </c>
      <c r="E180" s="8">
        <v>4</v>
      </c>
      <c r="F180" s="34">
        <f>BPU!E180</f>
        <v>0</v>
      </c>
      <c r="G180" s="25">
        <f t="shared" si="21"/>
        <v>0</v>
      </c>
    </row>
    <row r="181" spans="2:8" x14ac:dyDescent="0.3">
      <c r="B181" s="12" t="s">
        <v>491</v>
      </c>
      <c r="C181" s="39" t="s">
        <v>531</v>
      </c>
      <c r="D181" s="10" t="s">
        <v>59</v>
      </c>
      <c r="E181" s="8">
        <v>2</v>
      </c>
      <c r="F181" s="34">
        <f>BPU!E181</f>
        <v>0</v>
      </c>
      <c r="G181" s="25">
        <f t="shared" si="21"/>
        <v>0</v>
      </c>
    </row>
    <row r="182" spans="2:8" ht="14.5" thickBot="1" x14ac:dyDescent="0.35">
      <c r="B182" s="410"/>
      <c r="C182" s="411" t="s">
        <v>654</v>
      </c>
      <c r="D182" s="18"/>
      <c r="E182" s="18"/>
      <c r="F182" s="18"/>
      <c r="G182" s="405">
        <f>SUM(G145:G181)</f>
        <v>0</v>
      </c>
    </row>
    <row r="183" spans="2:8" s="21" customFormat="1" ht="15" thickTop="1" thickBot="1" x14ac:dyDescent="0.4">
      <c r="B183" s="412"/>
      <c r="C183" s="413" t="s">
        <v>1366</v>
      </c>
      <c r="D183" s="413"/>
      <c r="E183" s="413"/>
      <c r="F183" s="413"/>
      <c r="G183" s="414">
        <f>G7+G182+G141+G121+G114+G89+G85+G80+G66+G49+G38+G32+G13</f>
        <v>0</v>
      </c>
      <c r="H183" s="404"/>
    </row>
    <row r="184" spans="2:8" ht="14.5" hidden="1" thickTop="1" x14ac:dyDescent="0.3">
      <c r="B184" s="408"/>
      <c r="C184" s="394" t="s">
        <v>748</v>
      </c>
      <c r="D184" s="395"/>
      <c r="E184" s="396"/>
      <c r="F184" s="396"/>
      <c r="G184" s="406">
        <f>G183*0.18</f>
        <v>0</v>
      </c>
    </row>
    <row r="185" spans="2:8" ht="14.5" hidden="1" thickBot="1" x14ac:dyDescent="0.35">
      <c r="B185" s="409"/>
      <c r="C185" s="397" t="s">
        <v>749</v>
      </c>
      <c r="D185" s="398"/>
      <c r="E185" s="399"/>
      <c r="F185" s="399"/>
      <c r="G185" s="407">
        <f>G183+G184</f>
        <v>0</v>
      </c>
    </row>
    <row r="186" spans="2:8" ht="14.5" thickTop="1" x14ac:dyDescent="0.3"/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DETAIL DES PU</vt:lpstr>
      <vt:lpstr>BPU</vt:lpstr>
      <vt:lpstr>DQE BLOC OPERATOIRE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INARUKUNDO, Claudette</cp:lastModifiedBy>
  <dcterms:created xsi:type="dcterms:W3CDTF">2023-09-18T17:18:53Z</dcterms:created>
  <dcterms:modified xsi:type="dcterms:W3CDTF">2024-06-04T10:19:05Z</dcterms:modified>
</cp:coreProperties>
</file>