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Marchés publics &amp;Subsides\Programme bilatéral\Climat\MLI21003-10138-Travaux de réalisation de CRR\2-CSC\"/>
    </mc:Choice>
  </mc:AlternateContent>
  <xr:revisionPtr revIDLastSave="0" documentId="13_ncr:1_{C8956F32-7ED5-495C-9208-58035F449DA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Lot1-Doumba " sheetId="2" r:id="rId1"/>
    <sheet name="Lot1-Sirakorola " sheetId="8" r:id="rId2"/>
    <sheet name="Lot2-Kekan " sheetId="4" r:id="rId3"/>
    <sheet name="Lot2-KOULA 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pas1">#REF!</definedName>
    <definedName name="___pas10">'[1]T-P'!$B$257</definedName>
    <definedName name="___pas11">'[1]T-P'!$B$292</definedName>
    <definedName name="___pas2">'[1]T-P'!$B$55</definedName>
    <definedName name="___pas3">'[1]T-P'!$B$75</definedName>
    <definedName name="___pas4">'[1]T-P'!$B$101</definedName>
    <definedName name="___pas5">'[1]T-P'!$B$123</definedName>
    <definedName name="___pas6">'[1]T-P'!$B$151</definedName>
    <definedName name="___pas7">'[1]T-P'!$B$173</definedName>
    <definedName name="___pas8">'[1]T-P'!$B$203</definedName>
    <definedName name="___pas9">'[1]T-P'!$B$235</definedName>
    <definedName name="___r">#REF!</definedName>
    <definedName name="__Lar1">#REF!</definedName>
    <definedName name="__pas12">'[1]T-P'!$B$314</definedName>
    <definedName name="__pas13">'[1]T-P'!$B$349</definedName>
    <definedName name="__pas14">'[1]T-P'!$B$371</definedName>
    <definedName name="__pas15">'[1]T-P'!$B$409</definedName>
    <definedName name="__pas16">'[1]T-P'!$B$431</definedName>
    <definedName name="__pas17">'[1]T-P'!$B$453</definedName>
    <definedName name="__pas18">'[1]T-P'!$B$491</definedName>
    <definedName name="__pas19">'[1]T-P'!$B$523</definedName>
    <definedName name="__pd1">'[2]Drain-P'!$B$146</definedName>
    <definedName name="__pd10">'[2]Drain-P'!$B$26</definedName>
    <definedName name="__pd11">'[2]Drain-P'!#REF!</definedName>
    <definedName name="__pd12">'[2]Drain-P'!#REF!</definedName>
    <definedName name="__pd2">'[2]Drain-P'!$B$130</definedName>
    <definedName name="__pd3">'[2]Drain-P'!$B$121</definedName>
    <definedName name="__pd4">'[2]Drain-P'!$B$107</definedName>
    <definedName name="__pd5">'[2]Drain-P'!$B$93</definedName>
    <definedName name="__pd6">'[2]Drain-P'!$B$79</definedName>
    <definedName name="__pd7">'[2]Drain-P'!$B$67</definedName>
    <definedName name="__pd8">'[2]Drain-P'!$B$53</definedName>
    <definedName name="__pd9">'[2]Drain-P'!$B$41</definedName>
    <definedName name="__pp1">'[1]canal P'!$C$531</definedName>
    <definedName name="__pp10">'[1]canal P'!$C$297</definedName>
    <definedName name="__pp11">'[1]canal P'!$C$271</definedName>
    <definedName name="__pp12">'[1]canal P'!$C$245</definedName>
    <definedName name="__pp13">'[1]canal P'!$C$219</definedName>
    <definedName name="__pp14">'[1]canal P'!$C$193</definedName>
    <definedName name="__pp15">'[1]canal P'!$C$167</definedName>
    <definedName name="__pp16">'[1]canal P'!$C$141</definedName>
    <definedName name="__pp17">'[1]canal P'!$C$115</definedName>
    <definedName name="__pp18">'[1]canal P'!$C$89</definedName>
    <definedName name="__pp19">'[1]canal P'!$C$63</definedName>
    <definedName name="__pp2">'[1]canal P'!$C$505</definedName>
    <definedName name="__pp20">'[1]canal P'!$C$37</definedName>
    <definedName name="__pp3">'[1]canal P'!$C$479</definedName>
    <definedName name="__pp4">'[1]canal P'!$C$453</definedName>
    <definedName name="__pp5">'[1]canal P'!$C$427</definedName>
    <definedName name="__pp6">'[1]canal P'!$C$401</definedName>
    <definedName name="__pp7">'[1]canal P'!$C$375</definedName>
    <definedName name="__pvc15">'[1]Métré ouv.'!$S$2</definedName>
    <definedName name="__pvc20">'[1]Métré ouv.'!$T$2</definedName>
    <definedName name="_pas1">'[2]T-P'!$B$22</definedName>
    <definedName name="_pas10">'[3]T-P'!$B$167</definedName>
    <definedName name="_pas2">'[2]T-P'!$B$35</definedName>
    <definedName name="_pas20">'[1]T-P'!$B$543</definedName>
    <definedName name="_pas21">'[1]T-P'!$B$568</definedName>
    <definedName name="_pas3">'[2]T-P'!$B$45</definedName>
    <definedName name="_pas4">'[2]T-P'!$B$58</definedName>
    <definedName name="_pas5">'[2]T-P'!$B$71</definedName>
    <definedName name="_pas6">'[2]T-P'!$B$84</definedName>
    <definedName name="_pas7">'[2]T-P'!$B$97</definedName>
    <definedName name="_pas8">'[2]T-P'!$B$110</definedName>
    <definedName name="_pas9">'[2]T-P'!$B$123</definedName>
    <definedName name="_pd1">'[3]Drain-P'!$B$78</definedName>
    <definedName name="_pd2">'[3]Drain-P'!$B$52</definedName>
    <definedName name="_pd3">'[3]Drain-P'!$B$21</definedName>
    <definedName name="_pp18">'[2]canal P'!$C$33</definedName>
    <definedName name="_pp19">'[2]canal P'!$C$17</definedName>
    <definedName name="_pp20">'[3]canal P'!$C$18</definedName>
    <definedName name="_pp3">[2]CS2!$C$73</definedName>
    <definedName name="_pp4">[2]CS2!$C$59</definedName>
    <definedName name="_pp5">[2]CS2!$C$45</definedName>
    <definedName name="_pp6">[2]CS2!$C$31</definedName>
    <definedName name="_pp7">[2]CS2!$C$21</definedName>
    <definedName name="_pp8">'[1]canal P'!$C$349</definedName>
    <definedName name="_pp9">'[1]canal P'!$C$323</definedName>
    <definedName name="_pvc15">'[2]Métré ouv.'!$S$2</definedName>
    <definedName name="_pvc20">'[2]Métré ouv.'!$T$2</definedName>
    <definedName name="Ac">'[2]Métré ouv.'!$J$2</definedName>
    <definedName name="b">[4]hydra!$B$6</definedName>
    <definedName name="Ba">'[2]Métré ouv.'!$A$2</definedName>
    <definedName name="bl">'[2]Métré ouv.'!$B$2</definedName>
    <definedName name="Bo">'[2]Métré ouv.'!$C$2</definedName>
    <definedName name="CC">#REF!</definedName>
    <definedName name="CD">'[2]Drain-P'!#REF!</definedName>
    <definedName name="Cf">'[2]Métré ouv.'!$F$2</definedName>
    <definedName name="cinq">'[2]Métré ouv.'!$M$2</definedName>
    <definedName name="cm">'[2]Métré ouv.'!$L$2</definedName>
    <definedName name="Cr">'[2]Métré ouv.'!$V$2</definedName>
    <definedName name="Db">'[2]Métré ouv.'!$X$2</definedName>
    <definedName name="DETAIL_EQUIP">'[5]détail estim'!#REF!</definedName>
    <definedName name="DETAIL_ESTIMATIF">'[6]détail estim'!$A$1:$F$18,'[6]détail estim'!$A$20:$F$45,'[6]détail estim'!$A$47:$F$91,'[6]détail estim'!$A$93:$F$125,'[6]détail estim'!#REF!,'[6]détail estim'!$A$127:$F$137</definedName>
    <definedName name="e">'[2]canal P'!$R$7</definedName>
    <definedName name="enr">'[2]Métré ouv.'!$P$2</definedName>
    <definedName name="f">'[4]DECHARGE(charge variable)'!$F$18:$Q$18</definedName>
    <definedName name="Fac">'[2]Métré ouv.'!$U$2</definedName>
    <definedName name="gb">'[2]Métré ouv.'!$O$2</definedName>
    <definedName name="h">#REF!</definedName>
    <definedName name="Hd">#REF!</definedName>
    <definedName name="i">[4]hydra!$B$5</definedName>
    <definedName name="Ip">'[2]Métré ouv.'!$E$2</definedName>
    <definedName name="it">#REF!</definedName>
    <definedName name="ITHA">#REF!</definedName>
    <definedName name="k">[4]hydra!$B$4</definedName>
    <definedName name="lam">#REF!</definedName>
    <definedName name="lar">#REF!</definedName>
    <definedName name="lat">#REF!</definedName>
    <definedName name="Ld">#REF!</definedName>
    <definedName name="lon">#REF!</definedName>
    <definedName name="Long_gir_deversante">#REF!</definedName>
    <definedName name="Lpe">[4]hydra!$D$7</definedName>
    <definedName name="m">[4]hydra!$B$7</definedName>
    <definedName name="mb">'[2]Métré ouv.'!$H$2</definedName>
    <definedName name="mil">'[2]Métré ouv.'!$N$2</definedName>
    <definedName name="p">#REF!</definedName>
    <definedName name="Pb">'[1]Métré ouv.'!#REF!</definedName>
    <definedName name="Pc">'[2]Métré ouv.'!$I$2</definedName>
    <definedName name="pxdb">#REF!</definedName>
    <definedName name="pxdc">#REF!</definedName>
    <definedName name="pxrb">#REF!</definedName>
    <definedName name="Q">[4]hydra!$B$3</definedName>
    <definedName name="Rb">'[2]Métré ouv.'!$W$2</definedName>
    <definedName name="Rbv">'[2]Métré ouv.'!$R$2</definedName>
    <definedName name="Rv">[4]hydra!$B$8</definedName>
    <definedName name="S">[4]hydra!$D$3</definedName>
    <definedName name="SOUS_DETAIL">#REF!,#REF!</definedName>
    <definedName name="TETE">#REF!</definedName>
    <definedName name="V">[4]hydra!$D$6</definedName>
    <definedName name="VF">'[2]Métré ouv.'!$Q$2</definedName>
    <definedName name="Vn">'[2]Métré ouv.'!$K$2</definedName>
    <definedName name="ws">'[2]Métré ouv.'!$G$2</definedName>
    <definedName name="XYZ">#REF!</definedName>
    <definedName name="y">[4]hydra!$B$2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1" i="2" l="1"/>
  <c r="F261" i="4"/>
  <c r="F261" i="5"/>
  <c r="F261" i="8"/>
  <c r="F260" i="8"/>
  <c r="F239" i="8"/>
  <c r="F238" i="8"/>
  <c r="F237" i="8"/>
  <c r="F236" i="8"/>
  <c r="F235" i="8"/>
  <c r="F234" i="8"/>
  <c r="F233" i="8"/>
  <c r="D225" i="8"/>
  <c r="D224" i="8"/>
  <c r="D226" i="8" s="1"/>
  <c r="F221" i="8"/>
  <c r="F222" i="8" s="1"/>
  <c r="D218" i="8"/>
  <c r="F218" i="8" s="1"/>
  <c r="D217" i="8"/>
  <c r="F217" i="8" s="1"/>
  <c r="D216" i="8"/>
  <c r="F216" i="8" s="1"/>
  <c r="D213" i="8"/>
  <c r="F213" i="8" s="1"/>
  <c r="D212" i="8"/>
  <c r="F212" i="8" s="1"/>
  <c r="D211" i="8"/>
  <c r="D210" i="8"/>
  <c r="D207" i="8"/>
  <c r="D206" i="8"/>
  <c r="D205" i="8"/>
  <c r="D204" i="8"/>
  <c r="D203" i="8"/>
  <c r="F203" i="8" s="1"/>
  <c r="D202" i="8"/>
  <c r="D201" i="8"/>
  <c r="D200" i="8"/>
  <c r="D196" i="8"/>
  <c r="D195" i="8"/>
  <c r="D194" i="8"/>
  <c r="F194" i="8" s="1"/>
  <c r="F187" i="8"/>
  <c r="F183" i="8"/>
  <c r="D180" i="8"/>
  <c r="D176" i="8"/>
  <c r="D175" i="8"/>
  <c r="D177" i="8" s="1"/>
  <c r="F172" i="8"/>
  <c r="F171" i="8"/>
  <c r="D168" i="8"/>
  <c r="D179" i="8" s="1"/>
  <c r="D167" i="8"/>
  <c r="D166" i="8"/>
  <c r="F166" i="8" s="1"/>
  <c r="D165" i="8"/>
  <c r="D162" i="8"/>
  <c r="D161" i="8"/>
  <c r="D160" i="8"/>
  <c r="D159" i="8"/>
  <c r="D158" i="8"/>
  <c r="D157" i="8"/>
  <c r="D156" i="8"/>
  <c r="D153" i="8"/>
  <c r="F153" i="8" s="1"/>
  <c r="D152" i="8"/>
  <c r="D151" i="8"/>
  <c r="F201" i="8"/>
  <c r="D150" i="8"/>
  <c r="F150" i="8" s="1"/>
  <c r="D149" i="8"/>
  <c r="D148" i="8"/>
  <c r="F148" i="8" s="1"/>
  <c r="D147" i="8"/>
  <c r="F147" i="8" s="1"/>
  <c r="D142" i="8"/>
  <c r="D141" i="8"/>
  <c r="D140" i="8"/>
  <c r="F140" i="8" s="1"/>
  <c r="F129" i="8"/>
  <c r="D126" i="8"/>
  <c r="D122" i="8"/>
  <c r="D124" i="8" s="1"/>
  <c r="D121" i="8"/>
  <c r="F118" i="8"/>
  <c r="F117" i="8"/>
  <c r="D114" i="8"/>
  <c r="D125" i="8" s="1"/>
  <c r="D113" i="8"/>
  <c r="D112" i="8"/>
  <c r="F112" i="8" s="1"/>
  <c r="D111" i="8"/>
  <c r="D108" i="8"/>
  <c r="D107" i="8"/>
  <c r="D106" i="8"/>
  <c r="D105" i="8"/>
  <c r="D104" i="8"/>
  <c r="D103" i="8"/>
  <c r="F103" i="8" s="1"/>
  <c r="D102" i="8"/>
  <c r="F102" i="8" s="1"/>
  <c r="D99" i="8"/>
  <c r="F99" i="8" s="1"/>
  <c r="D98" i="8"/>
  <c r="D97" i="8"/>
  <c r="D96" i="8"/>
  <c r="D95" i="8"/>
  <c r="D94" i="8"/>
  <c r="D93" i="8"/>
  <c r="D88" i="8"/>
  <c r="D87" i="8"/>
  <c r="D86" i="8"/>
  <c r="F79" i="8"/>
  <c r="F78" i="8"/>
  <c r="F185" i="8"/>
  <c r="F184" i="8"/>
  <c r="F75" i="8"/>
  <c r="D72" i="8"/>
  <c r="F72" i="8" s="1"/>
  <c r="D71" i="8"/>
  <c r="D68" i="8"/>
  <c r="D70" i="8" s="1"/>
  <c r="F70" i="8" s="1"/>
  <c r="D67" i="8"/>
  <c r="D69" i="8" s="1"/>
  <c r="F69" i="8" s="1"/>
  <c r="F64" i="8"/>
  <c r="F63" i="8"/>
  <c r="F65" i="8" s="1"/>
  <c r="D60" i="8"/>
  <c r="F60" i="8" s="1"/>
  <c r="D59" i="8"/>
  <c r="F59" i="8" s="1"/>
  <c r="D58" i="8"/>
  <c r="F58" i="8" s="1"/>
  <c r="D57" i="8"/>
  <c r="F57" i="8" s="1"/>
  <c r="D54" i="8"/>
  <c r="D53" i="8"/>
  <c r="F53" i="8" s="1"/>
  <c r="D52" i="8"/>
  <c r="D51" i="8"/>
  <c r="D50" i="8"/>
  <c r="F50" i="8" s="1"/>
  <c r="D49" i="8"/>
  <c r="F49" i="8" s="1"/>
  <c r="D48" i="8"/>
  <c r="F48" i="8" s="1"/>
  <c r="D45" i="8"/>
  <c r="F45" i="8" s="1"/>
  <c r="D44" i="8"/>
  <c r="F44" i="8" s="1"/>
  <c r="D43" i="8"/>
  <c r="D42" i="8"/>
  <c r="F42" i="8" s="1"/>
  <c r="D41" i="8"/>
  <c r="F41" i="8" s="1"/>
  <c r="D40" i="8"/>
  <c r="F40" i="8" s="1"/>
  <c r="D39" i="8"/>
  <c r="F39" i="8" s="1"/>
  <c r="D34" i="8"/>
  <c r="F34" i="8" s="1"/>
  <c r="D33" i="8"/>
  <c r="D35" i="8" s="1"/>
  <c r="D32" i="8"/>
  <c r="F32" i="8" s="1"/>
  <c r="F239" i="5"/>
  <c r="F238" i="5"/>
  <c r="F237" i="5"/>
  <c r="F236" i="5"/>
  <c r="F235" i="5"/>
  <c r="F234" i="5"/>
  <c r="F233" i="5"/>
  <c r="D225" i="5"/>
  <c r="F225" i="5" s="1"/>
  <c r="D224" i="5"/>
  <c r="D226" i="5" s="1"/>
  <c r="F221" i="5"/>
  <c r="F222" i="5" s="1"/>
  <c r="D218" i="5"/>
  <c r="D217" i="5"/>
  <c r="F217" i="5" s="1"/>
  <c r="D216" i="5"/>
  <c r="F216" i="5" s="1"/>
  <c r="D213" i="5"/>
  <c r="F213" i="5" s="1"/>
  <c r="D212" i="5"/>
  <c r="F212" i="5" s="1"/>
  <c r="D211" i="5"/>
  <c r="F211" i="5" s="1"/>
  <c r="D210" i="5"/>
  <c r="D207" i="5"/>
  <c r="D206" i="5"/>
  <c r="D205" i="5"/>
  <c r="D204" i="5"/>
  <c r="F204" i="5" s="1"/>
  <c r="D203" i="5"/>
  <c r="D202" i="5"/>
  <c r="D201" i="5"/>
  <c r="D200" i="5"/>
  <c r="D196" i="5"/>
  <c r="D195" i="5"/>
  <c r="D194" i="5"/>
  <c r="F187" i="5"/>
  <c r="F183" i="5"/>
  <c r="D180" i="5"/>
  <c r="F180" i="5" s="1"/>
  <c r="D176" i="5"/>
  <c r="D178" i="5" s="1"/>
  <c r="D175" i="5"/>
  <c r="D177" i="5" s="1"/>
  <c r="F172" i="5"/>
  <c r="F171" i="5"/>
  <c r="D168" i="5"/>
  <c r="D179" i="5" s="1"/>
  <c r="D167" i="5"/>
  <c r="D166" i="5"/>
  <c r="D165" i="5"/>
  <c r="D162" i="5"/>
  <c r="D161" i="5"/>
  <c r="D160" i="5"/>
  <c r="D159" i="5"/>
  <c r="D158" i="5"/>
  <c r="D157" i="5"/>
  <c r="D156" i="5"/>
  <c r="D153" i="5"/>
  <c r="F153" i="5" s="1"/>
  <c r="D152" i="5"/>
  <c r="D151" i="5"/>
  <c r="D150" i="5"/>
  <c r="F150" i="5" s="1"/>
  <c r="D149" i="5"/>
  <c r="D148" i="5"/>
  <c r="D147" i="5"/>
  <c r="D142" i="5"/>
  <c r="D143" i="5" s="1"/>
  <c r="D144" i="5" s="1"/>
  <c r="F144" i="5" s="1"/>
  <c r="D141" i="5"/>
  <c r="D140" i="5"/>
  <c r="F131" i="5"/>
  <c r="F129" i="5"/>
  <c r="D126" i="5"/>
  <c r="F126" i="5" s="1"/>
  <c r="D122" i="5"/>
  <c r="D124" i="5" s="1"/>
  <c r="D121" i="5"/>
  <c r="D123" i="5" s="1"/>
  <c r="F118" i="5"/>
  <c r="F117" i="5"/>
  <c r="D114" i="5"/>
  <c r="D125" i="5" s="1"/>
  <c r="D113" i="5"/>
  <c r="D112" i="5"/>
  <c r="F112" i="5" s="1"/>
  <c r="D111" i="5"/>
  <c r="D108" i="5"/>
  <c r="D107" i="5"/>
  <c r="D106" i="5"/>
  <c r="D105" i="5"/>
  <c r="D104" i="5"/>
  <c r="D103" i="5"/>
  <c r="D102" i="5"/>
  <c r="F102" i="5" s="1"/>
  <c r="D99" i="5"/>
  <c r="F99" i="5" s="1"/>
  <c r="D98" i="5"/>
  <c r="D97" i="5"/>
  <c r="D96" i="5"/>
  <c r="D95" i="5"/>
  <c r="D94" i="5"/>
  <c r="D93" i="5"/>
  <c r="F93" i="5" s="1"/>
  <c r="D88" i="5"/>
  <c r="D87" i="5"/>
  <c r="D86" i="5"/>
  <c r="F86" i="5" s="1"/>
  <c r="F79" i="5"/>
  <c r="F78" i="5"/>
  <c r="F185" i="5"/>
  <c r="F184" i="5"/>
  <c r="F75" i="5"/>
  <c r="D72" i="5"/>
  <c r="F72" i="5" s="1"/>
  <c r="D71" i="5"/>
  <c r="D68" i="5"/>
  <c r="D70" i="5" s="1"/>
  <c r="D67" i="5"/>
  <c r="D69" i="5" s="1"/>
  <c r="F69" i="5" s="1"/>
  <c r="F64" i="5"/>
  <c r="F63" i="5"/>
  <c r="D60" i="5"/>
  <c r="F60" i="5" s="1"/>
  <c r="D59" i="5"/>
  <c r="D58" i="5"/>
  <c r="F58" i="5" s="1"/>
  <c r="D57" i="5"/>
  <c r="F57" i="5" s="1"/>
  <c r="D54" i="5"/>
  <c r="D53" i="5"/>
  <c r="D52" i="5"/>
  <c r="D51" i="5"/>
  <c r="D50" i="5"/>
  <c r="D49" i="5"/>
  <c r="D48" i="5"/>
  <c r="F48" i="5" s="1"/>
  <c r="D45" i="5"/>
  <c r="F45" i="5" s="1"/>
  <c r="D44" i="5"/>
  <c r="F44" i="5" s="1"/>
  <c r="D43" i="5"/>
  <c r="D42" i="5"/>
  <c r="F42" i="5" s="1"/>
  <c r="D41" i="5"/>
  <c r="D40" i="5"/>
  <c r="F40" i="5" s="1"/>
  <c r="D39" i="5"/>
  <c r="F39" i="5" s="1"/>
  <c r="D34" i="5"/>
  <c r="F34" i="5" s="1"/>
  <c r="D33" i="5"/>
  <c r="F33" i="5" s="1"/>
  <c r="D32" i="5"/>
  <c r="F32" i="5" s="1"/>
  <c r="F239" i="4"/>
  <c r="F238" i="4"/>
  <c r="F237" i="4"/>
  <c r="F236" i="4"/>
  <c r="F235" i="4"/>
  <c r="F234" i="4"/>
  <c r="F233" i="4"/>
  <c r="D225" i="4"/>
  <c r="F225" i="4" s="1"/>
  <c r="D224" i="4"/>
  <c r="D226" i="4" s="1"/>
  <c r="F221" i="4"/>
  <c r="F222" i="4" s="1"/>
  <c r="D218" i="4"/>
  <c r="F218" i="4" s="1"/>
  <c r="D217" i="4"/>
  <c r="F217" i="4" s="1"/>
  <c r="D216" i="4"/>
  <c r="F216" i="4" s="1"/>
  <c r="D213" i="4"/>
  <c r="F213" i="4" s="1"/>
  <c r="D212" i="4"/>
  <c r="F212" i="4" s="1"/>
  <c r="D211" i="4"/>
  <c r="D210" i="4"/>
  <c r="D207" i="4"/>
  <c r="D206" i="4"/>
  <c r="D205" i="4"/>
  <c r="D204" i="4"/>
  <c r="D203" i="4"/>
  <c r="D202" i="4"/>
  <c r="D201" i="4"/>
  <c r="D200" i="4"/>
  <c r="D196" i="4"/>
  <c r="F196" i="4" s="1"/>
  <c r="D195" i="4"/>
  <c r="D197" i="4" s="1"/>
  <c r="D194" i="4"/>
  <c r="F186" i="4"/>
  <c r="F183" i="4"/>
  <c r="D180" i="4"/>
  <c r="D176" i="4"/>
  <c r="D175" i="4"/>
  <c r="D177" i="4" s="1"/>
  <c r="F172" i="4"/>
  <c r="F171" i="4"/>
  <c r="D168" i="4"/>
  <c r="D179" i="4" s="1"/>
  <c r="D167" i="4"/>
  <c r="D166" i="4"/>
  <c r="D165" i="4"/>
  <c r="F165" i="4" s="1"/>
  <c r="D162" i="4"/>
  <c r="D161" i="4"/>
  <c r="F161" i="4" s="1"/>
  <c r="D160" i="4"/>
  <c r="D159" i="4"/>
  <c r="D158" i="4"/>
  <c r="D157" i="4"/>
  <c r="D156" i="4"/>
  <c r="D153" i="4"/>
  <c r="F153" i="4" s="1"/>
  <c r="D152" i="4"/>
  <c r="D151" i="4"/>
  <c r="D150" i="4"/>
  <c r="F150" i="4" s="1"/>
  <c r="D149" i="4"/>
  <c r="D148" i="4"/>
  <c r="F148" i="4" s="1"/>
  <c r="D147" i="4"/>
  <c r="D142" i="4"/>
  <c r="D141" i="4"/>
  <c r="F141" i="4" s="1"/>
  <c r="D140" i="4"/>
  <c r="F129" i="4"/>
  <c r="D126" i="4"/>
  <c r="F126" i="4" s="1"/>
  <c r="D124" i="4"/>
  <c r="D122" i="4"/>
  <c r="F122" i="4" s="1"/>
  <c r="D121" i="4"/>
  <c r="D123" i="4" s="1"/>
  <c r="F118" i="4"/>
  <c r="F117" i="4"/>
  <c r="D114" i="4"/>
  <c r="D125" i="4" s="1"/>
  <c r="D113" i="4"/>
  <c r="D112" i="4"/>
  <c r="F112" i="4" s="1"/>
  <c r="D111" i="4"/>
  <c r="D108" i="4"/>
  <c r="D107" i="4"/>
  <c r="D106" i="4"/>
  <c r="D105" i="4"/>
  <c r="D104" i="4"/>
  <c r="F104" i="4" s="1"/>
  <c r="D103" i="4"/>
  <c r="F103" i="4" s="1"/>
  <c r="D102" i="4"/>
  <c r="F102" i="4" s="1"/>
  <c r="D99" i="4"/>
  <c r="D98" i="4"/>
  <c r="D97" i="4"/>
  <c r="D96" i="4"/>
  <c r="F96" i="4" s="1"/>
  <c r="D95" i="4"/>
  <c r="D94" i="4"/>
  <c r="F94" i="4" s="1"/>
  <c r="D93" i="4"/>
  <c r="D88" i="4"/>
  <c r="D87" i="4"/>
  <c r="D86" i="4"/>
  <c r="F79" i="4"/>
  <c r="F78" i="4"/>
  <c r="F185" i="4"/>
  <c r="F184" i="4"/>
  <c r="F75" i="4"/>
  <c r="D72" i="4"/>
  <c r="F72" i="4" s="1"/>
  <c r="D71" i="4"/>
  <c r="D68" i="4"/>
  <c r="D70" i="4" s="1"/>
  <c r="F70" i="4" s="1"/>
  <c r="D67" i="4"/>
  <c r="D69" i="4" s="1"/>
  <c r="F69" i="4" s="1"/>
  <c r="F64" i="4"/>
  <c r="F63" i="4"/>
  <c r="D60" i="4"/>
  <c r="D59" i="4"/>
  <c r="F59" i="4" s="1"/>
  <c r="D58" i="4"/>
  <c r="F58" i="4" s="1"/>
  <c r="D57" i="4"/>
  <c r="F57" i="4" s="1"/>
  <c r="D54" i="4"/>
  <c r="D53" i="4"/>
  <c r="F53" i="4" s="1"/>
  <c r="D52" i="4"/>
  <c r="D51" i="4"/>
  <c r="D50" i="4"/>
  <c r="F50" i="4" s="1"/>
  <c r="D49" i="4"/>
  <c r="F49" i="4" s="1"/>
  <c r="D48" i="4"/>
  <c r="F48" i="4" s="1"/>
  <c r="D45" i="4"/>
  <c r="F45" i="4" s="1"/>
  <c r="F98" i="4"/>
  <c r="D44" i="4"/>
  <c r="F44" i="4" s="1"/>
  <c r="D43" i="4"/>
  <c r="F43" i="4" s="1"/>
  <c r="D42" i="4"/>
  <c r="F42" i="4" s="1"/>
  <c r="D41" i="4"/>
  <c r="F41" i="4" s="1"/>
  <c r="D40" i="4"/>
  <c r="F40" i="4" s="1"/>
  <c r="D39" i="4"/>
  <c r="F39" i="4" s="1"/>
  <c r="D34" i="4"/>
  <c r="D33" i="4"/>
  <c r="F33" i="4" s="1"/>
  <c r="D32" i="4"/>
  <c r="F32" i="4" s="1"/>
  <c r="F239" i="2"/>
  <c r="F238" i="2"/>
  <c r="F237" i="2"/>
  <c r="F236" i="2"/>
  <c r="F235" i="2"/>
  <c r="F234" i="2"/>
  <c r="F233" i="2"/>
  <c r="D225" i="2"/>
  <c r="D224" i="2"/>
  <c r="D226" i="2" s="1"/>
  <c r="F221" i="2"/>
  <c r="F222" i="2" s="1"/>
  <c r="D218" i="2"/>
  <c r="D217" i="2"/>
  <c r="F217" i="2" s="1"/>
  <c r="D216" i="2"/>
  <c r="F216" i="2" s="1"/>
  <c r="D213" i="2"/>
  <c r="F213" i="2" s="1"/>
  <c r="D212" i="2"/>
  <c r="F212" i="2" s="1"/>
  <c r="D211" i="2"/>
  <c r="D210" i="2"/>
  <c r="D207" i="2"/>
  <c r="D206" i="2"/>
  <c r="D205" i="2"/>
  <c r="D204" i="2"/>
  <c r="D203" i="2"/>
  <c r="D202" i="2"/>
  <c r="D201" i="2"/>
  <c r="D200" i="2"/>
  <c r="D196" i="2"/>
  <c r="F196" i="2" s="1"/>
  <c r="D195" i="2"/>
  <c r="D194" i="2"/>
  <c r="F186" i="2"/>
  <c r="F183" i="2"/>
  <c r="D180" i="2"/>
  <c r="F180" i="2" s="1"/>
  <c r="D176" i="2"/>
  <c r="F176" i="2" s="1"/>
  <c r="D175" i="2"/>
  <c r="D177" i="2" s="1"/>
  <c r="F172" i="2"/>
  <c r="F171" i="2"/>
  <c r="D168" i="2"/>
  <c r="D167" i="2"/>
  <c r="D166" i="2"/>
  <c r="D165" i="2"/>
  <c r="D162" i="2"/>
  <c r="D161" i="2"/>
  <c r="D160" i="2"/>
  <c r="D159" i="2"/>
  <c r="D158" i="2"/>
  <c r="D157" i="2"/>
  <c r="D156" i="2"/>
  <c r="F156" i="2" s="1"/>
  <c r="D153" i="2"/>
  <c r="F153" i="2" s="1"/>
  <c r="D152" i="2"/>
  <c r="D151" i="2"/>
  <c r="D150" i="2"/>
  <c r="D149" i="2"/>
  <c r="D148" i="2"/>
  <c r="D147" i="2"/>
  <c r="D142" i="2"/>
  <c r="D141" i="2"/>
  <c r="D140" i="2"/>
  <c r="F129" i="2"/>
  <c r="D126" i="2"/>
  <c r="F126" i="2" s="1"/>
  <c r="D122" i="2"/>
  <c r="D124" i="2" s="1"/>
  <c r="D121" i="2"/>
  <c r="D123" i="2" s="1"/>
  <c r="F123" i="2" s="1"/>
  <c r="F118" i="2"/>
  <c r="F117" i="2"/>
  <c r="D114" i="2"/>
  <c r="D125" i="2" s="1"/>
  <c r="D113" i="2"/>
  <c r="D112" i="2"/>
  <c r="F112" i="2" s="1"/>
  <c r="D111" i="2"/>
  <c r="F111" i="2" s="1"/>
  <c r="D108" i="2"/>
  <c r="D107" i="2"/>
  <c r="F107" i="2" s="1"/>
  <c r="D106" i="2"/>
  <c r="D105" i="2"/>
  <c r="D104" i="2"/>
  <c r="D103" i="2"/>
  <c r="D102" i="2"/>
  <c r="D99" i="2"/>
  <c r="F99" i="2" s="1"/>
  <c r="D98" i="2"/>
  <c r="D97" i="2"/>
  <c r="D96" i="2"/>
  <c r="F96" i="2" s="1"/>
  <c r="D95" i="2"/>
  <c r="D94" i="2"/>
  <c r="D93" i="2"/>
  <c r="F93" i="2" s="1"/>
  <c r="D88" i="2"/>
  <c r="F88" i="2" s="1"/>
  <c r="D87" i="2"/>
  <c r="D89" i="2" s="1"/>
  <c r="D86" i="2"/>
  <c r="F79" i="2"/>
  <c r="F78" i="2"/>
  <c r="F185" i="2"/>
  <c r="F184" i="2"/>
  <c r="F75" i="2"/>
  <c r="D72" i="2"/>
  <c r="F72" i="2" s="1"/>
  <c r="D71" i="2"/>
  <c r="D68" i="2"/>
  <c r="F68" i="2" s="1"/>
  <c r="D67" i="2"/>
  <c r="D69" i="2" s="1"/>
  <c r="F69" i="2" s="1"/>
  <c r="F64" i="2"/>
  <c r="F63" i="2"/>
  <c r="D60" i="2"/>
  <c r="D59" i="2"/>
  <c r="F59" i="2" s="1"/>
  <c r="D58" i="2"/>
  <c r="D57" i="2"/>
  <c r="F57" i="2" s="1"/>
  <c r="D54" i="2"/>
  <c r="D53" i="2"/>
  <c r="F53" i="2" s="1"/>
  <c r="D52" i="2"/>
  <c r="D51" i="2"/>
  <c r="D50" i="2"/>
  <c r="D49" i="2"/>
  <c r="F49" i="2" s="1"/>
  <c r="D48" i="2"/>
  <c r="F48" i="2" s="1"/>
  <c r="D45" i="2"/>
  <c r="F45" i="2" s="1"/>
  <c r="D44" i="2"/>
  <c r="F44" i="2" s="1"/>
  <c r="D43" i="2"/>
  <c r="D42" i="2"/>
  <c r="F42" i="2" s="1"/>
  <c r="D41" i="2"/>
  <c r="F41" i="2" s="1"/>
  <c r="D40" i="2"/>
  <c r="F40" i="2" s="1"/>
  <c r="D39" i="2"/>
  <c r="F39" i="2" s="1"/>
  <c r="D34" i="2"/>
  <c r="F34" i="2" s="1"/>
  <c r="D33" i="2"/>
  <c r="D32" i="2"/>
  <c r="F32" i="2" s="1"/>
  <c r="F119" i="4" l="1"/>
  <c r="F65" i="5"/>
  <c r="F119" i="5"/>
  <c r="D197" i="5"/>
  <c r="F197" i="5" s="1"/>
  <c r="F142" i="5"/>
  <c r="D89" i="5"/>
  <c r="F89" i="5" s="1"/>
  <c r="F122" i="8"/>
  <c r="D89" i="8"/>
  <c r="D90" i="8" s="1"/>
  <c r="F90" i="8" s="1"/>
  <c r="F148" i="2"/>
  <c r="F140" i="4"/>
  <c r="F123" i="4"/>
  <c r="F111" i="4"/>
  <c r="F167" i="4"/>
  <c r="F219" i="4"/>
  <c r="F166" i="5"/>
  <c r="F200" i="5"/>
  <c r="F168" i="5"/>
  <c r="F173" i="8"/>
  <c r="F195" i="8"/>
  <c r="F177" i="8"/>
  <c r="F226" i="8"/>
  <c r="F121" i="8"/>
  <c r="F94" i="8"/>
  <c r="F131" i="8"/>
  <c r="F204" i="8"/>
  <c r="F168" i="8"/>
  <c r="F77" i="8"/>
  <c r="F68" i="8"/>
  <c r="F96" i="8"/>
  <c r="F141" i="8"/>
  <c r="F165" i="8"/>
  <c r="F225" i="8"/>
  <c r="F97" i="8"/>
  <c r="F211" i="8"/>
  <c r="F124" i="8"/>
  <c r="F93" i="8"/>
  <c r="F130" i="8"/>
  <c r="F113" i="8"/>
  <c r="F126" i="8"/>
  <c r="F156" i="5"/>
  <c r="F132" i="5"/>
  <c r="F133" i="5"/>
  <c r="F194" i="5"/>
  <c r="F98" i="5"/>
  <c r="F177" i="5"/>
  <c r="F141" i="5"/>
  <c r="F195" i="5"/>
  <c r="F161" i="5"/>
  <c r="F43" i="5"/>
  <c r="F53" i="5"/>
  <c r="F87" i="5"/>
  <c r="F165" i="5"/>
  <c r="F176" i="5"/>
  <c r="F51" i="4"/>
  <c r="F177" i="4"/>
  <c r="F93" i="4"/>
  <c r="F121" i="4"/>
  <c r="F226" i="4"/>
  <c r="F211" i="4"/>
  <c r="F124" i="4"/>
  <c r="F125" i="4"/>
  <c r="F197" i="4"/>
  <c r="F176" i="4"/>
  <c r="F51" i="2"/>
  <c r="F65" i="2"/>
  <c r="F86" i="2"/>
  <c r="F152" i="2"/>
  <c r="F225" i="2"/>
  <c r="F168" i="2"/>
  <c r="F187" i="2"/>
  <c r="F188" i="2" s="1"/>
  <c r="D35" i="2"/>
  <c r="F35" i="2" s="1"/>
  <c r="F102" i="2"/>
  <c r="F173" i="2"/>
  <c r="F204" i="2"/>
  <c r="F161" i="2"/>
  <c r="F195" i="2"/>
  <c r="F60" i="2"/>
  <c r="F94" i="2"/>
  <c r="F141" i="2"/>
  <c r="F201" i="2"/>
  <c r="F226" i="2"/>
  <c r="F240" i="5"/>
  <c r="F241" i="5" s="1"/>
  <c r="F54" i="5"/>
  <c r="F122" i="5"/>
  <c r="F140" i="5"/>
  <c r="F94" i="5"/>
  <c r="F107" i="5"/>
  <c r="F123" i="5"/>
  <c r="F203" i="5"/>
  <c r="F218" i="5"/>
  <c r="F219" i="5" s="1"/>
  <c r="F149" i="5"/>
  <c r="F111" i="5"/>
  <c r="F186" i="5"/>
  <c r="F188" i="5" s="1"/>
  <c r="F59" i="5"/>
  <c r="F61" i="5" s="1"/>
  <c r="F96" i="5"/>
  <c r="F124" i="5"/>
  <c r="F178" i="5"/>
  <c r="F97" i="5"/>
  <c r="F226" i="5"/>
  <c r="D35" i="5"/>
  <c r="F35" i="5" s="1"/>
  <c r="F49" i="5"/>
  <c r="F113" i="5"/>
  <c r="F130" i="5"/>
  <c r="F50" i="5"/>
  <c r="F147" i="5"/>
  <c r="F148" i="5"/>
  <c r="F41" i="5"/>
  <c r="F70" i="5"/>
  <c r="F121" i="5"/>
  <c r="F71" i="8"/>
  <c r="F179" i="8"/>
  <c r="F87" i="8"/>
  <c r="F125" i="8"/>
  <c r="F176" i="8"/>
  <c r="F161" i="8"/>
  <c r="F43" i="8"/>
  <c r="F46" i="8" s="1"/>
  <c r="D197" i="8"/>
  <c r="F197" i="8" s="1"/>
  <c r="F108" i="8"/>
  <c r="F132" i="8"/>
  <c r="F149" i="8"/>
  <c r="D178" i="8"/>
  <c r="F86" i="8"/>
  <c r="F98" i="8"/>
  <c r="F119" i="8"/>
  <c r="F107" i="8"/>
  <c r="F180" i="8"/>
  <c r="D123" i="8"/>
  <c r="F123" i="8" s="1"/>
  <c r="D143" i="8"/>
  <c r="D144" i="8" s="1"/>
  <c r="F144" i="8" s="1"/>
  <c r="F111" i="8"/>
  <c r="F156" i="8"/>
  <c r="F186" i="8"/>
  <c r="F188" i="8" s="1"/>
  <c r="F105" i="8"/>
  <c r="F159" i="8"/>
  <c r="F51" i="8"/>
  <c r="F52" i="8"/>
  <c r="F202" i="8"/>
  <c r="F206" i="8"/>
  <c r="F240" i="8"/>
  <c r="F241" i="8" s="1"/>
  <c r="F61" i="8"/>
  <c r="F104" i="8"/>
  <c r="F200" i="8"/>
  <c r="F219" i="8"/>
  <c r="D36" i="8"/>
  <c r="F36" i="8" s="1"/>
  <c r="F35" i="8"/>
  <c r="F167" i="8"/>
  <c r="F142" i="8"/>
  <c r="F210" i="8"/>
  <c r="F224" i="8"/>
  <c r="F33" i="8"/>
  <c r="F114" i="8"/>
  <c r="F67" i="8"/>
  <c r="F76" i="8"/>
  <c r="F95" i="8"/>
  <c r="F133" i="8"/>
  <c r="F88" i="8"/>
  <c r="F151" i="8"/>
  <c r="F158" i="8"/>
  <c r="F152" i="8"/>
  <c r="F175" i="8"/>
  <c r="F196" i="8"/>
  <c r="D36" i="5"/>
  <c r="F36" i="5" s="1"/>
  <c r="F51" i="5"/>
  <c r="F103" i="5"/>
  <c r="F105" i="5"/>
  <c r="F159" i="5"/>
  <c r="F125" i="5"/>
  <c r="F179" i="5"/>
  <c r="F71" i="5"/>
  <c r="F104" i="5"/>
  <c r="F201" i="5"/>
  <c r="F202" i="5"/>
  <c r="F167" i="5"/>
  <c r="F173" i="5"/>
  <c r="F210" i="5"/>
  <c r="F214" i="5" s="1"/>
  <c r="F224" i="5"/>
  <c r="F114" i="5"/>
  <c r="F143" i="5"/>
  <c r="F67" i="5"/>
  <c r="F76" i="5"/>
  <c r="F95" i="5"/>
  <c r="F206" i="5"/>
  <c r="F88" i="5"/>
  <c r="F151" i="5"/>
  <c r="F158" i="5"/>
  <c r="F68" i="5"/>
  <c r="F77" i="5"/>
  <c r="F152" i="5"/>
  <c r="F175" i="5"/>
  <c r="F196" i="5"/>
  <c r="F142" i="4"/>
  <c r="F168" i="4"/>
  <c r="F187" i="4"/>
  <c r="F188" i="4" s="1"/>
  <c r="F156" i="4"/>
  <c r="F173" i="4"/>
  <c r="F194" i="4"/>
  <c r="D35" i="4"/>
  <c r="F35" i="4" s="1"/>
  <c r="F60" i="4"/>
  <c r="F61" i="4" s="1"/>
  <c r="F86" i="4"/>
  <c r="F99" i="4"/>
  <c r="F147" i="4"/>
  <c r="F87" i="4"/>
  <c r="F113" i="4"/>
  <c r="F130" i="4"/>
  <c r="D89" i="4"/>
  <c r="D90" i="4" s="1"/>
  <c r="F90" i="4" s="1"/>
  <c r="F114" i="4"/>
  <c r="F131" i="4"/>
  <c r="F132" i="4"/>
  <c r="D178" i="4"/>
  <c r="F178" i="4" s="1"/>
  <c r="F200" i="4"/>
  <c r="F204" i="4"/>
  <c r="F133" i="4"/>
  <c r="F149" i="4"/>
  <c r="F240" i="4"/>
  <c r="F241" i="4" s="1"/>
  <c r="F97" i="4"/>
  <c r="F54" i="4"/>
  <c r="F107" i="4"/>
  <c r="F166" i="4"/>
  <c r="F180" i="4"/>
  <c r="F203" i="4"/>
  <c r="F108" i="4"/>
  <c r="F46" i="4"/>
  <c r="F65" i="4"/>
  <c r="F89" i="4"/>
  <c r="F105" i="4"/>
  <c r="F159" i="4"/>
  <c r="F201" i="4"/>
  <c r="F202" i="4"/>
  <c r="D143" i="4"/>
  <c r="F162" i="4"/>
  <c r="F210" i="4"/>
  <c r="F224" i="4"/>
  <c r="F67" i="4"/>
  <c r="F76" i="4"/>
  <c r="F95" i="4"/>
  <c r="F206" i="4"/>
  <c r="F34" i="4"/>
  <c r="F88" i="4"/>
  <c r="F151" i="4"/>
  <c r="F158" i="4"/>
  <c r="F68" i="4"/>
  <c r="F77" i="4"/>
  <c r="F152" i="4"/>
  <c r="F175" i="4"/>
  <c r="F195" i="4"/>
  <c r="F124" i="2"/>
  <c r="F240" i="2"/>
  <c r="F241" i="2" s="1"/>
  <c r="F167" i="2"/>
  <c r="F211" i="2"/>
  <c r="F165" i="2"/>
  <c r="F119" i="2"/>
  <c r="F177" i="2"/>
  <c r="F218" i="2"/>
  <c r="F219" i="2" s="1"/>
  <c r="F50" i="2"/>
  <c r="F147" i="2"/>
  <c r="F58" i="2"/>
  <c r="F61" i="2" s="1"/>
  <c r="F175" i="2"/>
  <c r="D197" i="2"/>
  <c r="F197" i="2" s="1"/>
  <c r="F194" i="2"/>
  <c r="F98" i="2"/>
  <c r="F132" i="2"/>
  <c r="F200" i="2"/>
  <c r="F130" i="2"/>
  <c r="F133" i="2"/>
  <c r="D178" i="2"/>
  <c r="F178" i="2" s="1"/>
  <c r="F113" i="2"/>
  <c r="F125" i="2"/>
  <c r="F149" i="2"/>
  <c r="D143" i="2"/>
  <c r="D144" i="2" s="1"/>
  <c r="F144" i="2" s="1"/>
  <c r="F140" i="2"/>
  <c r="F150" i="2"/>
  <c r="F131" i="2"/>
  <c r="F108" i="2"/>
  <c r="F121" i="2"/>
  <c r="F166" i="2"/>
  <c r="F203" i="2"/>
  <c r="F89" i="2"/>
  <c r="D90" i="2"/>
  <c r="F90" i="2" s="1"/>
  <c r="F97" i="2"/>
  <c r="F105" i="2"/>
  <c r="F159" i="2"/>
  <c r="F103" i="2"/>
  <c r="F104" i="2"/>
  <c r="F202" i="2"/>
  <c r="F122" i="2"/>
  <c r="F142" i="2"/>
  <c r="F87" i="2"/>
  <c r="D179" i="2"/>
  <c r="F224" i="2"/>
  <c r="F33" i="2"/>
  <c r="F114" i="2"/>
  <c r="F67" i="2"/>
  <c r="F76" i="2"/>
  <c r="F95" i="2"/>
  <c r="F206" i="2"/>
  <c r="F151" i="2"/>
  <c r="F158" i="2"/>
  <c r="F43" i="2"/>
  <c r="F46" i="2" s="1"/>
  <c r="D70" i="2"/>
  <c r="F70" i="2" s="1"/>
  <c r="F77" i="2"/>
  <c r="D248" i="5"/>
  <c r="F248" i="5" s="1"/>
  <c r="D248" i="4"/>
  <c r="F248" i="4" s="1"/>
  <c r="D248" i="2"/>
  <c r="F248" i="2" s="1"/>
  <c r="D248" i="8"/>
  <c r="D245" i="2"/>
  <c r="F11" i="8"/>
  <c r="D10" i="8"/>
  <c r="F10" i="8" s="1"/>
  <c r="D9" i="8"/>
  <c r="F9" i="8" s="1"/>
  <c r="F11" i="5"/>
  <c r="D10" i="5"/>
  <c r="F10" i="5" s="1"/>
  <c r="D9" i="5"/>
  <c r="F9" i="5" s="1"/>
  <c r="F11" i="4"/>
  <c r="D10" i="4"/>
  <c r="F10" i="4" s="1"/>
  <c r="D9" i="4"/>
  <c r="F9" i="4" s="1"/>
  <c r="F169" i="4" l="1"/>
  <c r="D90" i="5"/>
  <c r="F90" i="5" s="1"/>
  <c r="F46" i="5"/>
  <c r="F55" i="8"/>
  <c r="F134" i="8"/>
  <c r="F89" i="8"/>
  <c r="F80" i="8"/>
  <c r="F227" i="2"/>
  <c r="F227" i="4"/>
  <c r="F134" i="4"/>
  <c r="F127" i="4"/>
  <c r="F134" i="5"/>
  <c r="F198" i="5"/>
  <c r="F145" i="5"/>
  <c r="F227" i="5"/>
  <c r="F169" i="5"/>
  <c r="F214" i="8"/>
  <c r="F115" i="8"/>
  <c r="F127" i="8"/>
  <c r="F73" i="8"/>
  <c r="F81" i="8" s="1"/>
  <c r="F178" i="8"/>
  <c r="F181" i="8" s="1"/>
  <c r="F100" i="8"/>
  <c r="F91" i="8"/>
  <c r="F37" i="8"/>
  <c r="F227" i="8"/>
  <c r="F169" i="8"/>
  <c r="F37" i="5"/>
  <c r="F115" i="5"/>
  <c r="F100" i="5"/>
  <c r="F91" i="4"/>
  <c r="F100" i="4"/>
  <c r="F198" i="4"/>
  <c r="F71" i="4"/>
  <c r="F73" i="4" s="1"/>
  <c r="F214" i="4"/>
  <c r="F179" i="4"/>
  <c r="F181" i="4" s="1"/>
  <c r="D36" i="2"/>
  <c r="F36" i="2" s="1"/>
  <c r="F37" i="2" s="1"/>
  <c r="F169" i="2"/>
  <c r="F154" i="2"/>
  <c r="F100" i="2"/>
  <c r="F108" i="5"/>
  <c r="F157" i="5"/>
  <c r="F127" i="5"/>
  <c r="F80" i="5"/>
  <c r="F207" i="5"/>
  <c r="F162" i="5"/>
  <c r="F154" i="5"/>
  <c r="F91" i="5"/>
  <c r="F54" i="8"/>
  <c r="F162" i="8"/>
  <c r="F198" i="8"/>
  <c r="F154" i="8"/>
  <c r="F143" i="8"/>
  <c r="F145" i="8" s="1"/>
  <c r="F157" i="8"/>
  <c r="F207" i="8"/>
  <c r="F205" i="8"/>
  <c r="F160" i="8"/>
  <c r="F106" i="8"/>
  <c r="F109" i="8" s="1"/>
  <c r="F160" i="5"/>
  <c r="F52" i="5"/>
  <c r="F55" i="5" s="1"/>
  <c r="F106" i="5"/>
  <c r="F109" i="5" s="1"/>
  <c r="F73" i="5"/>
  <c r="F181" i="5"/>
  <c r="F205" i="5"/>
  <c r="F115" i="4"/>
  <c r="D36" i="4"/>
  <c r="F36" i="4" s="1"/>
  <c r="F37" i="4" s="1"/>
  <c r="F80" i="4"/>
  <c r="F154" i="4"/>
  <c r="D144" i="4"/>
  <c r="F144" i="4" s="1"/>
  <c r="F143" i="4"/>
  <c r="F207" i="4"/>
  <c r="F160" i="4"/>
  <c r="F106" i="4"/>
  <c r="F109" i="4" s="1"/>
  <c r="F205" i="4"/>
  <c r="F157" i="4"/>
  <c r="F52" i="4"/>
  <c r="F55" i="4" s="1"/>
  <c r="F134" i="2"/>
  <c r="F115" i="2"/>
  <c r="F71" i="2"/>
  <c r="F73" i="2" s="1"/>
  <c r="F143" i="2"/>
  <c r="F145" i="2" s="1"/>
  <c r="F198" i="2"/>
  <c r="F54" i="2"/>
  <c r="F127" i="2"/>
  <c r="F179" i="2"/>
  <c r="F181" i="2" s="1"/>
  <c r="F80" i="2"/>
  <c r="F162" i="2"/>
  <c r="F91" i="2"/>
  <c r="F106" i="2"/>
  <c r="F109" i="2" s="1"/>
  <c r="F160" i="2"/>
  <c r="F210" i="2"/>
  <c r="F214" i="2" s="1"/>
  <c r="F207" i="2"/>
  <c r="F157" i="2"/>
  <c r="F52" i="2"/>
  <c r="F55" i="2" s="1"/>
  <c r="F205" i="2"/>
  <c r="B273" i="5"/>
  <c r="B273" i="4"/>
  <c r="B273" i="8"/>
  <c r="B273" i="2"/>
  <c r="F259" i="8"/>
  <c r="F258" i="8"/>
  <c r="F257" i="8"/>
  <c r="F256" i="8"/>
  <c r="F255" i="8"/>
  <c r="F260" i="5"/>
  <c r="F259" i="5"/>
  <c r="F258" i="5"/>
  <c r="F257" i="5"/>
  <c r="F256" i="5"/>
  <c r="F255" i="5"/>
  <c r="F260" i="4"/>
  <c r="F259" i="4"/>
  <c r="F258" i="4"/>
  <c r="F257" i="4"/>
  <c r="F256" i="4"/>
  <c r="F255" i="4"/>
  <c r="F260" i="2"/>
  <c r="F259" i="2"/>
  <c r="F258" i="2"/>
  <c r="F257" i="2"/>
  <c r="F256" i="2"/>
  <c r="F255" i="2"/>
  <c r="F135" i="8" l="1"/>
  <c r="F208" i="2"/>
  <c r="F228" i="2" s="1"/>
  <c r="F135" i="2"/>
  <c r="F145" i="4"/>
  <c r="F135" i="4"/>
  <c r="F262" i="8"/>
  <c r="C273" i="8" s="1"/>
  <c r="F208" i="8"/>
  <c r="F228" i="8" s="1"/>
  <c r="F208" i="5"/>
  <c r="F228" i="5" s="1"/>
  <c r="F81" i="5"/>
  <c r="F262" i="5"/>
  <c r="C273" i="5" s="1"/>
  <c r="F163" i="4"/>
  <c r="F81" i="4"/>
  <c r="F208" i="4"/>
  <c r="F228" i="4" s="1"/>
  <c r="F135" i="5"/>
  <c r="F163" i="5"/>
  <c r="F189" i="5" s="1"/>
  <c r="F163" i="8"/>
  <c r="F189" i="8" s="1"/>
  <c r="F81" i="2"/>
  <c r="F163" i="2"/>
  <c r="F189" i="2" s="1"/>
  <c r="F262" i="4"/>
  <c r="C273" i="4" s="1"/>
  <c r="F262" i="2"/>
  <c r="C273" i="2" s="1"/>
  <c r="D10" i="2"/>
  <c r="D9" i="2"/>
  <c r="B272" i="2"/>
  <c r="B271" i="2"/>
  <c r="B270" i="2"/>
  <c r="B269" i="2"/>
  <c r="B268" i="2"/>
  <c r="B272" i="4"/>
  <c r="B271" i="4"/>
  <c r="B270" i="4"/>
  <c r="B269" i="4"/>
  <c r="B268" i="4"/>
  <c r="B272" i="5"/>
  <c r="B271" i="5"/>
  <c r="B270" i="5"/>
  <c r="B269" i="5"/>
  <c r="B268" i="5"/>
  <c r="B272" i="8"/>
  <c r="B271" i="8"/>
  <c r="B270" i="8"/>
  <c r="B268" i="8"/>
  <c r="B269" i="8"/>
  <c r="F242" i="5" l="1"/>
  <c r="C271" i="5" s="1"/>
  <c r="F189" i="4"/>
  <c r="F242" i="4" s="1"/>
  <c r="C271" i="4" s="1"/>
  <c r="F242" i="8"/>
  <c r="C271" i="8" s="1"/>
  <c r="F242" i="2"/>
  <c r="C271" i="2" s="1"/>
  <c r="D23" i="8"/>
  <c r="F23" i="8" s="1"/>
  <c r="D24" i="8"/>
  <c r="F24" i="8" s="1"/>
  <c r="F252" i="8"/>
  <c r="F251" i="8"/>
  <c r="F250" i="8"/>
  <c r="F249" i="8"/>
  <c r="F248" i="8"/>
  <c r="F247" i="8"/>
  <c r="F246" i="8"/>
  <c r="D245" i="8"/>
  <c r="F245" i="8" s="1"/>
  <c r="D244" i="8"/>
  <c r="F244" i="8" s="1"/>
  <c r="F26" i="8"/>
  <c r="F22" i="8"/>
  <c r="F21" i="8"/>
  <c r="F20" i="8"/>
  <c r="F19" i="8"/>
  <c r="F18" i="8"/>
  <c r="F17" i="8"/>
  <c r="F16" i="8"/>
  <c r="F15" i="8"/>
  <c r="D14" i="8"/>
  <c r="F14" i="8" s="1"/>
  <c r="F6" i="8"/>
  <c r="F5" i="8"/>
  <c r="D25" i="5"/>
  <c r="F25" i="5" s="1"/>
  <c r="F252" i="5"/>
  <c r="F251" i="5"/>
  <c r="F250" i="5"/>
  <c r="F249" i="5"/>
  <c r="F247" i="5"/>
  <c r="F246" i="5"/>
  <c r="D245" i="5"/>
  <c r="F245" i="5" s="1"/>
  <c r="D244" i="5"/>
  <c r="F244" i="5" s="1"/>
  <c r="F26" i="5"/>
  <c r="F24" i="5"/>
  <c r="F23" i="5"/>
  <c r="F22" i="5"/>
  <c r="F21" i="5"/>
  <c r="F20" i="5"/>
  <c r="F19" i="5"/>
  <c r="F18" i="5"/>
  <c r="F17" i="5"/>
  <c r="F16" i="5"/>
  <c r="F15" i="5"/>
  <c r="D14" i="5"/>
  <c r="F14" i="5" s="1"/>
  <c r="F6" i="5"/>
  <c r="F5" i="5"/>
  <c r="D25" i="4"/>
  <c r="F25" i="4" s="1"/>
  <c r="F252" i="4"/>
  <c r="F251" i="4"/>
  <c r="F250" i="4"/>
  <c r="F249" i="4"/>
  <c r="F247" i="4"/>
  <c r="F246" i="4"/>
  <c r="D245" i="4"/>
  <c r="F245" i="4" s="1"/>
  <c r="D244" i="4"/>
  <c r="F244" i="4" s="1"/>
  <c r="F26" i="4"/>
  <c r="F24" i="4"/>
  <c r="F23" i="4"/>
  <c r="F22" i="4"/>
  <c r="F21" i="4"/>
  <c r="F20" i="4"/>
  <c r="F19" i="4"/>
  <c r="F18" i="4"/>
  <c r="F17" i="4"/>
  <c r="F16" i="4"/>
  <c r="F15" i="4"/>
  <c r="D14" i="4"/>
  <c r="F14" i="4" s="1"/>
  <c r="F6" i="4"/>
  <c r="F5" i="4"/>
  <c r="D23" i="2"/>
  <c r="D25" i="2" s="1"/>
  <c r="F24" i="2"/>
  <c r="F253" i="4" l="1"/>
  <c r="C272" i="4" s="1"/>
  <c r="F7" i="5"/>
  <c r="F7" i="8"/>
  <c r="F7" i="4"/>
  <c r="D25" i="8"/>
  <c r="F25" i="8" s="1"/>
  <c r="F27" i="8" s="1"/>
  <c r="C270" i="8" s="1"/>
  <c r="F12" i="8"/>
  <c r="F253" i="8"/>
  <c r="C272" i="8" s="1"/>
  <c r="F27" i="5"/>
  <c r="C270" i="5" s="1"/>
  <c r="F253" i="5"/>
  <c r="C272" i="5" s="1"/>
  <c r="F12" i="5"/>
  <c r="F27" i="4"/>
  <c r="C270" i="4" s="1"/>
  <c r="F12" i="4"/>
  <c r="F23" i="2"/>
  <c r="F252" i="2"/>
  <c r="F251" i="2"/>
  <c r="F250" i="2"/>
  <c r="F249" i="2"/>
  <c r="F247" i="2"/>
  <c r="F246" i="2"/>
  <c r="F245" i="2"/>
  <c r="D244" i="2"/>
  <c r="F244" i="2" s="1"/>
  <c r="F26" i="2"/>
  <c r="F22" i="2"/>
  <c r="F21" i="2"/>
  <c r="F20" i="2"/>
  <c r="F19" i="2"/>
  <c r="F18" i="2"/>
  <c r="F17" i="2"/>
  <c r="F16" i="2"/>
  <c r="F15" i="2"/>
  <c r="D14" i="2"/>
  <c r="F14" i="2" s="1"/>
  <c r="F11" i="2"/>
  <c r="F10" i="2"/>
  <c r="F9" i="2"/>
  <c r="F6" i="2"/>
  <c r="F5" i="2"/>
  <c r="F263" i="4" l="1"/>
  <c r="F263" i="5"/>
  <c r="F263" i="8"/>
  <c r="C268" i="4"/>
  <c r="C268" i="5"/>
  <c r="C268" i="8"/>
  <c r="C274" i="8" s="1"/>
  <c r="C269" i="5"/>
  <c r="C269" i="4"/>
  <c r="C269" i="8"/>
  <c r="F25" i="2"/>
  <c r="F27" i="2" s="1"/>
  <c r="C270" i="2" s="1"/>
  <c r="F7" i="2"/>
  <c r="F253" i="2"/>
  <c r="C272" i="2" s="1"/>
  <c r="F12" i="2"/>
  <c r="C269" i="2" s="1"/>
  <c r="F263" i="2" l="1"/>
  <c r="C268" i="2"/>
  <c r="C274" i="2" s="1"/>
  <c r="C274" i="5"/>
  <c r="C274" i="4"/>
  <c r="D269" i="4" s="1"/>
  <c r="D269" i="8" l="1"/>
  <c r="D268" i="8"/>
  <c r="D274" i="5"/>
  <c r="D273" i="5"/>
  <c r="D272" i="5"/>
  <c r="D270" i="5"/>
  <c r="D268" i="5"/>
  <c r="D271" i="5"/>
  <c r="D269" i="5"/>
  <c r="D274" i="4"/>
  <c r="D270" i="4"/>
  <c r="D272" i="4"/>
  <c r="D271" i="4"/>
  <c r="D273" i="4"/>
  <c r="D268" i="4"/>
  <c r="D272" i="8"/>
  <c r="D274" i="8"/>
  <c r="D273" i="8"/>
  <c r="D271" i="8"/>
  <c r="D270" i="8"/>
  <c r="D271" i="2" l="1"/>
  <c r="D273" i="2"/>
  <c r="D272" i="2"/>
  <c r="D270" i="2"/>
  <c r="D274" i="2"/>
  <c r="D268" i="2"/>
  <c r="D269" i="2"/>
</calcChain>
</file>

<file path=xl/sharedStrings.xml><?xml version="1.0" encoding="utf-8"?>
<sst xmlns="http://schemas.openxmlformats.org/spreadsheetml/2006/main" count="3359" uniqueCount="253">
  <si>
    <t>N°</t>
  </si>
  <si>
    <t>DÉSIGNATIONS</t>
  </si>
  <si>
    <t>UNITÉ</t>
  </si>
  <si>
    <t>QTE</t>
  </si>
  <si>
    <t>PRIX UNITAIRE</t>
  </si>
  <si>
    <t>MONTANT</t>
  </si>
  <si>
    <t>I</t>
  </si>
  <si>
    <t>FF</t>
  </si>
  <si>
    <t>Sous total I</t>
  </si>
  <si>
    <t>II</t>
  </si>
  <si>
    <t>Sous total II</t>
  </si>
  <si>
    <t>III</t>
  </si>
  <si>
    <t>U</t>
  </si>
  <si>
    <t>ml</t>
  </si>
  <si>
    <t>Ml</t>
  </si>
  <si>
    <t>IV</t>
  </si>
  <si>
    <t>Réseau de distribution</t>
  </si>
  <si>
    <t>Clôture et Annexe</t>
  </si>
  <si>
    <t>Sous-total V</t>
  </si>
  <si>
    <t>Mise en œuvre du PGES</t>
  </si>
  <si>
    <t>TOTAL GENERAL HT</t>
  </si>
  <si>
    <t>COUT PAR HA</t>
  </si>
  <si>
    <t>m3</t>
  </si>
  <si>
    <t>Ens</t>
  </si>
  <si>
    <t>Reseau de circulation d'emprise 3 m avec revetement lateritique de 20 cm avec fossé des deux cotés y compris toute sujetion</t>
  </si>
  <si>
    <t>(FCFA)</t>
  </si>
  <si>
    <t>Installation et replis du chantier</t>
  </si>
  <si>
    <t>Préparation du terrain et implantation des ouvrages y compris abattage des arbres et débroussaillage et élaboration des plans d'exécutions et de récolements</t>
  </si>
  <si>
    <t>Ha</t>
  </si>
  <si>
    <t>F/P de grillage parck de maille 5cm et de diamètre de fil 2,5 mm, h=2 m y compris toutes sujétions</t>
  </si>
  <si>
    <t>Fouilles en rigole pour maçonnerie de soubassement</t>
  </si>
  <si>
    <t>F/P de portail métallique en grille (tube carré 25) de 3x2,00m avec antirouille et peinture à huile couleur verte pour le PM</t>
  </si>
  <si>
    <t>F/P de portail métallique pleine de 4x2,00 m avec anti-rouille et peinture à huile couleur verte pour le CRR</t>
  </si>
  <si>
    <t>F/P et pose de panneaux d'identité du projet y compris toutes sujétions</t>
  </si>
  <si>
    <r>
      <t>Fourniture et pose d'un château d'eau de 30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de capacité et de 06 m de hauteur sous radier y compris les raccordements aux forages et au réseau de distribution</t>
    </r>
  </si>
  <si>
    <t>DEVIS QUANTITATIF ET ESTIMATIF DU CRR DE DOUMBA</t>
  </si>
  <si>
    <t>Fourniture et pose de la conduite de refoulement en PE DN63 PN16 y compris lit de pose toutes sujétions de pose</t>
  </si>
  <si>
    <t>Exécution de tranchées de profondeur minimal 60 cm pour pose de tuyau PVC en terrain de toute nature y compris piquetage du tracé, établissement des profils, déblai et nivellement meuble et compactage</t>
  </si>
  <si>
    <t xml:space="preserve">F/P de tuyau PVC90mm - PN6 pour réseau y compris accessoires de pose (tés, coudes, manchons, réducteurs, plaques pleines, bouchons) , lit de pose de 10cm en sable ,grille avertisseur et toutes sujétions </t>
  </si>
  <si>
    <t>Exécution de tranchées de profondeur minimal 50 cm pour pose de tuyau PE 63 en terrain de toute nature y compris piquetage du tracé, établissement des profils, déblai et nivellement meuble et compactage</t>
  </si>
  <si>
    <t xml:space="preserve">F/P de tuyau PVC110mm - PN6 pour réseau y compris accessoires de pose (tés, coudes, manchons, réducteurs, plaques pleines, bouchons) , lit de pose de 10cm en sable ,grille avertisseur et toutes sujétions </t>
  </si>
  <si>
    <t xml:space="preserve">F/P de tuyau PVC63mm - PN6 pour réseau y compris accessoires de pose (tés, coudes, manchons, réducteurs, plaques pleines, bouchons) , lit de pose de 10cm en sable ,grille avertisseur et toutes sujétions </t>
  </si>
  <si>
    <t>F/Vannes papillon DN 110 dans un regard en Béton ordinaire dosé 300 Kg/m3</t>
  </si>
  <si>
    <t>F/Vannes papillon DN 90 dans un regard en Béton ordinaire dosé 300 Kg/m4</t>
  </si>
  <si>
    <t>F/P Vannes papillon DN 63 dans un regard en Béton ordinaire dosé 300 Kg/m3</t>
  </si>
  <si>
    <t xml:space="preserve">F/P de bouche d'irrigation double en PVC PN6 DN40 comprenant :Colonne de 1 m,manchon;bouchon,Té,coude </t>
  </si>
  <si>
    <t xml:space="preserve">F/P de bouche d'irrigation simple en PVC PN6 DN40 comprenant :Colonne de 1 m,manchon;bouchon,Té,coude </t>
  </si>
  <si>
    <r>
      <t>Exécution de sous-bassin de 1,5 m</t>
    </r>
    <r>
      <rPr>
        <vertAlign val="superscript"/>
        <sz val="10"/>
        <rFont val="Arial"/>
        <family val="2"/>
      </rPr>
      <t xml:space="preserve">3 </t>
    </r>
    <r>
      <rPr>
        <sz val="10"/>
        <rFont val="Arial"/>
        <family val="2"/>
      </rPr>
      <t xml:space="preserve">en béton armé avec un radier de 10 cm en béton armé dosé à 350 kg/m3 y compris enduit étanche avec ajout de sikhalie, tuyauterie d'alimentation en Galva diam 32 et toutes sujétions </t>
    </r>
  </si>
  <si>
    <t>F/P de cornière 50x50x5mm de hauteur 2 m avec anti rouille tous les 3m y compris fouille et gros béton de scellement conformément aux indications des plans</t>
  </si>
  <si>
    <t>Fourniture des arrosoirs plastiques de 10 à 15 ml</t>
  </si>
  <si>
    <t>Fourniture de raccord 26 50 ml</t>
  </si>
  <si>
    <t>u</t>
  </si>
  <si>
    <t>Robinet de puisage  de 0,5l/s y compris toutes sujetions de pose et de raccordments</t>
  </si>
  <si>
    <t>DEVIS QUANTITATIF ET ESTIMATIF DU CRR DE KEKAN</t>
  </si>
  <si>
    <t>DEVIS QUANTITATIF ET ESTIMATIF DU CRR DE KOULA</t>
  </si>
  <si>
    <t>DEVIS QUANTITATIF ET ESTIMATIF DU CRR DE SIRAKOROLA</t>
  </si>
  <si>
    <t>Sous-total III</t>
  </si>
  <si>
    <t>V</t>
  </si>
  <si>
    <t>Designation</t>
  </si>
  <si>
    <t>Cout</t>
  </si>
  <si>
    <t>Part (%)</t>
  </si>
  <si>
    <t>Travaux preliminaires</t>
  </si>
  <si>
    <t>VI</t>
  </si>
  <si>
    <t>Total</t>
  </si>
  <si>
    <t>Information sensibilisation des populations</t>
  </si>
  <si>
    <t xml:space="preserve">Unité </t>
  </si>
  <si>
    <t>Plantation d’arbres et de bonification (achat, trouaison et protection des plantes)</t>
  </si>
  <si>
    <t>Plants</t>
  </si>
  <si>
    <t>Dotation des travailleurs en EPI (10 ouvriers x 10 kits +5 kits pour les visiteurs et personnel de transit</t>
  </si>
  <si>
    <t>Unité</t>
  </si>
  <si>
    <t>IEC sur le VIH/MST/IST VBG/EAS/HS (préservatifs, guide, animation)</t>
  </si>
  <si>
    <t>Formation du comité de gestion du PM</t>
  </si>
  <si>
    <t>Dotation petit lot d’équipement (arrosoir, pioches, pels etc..)</t>
  </si>
  <si>
    <t>Forfait</t>
  </si>
  <si>
    <t>Suivi des mesures environnementales services techniques (transports+ perdiems)</t>
  </si>
  <si>
    <t>Visite</t>
  </si>
  <si>
    <t>Sous-total VI</t>
  </si>
  <si>
    <t>C</t>
  </si>
  <si>
    <t>SALLE DE REUNION</t>
  </si>
  <si>
    <t xml:space="preserve">N°  </t>
  </si>
  <si>
    <t xml:space="preserve">DESIGNATION DES TRAVAUX </t>
  </si>
  <si>
    <t xml:space="preserve">Unités </t>
  </si>
  <si>
    <t xml:space="preserve">Quantités </t>
  </si>
  <si>
    <t xml:space="preserve">PU (F.CFA) </t>
  </si>
  <si>
    <t xml:space="preserve">Montants (F.CFA) </t>
  </si>
  <si>
    <t xml:space="preserve">I </t>
  </si>
  <si>
    <t xml:space="preserve"> TERRASSEMENT </t>
  </si>
  <si>
    <t xml:space="preserve"> </t>
  </si>
  <si>
    <t xml:space="preserve">  </t>
  </si>
  <si>
    <t xml:space="preserve">1.1 </t>
  </si>
  <si>
    <t>Préparation du terrain y compris implantation</t>
  </si>
  <si>
    <t xml:space="preserve">1.2 </t>
  </si>
  <si>
    <t>Fouilles en rigole</t>
  </si>
  <si>
    <t xml:space="preserve">1.3 </t>
  </si>
  <si>
    <t xml:space="preserve">Fouilles sous semelle </t>
  </si>
  <si>
    <t xml:space="preserve">1.4 </t>
  </si>
  <si>
    <t xml:space="preserve">Remblais provenant des fouilles </t>
  </si>
  <si>
    <t xml:space="preserve">1.5 </t>
  </si>
  <si>
    <t>Remblai d'apport compacté</t>
  </si>
  <si>
    <t xml:space="preserve">Sous total I </t>
  </si>
  <si>
    <t xml:space="preserve">II </t>
  </si>
  <si>
    <t xml:space="preserve">BÉTON - MAÇONNERIE EN FONDATION  </t>
  </si>
  <si>
    <t xml:space="preserve">2.1 </t>
  </si>
  <si>
    <t>Béton de propreté ep= 5 cm dosé à 150 kg/m3</t>
  </si>
  <si>
    <t xml:space="preserve">2.2 </t>
  </si>
  <si>
    <t xml:space="preserve">BA pour semelle  dosé à 350kg/m3 </t>
  </si>
  <si>
    <t xml:space="preserve">2.3 </t>
  </si>
  <si>
    <t xml:space="preserve">B.A. pour Poteau en fondation dosé à 350kg/m3 </t>
  </si>
  <si>
    <t xml:space="preserve">2.4 </t>
  </si>
  <si>
    <t>Maçonnerie d'agglos plein de 20 cm pour soubassement</t>
  </si>
  <si>
    <t xml:space="preserve">2.5 </t>
  </si>
  <si>
    <t>B.A. pour Longrine  dosé à 350kg/m3</t>
  </si>
  <si>
    <t xml:space="preserve">2.6 </t>
  </si>
  <si>
    <t>Béton banché pour perron d'accès et rampes</t>
  </si>
  <si>
    <t xml:space="preserve">2.7 </t>
  </si>
  <si>
    <t>Béton de Forme legerement 12cm dosé à 350kg/m3</t>
  </si>
  <si>
    <t xml:space="preserve">Sous total II </t>
  </si>
  <si>
    <t xml:space="preserve">III </t>
  </si>
  <si>
    <t xml:space="preserve">BÉTON - MAÇONNERIE EN ELEVATION </t>
  </si>
  <si>
    <t xml:space="preserve">3.1 </t>
  </si>
  <si>
    <t xml:space="preserve">Maçonnerie d'agglos creux </t>
  </si>
  <si>
    <t>3.2</t>
  </si>
  <si>
    <t>B.A. pour Poteau dosé à 350kg/m3</t>
  </si>
  <si>
    <t>3.3</t>
  </si>
  <si>
    <t>B.A. pour Chaînage allège dosé à 350kg/m3</t>
  </si>
  <si>
    <t>3.4</t>
  </si>
  <si>
    <t>B.A. pour Chaînage linteau dosé à 350kg/m3</t>
  </si>
  <si>
    <t>3.5</t>
  </si>
  <si>
    <t>3.6</t>
  </si>
  <si>
    <t>B.A. pour Chaînage haut dosé à 350kg/m3</t>
  </si>
  <si>
    <t>3.7</t>
  </si>
  <si>
    <t>B.A. pour revers d'eau dosé à 350kg/m3</t>
  </si>
  <si>
    <t xml:space="preserve">Sous total III </t>
  </si>
  <si>
    <t xml:space="preserve">IV </t>
  </si>
  <si>
    <t xml:space="preserve">COUVERTURE </t>
  </si>
  <si>
    <t xml:space="preserve">4.1 </t>
  </si>
  <si>
    <t xml:space="preserve">F/P de couverture en tôle bac Galva 60/100ème y compris toutes suggestions </t>
  </si>
  <si>
    <t xml:space="preserve">4.2 </t>
  </si>
  <si>
    <t>F/P de Traverse en IPN 140 y compris peinture antirouille</t>
  </si>
  <si>
    <t xml:space="preserve">4.3 </t>
  </si>
  <si>
    <t>F/P panne en cornière 60 avec attache panne y compris peinture antirouille</t>
  </si>
  <si>
    <t xml:space="preserve">4.4 </t>
  </si>
  <si>
    <t>F/P de faux plafond 10mm</t>
  </si>
  <si>
    <t xml:space="preserve">Sous total IV </t>
  </si>
  <si>
    <t xml:space="preserve">V </t>
  </si>
  <si>
    <t xml:space="preserve">MENUISERIE </t>
  </si>
  <si>
    <t xml:space="preserve">5.1 </t>
  </si>
  <si>
    <t>F/P porte métallique persiennée de 1,50 x 2,20 y compris peinture antirouille</t>
  </si>
  <si>
    <t>5.2</t>
  </si>
  <si>
    <t>F/P fenêtre  métallique persiennée  de 1,20 x 1,20 y compris peinture antirouille</t>
  </si>
  <si>
    <t xml:space="preserve">Sous total V </t>
  </si>
  <si>
    <t xml:space="preserve">VI </t>
  </si>
  <si>
    <t xml:space="preserve"> ENDUIT – PEINTURE </t>
  </si>
  <si>
    <t xml:space="preserve">6.1 </t>
  </si>
  <si>
    <t>Enduit sur mur intérieur y compris raccordement</t>
  </si>
  <si>
    <t xml:space="preserve">6.2 </t>
  </si>
  <si>
    <t xml:space="preserve">Enduit sur mur extérieur y compris raccordement </t>
  </si>
  <si>
    <t xml:space="preserve">6.3 </t>
  </si>
  <si>
    <t>Peinture FOM intérieure</t>
  </si>
  <si>
    <t>6.4</t>
  </si>
  <si>
    <t>Peinture FOM extérieure</t>
  </si>
  <si>
    <t>6.5</t>
  </si>
  <si>
    <t>Peinture FOM sur faux plafond</t>
  </si>
  <si>
    <t>6.6</t>
  </si>
  <si>
    <t>Revêtement du sol en gré seramique de 30x30 cm</t>
  </si>
  <si>
    <t xml:space="preserve">Sous total VI </t>
  </si>
  <si>
    <t xml:space="preserve">VII </t>
  </si>
  <si>
    <t xml:space="preserve">ELECTRICITE </t>
  </si>
  <si>
    <t xml:space="preserve">7.1 </t>
  </si>
  <si>
    <t xml:space="preserve">F/P ensemble gainages, câbles, filerie y compris  toutes suggestions </t>
  </si>
  <si>
    <t xml:space="preserve">7.2 </t>
  </si>
  <si>
    <t xml:space="preserve">F/P de ampoule LED </t>
  </si>
  <si>
    <t xml:space="preserve">7.3 </t>
  </si>
  <si>
    <t xml:space="preserve">F/P d'interrupteur simple allumage  </t>
  </si>
  <si>
    <t xml:space="preserve">7.4 </t>
  </si>
  <si>
    <t>F/P de prise de courant 2P+T</t>
  </si>
  <si>
    <t xml:space="preserve">7.5 </t>
  </si>
  <si>
    <t xml:space="preserve">F/P Brasseur d'air plafonnier standard </t>
  </si>
  <si>
    <t xml:space="preserve">Sous total VII </t>
  </si>
  <si>
    <t>TOTAL SALLE REUNION</t>
  </si>
  <si>
    <t>D</t>
  </si>
  <si>
    <t>BUREAU</t>
  </si>
  <si>
    <t>Béton de Forme legerement armée 12 cm dosé à 250kg/m3</t>
  </si>
  <si>
    <t>m2</t>
  </si>
  <si>
    <t>F/P de Traverse en IPN 120 y compris peinture antirouille</t>
  </si>
  <si>
    <t>F/P de faux plafond</t>
  </si>
  <si>
    <t>TOTAL BUREAU</t>
  </si>
  <si>
    <t>E</t>
  </si>
  <si>
    <t xml:space="preserve">LOGE GARDIEN   </t>
  </si>
  <si>
    <t>Béton de Forme 8 cm dosé à 350kg/m3</t>
  </si>
  <si>
    <t>6.2</t>
  </si>
  <si>
    <t>6.3</t>
  </si>
  <si>
    <t>Revêtement du sol en gré ceramique de 30x30 cm</t>
  </si>
  <si>
    <t xml:space="preserve">TOTAL LOGE GARDIEN   </t>
  </si>
  <si>
    <t xml:space="preserve">BLOCS DE 2 LATRINES           </t>
  </si>
  <si>
    <t xml:space="preserve">TERRASSEMENT </t>
  </si>
  <si>
    <t xml:space="preserve">Préparation du terrain + implantation </t>
  </si>
  <si>
    <t xml:space="preserve">Fouilles en rigoles sur terrain dur </t>
  </si>
  <si>
    <t xml:space="preserve">Fouilles en masse en terrain dur </t>
  </si>
  <si>
    <t xml:space="preserve">BÉTON-MAÇONNERIE EN FONDATION </t>
  </si>
  <si>
    <t>Béton de propreté épaisseur 10 cm dosé à 150 kg/m3</t>
  </si>
  <si>
    <t>Blocage et soubassement en agglos pleins de 15 cm</t>
  </si>
  <si>
    <t>Béton banché dosé a 250  kg/m3 (espace entre muret et latrines)</t>
  </si>
  <si>
    <t>Béton legerement armée pour radier fosse ep : 10 cm</t>
  </si>
  <si>
    <t>Maçonnerie d'agglos pleins de 15 (parois fosse)</t>
  </si>
  <si>
    <t>B.A dosé a 350kg/m3 pour poteaux, linteaux et chainages poutres</t>
  </si>
  <si>
    <t xml:space="preserve">2.8 </t>
  </si>
  <si>
    <t xml:space="preserve">B.A dalle pleine ep : 0,15 de surface </t>
  </si>
  <si>
    <t xml:space="preserve">BÉTON-MAÇONNERIE EN ELEVATION </t>
  </si>
  <si>
    <t xml:space="preserve">B.A dosé a 350kg/m3 pour poteaux, linteaux et chainages </t>
  </si>
  <si>
    <t xml:space="preserve">3.2 </t>
  </si>
  <si>
    <t xml:space="preserve">Maçonnerie d' agglos creux de 15 cm </t>
  </si>
  <si>
    <t xml:space="preserve">3.3 </t>
  </si>
  <si>
    <t>Maçonnerie de claustras</t>
  </si>
  <si>
    <t xml:space="preserve">3.4 </t>
  </si>
  <si>
    <t>F/P de PVC diamètre 63, grillagée à l'extrémité (aération fosse), posé à l'intérieur de la latrine</t>
  </si>
  <si>
    <t>Sous total III</t>
  </si>
  <si>
    <t>4.1</t>
  </si>
  <si>
    <t>F/P de Traverse en IPN 80 y compris peinture antirouille</t>
  </si>
  <si>
    <t>4.2</t>
  </si>
  <si>
    <t>F/P panne de cornière L40x40x4mm y compris peinture antirouille</t>
  </si>
  <si>
    <t>4.3</t>
  </si>
  <si>
    <t>F/P de Tôle bac acier de 45/100 ème</t>
  </si>
  <si>
    <t xml:space="preserve">MENUISERIES </t>
  </si>
  <si>
    <t xml:space="preserve">F/P de portes métallique persiennée avec aération de 0,70x2,00 </t>
  </si>
  <si>
    <t xml:space="preserve"> ENDUITS ET TUYAUTERIE </t>
  </si>
  <si>
    <t>Enduits intérieur et extérieur au mortier de ciment</t>
  </si>
  <si>
    <t xml:space="preserve">Peinture FOM sur enduit intérieur et extérieur </t>
  </si>
  <si>
    <t xml:space="preserve">TOTAL BLOCS DE 2 LATRINES </t>
  </si>
  <si>
    <t>CHAMP SOLAIRES</t>
  </si>
  <si>
    <t>Module photovoltaique 550Wc</t>
  </si>
  <si>
    <t>1.2</t>
  </si>
  <si>
    <t>Batterie 12/250AH</t>
  </si>
  <si>
    <t>1.3</t>
  </si>
  <si>
    <t>Onduleur Felixit 5kVA</t>
  </si>
  <si>
    <t>1.4</t>
  </si>
  <si>
    <t>1.5</t>
  </si>
  <si>
    <t>1.6</t>
  </si>
  <si>
    <t>Cosse Aserti</t>
  </si>
  <si>
    <t>1.7</t>
  </si>
  <si>
    <t>Support plaque Solaire</t>
  </si>
  <si>
    <t>TOTAL CHAMPS SOLAIRES</t>
  </si>
  <si>
    <t>A</t>
  </si>
  <si>
    <t>B</t>
  </si>
  <si>
    <t>Reseau de refoulement</t>
  </si>
  <si>
    <t>F/P de IPN 80 hauteur 2 m avec anti rouille tous les 24 m y compris fouille et gros béton de scellement conformément aux indications des plans</t>
  </si>
  <si>
    <t>maçonnerie de soubassement en béton cyclopéen de hauteur 20 cm ,ancré de 15 et de largeur 30 cm</t>
  </si>
  <si>
    <t>Infrastructures d'accompagnement et champs solaire</t>
  </si>
  <si>
    <r>
      <t>m</t>
    </r>
    <r>
      <rPr>
        <vertAlign val="superscript"/>
        <sz val="10"/>
        <color rgb="FF000000"/>
        <rFont val="Arial"/>
        <family val="2"/>
      </rPr>
      <t>2</t>
    </r>
  </si>
  <si>
    <r>
      <t>m</t>
    </r>
    <r>
      <rPr>
        <vertAlign val="superscript"/>
        <sz val="10"/>
        <color rgb="FF000000"/>
        <rFont val="Arial"/>
        <family val="2"/>
      </rPr>
      <t>3</t>
    </r>
  </si>
  <si>
    <r>
      <t>Cable de 1x35mm</t>
    </r>
    <r>
      <rPr>
        <vertAlign val="superscript"/>
        <sz val="10"/>
        <color rgb="FF000000"/>
        <rFont val="Arial"/>
        <family val="2"/>
      </rPr>
      <t>2</t>
    </r>
  </si>
  <si>
    <r>
      <t>Cable de 3x4mm</t>
    </r>
    <r>
      <rPr>
        <vertAlign val="superscript"/>
        <sz val="10"/>
        <color rgb="FF000000"/>
        <rFont val="Arial"/>
        <family val="2"/>
      </rPr>
      <t>2</t>
    </r>
  </si>
  <si>
    <t xml:space="preserve">TOTAL HT(A+B+C+D+E)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</si>
</sst>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#,##0.000"/>
    <numFmt numFmtId="166" formatCode="_-* #,##0_-;\-* #,##0_-;_-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rial Narrow"/>
      <family val="2"/>
    </font>
    <font>
      <sz val="10"/>
      <name val="Arial Narrow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FF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DD9C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DD9C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43" fontId="2" fillId="0" borderId="0" xfId="1" applyFont="1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 vertical="center"/>
    </xf>
    <xf numFmtId="43" fontId="5" fillId="4" borderId="0" xfId="1" applyFont="1" applyFill="1" applyAlignment="1">
      <alignment vertical="center"/>
    </xf>
    <xf numFmtId="0" fontId="6" fillId="0" borderId="0" xfId="0" applyFont="1"/>
    <xf numFmtId="3" fontId="5" fillId="4" borderId="0" xfId="2" applyNumberFormat="1" applyFont="1" applyFill="1"/>
    <xf numFmtId="0" fontId="5" fillId="4" borderId="0" xfId="2" applyFont="1" applyFill="1" applyAlignment="1">
      <alignment vertical="center"/>
    </xf>
    <xf numFmtId="164" fontId="5" fillId="4" borderId="0" xfId="2" applyNumberFormat="1" applyFont="1" applyFill="1" applyAlignment="1">
      <alignment vertical="center"/>
    </xf>
    <xf numFmtId="43" fontId="8" fillId="0" borderId="0" xfId="1" applyFont="1"/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wrapText="1"/>
    </xf>
    <xf numFmtId="3" fontId="9" fillId="3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/>
    </xf>
    <xf numFmtId="3" fontId="9" fillId="5" borderId="2" xfId="0" applyNumberFormat="1" applyFont="1" applyFill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3" fontId="13" fillId="0" borderId="0" xfId="1" applyFont="1" applyAlignment="1">
      <alignment horizontal="center"/>
    </xf>
    <xf numFmtId="0" fontId="11" fillId="0" borderId="0" xfId="0" applyFont="1" applyAlignment="1">
      <alignment horizontal="left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/>
    <xf numFmtId="43" fontId="0" fillId="0" borderId="0" xfId="1" applyFont="1" applyAlignment="1">
      <alignment wrapText="1"/>
    </xf>
    <xf numFmtId="0" fontId="0" fillId="0" borderId="0" xfId="0" applyAlignment="1">
      <alignment wrapText="1"/>
    </xf>
    <xf numFmtId="43" fontId="8" fillId="0" borderId="0" xfId="1" applyFont="1" applyAlignment="1">
      <alignment wrapText="1"/>
    </xf>
    <xf numFmtId="0" fontId="8" fillId="0" borderId="0" xfId="0" applyFont="1" applyAlignment="1">
      <alignment wrapText="1"/>
    </xf>
    <xf numFmtId="2" fontId="7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43" fontId="0" fillId="0" borderId="0" xfId="1" applyFont="1" applyFill="1"/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/>
    </xf>
    <xf numFmtId="9" fontId="11" fillId="0" borderId="2" xfId="5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3" fontId="11" fillId="0" borderId="2" xfId="0" applyNumberFormat="1" applyFont="1" applyBorder="1" applyAlignment="1">
      <alignment horizontal="center" wrapText="1"/>
    </xf>
    <xf numFmtId="3" fontId="13" fillId="0" borderId="2" xfId="0" applyNumberFormat="1" applyFont="1" applyBorder="1" applyAlignment="1">
      <alignment horizontal="center" wrapText="1"/>
    </xf>
    <xf numFmtId="3" fontId="13" fillId="0" borderId="2" xfId="0" applyNumberFormat="1" applyFont="1" applyBorder="1" applyAlignment="1">
      <alignment horizontal="center"/>
    </xf>
    <xf numFmtId="9" fontId="13" fillId="0" borderId="2" xfId="5" applyFont="1" applyBorder="1" applyAlignment="1">
      <alignment horizontal="center"/>
    </xf>
    <xf numFmtId="43" fontId="2" fillId="0" borderId="0" xfId="1" applyFont="1" applyFill="1"/>
    <xf numFmtId="0" fontId="9" fillId="2" borderId="2" xfId="0" applyFont="1" applyFill="1" applyBorder="1" applyAlignment="1">
      <alignment horizontal="center" vertical="center"/>
    </xf>
    <xf numFmtId="43" fontId="1" fillId="0" borderId="0" xfId="1" applyFont="1"/>
    <xf numFmtId="0" fontId="15" fillId="7" borderId="2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center" vertical="center" wrapText="1"/>
    </xf>
    <xf numFmtId="166" fontId="15" fillId="7" borderId="2" xfId="0" applyNumberFormat="1" applyFont="1" applyFill="1" applyBorder="1" applyAlignment="1">
      <alignment horizontal="center" vertical="center" wrapText="1"/>
    </xf>
    <xf numFmtId="165" fontId="15" fillId="7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6" fontId="10" fillId="0" borderId="2" xfId="1" applyNumberFormat="1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166" fontId="10" fillId="4" borderId="2" xfId="1" applyNumberFormat="1" applyFont="1" applyFill="1" applyBorder="1" applyAlignment="1">
      <alignment horizontal="center" vertical="center" wrapText="1"/>
    </xf>
    <xf numFmtId="166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justify" vertical="center" wrapText="1"/>
    </xf>
    <xf numFmtId="165" fontId="9" fillId="4" borderId="2" xfId="0" applyNumberFormat="1" applyFont="1" applyFill="1" applyBorder="1" applyAlignment="1">
      <alignment horizontal="center" vertical="center" wrapText="1"/>
    </xf>
    <xf numFmtId="166" fontId="9" fillId="4" borderId="2" xfId="0" applyNumberFormat="1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>
      <alignment horizontal="center" vertical="center" wrapText="1"/>
    </xf>
    <xf numFmtId="165" fontId="10" fillId="7" borderId="2" xfId="0" applyNumberFormat="1" applyFont="1" applyFill="1" applyBorder="1" applyAlignment="1">
      <alignment horizontal="center" vertical="center" wrapText="1"/>
    </xf>
    <xf numFmtId="166" fontId="9" fillId="7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</cellXfs>
  <cellStyles count="6">
    <cellStyle name="Milliers" xfId="1" builtinId="3"/>
    <cellStyle name="Milliers 2" xfId="4" xr:uid="{00000000-0005-0000-0000-000001000000}"/>
    <cellStyle name="Normal" xfId="0" builtinId="0"/>
    <cellStyle name="Normal 2 2" xfId="2" xr:uid="{00000000-0005-0000-0000-000003000000}"/>
    <cellStyle name="Normal 3" xfId="3" xr:uid="{00000000-0005-0000-0000-000004000000}"/>
    <cellStyle name="Pourcentag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ail/A09-32%20Interland%20Kinshasa/Technique/Rapports/APD-calcul/Secteur%20A%20-%20Kingabwa/chantier-kingabw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fer/Bloc-N1-V3-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ail/AD2-%20Di%20et%20L&#233;ry%20-%20BF/Rapport/Calcul/Variante%201/Bloc-N1-av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Ismael\Documents\DOCUMENTS\MES%20DOCUMENTS\hydra_version%201211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HA-AZ/transfer/Dokumente%20und%20Einstellungen/pieter/Eigene%20Dateien/My%20Documents/AHT/BasseVallee/Rapports/RapportAPD/APDComp2/Annexes/d&#233;tail%20estimatif%20lot%20F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EHA-AZ/transfer/transfer/d&#233;tail%20estimatif%20lot%20F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-dalots-irrigation"/>
      <sheetName val="Synthèse-ouvrage-drainage"/>
      <sheetName val="Départ de canal sec."/>
      <sheetName val="modules-masque"/>
      <sheetName val="Déversoir-siphon"/>
      <sheetName val="canal P"/>
      <sheetName val="synthèse-secondaires"/>
      <sheetName val="fin-tertaire"/>
      <sheetName val="T-P"/>
      <sheetName val="Drain-P"/>
      <sheetName val="Drain-garde"/>
      <sheetName val="Récap-débits"/>
      <sheetName val="Métré ouv."/>
      <sheetName val="Feuil2"/>
      <sheetName val="Devis estim.ouv"/>
      <sheetName val="devis.ouv"/>
      <sheetName val="devis.ouv.tot"/>
      <sheetName val="Devis estim.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M7">
            <v>0.1</v>
          </cell>
        </row>
        <row r="37">
          <cell r="C37">
            <v>-16</v>
          </cell>
        </row>
        <row r="63">
          <cell r="C63">
            <v>-6</v>
          </cell>
        </row>
        <row r="89">
          <cell r="C89">
            <v>-13</v>
          </cell>
        </row>
        <row r="115">
          <cell r="C115">
            <v>-10.5</v>
          </cell>
        </row>
        <row r="141">
          <cell r="C141">
            <v>-5</v>
          </cell>
        </row>
        <row r="167">
          <cell r="C167">
            <v>-13</v>
          </cell>
        </row>
        <row r="193">
          <cell r="C193">
            <v>-2</v>
          </cell>
        </row>
        <row r="219">
          <cell r="C219">
            <v>-9.5</v>
          </cell>
        </row>
        <row r="245">
          <cell r="C245">
            <v>-9</v>
          </cell>
        </row>
        <row r="271">
          <cell r="C271">
            <v>-2</v>
          </cell>
        </row>
        <row r="297">
          <cell r="C297">
            <v>-5.5</v>
          </cell>
        </row>
        <row r="323">
          <cell r="C323">
            <v>-6.5</v>
          </cell>
        </row>
        <row r="349">
          <cell r="C349">
            <v>-12.5</v>
          </cell>
        </row>
        <row r="375">
          <cell r="C375">
            <v>-23.5</v>
          </cell>
        </row>
        <row r="401">
          <cell r="C401">
            <v>-7</v>
          </cell>
        </row>
        <row r="427">
          <cell r="C427">
            <v>-13.5</v>
          </cell>
        </row>
        <row r="453">
          <cell r="C453">
            <v>-61.5</v>
          </cell>
        </row>
        <row r="479">
          <cell r="C479">
            <v>-17.5</v>
          </cell>
        </row>
        <row r="505">
          <cell r="C505">
            <v>-42</v>
          </cell>
        </row>
        <row r="531">
          <cell r="C531">
            <v>-1.75</v>
          </cell>
        </row>
      </sheetData>
      <sheetData sheetId="6" refreshError="1"/>
      <sheetData sheetId="7" refreshError="1"/>
      <sheetData sheetId="8">
        <row r="55">
          <cell r="B55">
            <v>60</v>
          </cell>
        </row>
        <row r="75">
          <cell r="B75">
            <v>30</v>
          </cell>
        </row>
        <row r="101">
          <cell r="B101">
            <v>30</v>
          </cell>
        </row>
        <row r="123">
          <cell r="B123">
            <v>30</v>
          </cell>
        </row>
        <row r="151">
          <cell r="B151">
            <v>30</v>
          </cell>
        </row>
        <row r="173">
          <cell r="B173">
            <v>30</v>
          </cell>
        </row>
        <row r="203">
          <cell r="B203">
            <v>30</v>
          </cell>
        </row>
        <row r="235">
          <cell r="B235">
            <v>60</v>
          </cell>
        </row>
        <row r="257">
          <cell r="B257">
            <v>30</v>
          </cell>
        </row>
        <row r="292">
          <cell r="B292">
            <v>30</v>
          </cell>
        </row>
        <row r="314">
          <cell r="B314">
            <v>30</v>
          </cell>
        </row>
        <row r="349">
          <cell r="B349">
            <v>30</v>
          </cell>
        </row>
        <row r="371">
          <cell r="B371">
            <v>30</v>
          </cell>
        </row>
        <row r="409">
          <cell r="B409">
            <v>30</v>
          </cell>
        </row>
        <row r="431">
          <cell r="B431">
            <v>30</v>
          </cell>
        </row>
        <row r="453">
          <cell r="B453">
            <v>30</v>
          </cell>
        </row>
        <row r="491">
          <cell r="B491">
            <v>30</v>
          </cell>
        </row>
        <row r="523">
          <cell r="B523">
            <v>30</v>
          </cell>
        </row>
        <row r="543">
          <cell r="B543">
            <v>60</v>
          </cell>
        </row>
        <row r="568">
          <cell r="B568">
            <v>30</v>
          </cell>
        </row>
      </sheetData>
      <sheetData sheetId="9"/>
      <sheetData sheetId="10" refreshError="1"/>
      <sheetData sheetId="11" refreshError="1"/>
      <sheetData sheetId="12">
        <row r="2">
          <cell r="A2">
            <v>50000</v>
          </cell>
          <cell r="S2">
            <v>5000</v>
          </cell>
          <cell r="T2">
            <v>6800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-dalots-irrigation"/>
      <sheetName val="Synthèse-ouvrage-drainage"/>
      <sheetName val="Départ de canal sec."/>
      <sheetName val="modules-masque"/>
      <sheetName val="Giraudet"/>
      <sheetName val="Déversoir-latéral"/>
      <sheetName val="canal P"/>
      <sheetName val="CS1"/>
      <sheetName val="CS2"/>
      <sheetName val="T-P"/>
      <sheetName val="Récap-débits"/>
      <sheetName val="Récap-débits-périmètre"/>
      <sheetName val="synthèse-secondaires"/>
      <sheetName val="Drain-P"/>
      <sheetName val="Métré ouv."/>
      <sheetName val="Feuil2"/>
      <sheetName val="Devis estim.ouv"/>
      <sheetName val="devis.ouv"/>
      <sheetName val="devis.ouv.tot-I"/>
      <sheetName val="devis.ouv.tot-D"/>
      <sheetName val="Devis estim.V1"/>
      <sheetName val="Devis estim.V1-D"/>
      <sheetName val="DAO-irrigation"/>
      <sheetName val="DAO-drainage"/>
      <sheetName val="Devis estim.Lot nord"/>
      <sheetName val="Devis estim.variante 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R7">
            <v>0.1</v>
          </cell>
        </row>
        <row r="17">
          <cell r="C17">
            <v>-50</v>
          </cell>
        </row>
        <row r="33">
          <cell r="C33">
            <v>-50</v>
          </cell>
        </row>
      </sheetData>
      <sheetData sheetId="7"/>
      <sheetData sheetId="8">
        <row r="21">
          <cell r="C21">
            <v>-50</v>
          </cell>
        </row>
        <row r="31">
          <cell r="C31">
            <v>-50</v>
          </cell>
        </row>
        <row r="45">
          <cell r="C45">
            <v>-50</v>
          </cell>
        </row>
        <row r="59">
          <cell r="C59">
            <v>-50</v>
          </cell>
        </row>
        <row r="73">
          <cell r="C73">
            <v>-50</v>
          </cell>
        </row>
      </sheetData>
      <sheetData sheetId="9">
        <row r="22">
          <cell r="B22">
            <v>55</v>
          </cell>
        </row>
        <row r="35">
          <cell r="B35">
            <v>55</v>
          </cell>
        </row>
        <row r="45">
          <cell r="B45">
            <v>55</v>
          </cell>
        </row>
        <row r="58">
          <cell r="B58">
            <v>55</v>
          </cell>
        </row>
        <row r="71">
          <cell r="B71">
            <v>55</v>
          </cell>
        </row>
        <row r="84">
          <cell r="B84">
            <v>55</v>
          </cell>
        </row>
        <row r="97">
          <cell r="B97">
            <v>55</v>
          </cell>
        </row>
        <row r="110">
          <cell r="B110">
            <v>55</v>
          </cell>
        </row>
        <row r="123">
          <cell r="B123">
            <v>50</v>
          </cell>
        </row>
      </sheetData>
      <sheetData sheetId="10"/>
      <sheetData sheetId="11"/>
      <sheetData sheetId="12"/>
      <sheetData sheetId="13">
        <row r="26">
          <cell r="B26">
            <v>-50</v>
          </cell>
        </row>
        <row r="41">
          <cell r="B41">
            <v>-50</v>
          </cell>
        </row>
        <row r="53">
          <cell r="B53">
            <v>-50</v>
          </cell>
        </row>
        <row r="67">
          <cell r="B67">
            <v>-50</v>
          </cell>
        </row>
        <row r="79">
          <cell r="B79">
            <v>-50</v>
          </cell>
        </row>
        <row r="93">
          <cell r="B93">
            <v>-50</v>
          </cell>
        </row>
        <row r="107">
          <cell r="B107">
            <v>-50</v>
          </cell>
        </row>
        <row r="121">
          <cell r="B121">
            <v>-50</v>
          </cell>
        </row>
        <row r="130">
          <cell r="B130">
            <v>-50</v>
          </cell>
        </row>
        <row r="146">
          <cell r="B146">
            <v>-50</v>
          </cell>
        </row>
      </sheetData>
      <sheetData sheetId="14">
        <row r="2">
          <cell r="A2">
            <v>50000</v>
          </cell>
          <cell r="B2">
            <v>40000</v>
          </cell>
          <cell r="C2">
            <v>35000</v>
          </cell>
          <cell r="E2">
            <v>1500</v>
          </cell>
          <cell r="F2">
            <v>4000</v>
          </cell>
          <cell r="G2">
            <v>1200</v>
          </cell>
          <cell r="H2">
            <v>1000</v>
          </cell>
          <cell r="I2">
            <v>3500</v>
          </cell>
          <cell r="J2">
            <v>300</v>
          </cell>
          <cell r="K2">
            <v>10000</v>
          </cell>
          <cell r="L2">
            <v>750</v>
          </cell>
          <cell r="M2">
            <v>5000</v>
          </cell>
          <cell r="N2">
            <v>18000</v>
          </cell>
          <cell r="O2">
            <v>0</v>
          </cell>
          <cell r="P2">
            <v>10000</v>
          </cell>
          <cell r="Q2">
            <v>25000</v>
          </cell>
          <cell r="R2">
            <v>100000</v>
          </cell>
          <cell r="S2">
            <v>5000</v>
          </cell>
          <cell r="T2">
            <v>6800</v>
          </cell>
          <cell r="U2">
            <v>17500</v>
          </cell>
          <cell r="V2">
            <v>65000</v>
          </cell>
          <cell r="W2">
            <v>2000</v>
          </cell>
          <cell r="X2">
            <v>1000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-dalots-irrigation"/>
      <sheetName val="Synthèse-ouvrage-drainage"/>
      <sheetName val="Départ de canal sec."/>
      <sheetName val="modules-masque"/>
      <sheetName val="Déversoir-siphon"/>
      <sheetName val="canal P"/>
      <sheetName val="CS1"/>
      <sheetName val="CS2"/>
      <sheetName val="CS3"/>
      <sheetName val="synthèse-secondaires"/>
      <sheetName val="fin-tertaire"/>
      <sheetName val="T-P"/>
      <sheetName val="Drain-P"/>
      <sheetName val="Récap-débits-périmètre"/>
      <sheetName val="Récap-débits"/>
      <sheetName val="Métré ouv."/>
      <sheetName val="Feuil2"/>
      <sheetName val="Devis estim.ouv"/>
      <sheetName val="devis.ouv"/>
      <sheetName val="devis.ouv.tot"/>
      <sheetName val="Devis estim.V1"/>
      <sheetName val="Devis estim.Lot nord"/>
      <sheetName val="Devis estim.variante 1"/>
    </sheetNames>
    <sheetDataSet>
      <sheetData sheetId="0"/>
      <sheetData sheetId="1"/>
      <sheetData sheetId="2"/>
      <sheetData sheetId="3"/>
      <sheetData sheetId="4"/>
      <sheetData sheetId="5">
        <row r="18">
          <cell r="C18">
            <v>-50</v>
          </cell>
        </row>
      </sheetData>
      <sheetData sheetId="6"/>
      <sheetData sheetId="7"/>
      <sheetData sheetId="8"/>
      <sheetData sheetId="9"/>
      <sheetData sheetId="10"/>
      <sheetData sheetId="11">
        <row r="167">
          <cell r="B167">
            <v>50</v>
          </cell>
        </row>
      </sheetData>
      <sheetData sheetId="12">
        <row r="21">
          <cell r="B21">
            <v>-50</v>
          </cell>
        </row>
        <row r="52">
          <cell r="B52">
            <v>-50</v>
          </cell>
        </row>
        <row r="78">
          <cell r="B78">
            <v>-50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eff Manning et Strickler"/>
      <sheetName val="hydra"/>
      <sheetName val="Section-HF"/>
      <sheetName val="Buse Noyé_DALOT_1"/>
      <sheetName val="Buse Noyé_DALOT_mult"/>
      <sheetName val="Buse Noyé BUSE"/>
      <sheetName val="DECHARGE(Long_dever_variable)"/>
      <sheetName val="DECHARGE(charge variable)"/>
      <sheetName val="CHUTES "/>
      <sheetName val="DEVERSOIR"/>
      <sheetName val="DVRS OB_(chage_variable)"/>
      <sheetName val="DVRS OB_(Long_dever_variable)"/>
      <sheetName val="DVRS gir_(Long_dever_variable"/>
      <sheetName val="DVRS gir_(charge_variable)"/>
      <sheetName val="PLANS"/>
      <sheetName val="Feuil1"/>
      <sheetName val="Feuil2"/>
    </sheetNames>
    <sheetDataSet>
      <sheetData sheetId="0" refreshError="1"/>
      <sheetData sheetId="1">
        <row r="2">
          <cell r="B2">
            <v>0.57402196121741023</v>
          </cell>
        </row>
        <row r="3">
          <cell r="B3">
            <v>1</v>
          </cell>
          <cell r="D3">
            <v>1.8920268090569383</v>
          </cell>
        </row>
        <row r="4">
          <cell r="B4">
            <v>70</v>
          </cell>
        </row>
        <row r="5">
          <cell r="B5">
            <v>2.5000000000000001E-4</v>
          </cell>
        </row>
        <row r="6">
          <cell r="B6">
            <v>1</v>
          </cell>
          <cell r="D6">
            <v>0.52853373705547013</v>
          </cell>
        </row>
        <row r="7">
          <cell r="B7">
            <v>4</v>
          </cell>
          <cell r="D7">
            <v>5.5921756897392818</v>
          </cell>
        </row>
        <row r="8">
          <cell r="B8">
            <v>0.3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8">
          <cell r="F18">
            <v>1.1499999999999999</v>
          </cell>
          <cell r="G18">
            <v>1.1499999999999999</v>
          </cell>
          <cell r="H18">
            <v>1.1499999999999999</v>
          </cell>
          <cell r="I18">
            <v>1.1499999999999999</v>
          </cell>
          <cell r="J18">
            <v>1.1499999999999999</v>
          </cell>
          <cell r="K18">
            <v>1.1499999999999999</v>
          </cell>
          <cell r="L18">
            <v>1.1499999999999999</v>
          </cell>
          <cell r="M18">
            <v>1.1499999999999999</v>
          </cell>
          <cell r="N18">
            <v>1.1499999999999999</v>
          </cell>
          <cell r="O18">
            <v>1.1499999999999999</v>
          </cell>
          <cell r="P18">
            <v>1.1499999999999999</v>
          </cell>
          <cell r="Q18">
            <v>1.1499999999999999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étail estim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étail estim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I274"/>
  <sheetViews>
    <sheetView topLeftCell="A260" workbookViewId="0">
      <selection activeCell="A266" sqref="A266:XFD266"/>
    </sheetView>
  </sheetViews>
  <sheetFormatPr baseColWidth="10" defaultColWidth="11.44140625" defaultRowHeight="14.4" x14ac:dyDescent="0.3"/>
  <cols>
    <col min="1" max="1" width="5.44140625" style="35" customWidth="1"/>
    <col min="2" max="2" width="46.6640625" style="40" customWidth="1"/>
    <col min="3" max="3" width="11.44140625" style="35" customWidth="1"/>
    <col min="4" max="4" width="9.33203125" style="35" customWidth="1"/>
    <col min="5" max="5" width="13.5546875" style="35" customWidth="1"/>
    <col min="6" max="6" width="15.21875" style="35" customWidth="1"/>
    <col min="7" max="7" width="13.44140625" style="3" bestFit="1" customWidth="1"/>
    <col min="8" max="8" width="12.88671875" bestFit="1" customWidth="1"/>
  </cols>
  <sheetData>
    <row r="1" spans="1:9" s="2" customFormat="1" x14ac:dyDescent="0.3">
      <c r="A1" s="110" t="s">
        <v>35</v>
      </c>
      <c r="B1" s="110"/>
      <c r="C1" s="110"/>
      <c r="D1" s="110"/>
      <c r="E1" s="110"/>
      <c r="F1" s="110"/>
      <c r="G1" s="1"/>
    </row>
    <row r="2" spans="1:9" x14ac:dyDescent="0.3">
      <c r="A2" s="111" t="s">
        <v>0</v>
      </c>
      <c r="B2" s="112" t="s">
        <v>1</v>
      </c>
      <c r="C2" s="111" t="s">
        <v>2</v>
      </c>
      <c r="D2" s="111" t="s">
        <v>3</v>
      </c>
      <c r="E2" s="67" t="s">
        <v>4</v>
      </c>
      <c r="F2" s="67" t="s">
        <v>5</v>
      </c>
    </row>
    <row r="3" spans="1:9" x14ac:dyDescent="0.3">
      <c r="A3" s="111"/>
      <c r="B3" s="112"/>
      <c r="C3" s="111"/>
      <c r="D3" s="111"/>
      <c r="E3" s="67" t="s">
        <v>25</v>
      </c>
      <c r="F3" s="67" t="s">
        <v>25</v>
      </c>
    </row>
    <row r="4" spans="1:9" x14ac:dyDescent="0.3">
      <c r="A4" s="14" t="s">
        <v>6</v>
      </c>
      <c r="B4" s="50" t="s">
        <v>61</v>
      </c>
      <c r="C4" s="14"/>
      <c r="D4" s="14"/>
      <c r="E4" s="14"/>
      <c r="F4" s="14"/>
    </row>
    <row r="5" spans="1:9" x14ac:dyDescent="0.3">
      <c r="A5" s="15">
        <v>1.1000000000000001</v>
      </c>
      <c r="B5" s="51" t="s">
        <v>26</v>
      </c>
      <c r="C5" s="15" t="s">
        <v>7</v>
      </c>
      <c r="D5" s="15">
        <v>1</v>
      </c>
      <c r="E5" s="16"/>
      <c r="F5" s="16">
        <f>+D5*E5</f>
        <v>0</v>
      </c>
    </row>
    <row r="6" spans="1:9" ht="39.6" x14ac:dyDescent="0.3">
      <c r="A6" s="15">
        <v>1.2</v>
      </c>
      <c r="B6" s="52" t="s">
        <v>27</v>
      </c>
      <c r="C6" s="15" t="s">
        <v>28</v>
      </c>
      <c r="D6" s="15">
        <v>2</v>
      </c>
      <c r="E6" s="16"/>
      <c r="F6" s="16">
        <f>+D6*E6</f>
        <v>0</v>
      </c>
    </row>
    <row r="7" spans="1:9" x14ac:dyDescent="0.3">
      <c r="A7" s="17"/>
      <c r="B7" s="18" t="s">
        <v>8</v>
      </c>
      <c r="C7" s="17"/>
      <c r="D7" s="17"/>
      <c r="E7" s="17"/>
      <c r="F7" s="19">
        <f>SUM(F5:F6)</f>
        <v>0</v>
      </c>
    </row>
    <row r="8" spans="1:9" x14ac:dyDescent="0.3">
      <c r="A8" s="14" t="s">
        <v>9</v>
      </c>
      <c r="B8" s="20" t="s">
        <v>244</v>
      </c>
      <c r="C8" s="21"/>
      <c r="D8" s="21"/>
      <c r="E8" s="21"/>
      <c r="F8" s="21"/>
    </row>
    <row r="9" spans="1:9" ht="52.8" x14ac:dyDescent="0.3">
      <c r="A9" s="22">
        <v>2.1</v>
      </c>
      <c r="B9" s="52" t="s">
        <v>39</v>
      </c>
      <c r="C9" s="22" t="s">
        <v>13</v>
      </c>
      <c r="D9" s="22">
        <f>240+175</f>
        <v>415</v>
      </c>
      <c r="E9" s="24"/>
      <c r="F9" s="16">
        <f t="shared" ref="F9:F11" si="0">+D9*E9</f>
        <v>0</v>
      </c>
    </row>
    <row r="10" spans="1:9" ht="39.6" x14ac:dyDescent="0.3">
      <c r="A10" s="22">
        <v>2.2000000000000002</v>
      </c>
      <c r="B10" s="23" t="s">
        <v>36</v>
      </c>
      <c r="C10" s="22" t="s">
        <v>14</v>
      </c>
      <c r="D10" s="22">
        <f>240+175</f>
        <v>415</v>
      </c>
      <c r="E10" s="24"/>
      <c r="F10" s="16">
        <f t="shared" si="0"/>
        <v>0</v>
      </c>
      <c r="H10" s="4"/>
      <c r="I10" s="4"/>
    </row>
    <row r="11" spans="1:9" ht="55.2" x14ac:dyDescent="0.3">
      <c r="A11" s="22">
        <v>2.2999999999999998</v>
      </c>
      <c r="B11" s="25" t="s">
        <v>34</v>
      </c>
      <c r="C11" s="25" t="s">
        <v>23</v>
      </c>
      <c r="D11" s="56">
        <v>1</v>
      </c>
      <c r="E11" s="24"/>
      <c r="F11" s="16">
        <f t="shared" si="0"/>
        <v>0</v>
      </c>
      <c r="H11" s="3"/>
    </row>
    <row r="12" spans="1:9" x14ac:dyDescent="0.3">
      <c r="A12" s="56"/>
      <c r="B12" s="28" t="s">
        <v>10</v>
      </c>
      <c r="C12" s="17"/>
      <c r="D12" s="17"/>
      <c r="E12" s="17"/>
      <c r="F12" s="19">
        <f>SUM(F9:F11)</f>
        <v>0</v>
      </c>
    </row>
    <row r="13" spans="1:9" x14ac:dyDescent="0.3">
      <c r="A13" s="29" t="s">
        <v>11</v>
      </c>
      <c r="B13" s="18" t="s">
        <v>16</v>
      </c>
      <c r="C13" s="30"/>
      <c r="D13" s="30"/>
      <c r="E13" s="30"/>
      <c r="F13" s="21"/>
    </row>
    <row r="14" spans="1:9" s="2" customFormat="1" ht="52.8" x14ac:dyDescent="0.3">
      <c r="A14" s="25">
        <v>3.1</v>
      </c>
      <c r="B14" s="26" t="s">
        <v>37</v>
      </c>
      <c r="C14" s="41" t="s">
        <v>13</v>
      </c>
      <c r="D14" s="25">
        <f>+D15+D16+D17</f>
        <v>700</v>
      </c>
      <c r="E14" s="25"/>
      <c r="F14" s="27">
        <f t="shared" ref="F14:F20" si="1">+D14*E14</f>
        <v>0</v>
      </c>
      <c r="G14" s="1"/>
    </row>
    <row r="15" spans="1:9" s="2" customFormat="1" ht="52.8" x14ac:dyDescent="0.3">
      <c r="A15" s="42">
        <v>3.2</v>
      </c>
      <c r="B15" s="26" t="s">
        <v>40</v>
      </c>
      <c r="C15" s="25" t="s">
        <v>13</v>
      </c>
      <c r="D15" s="25">
        <v>90</v>
      </c>
      <c r="E15" s="43"/>
      <c r="F15" s="27">
        <f t="shared" si="1"/>
        <v>0</v>
      </c>
      <c r="G15" s="1"/>
    </row>
    <row r="16" spans="1:9" s="2" customFormat="1" ht="52.8" x14ac:dyDescent="0.3">
      <c r="A16" s="25">
        <v>3.3</v>
      </c>
      <c r="B16" s="26" t="s">
        <v>38</v>
      </c>
      <c r="C16" s="25" t="s">
        <v>13</v>
      </c>
      <c r="D16" s="25">
        <v>0</v>
      </c>
      <c r="E16" s="43"/>
      <c r="F16" s="27">
        <f t="shared" si="1"/>
        <v>0</v>
      </c>
      <c r="G16" s="1"/>
    </row>
    <row r="17" spans="1:8" s="2" customFormat="1" ht="52.8" x14ac:dyDescent="0.3">
      <c r="A17" s="42">
        <v>3.4</v>
      </c>
      <c r="B17" s="26" t="s">
        <v>41</v>
      </c>
      <c r="C17" s="25" t="s">
        <v>13</v>
      </c>
      <c r="D17" s="25">
        <v>610</v>
      </c>
      <c r="E17" s="43"/>
      <c r="F17" s="27">
        <f t="shared" si="1"/>
        <v>0</v>
      </c>
      <c r="G17" s="66"/>
    </row>
    <row r="18" spans="1:8" s="2" customFormat="1" ht="26.4" x14ac:dyDescent="0.3">
      <c r="A18" s="25">
        <v>3.5</v>
      </c>
      <c r="B18" s="26" t="s">
        <v>42</v>
      </c>
      <c r="C18" s="25" t="s">
        <v>12</v>
      </c>
      <c r="D18" s="25">
        <v>1</v>
      </c>
      <c r="E18" s="43"/>
      <c r="F18" s="27">
        <f t="shared" si="1"/>
        <v>0</v>
      </c>
      <c r="G18" s="1"/>
    </row>
    <row r="19" spans="1:8" s="2" customFormat="1" ht="26.4" x14ac:dyDescent="0.3">
      <c r="A19" s="42">
        <v>3.6</v>
      </c>
      <c r="B19" s="26" t="s">
        <v>43</v>
      </c>
      <c r="C19" s="25" t="s">
        <v>12</v>
      </c>
      <c r="D19" s="25">
        <v>1</v>
      </c>
      <c r="E19" s="43"/>
      <c r="F19" s="27">
        <f t="shared" si="1"/>
        <v>0</v>
      </c>
      <c r="G19" s="1"/>
    </row>
    <row r="20" spans="1:8" s="2" customFormat="1" ht="26.4" x14ac:dyDescent="0.3">
      <c r="A20" s="25">
        <v>3.7</v>
      </c>
      <c r="B20" s="26" t="s">
        <v>44</v>
      </c>
      <c r="C20" s="25" t="s">
        <v>12</v>
      </c>
      <c r="D20" s="25">
        <v>20</v>
      </c>
      <c r="E20" s="43"/>
      <c r="F20" s="27">
        <f t="shared" si="1"/>
        <v>0</v>
      </c>
      <c r="G20" s="1"/>
    </row>
    <row r="21" spans="1:8" s="2" customFormat="1" ht="39.6" x14ac:dyDescent="0.3">
      <c r="A21" s="42">
        <v>3.8</v>
      </c>
      <c r="B21" s="26" t="s">
        <v>45</v>
      </c>
      <c r="C21" s="25" t="s">
        <v>23</v>
      </c>
      <c r="D21" s="25"/>
      <c r="E21" s="43"/>
      <c r="F21" s="27">
        <f t="shared" ref="F21:F26" si="2">+D21*E21</f>
        <v>0</v>
      </c>
      <c r="G21" s="1"/>
      <c r="H21" s="44"/>
    </row>
    <row r="22" spans="1:8" s="2" customFormat="1" ht="39.6" x14ac:dyDescent="0.3">
      <c r="A22" s="25">
        <v>3.9</v>
      </c>
      <c r="B22" s="26" t="s">
        <v>46</v>
      </c>
      <c r="C22" s="25" t="s">
        <v>23</v>
      </c>
      <c r="D22" s="25">
        <v>0</v>
      </c>
      <c r="E22" s="43"/>
      <c r="F22" s="27">
        <f t="shared" si="2"/>
        <v>0</v>
      </c>
      <c r="G22" s="1"/>
    </row>
    <row r="23" spans="1:8" s="2" customFormat="1" ht="68.400000000000006" x14ac:dyDescent="0.3">
      <c r="A23" s="49">
        <v>3.1</v>
      </c>
      <c r="B23" s="26" t="s">
        <v>47</v>
      </c>
      <c r="C23" s="25" t="s">
        <v>23</v>
      </c>
      <c r="D23" s="25">
        <f>12</f>
        <v>12</v>
      </c>
      <c r="E23" s="43"/>
      <c r="F23" s="27">
        <f t="shared" si="2"/>
        <v>0</v>
      </c>
      <c r="G23" s="1"/>
    </row>
    <row r="24" spans="1:8" s="2" customFormat="1" ht="26.4" x14ac:dyDescent="0.3">
      <c r="A24" s="25">
        <v>3.11</v>
      </c>
      <c r="B24" s="26" t="s">
        <v>52</v>
      </c>
      <c r="C24" s="13" t="s">
        <v>51</v>
      </c>
      <c r="D24" s="13">
        <v>25</v>
      </c>
      <c r="E24" s="43"/>
      <c r="F24" s="27">
        <f t="shared" si="2"/>
        <v>0</v>
      </c>
      <c r="G24" s="1"/>
    </row>
    <row r="25" spans="1:8" s="2" customFormat="1" x14ac:dyDescent="0.3">
      <c r="A25" s="49">
        <v>3.12</v>
      </c>
      <c r="B25" s="26" t="s">
        <v>49</v>
      </c>
      <c r="C25" s="12" t="s">
        <v>12</v>
      </c>
      <c r="D25" s="12">
        <f>5*D23</f>
        <v>60</v>
      </c>
      <c r="E25" s="43"/>
      <c r="F25" s="27">
        <f t="shared" si="2"/>
        <v>0</v>
      </c>
      <c r="G25" s="1"/>
    </row>
    <row r="26" spans="1:8" s="2" customFormat="1" x14ac:dyDescent="0.3">
      <c r="A26" s="25">
        <v>3.13</v>
      </c>
      <c r="B26" s="26" t="s">
        <v>50</v>
      </c>
      <c r="C26" s="12" t="s">
        <v>12</v>
      </c>
      <c r="D26" s="12">
        <v>10</v>
      </c>
      <c r="E26" s="43"/>
      <c r="F26" s="27">
        <f t="shared" si="2"/>
        <v>0</v>
      </c>
      <c r="G26" s="1"/>
    </row>
    <row r="27" spans="1:8" x14ac:dyDescent="0.3">
      <c r="A27" s="17"/>
      <c r="B27" s="18" t="s">
        <v>56</v>
      </c>
      <c r="C27" s="31"/>
      <c r="D27" s="31"/>
      <c r="E27" s="31"/>
      <c r="F27" s="32">
        <f>SUM(F14:F26)</f>
        <v>0</v>
      </c>
    </row>
    <row r="28" spans="1:8" ht="26.4" x14ac:dyDescent="0.3">
      <c r="A28" s="29" t="s">
        <v>15</v>
      </c>
      <c r="B28" s="18" t="s">
        <v>247</v>
      </c>
      <c r="C28" s="18"/>
      <c r="D28" s="18"/>
      <c r="E28" s="18"/>
      <c r="F28" s="18"/>
      <c r="G28" s="53"/>
    </row>
    <row r="29" spans="1:8" s="35" customFormat="1" ht="13.2" x14ac:dyDescent="0.25">
      <c r="A29" s="75" t="s">
        <v>242</v>
      </c>
      <c r="B29" s="113" t="s">
        <v>78</v>
      </c>
      <c r="C29" s="113"/>
      <c r="D29" s="113"/>
      <c r="E29" s="113"/>
      <c r="F29" s="113"/>
    </row>
    <row r="30" spans="1:8" s="35" customFormat="1" ht="26.4" x14ac:dyDescent="0.25">
      <c r="A30" s="76" t="s">
        <v>79</v>
      </c>
      <c r="B30" s="20" t="s">
        <v>80</v>
      </c>
      <c r="C30" s="76" t="s">
        <v>81</v>
      </c>
      <c r="D30" s="77" t="s">
        <v>82</v>
      </c>
      <c r="E30" s="76" t="s">
        <v>83</v>
      </c>
      <c r="F30" s="76" t="s">
        <v>84</v>
      </c>
    </row>
    <row r="31" spans="1:8" s="35" customFormat="1" ht="13.2" x14ac:dyDescent="0.25">
      <c r="A31" s="76" t="s">
        <v>85</v>
      </c>
      <c r="B31" s="20" t="s">
        <v>86</v>
      </c>
      <c r="C31" s="22" t="s">
        <v>87</v>
      </c>
      <c r="D31" s="78" t="s">
        <v>88</v>
      </c>
      <c r="E31" s="22" t="s">
        <v>87</v>
      </c>
      <c r="F31" s="76" t="s">
        <v>87</v>
      </c>
    </row>
    <row r="32" spans="1:8" s="35" customFormat="1" ht="15.6" x14ac:dyDescent="0.25">
      <c r="A32" s="76" t="s">
        <v>89</v>
      </c>
      <c r="B32" s="23" t="s">
        <v>90</v>
      </c>
      <c r="C32" s="22" t="s">
        <v>248</v>
      </c>
      <c r="D32" s="79">
        <f>(10.3+2)*(7.3+2)</f>
        <v>114.39000000000001</v>
      </c>
      <c r="E32" s="80"/>
      <c r="F32" s="81">
        <f>D32*E32</f>
        <v>0</v>
      </c>
    </row>
    <row r="33" spans="1:6" s="35" customFormat="1" ht="15.6" x14ac:dyDescent="0.25">
      <c r="A33" s="76" t="s">
        <v>91</v>
      </c>
      <c r="B33" s="23" t="s">
        <v>92</v>
      </c>
      <c r="C33" s="22" t="s">
        <v>249</v>
      </c>
      <c r="D33" s="79">
        <f>(34.6*0.4*0.6)*1.1</f>
        <v>9.1344000000000012</v>
      </c>
      <c r="E33" s="80"/>
      <c r="F33" s="81">
        <f>D33*E33</f>
        <v>0</v>
      </c>
    </row>
    <row r="34" spans="1:6" s="35" customFormat="1" ht="15.6" x14ac:dyDescent="0.25">
      <c r="A34" s="76" t="s">
        <v>93</v>
      </c>
      <c r="B34" s="23" t="s">
        <v>94</v>
      </c>
      <c r="C34" s="22" t="s">
        <v>249</v>
      </c>
      <c r="D34" s="79">
        <f>(1.2*1.2*1.2)*12*1.1</f>
        <v>22.809600000000003</v>
      </c>
      <c r="E34" s="80"/>
      <c r="F34" s="81">
        <f>D34*E34</f>
        <v>0</v>
      </c>
    </row>
    <row r="35" spans="1:6" s="35" customFormat="1" ht="15.6" x14ac:dyDescent="0.25">
      <c r="A35" s="76" t="s">
        <v>95</v>
      </c>
      <c r="B35" s="23" t="s">
        <v>96</v>
      </c>
      <c r="C35" s="22" t="s">
        <v>249</v>
      </c>
      <c r="D35" s="79">
        <f>+D34+D33</f>
        <v>31.944000000000003</v>
      </c>
      <c r="E35" s="80"/>
      <c r="F35" s="81">
        <f>D35*E35</f>
        <v>0</v>
      </c>
    </row>
    <row r="36" spans="1:6" s="35" customFormat="1" ht="15.6" x14ac:dyDescent="0.25">
      <c r="A36" s="76" t="s">
        <v>97</v>
      </c>
      <c r="B36" s="23" t="s">
        <v>98</v>
      </c>
      <c r="C36" s="22" t="s">
        <v>249</v>
      </c>
      <c r="D36" s="79">
        <f>((70*0.45)-D35*0.15)*1.1</f>
        <v>29.379240000000003</v>
      </c>
      <c r="E36" s="80"/>
      <c r="F36" s="81">
        <f>D36*E36</f>
        <v>0</v>
      </c>
    </row>
    <row r="37" spans="1:6" s="35" customFormat="1" ht="13.2" x14ac:dyDescent="0.25">
      <c r="A37" s="76" t="s">
        <v>88</v>
      </c>
      <c r="B37" s="76" t="s">
        <v>99</v>
      </c>
      <c r="C37" s="76" t="s">
        <v>88</v>
      </c>
      <c r="D37" s="77" t="s">
        <v>88</v>
      </c>
      <c r="E37" s="76"/>
      <c r="F37" s="82">
        <f>SUM(F32:F36)</f>
        <v>0</v>
      </c>
    </row>
    <row r="38" spans="1:6" s="35" customFormat="1" ht="13.2" x14ac:dyDescent="0.25">
      <c r="A38" s="76" t="s">
        <v>100</v>
      </c>
      <c r="B38" s="20" t="s">
        <v>101</v>
      </c>
      <c r="C38" s="76" t="s">
        <v>88</v>
      </c>
      <c r="D38" s="83" t="s">
        <v>88</v>
      </c>
      <c r="E38" s="76"/>
      <c r="F38" s="22" t="s">
        <v>87</v>
      </c>
    </row>
    <row r="39" spans="1:6" s="35" customFormat="1" ht="15.6" x14ac:dyDescent="0.25">
      <c r="A39" s="76" t="s">
        <v>102</v>
      </c>
      <c r="B39" s="23" t="s">
        <v>103</v>
      </c>
      <c r="C39" s="22" t="s">
        <v>249</v>
      </c>
      <c r="D39" s="79">
        <f>((0.4*0.05*34.6)+(1.2*1.2*0.05)*12)*1.1</f>
        <v>1.7116000000000002</v>
      </c>
      <c r="E39" s="80"/>
      <c r="F39" s="81">
        <f t="shared" ref="F39:F45" si="3">D39*E39</f>
        <v>0</v>
      </c>
    </row>
    <row r="40" spans="1:6" s="35" customFormat="1" ht="15.6" x14ac:dyDescent="0.25">
      <c r="A40" s="76" t="s">
        <v>104</v>
      </c>
      <c r="B40" s="84" t="s">
        <v>105</v>
      </c>
      <c r="C40" s="22" t="s">
        <v>249</v>
      </c>
      <c r="D40" s="79">
        <f>(1.2*1.2*0.25)*12*1.1</f>
        <v>4.7520000000000007</v>
      </c>
      <c r="E40" s="80"/>
      <c r="F40" s="81">
        <f t="shared" si="3"/>
        <v>0</v>
      </c>
    </row>
    <row r="41" spans="1:6" s="35" customFormat="1" ht="15.6" x14ac:dyDescent="0.25">
      <c r="A41" s="76" t="s">
        <v>106</v>
      </c>
      <c r="B41" s="23" t="s">
        <v>107</v>
      </c>
      <c r="C41" s="22" t="s">
        <v>249</v>
      </c>
      <c r="D41" s="79">
        <f>(0.2*0.2*1.5)*12*1</f>
        <v>0.7200000000000002</v>
      </c>
      <c r="E41" s="80"/>
      <c r="F41" s="81">
        <f t="shared" si="3"/>
        <v>0</v>
      </c>
    </row>
    <row r="42" spans="1:6" s="35" customFormat="1" ht="26.4" x14ac:dyDescent="0.25">
      <c r="A42" s="76" t="s">
        <v>108</v>
      </c>
      <c r="B42" s="23" t="s">
        <v>109</v>
      </c>
      <c r="C42" s="22" t="s">
        <v>248</v>
      </c>
      <c r="D42" s="79">
        <f>(34.6*1.05)*1.1</f>
        <v>39.963000000000008</v>
      </c>
      <c r="E42" s="80"/>
      <c r="F42" s="81">
        <f t="shared" si="3"/>
        <v>0</v>
      </c>
    </row>
    <row r="43" spans="1:6" s="35" customFormat="1" ht="15.6" x14ac:dyDescent="0.25">
      <c r="A43" s="76" t="s">
        <v>110</v>
      </c>
      <c r="B43" s="23" t="s">
        <v>111</v>
      </c>
      <c r="C43" s="22" t="s">
        <v>249</v>
      </c>
      <c r="D43" s="79">
        <f>(0.2*0.2*34.6)*1.1</f>
        <v>1.5224000000000004</v>
      </c>
      <c r="E43" s="80"/>
      <c r="F43" s="81">
        <f t="shared" si="3"/>
        <v>0</v>
      </c>
    </row>
    <row r="44" spans="1:6" s="35" customFormat="1" ht="15.6" x14ac:dyDescent="0.25">
      <c r="A44" s="76" t="s">
        <v>112</v>
      </c>
      <c r="B44" s="23" t="s">
        <v>113</v>
      </c>
      <c r="C44" s="22" t="s">
        <v>249</v>
      </c>
      <c r="D44" s="79">
        <f>(0.76*6*0.15)*1.1</f>
        <v>0.75240000000000007</v>
      </c>
      <c r="E44" s="80"/>
      <c r="F44" s="81">
        <f t="shared" si="3"/>
        <v>0</v>
      </c>
    </row>
    <row r="45" spans="1:6" s="35" customFormat="1" ht="15.6" x14ac:dyDescent="0.25">
      <c r="A45" s="76" t="s">
        <v>114</v>
      </c>
      <c r="B45" s="23" t="s">
        <v>115</v>
      </c>
      <c r="C45" s="22" t="s">
        <v>249</v>
      </c>
      <c r="D45" s="79">
        <f>70*0.12*1.1</f>
        <v>9.240000000000002</v>
      </c>
      <c r="E45" s="80"/>
      <c r="F45" s="81">
        <f t="shared" si="3"/>
        <v>0</v>
      </c>
    </row>
    <row r="46" spans="1:6" s="35" customFormat="1" ht="13.2" x14ac:dyDescent="0.25">
      <c r="A46" s="76" t="s">
        <v>88</v>
      </c>
      <c r="B46" s="76" t="s">
        <v>116</v>
      </c>
      <c r="C46" s="76" t="s">
        <v>88</v>
      </c>
      <c r="D46" s="77" t="s">
        <v>88</v>
      </c>
      <c r="E46" s="76"/>
      <c r="F46" s="82">
        <f>SUM(F39:F45)</f>
        <v>0</v>
      </c>
    </row>
    <row r="47" spans="1:6" s="35" customFormat="1" ht="13.2" x14ac:dyDescent="0.25">
      <c r="A47" s="76" t="s">
        <v>117</v>
      </c>
      <c r="B47" s="20" t="s">
        <v>118</v>
      </c>
      <c r="C47" s="22" t="s">
        <v>87</v>
      </c>
      <c r="D47" s="78" t="s">
        <v>88</v>
      </c>
      <c r="E47" s="22"/>
      <c r="F47" s="22" t="s">
        <v>87</v>
      </c>
    </row>
    <row r="48" spans="1:6" s="35" customFormat="1" ht="15.6" x14ac:dyDescent="0.25">
      <c r="A48" s="76" t="s">
        <v>119</v>
      </c>
      <c r="B48" s="23" t="s">
        <v>120</v>
      </c>
      <c r="C48" s="22" t="s">
        <v>248</v>
      </c>
      <c r="D48" s="79">
        <f>(4.4*34.6)*1.1</f>
        <v>167.46400000000003</v>
      </c>
      <c r="E48" s="80"/>
      <c r="F48" s="81">
        <f t="shared" ref="F48:F54" si="4">D48*E48</f>
        <v>0</v>
      </c>
    </row>
    <row r="49" spans="1:6" s="35" customFormat="1" ht="15.6" x14ac:dyDescent="0.25">
      <c r="A49" s="76" t="s">
        <v>121</v>
      </c>
      <c r="B49" s="84" t="s">
        <v>122</v>
      </c>
      <c r="C49" s="22" t="s">
        <v>249</v>
      </c>
      <c r="D49" s="79">
        <f>(0.15*0.15*4)*12*1.1</f>
        <v>1.1880000000000002</v>
      </c>
      <c r="E49" s="80"/>
      <c r="F49" s="81">
        <f t="shared" si="4"/>
        <v>0</v>
      </c>
    </row>
    <row r="50" spans="1:6" s="35" customFormat="1" ht="15.6" x14ac:dyDescent="0.25">
      <c r="A50" s="76" t="s">
        <v>123</v>
      </c>
      <c r="B50" s="23" t="s">
        <v>124</v>
      </c>
      <c r="C50" s="22" t="s">
        <v>249</v>
      </c>
      <c r="D50" s="79">
        <f>(34.6*0.15*0.1)*1.1</f>
        <v>0.57090000000000007</v>
      </c>
      <c r="E50" s="80"/>
      <c r="F50" s="81">
        <f t="shared" si="4"/>
        <v>0</v>
      </c>
    </row>
    <row r="51" spans="1:6" s="35" customFormat="1" ht="15.6" x14ac:dyDescent="0.25">
      <c r="A51" s="76" t="s">
        <v>125</v>
      </c>
      <c r="B51" s="23" t="s">
        <v>126</v>
      </c>
      <c r="C51" s="22" t="s">
        <v>249</v>
      </c>
      <c r="D51" s="79">
        <f>(34.6*0.15*0.2)*1.1</f>
        <v>1.1418000000000001</v>
      </c>
      <c r="E51" s="80"/>
      <c r="F51" s="81">
        <f t="shared" si="4"/>
        <v>0</v>
      </c>
    </row>
    <row r="52" spans="1:6" s="35" customFormat="1" ht="15.6" x14ac:dyDescent="0.25">
      <c r="A52" s="76" t="s">
        <v>127</v>
      </c>
      <c r="B52" s="23" t="s">
        <v>124</v>
      </c>
      <c r="C52" s="22" t="s">
        <v>249</v>
      </c>
      <c r="D52" s="79">
        <f>(34.6*0.15*0.1)*1.1</f>
        <v>0.57090000000000007</v>
      </c>
      <c r="E52" s="80"/>
      <c r="F52" s="81">
        <f t="shared" si="4"/>
        <v>0</v>
      </c>
    </row>
    <row r="53" spans="1:6" s="35" customFormat="1" ht="15.6" x14ac:dyDescent="0.25">
      <c r="A53" s="76" t="s">
        <v>128</v>
      </c>
      <c r="B53" s="23" t="s">
        <v>129</v>
      </c>
      <c r="C53" s="22" t="s">
        <v>249</v>
      </c>
      <c r="D53" s="79">
        <f>(34.6*0.15*0.2)*1.1</f>
        <v>1.1418000000000001</v>
      </c>
      <c r="E53" s="80"/>
      <c r="F53" s="81">
        <f t="shared" si="4"/>
        <v>0</v>
      </c>
    </row>
    <row r="54" spans="1:6" s="35" customFormat="1" ht="15.6" x14ac:dyDescent="0.25">
      <c r="A54" s="76" t="s">
        <v>130</v>
      </c>
      <c r="B54" s="23" t="s">
        <v>131</v>
      </c>
      <c r="C54" s="22" t="s">
        <v>249</v>
      </c>
      <c r="D54" s="79">
        <f>(10.3*0.127)*1.1</f>
        <v>1.4389100000000001</v>
      </c>
      <c r="E54" s="80"/>
      <c r="F54" s="81">
        <f t="shared" si="4"/>
        <v>0</v>
      </c>
    </row>
    <row r="55" spans="1:6" s="35" customFormat="1" ht="13.2" x14ac:dyDescent="0.25">
      <c r="A55" s="76" t="s">
        <v>88</v>
      </c>
      <c r="B55" s="76" t="s">
        <v>132</v>
      </c>
      <c r="C55" s="76" t="s">
        <v>88</v>
      </c>
      <c r="D55" s="77" t="s">
        <v>88</v>
      </c>
      <c r="E55" s="76"/>
      <c r="F55" s="82">
        <f>SUM(F48:F53)</f>
        <v>0</v>
      </c>
    </row>
    <row r="56" spans="1:6" s="35" customFormat="1" ht="13.2" x14ac:dyDescent="0.25">
      <c r="A56" s="76" t="s">
        <v>133</v>
      </c>
      <c r="B56" s="20" t="s">
        <v>134</v>
      </c>
      <c r="C56" s="22" t="s">
        <v>87</v>
      </c>
      <c r="D56" s="78" t="s">
        <v>88</v>
      </c>
      <c r="E56" s="22"/>
      <c r="F56" s="22" t="s">
        <v>87</v>
      </c>
    </row>
    <row r="57" spans="1:6" s="35" customFormat="1" ht="26.4" x14ac:dyDescent="0.25">
      <c r="A57" s="76" t="s">
        <v>135</v>
      </c>
      <c r="B57" s="23" t="s">
        <v>136</v>
      </c>
      <c r="C57" s="22" t="s">
        <v>248</v>
      </c>
      <c r="D57" s="85">
        <f>(7.3*10.3)*1.1</f>
        <v>82.709000000000003</v>
      </c>
      <c r="E57" s="80"/>
      <c r="F57" s="81">
        <f>D57*E57</f>
        <v>0</v>
      </c>
    </row>
    <row r="58" spans="1:6" s="35" customFormat="1" ht="26.4" x14ac:dyDescent="0.25">
      <c r="A58" s="76" t="s">
        <v>137</v>
      </c>
      <c r="B58" s="23" t="s">
        <v>138</v>
      </c>
      <c r="C58" s="22" t="s">
        <v>13</v>
      </c>
      <c r="D58" s="85">
        <f>7.3*3*1.1</f>
        <v>24.09</v>
      </c>
      <c r="E58" s="80"/>
      <c r="F58" s="81">
        <f>D58*E58</f>
        <v>0</v>
      </c>
    </row>
    <row r="59" spans="1:6" s="35" customFormat="1" ht="26.4" x14ac:dyDescent="0.25">
      <c r="A59" s="76" t="s">
        <v>139</v>
      </c>
      <c r="B59" s="23" t="s">
        <v>140</v>
      </c>
      <c r="C59" s="22" t="s">
        <v>13</v>
      </c>
      <c r="D59" s="85">
        <f>10.3*7*1.1</f>
        <v>79.310000000000016</v>
      </c>
      <c r="E59" s="80"/>
      <c r="F59" s="81">
        <f>D59*E59</f>
        <v>0</v>
      </c>
    </row>
    <row r="60" spans="1:6" s="35" customFormat="1" ht="15.6" x14ac:dyDescent="0.25">
      <c r="A60" s="76" t="s">
        <v>141</v>
      </c>
      <c r="B60" s="23" t="s">
        <v>142</v>
      </c>
      <c r="C60" s="22" t="s">
        <v>248</v>
      </c>
      <c r="D60" s="85">
        <f>70*1.1</f>
        <v>77</v>
      </c>
      <c r="E60" s="80"/>
      <c r="F60" s="81">
        <f>D60*E60</f>
        <v>0</v>
      </c>
    </row>
    <row r="61" spans="1:6" s="35" customFormat="1" ht="13.2" x14ac:dyDescent="0.25">
      <c r="A61" s="76" t="s">
        <v>88</v>
      </c>
      <c r="B61" s="76" t="s">
        <v>143</v>
      </c>
      <c r="C61" s="76" t="s">
        <v>88</v>
      </c>
      <c r="D61" s="77" t="s">
        <v>88</v>
      </c>
      <c r="E61" s="76"/>
      <c r="F61" s="82">
        <f>SUM(F57:F60)</f>
        <v>0</v>
      </c>
    </row>
    <row r="62" spans="1:6" s="35" customFormat="1" ht="13.2" x14ac:dyDescent="0.25">
      <c r="A62" s="76" t="s">
        <v>144</v>
      </c>
      <c r="B62" s="20" t="s">
        <v>145</v>
      </c>
      <c r="C62" s="22" t="s">
        <v>87</v>
      </c>
      <c r="D62" s="78" t="s">
        <v>88</v>
      </c>
      <c r="E62" s="22"/>
      <c r="F62" s="22" t="s">
        <v>87</v>
      </c>
    </row>
    <row r="63" spans="1:6" s="35" customFormat="1" ht="26.4" x14ac:dyDescent="0.25">
      <c r="A63" s="76" t="s">
        <v>146</v>
      </c>
      <c r="B63" s="23" t="s">
        <v>147</v>
      </c>
      <c r="C63" s="22" t="s">
        <v>12</v>
      </c>
      <c r="D63" s="85">
        <v>2</v>
      </c>
      <c r="E63" s="80"/>
      <c r="F63" s="81">
        <f>D63*E63</f>
        <v>0</v>
      </c>
    </row>
    <row r="64" spans="1:6" s="35" customFormat="1" ht="26.4" x14ac:dyDescent="0.25">
      <c r="A64" s="76" t="s">
        <v>148</v>
      </c>
      <c r="B64" s="23" t="s">
        <v>149</v>
      </c>
      <c r="C64" s="22" t="s">
        <v>12</v>
      </c>
      <c r="D64" s="85">
        <v>8</v>
      </c>
      <c r="E64" s="80"/>
      <c r="F64" s="81">
        <f>D64*E64</f>
        <v>0</v>
      </c>
    </row>
    <row r="65" spans="1:6" s="35" customFormat="1" ht="13.2" x14ac:dyDescent="0.25">
      <c r="A65" s="76" t="s">
        <v>88</v>
      </c>
      <c r="B65" s="76" t="s">
        <v>150</v>
      </c>
      <c r="C65" s="76" t="s">
        <v>88</v>
      </c>
      <c r="D65" s="77" t="s">
        <v>88</v>
      </c>
      <c r="E65" s="76"/>
      <c r="F65" s="82">
        <f>SUM(F63:F64)</f>
        <v>0</v>
      </c>
    </row>
    <row r="66" spans="1:6" s="35" customFormat="1" ht="13.2" x14ac:dyDescent="0.25">
      <c r="A66" s="76" t="s">
        <v>151</v>
      </c>
      <c r="B66" s="20" t="s">
        <v>152</v>
      </c>
      <c r="C66" s="22" t="s">
        <v>87</v>
      </c>
      <c r="D66" s="79" t="s">
        <v>87</v>
      </c>
      <c r="E66" s="22"/>
      <c r="F66" s="22" t="s">
        <v>87</v>
      </c>
    </row>
    <row r="67" spans="1:6" s="35" customFormat="1" ht="15.6" x14ac:dyDescent="0.25">
      <c r="A67" s="76" t="s">
        <v>153</v>
      </c>
      <c r="B67" s="23" t="s">
        <v>154</v>
      </c>
      <c r="C67" s="22" t="s">
        <v>248</v>
      </c>
      <c r="D67" s="85">
        <f>(34*3.65)*1.1</f>
        <v>136.51</v>
      </c>
      <c r="E67" s="80"/>
      <c r="F67" s="81">
        <f t="shared" ref="F67:F72" si="5">D67*E67</f>
        <v>0</v>
      </c>
    </row>
    <row r="68" spans="1:6" s="35" customFormat="1" ht="15.6" x14ac:dyDescent="0.25">
      <c r="A68" s="76" t="s">
        <v>155</v>
      </c>
      <c r="B68" s="23" t="s">
        <v>156</v>
      </c>
      <c r="C68" s="22" t="s">
        <v>248</v>
      </c>
      <c r="D68" s="85">
        <f>(34.6*4.85)*1.1</f>
        <v>184.59100000000001</v>
      </c>
      <c r="E68" s="80"/>
      <c r="F68" s="81">
        <f t="shared" si="5"/>
        <v>0</v>
      </c>
    </row>
    <row r="69" spans="1:6" s="35" customFormat="1" ht="15.6" x14ac:dyDescent="0.25">
      <c r="A69" s="76" t="s">
        <v>157</v>
      </c>
      <c r="B69" s="23" t="s">
        <v>158</v>
      </c>
      <c r="C69" s="22" t="s">
        <v>248</v>
      </c>
      <c r="D69" s="85">
        <f>+D67</f>
        <v>136.51</v>
      </c>
      <c r="E69" s="80"/>
      <c r="F69" s="81">
        <f t="shared" si="5"/>
        <v>0</v>
      </c>
    </row>
    <row r="70" spans="1:6" s="35" customFormat="1" ht="15.6" x14ac:dyDescent="0.25">
      <c r="A70" s="76" t="s">
        <v>159</v>
      </c>
      <c r="B70" s="23" t="s">
        <v>160</v>
      </c>
      <c r="C70" s="22" t="s">
        <v>248</v>
      </c>
      <c r="D70" s="85">
        <f>+D68</f>
        <v>184.59100000000001</v>
      </c>
      <c r="E70" s="80"/>
      <c r="F70" s="81">
        <f t="shared" si="5"/>
        <v>0</v>
      </c>
    </row>
    <row r="71" spans="1:6" s="35" customFormat="1" ht="15.6" x14ac:dyDescent="0.25">
      <c r="A71" s="76" t="s">
        <v>161</v>
      </c>
      <c r="B71" s="23" t="s">
        <v>162</v>
      </c>
      <c r="C71" s="22" t="s">
        <v>248</v>
      </c>
      <c r="D71" s="85">
        <f>70*1.1</f>
        <v>77</v>
      </c>
      <c r="E71" s="80"/>
      <c r="F71" s="81">
        <f t="shared" si="5"/>
        <v>0</v>
      </c>
    </row>
    <row r="72" spans="1:6" s="35" customFormat="1" ht="15.6" x14ac:dyDescent="0.25">
      <c r="A72" s="76" t="s">
        <v>163</v>
      </c>
      <c r="B72" s="23" t="s">
        <v>164</v>
      </c>
      <c r="C72" s="22" t="s">
        <v>248</v>
      </c>
      <c r="D72" s="85">
        <f>70*1.1</f>
        <v>77</v>
      </c>
      <c r="E72" s="80"/>
      <c r="F72" s="81">
        <f t="shared" si="5"/>
        <v>0</v>
      </c>
    </row>
    <row r="73" spans="1:6" s="35" customFormat="1" ht="13.2" x14ac:dyDescent="0.25">
      <c r="A73" s="76" t="s">
        <v>88</v>
      </c>
      <c r="B73" s="76" t="s">
        <v>165</v>
      </c>
      <c r="C73" s="76" t="s">
        <v>88</v>
      </c>
      <c r="D73" s="77" t="s">
        <v>88</v>
      </c>
      <c r="E73" s="76"/>
      <c r="F73" s="82">
        <f>SUM(F67:F72)</f>
        <v>0</v>
      </c>
    </row>
    <row r="74" spans="1:6" s="35" customFormat="1" ht="13.2" x14ac:dyDescent="0.25">
      <c r="A74" s="76" t="s">
        <v>166</v>
      </c>
      <c r="B74" s="20" t="s">
        <v>167</v>
      </c>
      <c r="C74" s="22" t="s">
        <v>87</v>
      </c>
      <c r="D74" s="79" t="s">
        <v>87</v>
      </c>
      <c r="E74" s="22"/>
      <c r="F74" s="22" t="s">
        <v>87</v>
      </c>
    </row>
    <row r="75" spans="1:6" s="35" customFormat="1" ht="26.4" x14ac:dyDescent="0.25">
      <c r="A75" s="76" t="s">
        <v>168</v>
      </c>
      <c r="B75" s="23" t="s">
        <v>169</v>
      </c>
      <c r="C75" s="22" t="s">
        <v>23</v>
      </c>
      <c r="D75" s="85">
        <v>1</v>
      </c>
      <c r="E75" s="80"/>
      <c r="F75" s="81">
        <f>D75*E75</f>
        <v>0</v>
      </c>
    </row>
    <row r="76" spans="1:6" s="35" customFormat="1" ht="13.2" x14ac:dyDescent="0.25">
      <c r="A76" s="86" t="s">
        <v>170</v>
      </c>
      <c r="B76" s="87" t="s">
        <v>171</v>
      </c>
      <c r="C76" s="88" t="s">
        <v>12</v>
      </c>
      <c r="D76" s="89">
        <v>8</v>
      </c>
      <c r="E76" s="90"/>
      <c r="F76" s="91">
        <f>D76*E76</f>
        <v>0</v>
      </c>
    </row>
    <row r="77" spans="1:6" s="35" customFormat="1" ht="13.2" x14ac:dyDescent="0.25">
      <c r="A77" s="86" t="s">
        <v>172</v>
      </c>
      <c r="B77" s="92" t="s">
        <v>173</v>
      </c>
      <c r="C77" s="88" t="s">
        <v>12</v>
      </c>
      <c r="D77" s="89">
        <v>5</v>
      </c>
      <c r="E77" s="90"/>
      <c r="F77" s="91">
        <f>D77*E77</f>
        <v>0</v>
      </c>
    </row>
    <row r="78" spans="1:6" s="35" customFormat="1" ht="13.2" x14ac:dyDescent="0.25">
      <c r="A78" s="86" t="s">
        <v>174</v>
      </c>
      <c r="B78" s="87" t="s">
        <v>175</v>
      </c>
      <c r="C78" s="88" t="s">
        <v>12</v>
      </c>
      <c r="D78" s="89">
        <v>8</v>
      </c>
      <c r="E78" s="90"/>
      <c r="F78" s="91">
        <f>D78*E78</f>
        <v>0</v>
      </c>
    </row>
    <row r="79" spans="1:6" s="35" customFormat="1" ht="13.2" x14ac:dyDescent="0.25">
      <c r="A79" s="86" t="s">
        <v>176</v>
      </c>
      <c r="B79" s="87" t="s">
        <v>177</v>
      </c>
      <c r="C79" s="88" t="s">
        <v>12</v>
      </c>
      <c r="D79" s="89">
        <v>6</v>
      </c>
      <c r="E79" s="90"/>
      <c r="F79" s="91">
        <f>D79*E79</f>
        <v>0</v>
      </c>
    </row>
    <row r="80" spans="1:6" s="35" customFormat="1" ht="13.2" x14ac:dyDescent="0.25">
      <c r="A80" s="86" t="s">
        <v>88</v>
      </c>
      <c r="B80" s="86" t="s">
        <v>178</v>
      </c>
      <c r="C80" s="86" t="s">
        <v>88</v>
      </c>
      <c r="D80" s="93" t="s">
        <v>88</v>
      </c>
      <c r="E80" s="86"/>
      <c r="F80" s="94">
        <f>SUM(F75:F79)</f>
        <v>0</v>
      </c>
    </row>
    <row r="81" spans="1:6" s="35" customFormat="1" ht="13.2" x14ac:dyDescent="0.25">
      <c r="A81" s="95" t="s">
        <v>88</v>
      </c>
      <c r="B81" s="96" t="s">
        <v>179</v>
      </c>
      <c r="C81" s="97" t="s">
        <v>87</v>
      </c>
      <c r="D81" s="98" t="s">
        <v>87</v>
      </c>
      <c r="E81" s="97"/>
      <c r="F81" s="99">
        <f>F80+F73+F65+F61+F55+F46+F37</f>
        <v>0</v>
      </c>
    </row>
    <row r="82" spans="1:6" s="35" customFormat="1" ht="13.2" x14ac:dyDescent="0.25">
      <c r="A82" s="100"/>
      <c r="B82" s="100"/>
      <c r="C82" s="100"/>
      <c r="D82" s="100"/>
      <c r="E82" s="100"/>
      <c r="F82" s="100"/>
    </row>
    <row r="83" spans="1:6" s="35" customFormat="1" ht="13.2" x14ac:dyDescent="0.25">
      <c r="A83" s="75" t="s">
        <v>243</v>
      </c>
      <c r="B83" s="113" t="s">
        <v>181</v>
      </c>
      <c r="C83" s="113"/>
      <c r="D83" s="113"/>
      <c r="E83" s="113"/>
      <c r="F83" s="113"/>
    </row>
    <row r="84" spans="1:6" s="35" customFormat="1" ht="26.4" x14ac:dyDescent="0.25">
      <c r="A84" s="76" t="s">
        <v>79</v>
      </c>
      <c r="B84" s="20" t="s">
        <v>80</v>
      </c>
      <c r="C84" s="76" t="s">
        <v>81</v>
      </c>
      <c r="D84" s="77" t="s">
        <v>82</v>
      </c>
      <c r="E84" s="76" t="s">
        <v>83</v>
      </c>
      <c r="F84" s="76" t="s">
        <v>84</v>
      </c>
    </row>
    <row r="85" spans="1:6" s="35" customFormat="1" ht="13.2" x14ac:dyDescent="0.25">
      <c r="A85" s="76" t="s">
        <v>85</v>
      </c>
      <c r="B85" s="20" t="s">
        <v>86</v>
      </c>
      <c r="C85" s="22" t="s">
        <v>87</v>
      </c>
      <c r="D85" s="78" t="s">
        <v>88</v>
      </c>
      <c r="E85" s="22" t="s">
        <v>87</v>
      </c>
      <c r="F85" s="76" t="s">
        <v>87</v>
      </c>
    </row>
    <row r="86" spans="1:6" s="35" customFormat="1" ht="15.6" x14ac:dyDescent="0.25">
      <c r="A86" s="76" t="s">
        <v>89</v>
      </c>
      <c r="B86" s="23" t="s">
        <v>90</v>
      </c>
      <c r="C86" s="22" t="s">
        <v>248</v>
      </c>
      <c r="D86" s="79">
        <f>(10.45+2)*(4.3+2)</f>
        <v>78.434999999999988</v>
      </c>
      <c r="E86" s="80"/>
      <c r="F86" s="81">
        <f>D86*E86</f>
        <v>0</v>
      </c>
    </row>
    <row r="87" spans="1:6" s="35" customFormat="1" ht="15.6" x14ac:dyDescent="0.25">
      <c r="A87" s="76" t="s">
        <v>91</v>
      </c>
      <c r="B87" s="23" t="s">
        <v>92</v>
      </c>
      <c r="C87" s="22" t="s">
        <v>249</v>
      </c>
      <c r="D87" s="79">
        <f>(33.5*0.4*0.6)*1.1</f>
        <v>8.8439999999999994</v>
      </c>
      <c r="E87" s="80"/>
      <c r="F87" s="81">
        <f>D87*E87</f>
        <v>0</v>
      </c>
    </row>
    <row r="88" spans="1:6" s="35" customFormat="1" ht="15.6" x14ac:dyDescent="0.25">
      <c r="A88" s="76" t="s">
        <v>93</v>
      </c>
      <c r="B88" s="23" t="s">
        <v>94</v>
      </c>
      <c r="C88" s="22" t="s">
        <v>249</v>
      </c>
      <c r="D88" s="79">
        <f>(1.2*1.2*1.2)*13*1.1</f>
        <v>24.7104</v>
      </c>
      <c r="E88" s="80"/>
      <c r="F88" s="81">
        <f>D88*E88</f>
        <v>0</v>
      </c>
    </row>
    <row r="89" spans="1:6" s="35" customFormat="1" ht="15.6" x14ac:dyDescent="0.25">
      <c r="A89" s="76" t="s">
        <v>95</v>
      </c>
      <c r="B89" s="23" t="s">
        <v>96</v>
      </c>
      <c r="C89" s="22" t="s">
        <v>249</v>
      </c>
      <c r="D89" s="79">
        <f>+D88+D87</f>
        <v>33.554400000000001</v>
      </c>
      <c r="E89" s="80"/>
      <c r="F89" s="81">
        <f>D89*E89</f>
        <v>0</v>
      </c>
    </row>
    <row r="90" spans="1:6" s="35" customFormat="1" ht="15.6" x14ac:dyDescent="0.25">
      <c r="A90" s="76" t="s">
        <v>97</v>
      </c>
      <c r="B90" s="23" t="s">
        <v>98</v>
      </c>
      <c r="C90" s="22" t="s">
        <v>249</v>
      </c>
      <c r="D90" s="79">
        <f>((44.935*0.45)-D89*0.15)*1.1</f>
        <v>16.706349000000007</v>
      </c>
      <c r="E90" s="80"/>
      <c r="F90" s="81">
        <f>D90*E90</f>
        <v>0</v>
      </c>
    </row>
    <row r="91" spans="1:6" s="35" customFormat="1" ht="13.2" x14ac:dyDescent="0.25">
      <c r="A91" s="76" t="s">
        <v>88</v>
      </c>
      <c r="B91" s="76" t="s">
        <v>99</v>
      </c>
      <c r="C91" s="76" t="s">
        <v>88</v>
      </c>
      <c r="D91" s="77" t="s">
        <v>88</v>
      </c>
      <c r="E91" s="76"/>
      <c r="F91" s="82">
        <f>SUM(F86:F90)</f>
        <v>0</v>
      </c>
    </row>
    <row r="92" spans="1:6" s="35" customFormat="1" ht="13.2" x14ac:dyDescent="0.25">
      <c r="A92" s="76" t="s">
        <v>100</v>
      </c>
      <c r="B92" s="20" t="s">
        <v>101</v>
      </c>
      <c r="C92" s="76" t="s">
        <v>88</v>
      </c>
      <c r="D92" s="83" t="s">
        <v>88</v>
      </c>
      <c r="E92" s="76"/>
      <c r="F92" s="22" t="s">
        <v>87</v>
      </c>
    </row>
    <row r="93" spans="1:6" s="35" customFormat="1" ht="15.6" x14ac:dyDescent="0.25">
      <c r="A93" s="76" t="s">
        <v>102</v>
      </c>
      <c r="B93" s="23" t="s">
        <v>103</v>
      </c>
      <c r="C93" s="22" t="s">
        <v>249</v>
      </c>
      <c r="D93" s="79">
        <f>((0.4*0.05*33.5)+(1.2*1.2*0.05)*13)*1.1</f>
        <v>1.7666000000000002</v>
      </c>
      <c r="E93" s="80"/>
      <c r="F93" s="81">
        <f t="shared" ref="F93:F99" si="6">D93*E93</f>
        <v>0</v>
      </c>
    </row>
    <row r="94" spans="1:6" s="35" customFormat="1" ht="15.6" x14ac:dyDescent="0.25">
      <c r="A94" s="76" t="s">
        <v>104</v>
      </c>
      <c r="B94" s="84" t="s">
        <v>105</v>
      </c>
      <c r="C94" s="22" t="s">
        <v>249</v>
      </c>
      <c r="D94" s="79">
        <f>(1.2*1.2*0.25)*13*1.1</f>
        <v>5.1479999999999997</v>
      </c>
      <c r="E94" s="80"/>
      <c r="F94" s="81">
        <f t="shared" si="6"/>
        <v>0</v>
      </c>
    </row>
    <row r="95" spans="1:6" s="35" customFormat="1" ht="15.6" x14ac:dyDescent="0.25">
      <c r="A95" s="76" t="s">
        <v>106</v>
      </c>
      <c r="B95" s="23" t="s">
        <v>107</v>
      </c>
      <c r="C95" s="22" t="s">
        <v>249</v>
      </c>
      <c r="D95" s="79">
        <f>(0.2*0.2*1.5)*13*1.1</f>
        <v>0.85800000000000021</v>
      </c>
      <c r="E95" s="80"/>
      <c r="F95" s="81">
        <f t="shared" si="6"/>
        <v>0</v>
      </c>
    </row>
    <row r="96" spans="1:6" s="35" customFormat="1" ht="26.4" x14ac:dyDescent="0.25">
      <c r="A96" s="76" t="s">
        <v>108</v>
      </c>
      <c r="B96" s="23" t="s">
        <v>109</v>
      </c>
      <c r="C96" s="22" t="s">
        <v>248</v>
      </c>
      <c r="D96" s="79">
        <f>(33.5*1.05)*1.1</f>
        <v>38.69250000000001</v>
      </c>
      <c r="E96" s="80"/>
      <c r="F96" s="81">
        <f t="shared" si="6"/>
        <v>0</v>
      </c>
    </row>
    <row r="97" spans="1:6" s="35" customFormat="1" ht="15.6" x14ac:dyDescent="0.25">
      <c r="A97" s="76" t="s">
        <v>110</v>
      </c>
      <c r="B97" s="23" t="s">
        <v>111</v>
      </c>
      <c r="C97" s="22" t="s">
        <v>249</v>
      </c>
      <c r="D97" s="79">
        <f>(0.2*0.2*33.5)*1.1</f>
        <v>1.4740000000000004</v>
      </c>
      <c r="E97" s="80"/>
      <c r="F97" s="81">
        <f t="shared" si="6"/>
        <v>0</v>
      </c>
    </row>
    <row r="98" spans="1:6" s="35" customFormat="1" ht="15.6" x14ac:dyDescent="0.25">
      <c r="A98" s="76" t="s">
        <v>112</v>
      </c>
      <c r="B98" s="23" t="s">
        <v>113</v>
      </c>
      <c r="C98" s="22" t="s">
        <v>249</v>
      </c>
      <c r="D98" s="79">
        <f>(0.76*6*0.15)*1.1</f>
        <v>0.75240000000000007</v>
      </c>
      <c r="E98" s="80"/>
      <c r="F98" s="81">
        <f t="shared" si="6"/>
        <v>0</v>
      </c>
    </row>
    <row r="99" spans="1:6" s="35" customFormat="1" ht="26.4" x14ac:dyDescent="0.25">
      <c r="A99" s="76" t="s">
        <v>114</v>
      </c>
      <c r="B99" s="23" t="s">
        <v>182</v>
      </c>
      <c r="C99" s="22" t="s">
        <v>249</v>
      </c>
      <c r="D99" s="79">
        <f>44.935*0.12*1.1</f>
        <v>5.9314200000000001</v>
      </c>
      <c r="E99" s="80"/>
      <c r="F99" s="81">
        <f t="shared" si="6"/>
        <v>0</v>
      </c>
    </row>
    <row r="100" spans="1:6" s="35" customFormat="1" ht="13.2" x14ac:dyDescent="0.25">
      <c r="A100" s="76" t="s">
        <v>88</v>
      </c>
      <c r="B100" s="76" t="s">
        <v>116</v>
      </c>
      <c r="C100" s="76" t="s">
        <v>88</v>
      </c>
      <c r="D100" s="77" t="s">
        <v>88</v>
      </c>
      <c r="E100" s="76"/>
      <c r="F100" s="82">
        <f>SUM(F93:F99)</f>
        <v>0</v>
      </c>
    </row>
    <row r="101" spans="1:6" s="35" customFormat="1" ht="13.2" x14ac:dyDescent="0.25">
      <c r="A101" s="76" t="s">
        <v>117</v>
      </c>
      <c r="B101" s="20" t="s">
        <v>118</v>
      </c>
      <c r="C101" s="22" t="s">
        <v>87</v>
      </c>
      <c r="D101" s="78" t="s">
        <v>88</v>
      </c>
      <c r="E101" s="22"/>
      <c r="F101" s="22" t="s">
        <v>87</v>
      </c>
    </row>
    <row r="102" spans="1:6" s="35" customFormat="1" ht="15.6" x14ac:dyDescent="0.25">
      <c r="A102" s="76" t="s">
        <v>119</v>
      </c>
      <c r="B102" s="23" t="s">
        <v>120</v>
      </c>
      <c r="C102" s="22" t="s">
        <v>248</v>
      </c>
      <c r="D102" s="79">
        <f>(3.65*33.5)*1.1</f>
        <v>134.5025</v>
      </c>
      <c r="E102" s="80"/>
      <c r="F102" s="81">
        <f t="shared" ref="F102:F107" si="7">D102*E102</f>
        <v>0</v>
      </c>
    </row>
    <row r="103" spans="1:6" s="35" customFormat="1" ht="15.6" x14ac:dyDescent="0.25">
      <c r="A103" s="76" t="s">
        <v>121</v>
      </c>
      <c r="B103" s="84" t="s">
        <v>122</v>
      </c>
      <c r="C103" s="22" t="s">
        <v>249</v>
      </c>
      <c r="D103" s="79">
        <f>(0.15*0.15*3.4)*13*1.1</f>
        <v>1.09395</v>
      </c>
      <c r="E103" s="80"/>
      <c r="F103" s="81">
        <f t="shared" si="7"/>
        <v>0</v>
      </c>
    </row>
    <row r="104" spans="1:6" s="35" customFormat="1" ht="15.6" x14ac:dyDescent="0.25">
      <c r="A104" s="76" t="s">
        <v>123</v>
      </c>
      <c r="B104" s="23" t="s">
        <v>124</v>
      </c>
      <c r="C104" s="22" t="s">
        <v>249</v>
      </c>
      <c r="D104" s="79">
        <f>(33.5*0.15*0.1)*1.1</f>
        <v>0.55274999999999996</v>
      </c>
      <c r="E104" s="80"/>
      <c r="F104" s="81">
        <f t="shared" si="7"/>
        <v>0</v>
      </c>
    </row>
    <row r="105" spans="1:6" s="35" customFormat="1" ht="15.6" x14ac:dyDescent="0.25">
      <c r="A105" s="76" t="s">
        <v>125</v>
      </c>
      <c r="B105" s="23" t="s">
        <v>126</v>
      </c>
      <c r="C105" s="22" t="s">
        <v>249</v>
      </c>
      <c r="D105" s="79">
        <f>(33.5*0.15*0.2)*1.1</f>
        <v>1.1054999999999999</v>
      </c>
      <c r="E105" s="80"/>
      <c r="F105" s="81">
        <f t="shared" si="7"/>
        <v>0</v>
      </c>
    </row>
    <row r="106" spans="1:6" s="35" customFormat="1" ht="15.6" x14ac:dyDescent="0.25">
      <c r="A106" s="76" t="s">
        <v>127</v>
      </c>
      <c r="B106" s="23" t="s">
        <v>124</v>
      </c>
      <c r="C106" s="22" t="s">
        <v>249</v>
      </c>
      <c r="D106" s="79">
        <f>(33.5*0.15*0.1)*1.1</f>
        <v>0.55274999999999996</v>
      </c>
      <c r="E106" s="80"/>
      <c r="F106" s="81">
        <f t="shared" si="7"/>
        <v>0</v>
      </c>
    </row>
    <row r="107" spans="1:6" s="35" customFormat="1" ht="15.6" x14ac:dyDescent="0.25">
      <c r="A107" s="76" t="s">
        <v>128</v>
      </c>
      <c r="B107" s="23" t="s">
        <v>129</v>
      </c>
      <c r="C107" s="22" t="s">
        <v>249</v>
      </c>
      <c r="D107" s="79">
        <f>(33.5*0.15*0.4)*1.1</f>
        <v>2.2109999999999999</v>
      </c>
      <c r="E107" s="80"/>
      <c r="F107" s="81">
        <f t="shared" si="7"/>
        <v>0</v>
      </c>
    </row>
    <row r="108" spans="1:6" s="35" customFormat="1" ht="15.6" x14ac:dyDescent="0.25">
      <c r="A108" s="76" t="s">
        <v>130</v>
      </c>
      <c r="B108" s="23" t="s">
        <v>131</v>
      </c>
      <c r="C108" s="22" t="s">
        <v>249</v>
      </c>
      <c r="D108" s="79">
        <f>(10.45*0.127)*1.1</f>
        <v>1.459865</v>
      </c>
      <c r="E108" s="80"/>
      <c r="F108" s="81">
        <f>D108*E108</f>
        <v>0</v>
      </c>
    </row>
    <row r="109" spans="1:6" s="35" customFormat="1" ht="13.2" x14ac:dyDescent="0.25">
      <c r="A109" s="76" t="s">
        <v>88</v>
      </c>
      <c r="B109" s="76" t="s">
        <v>132</v>
      </c>
      <c r="C109" s="76" t="s">
        <v>88</v>
      </c>
      <c r="D109" s="77" t="s">
        <v>88</v>
      </c>
      <c r="E109" s="76"/>
      <c r="F109" s="82">
        <f>SUM(F102:F107)</f>
        <v>0</v>
      </c>
    </row>
    <row r="110" spans="1:6" s="35" customFormat="1" ht="13.2" x14ac:dyDescent="0.25">
      <c r="A110" s="76" t="s">
        <v>133</v>
      </c>
      <c r="B110" s="20" t="s">
        <v>134</v>
      </c>
      <c r="C110" s="22" t="s">
        <v>87</v>
      </c>
      <c r="D110" s="78" t="s">
        <v>88</v>
      </c>
      <c r="E110" s="22"/>
      <c r="F110" s="22" t="s">
        <v>87</v>
      </c>
    </row>
    <row r="111" spans="1:6" s="35" customFormat="1" ht="26.4" x14ac:dyDescent="0.25">
      <c r="A111" s="76" t="s">
        <v>135</v>
      </c>
      <c r="B111" s="23" t="s">
        <v>136</v>
      </c>
      <c r="C111" s="22" t="s">
        <v>183</v>
      </c>
      <c r="D111" s="79">
        <f>(4.65*10.45)*1.1</f>
        <v>53.451750000000004</v>
      </c>
      <c r="E111" s="80"/>
      <c r="F111" s="81">
        <f>D111*E111</f>
        <v>0</v>
      </c>
    </row>
    <row r="112" spans="1:6" s="35" customFormat="1" ht="26.4" x14ac:dyDescent="0.25">
      <c r="A112" s="76" t="s">
        <v>137</v>
      </c>
      <c r="B112" s="23" t="s">
        <v>184</v>
      </c>
      <c r="C112" s="22" t="s">
        <v>13</v>
      </c>
      <c r="D112" s="79">
        <f>4.65*2*1.1</f>
        <v>10.230000000000002</v>
      </c>
      <c r="E112" s="80"/>
      <c r="F112" s="81">
        <f>D112*E112</f>
        <v>0</v>
      </c>
    </row>
    <row r="113" spans="1:6" s="35" customFormat="1" ht="26.4" x14ac:dyDescent="0.25">
      <c r="A113" s="76" t="s">
        <v>139</v>
      </c>
      <c r="B113" s="23" t="s">
        <v>140</v>
      </c>
      <c r="C113" s="22" t="s">
        <v>13</v>
      </c>
      <c r="D113" s="79">
        <f>10.45*4*1.1</f>
        <v>45.980000000000004</v>
      </c>
      <c r="E113" s="80"/>
      <c r="F113" s="81">
        <f>D113*E113</f>
        <v>0</v>
      </c>
    </row>
    <row r="114" spans="1:6" s="35" customFormat="1" ht="13.2" x14ac:dyDescent="0.25">
      <c r="A114" s="76" t="s">
        <v>141</v>
      </c>
      <c r="B114" s="23" t="s">
        <v>185</v>
      </c>
      <c r="C114" s="22" t="s">
        <v>183</v>
      </c>
      <c r="D114" s="79">
        <f>44.935*1.1</f>
        <v>49.428500000000007</v>
      </c>
      <c r="E114" s="80"/>
      <c r="F114" s="81">
        <f>D114*E114</f>
        <v>0</v>
      </c>
    </row>
    <row r="115" spans="1:6" s="35" customFormat="1" ht="13.2" x14ac:dyDescent="0.25">
      <c r="A115" s="76" t="s">
        <v>88</v>
      </c>
      <c r="B115" s="76" t="s">
        <v>143</v>
      </c>
      <c r="C115" s="76" t="s">
        <v>88</v>
      </c>
      <c r="D115" s="77" t="s">
        <v>88</v>
      </c>
      <c r="E115" s="76"/>
      <c r="F115" s="82">
        <f>SUM(F111:F114)</f>
        <v>0</v>
      </c>
    </row>
    <row r="116" spans="1:6" s="35" customFormat="1" ht="13.2" x14ac:dyDescent="0.25">
      <c r="A116" s="76" t="s">
        <v>144</v>
      </c>
      <c r="B116" s="20" t="s">
        <v>145</v>
      </c>
      <c r="C116" s="22" t="s">
        <v>87</v>
      </c>
      <c r="D116" s="78" t="s">
        <v>88</v>
      </c>
      <c r="E116" s="22"/>
      <c r="F116" s="22" t="s">
        <v>87</v>
      </c>
    </row>
    <row r="117" spans="1:6" s="35" customFormat="1" ht="26.4" x14ac:dyDescent="0.25">
      <c r="A117" s="76" t="s">
        <v>146</v>
      </c>
      <c r="B117" s="23" t="s">
        <v>147</v>
      </c>
      <c r="C117" s="22" t="s">
        <v>12</v>
      </c>
      <c r="D117" s="85">
        <v>2</v>
      </c>
      <c r="E117" s="80"/>
      <c r="F117" s="81">
        <f>D117*E117</f>
        <v>0</v>
      </c>
    </row>
    <row r="118" spans="1:6" s="35" customFormat="1" ht="26.4" x14ac:dyDescent="0.25">
      <c r="A118" s="76" t="s">
        <v>148</v>
      </c>
      <c r="B118" s="23" t="s">
        <v>149</v>
      </c>
      <c r="C118" s="22" t="s">
        <v>12</v>
      </c>
      <c r="D118" s="85">
        <v>4</v>
      </c>
      <c r="E118" s="80"/>
      <c r="F118" s="81">
        <f>D118*E118</f>
        <v>0</v>
      </c>
    </row>
    <row r="119" spans="1:6" s="35" customFormat="1" ht="13.2" x14ac:dyDescent="0.25">
      <c r="A119" s="76" t="s">
        <v>88</v>
      </c>
      <c r="B119" s="76" t="s">
        <v>150</v>
      </c>
      <c r="C119" s="76" t="s">
        <v>88</v>
      </c>
      <c r="D119" s="77" t="s">
        <v>88</v>
      </c>
      <c r="E119" s="76"/>
      <c r="F119" s="82">
        <f>SUM(F117:F118)</f>
        <v>0</v>
      </c>
    </row>
    <row r="120" spans="1:6" s="35" customFormat="1" ht="13.2" x14ac:dyDescent="0.25">
      <c r="A120" s="76" t="s">
        <v>151</v>
      </c>
      <c r="B120" s="20" t="s">
        <v>152</v>
      </c>
      <c r="C120" s="22" t="s">
        <v>87</v>
      </c>
      <c r="D120" s="79" t="s">
        <v>87</v>
      </c>
      <c r="E120" s="22"/>
      <c r="F120" s="22" t="s">
        <v>87</v>
      </c>
    </row>
    <row r="121" spans="1:6" s="35" customFormat="1" ht="15.6" x14ac:dyDescent="0.25">
      <c r="A121" s="76" t="s">
        <v>153</v>
      </c>
      <c r="B121" s="23" t="s">
        <v>154</v>
      </c>
      <c r="C121" s="22" t="s">
        <v>248</v>
      </c>
      <c r="D121" s="79">
        <f>(36*3.65)*1.1</f>
        <v>144.54000000000002</v>
      </c>
      <c r="E121" s="80"/>
      <c r="F121" s="81">
        <f t="shared" ref="F121:F126" si="8">D121*E121</f>
        <v>0</v>
      </c>
    </row>
    <row r="122" spans="1:6" s="35" customFormat="1" ht="15.6" x14ac:dyDescent="0.25">
      <c r="A122" s="76" t="s">
        <v>155</v>
      </c>
      <c r="B122" s="23" t="s">
        <v>156</v>
      </c>
      <c r="C122" s="22" t="s">
        <v>248</v>
      </c>
      <c r="D122" s="79">
        <f>(29.5*4.85)*1.1</f>
        <v>157.38249999999999</v>
      </c>
      <c r="E122" s="80"/>
      <c r="F122" s="81">
        <f t="shared" si="8"/>
        <v>0</v>
      </c>
    </row>
    <row r="123" spans="1:6" s="35" customFormat="1" ht="15.6" x14ac:dyDescent="0.25">
      <c r="A123" s="76" t="s">
        <v>157</v>
      </c>
      <c r="B123" s="23" t="s">
        <v>158</v>
      </c>
      <c r="C123" s="22" t="s">
        <v>248</v>
      </c>
      <c r="D123" s="79">
        <f>+D121</f>
        <v>144.54000000000002</v>
      </c>
      <c r="E123" s="80"/>
      <c r="F123" s="81">
        <f t="shared" si="8"/>
        <v>0</v>
      </c>
    </row>
    <row r="124" spans="1:6" s="35" customFormat="1" ht="15.6" x14ac:dyDescent="0.25">
      <c r="A124" s="76" t="s">
        <v>159</v>
      </c>
      <c r="B124" s="23" t="s">
        <v>160</v>
      </c>
      <c r="C124" s="22" t="s">
        <v>248</v>
      </c>
      <c r="D124" s="79">
        <f>+D122</f>
        <v>157.38249999999999</v>
      </c>
      <c r="E124" s="80"/>
      <c r="F124" s="81">
        <f t="shared" si="8"/>
        <v>0</v>
      </c>
    </row>
    <row r="125" spans="1:6" s="35" customFormat="1" ht="15.6" x14ac:dyDescent="0.25">
      <c r="A125" s="76" t="s">
        <v>161</v>
      </c>
      <c r="B125" s="23" t="s">
        <v>162</v>
      </c>
      <c r="C125" s="22" t="s">
        <v>248</v>
      </c>
      <c r="D125" s="79">
        <f>+D114</f>
        <v>49.428500000000007</v>
      </c>
      <c r="E125" s="80"/>
      <c r="F125" s="81">
        <f t="shared" si="8"/>
        <v>0</v>
      </c>
    </row>
    <row r="126" spans="1:6" s="35" customFormat="1" ht="15.6" x14ac:dyDescent="0.25">
      <c r="A126" s="76" t="s">
        <v>163</v>
      </c>
      <c r="B126" s="23" t="s">
        <v>164</v>
      </c>
      <c r="C126" s="22" t="s">
        <v>248</v>
      </c>
      <c r="D126" s="79">
        <f>44.935*1.1</f>
        <v>49.428500000000007</v>
      </c>
      <c r="E126" s="80"/>
      <c r="F126" s="81">
        <f t="shared" si="8"/>
        <v>0</v>
      </c>
    </row>
    <row r="127" spans="1:6" s="35" customFormat="1" ht="13.2" x14ac:dyDescent="0.25">
      <c r="A127" s="76" t="s">
        <v>88</v>
      </c>
      <c r="B127" s="76" t="s">
        <v>165</v>
      </c>
      <c r="C127" s="76" t="s">
        <v>88</v>
      </c>
      <c r="D127" s="77" t="s">
        <v>88</v>
      </c>
      <c r="E127" s="76"/>
      <c r="F127" s="82">
        <f>SUM(F121:F126)</f>
        <v>0</v>
      </c>
    </row>
    <row r="128" spans="1:6" s="35" customFormat="1" ht="13.2" x14ac:dyDescent="0.25">
      <c r="A128" s="76" t="s">
        <v>166</v>
      </c>
      <c r="B128" s="20" t="s">
        <v>167</v>
      </c>
      <c r="C128" s="22" t="s">
        <v>87</v>
      </c>
      <c r="D128" s="79" t="s">
        <v>87</v>
      </c>
      <c r="E128" s="22"/>
      <c r="F128" s="22" t="s">
        <v>87</v>
      </c>
    </row>
    <row r="129" spans="1:6" s="35" customFormat="1" ht="26.4" x14ac:dyDescent="0.25">
      <c r="A129" s="76" t="s">
        <v>168</v>
      </c>
      <c r="B129" s="23" t="s">
        <v>169</v>
      </c>
      <c r="C129" s="22" t="s">
        <v>23</v>
      </c>
      <c r="D129" s="85">
        <v>1</v>
      </c>
      <c r="E129" s="80"/>
      <c r="F129" s="81">
        <f>D129*E129</f>
        <v>0</v>
      </c>
    </row>
    <row r="130" spans="1:6" s="35" customFormat="1" ht="13.2" x14ac:dyDescent="0.25">
      <c r="A130" s="76" t="s">
        <v>170</v>
      </c>
      <c r="B130" s="23" t="s">
        <v>171</v>
      </c>
      <c r="C130" s="22" t="s">
        <v>12</v>
      </c>
      <c r="D130" s="85">
        <v>8</v>
      </c>
      <c r="E130" s="80"/>
      <c r="F130" s="81">
        <f>D130*E130</f>
        <v>0</v>
      </c>
    </row>
    <row r="131" spans="1:6" s="35" customFormat="1" ht="13.2" x14ac:dyDescent="0.25">
      <c r="A131" s="76" t="s">
        <v>172</v>
      </c>
      <c r="B131" s="84" t="s">
        <v>173</v>
      </c>
      <c r="C131" s="22" t="s">
        <v>12</v>
      </c>
      <c r="D131" s="85">
        <v>4</v>
      </c>
      <c r="E131" s="80"/>
      <c r="F131" s="81">
        <f>D131*E131</f>
        <v>0</v>
      </c>
    </row>
    <row r="132" spans="1:6" s="35" customFormat="1" ht="13.2" x14ac:dyDescent="0.25">
      <c r="A132" s="76" t="s">
        <v>174</v>
      </c>
      <c r="B132" s="23" t="s">
        <v>175</v>
      </c>
      <c r="C132" s="22" t="s">
        <v>12</v>
      </c>
      <c r="D132" s="85">
        <v>6</v>
      </c>
      <c r="E132" s="80"/>
      <c r="F132" s="81">
        <f>D132*E132</f>
        <v>0</v>
      </c>
    </row>
    <row r="133" spans="1:6" s="35" customFormat="1" ht="13.2" x14ac:dyDescent="0.25">
      <c r="A133" s="76" t="s">
        <v>176</v>
      </c>
      <c r="B133" s="23" t="s">
        <v>177</v>
      </c>
      <c r="C133" s="22" t="s">
        <v>12</v>
      </c>
      <c r="D133" s="85">
        <v>2</v>
      </c>
      <c r="E133" s="80"/>
      <c r="F133" s="81">
        <f>D133*E133</f>
        <v>0</v>
      </c>
    </row>
    <row r="134" spans="1:6" s="35" customFormat="1" ht="13.2" x14ac:dyDescent="0.25">
      <c r="A134" s="76" t="s">
        <v>88</v>
      </c>
      <c r="B134" s="76" t="s">
        <v>178</v>
      </c>
      <c r="C134" s="76" t="s">
        <v>88</v>
      </c>
      <c r="D134" s="77" t="s">
        <v>88</v>
      </c>
      <c r="E134" s="76"/>
      <c r="F134" s="82">
        <f>SUM(F129:F133)</f>
        <v>0</v>
      </c>
    </row>
    <row r="135" spans="1:6" s="35" customFormat="1" ht="13.2" x14ac:dyDescent="0.25">
      <c r="A135" s="95" t="s">
        <v>88</v>
      </c>
      <c r="B135" s="96" t="s">
        <v>186</v>
      </c>
      <c r="C135" s="97" t="s">
        <v>87</v>
      </c>
      <c r="D135" s="98" t="s">
        <v>87</v>
      </c>
      <c r="E135" s="97" t="s">
        <v>87</v>
      </c>
      <c r="F135" s="99">
        <f>F134+F127+F119+F115+F109+F100+F91</f>
        <v>0</v>
      </c>
    </row>
    <row r="136" spans="1:6" s="35" customFormat="1" ht="13.2" x14ac:dyDescent="0.25">
      <c r="A136" s="101"/>
      <c r="B136" s="102"/>
      <c r="C136" s="103"/>
      <c r="D136" s="104"/>
      <c r="E136" s="103"/>
      <c r="F136" s="101"/>
    </row>
    <row r="137" spans="1:6" s="35" customFormat="1" ht="13.2" x14ac:dyDescent="0.25">
      <c r="A137" s="75" t="s">
        <v>77</v>
      </c>
      <c r="B137" s="113" t="s">
        <v>188</v>
      </c>
      <c r="C137" s="113"/>
      <c r="D137" s="113"/>
      <c r="E137" s="113"/>
      <c r="F137" s="113"/>
    </row>
    <row r="138" spans="1:6" s="35" customFormat="1" ht="26.4" x14ac:dyDescent="0.25">
      <c r="A138" s="76" t="s">
        <v>79</v>
      </c>
      <c r="B138" s="20" t="s">
        <v>80</v>
      </c>
      <c r="C138" s="76" t="s">
        <v>81</v>
      </c>
      <c r="D138" s="77" t="s">
        <v>82</v>
      </c>
      <c r="E138" s="76" t="s">
        <v>83</v>
      </c>
      <c r="F138" s="76" t="s">
        <v>84</v>
      </c>
    </row>
    <row r="139" spans="1:6" s="35" customFormat="1" ht="13.2" x14ac:dyDescent="0.25">
      <c r="A139" s="76" t="s">
        <v>85</v>
      </c>
      <c r="B139" s="20" t="s">
        <v>86</v>
      </c>
      <c r="C139" s="22" t="s">
        <v>87</v>
      </c>
      <c r="D139" s="78" t="s">
        <v>88</v>
      </c>
      <c r="E139" s="22" t="s">
        <v>87</v>
      </c>
      <c r="F139" s="76" t="s">
        <v>87</v>
      </c>
    </row>
    <row r="140" spans="1:6" s="35" customFormat="1" ht="15.6" x14ac:dyDescent="0.25">
      <c r="A140" s="76" t="s">
        <v>89</v>
      </c>
      <c r="B140" s="23" t="s">
        <v>90</v>
      </c>
      <c r="C140" s="22" t="s">
        <v>248</v>
      </c>
      <c r="D140" s="79">
        <f>(5.3+2)*(4.3+2)</f>
        <v>45.989999999999995</v>
      </c>
      <c r="E140" s="80"/>
      <c r="F140" s="81">
        <f>D140*E140</f>
        <v>0</v>
      </c>
    </row>
    <row r="141" spans="1:6" s="35" customFormat="1" ht="15.6" x14ac:dyDescent="0.25">
      <c r="A141" s="76" t="s">
        <v>91</v>
      </c>
      <c r="B141" s="23" t="s">
        <v>92</v>
      </c>
      <c r="C141" s="22" t="s">
        <v>249</v>
      </c>
      <c r="D141" s="79">
        <f>(18*0.4*0.6)*1.1</f>
        <v>4.7520000000000007</v>
      </c>
      <c r="E141" s="80"/>
      <c r="F141" s="81">
        <f>D141*E141</f>
        <v>0</v>
      </c>
    </row>
    <row r="142" spans="1:6" s="35" customFormat="1" ht="15.6" x14ac:dyDescent="0.25">
      <c r="A142" s="76" t="s">
        <v>93</v>
      </c>
      <c r="B142" s="23" t="s">
        <v>94</v>
      </c>
      <c r="C142" s="22" t="s">
        <v>249</v>
      </c>
      <c r="D142" s="79">
        <f>(1.2*1.2*1.2)*8*1.1</f>
        <v>15.2064</v>
      </c>
      <c r="E142" s="80"/>
      <c r="F142" s="81">
        <f>D142*E142</f>
        <v>0</v>
      </c>
    </row>
    <row r="143" spans="1:6" s="35" customFormat="1" ht="15.6" x14ac:dyDescent="0.25">
      <c r="A143" s="76" t="s">
        <v>95</v>
      </c>
      <c r="B143" s="23" t="s">
        <v>96</v>
      </c>
      <c r="C143" s="22" t="s">
        <v>249</v>
      </c>
      <c r="D143" s="79">
        <f>+D142+D141</f>
        <v>19.958400000000001</v>
      </c>
      <c r="E143" s="80"/>
      <c r="F143" s="81">
        <f>D143*E143</f>
        <v>0</v>
      </c>
    </row>
    <row r="144" spans="1:6" s="35" customFormat="1" ht="15.6" x14ac:dyDescent="0.25">
      <c r="A144" s="76" t="s">
        <v>97</v>
      </c>
      <c r="B144" s="23" t="s">
        <v>98</v>
      </c>
      <c r="C144" s="22" t="s">
        <v>249</v>
      </c>
      <c r="D144" s="79">
        <f>((20*0.45)-D143*0.15)*1.1</f>
        <v>6.6068640000000007</v>
      </c>
      <c r="E144" s="80"/>
      <c r="F144" s="81">
        <f>D144*E144</f>
        <v>0</v>
      </c>
    </row>
    <row r="145" spans="1:6" s="35" customFormat="1" ht="13.2" x14ac:dyDescent="0.25">
      <c r="A145" s="76" t="s">
        <v>88</v>
      </c>
      <c r="B145" s="76" t="s">
        <v>99</v>
      </c>
      <c r="C145" s="76" t="s">
        <v>88</v>
      </c>
      <c r="D145" s="77" t="s">
        <v>88</v>
      </c>
      <c r="E145" s="76"/>
      <c r="F145" s="82">
        <f>SUM(F140:F144)</f>
        <v>0</v>
      </c>
    </row>
    <row r="146" spans="1:6" s="35" customFormat="1" ht="13.2" x14ac:dyDescent="0.25">
      <c r="A146" s="76" t="s">
        <v>100</v>
      </c>
      <c r="B146" s="20" t="s">
        <v>101</v>
      </c>
      <c r="C146" s="76" t="s">
        <v>88</v>
      </c>
      <c r="D146" s="83" t="s">
        <v>88</v>
      </c>
      <c r="E146" s="76"/>
      <c r="F146" s="22" t="s">
        <v>87</v>
      </c>
    </row>
    <row r="147" spans="1:6" s="35" customFormat="1" ht="15.6" x14ac:dyDescent="0.25">
      <c r="A147" s="76" t="s">
        <v>102</v>
      </c>
      <c r="B147" s="23" t="s">
        <v>103</v>
      </c>
      <c r="C147" s="22" t="s">
        <v>249</v>
      </c>
      <c r="D147" s="79">
        <f>((0.4*0.05*18)+(1.2*1.2*0.05)*8)*1.1</f>
        <v>1.0296000000000001</v>
      </c>
      <c r="E147" s="80"/>
      <c r="F147" s="81">
        <f t="shared" ref="F147:F153" si="9">D147*E147</f>
        <v>0</v>
      </c>
    </row>
    <row r="148" spans="1:6" s="35" customFormat="1" ht="15.6" x14ac:dyDescent="0.25">
      <c r="A148" s="76" t="s">
        <v>104</v>
      </c>
      <c r="B148" s="84" t="s">
        <v>105</v>
      </c>
      <c r="C148" s="22" t="s">
        <v>249</v>
      </c>
      <c r="D148" s="79">
        <f>(1.2*1.2*0.25)*8*1.1</f>
        <v>3.1680000000000001</v>
      </c>
      <c r="E148" s="80"/>
      <c r="F148" s="81">
        <f t="shared" si="9"/>
        <v>0</v>
      </c>
    </row>
    <row r="149" spans="1:6" s="35" customFormat="1" ht="15.6" x14ac:dyDescent="0.25">
      <c r="A149" s="76" t="s">
        <v>106</v>
      </c>
      <c r="B149" s="23" t="s">
        <v>107</v>
      </c>
      <c r="C149" s="22" t="s">
        <v>249</v>
      </c>
      <c r="D149" s="79">
        <f>(0.2*0.2*1.5)*8*1.1</f>
        <v>0.52800000000000014</v>
      </c>
      <c r="E149" s="80"/>
      <c r="F149" s="81">
        <f t="shared" si="9"/>
        <v>0</v>
      </c>
    </row>
    <row r="150" spans="1:6" s="35" customFormat="1" ht="26.4" x14ac:dyDescent="0.25">
      <c r="A150" s="76" t="s">
        <v>108</v>
      </c>
      <c r="B150" s="23" t="s">
        <v>109</v>
      </c>
      <c r="C150" s="22" t="s">
        <v>248</v>
      </c>
      <c r="D150" s="79">
        <f>(18*1.05)*1.1</f>
        <v>20.790000000000003</v>
      </c>
      <c r="E150" s="80"/>
      <c r="F150" s="81">
        <f t="shared" si="9"/>
        <v>0</v>
      </c>
    </row>
    <row r="151" spans="1:6" s="35" customFormat="1" ht="15.6" x14ac:dyDescent="0.25">
      <c r="A151" s="76" t="s">
        <v>110</v>
      </c>
      <c r="B151" s="23" t="s">
        <v>111</v>
      </c>
      <c r="C151" s="22" t="s">
        <v>249</v>
      </c>
      <c r="D151" s="79">
        <f>(0.2*0.2*18)*1.1</f>
        <v>0.79200000000000026</v>
      </c>
      <c r="E151" s="80"/>
      <c r="F151" s="81">
        <f t="shared" si="9"/>
        <v>0</v>
      </c>
    </row>
    <row r="152" spans="1:6" s="35" customFormat="1" ht="15.6" x14ac:dyDescent="0.25">
      <c r="A152" s="76" t="s">
        <v>112</v>
      </c>
      <c r="B152" s="23" t="s">
        <v>113</v>
      </c>
      <c r="C152" s="22" t="s">
        <v>249</v>
      </c>
      <c r="D152" s="79">
        <f>(0.76*3*0.15)*1.1</f>
        <v>0.37620000000000003</v>
      </c>
      <c r="E152" s="80"/>
      <c r="F152" s="81">
        <f t="shared" si="9"/>
        <v>0</v>
      </c>
    </row>
    <row r="153" spans="1:6" s="35" customFormat="1" ht="15.6" x14ac:dyDescent="0.25">
      <c r="A153" s="76" t="s">
        <v>114</v>
      </c>
      <c r="B153" s="23" t="s">
        <v>189</v>
      </c>
      <c r="C153" s="22" t="s">
        <v>249</v>
      </c>
      <c r="D153" s="79">
        <f>20*0.08*1.1</f>
        <v>1.7600000000000002</v>
      </c>
      <c r="E153" s="80"/>
      <c r="F153" s="81">
        <f t="shared" si="9"/>
        <v>0</v>
      </c>
    </row>
    <row r="154" spans="1:6" s="35" customFormat="1" ht="13.2" x14ac:dyDescent="0.25">
      <c r="A154" s="76" t="s">
        <v>88</v>
      </c>
      <c r="B154" s="76" t="s">
        <v>116</v>
      </c>
      <c r="C154" s="76" t="s">
        <v>88</v>
      </c>
      <c r="D154" s="77" t="s">
        <v>88</v>
      </c>
      <c r="E154" s="76"/>
      <c r="F154" s="82">
        <f>SUM(F147:F153)</f>
        <v>0</v>
      </c>
    </row>
    <row r="155" spans="1:6" s="35" customFormat="1" ht="13.2" x14ac:dyDescent="0.25">
      <c r="A155" s="76" t="s">
        <v>117</v>
      </c>
      <c r="B155" s="20" t="s">
        <v>118</v>
      </c>
      <c r="C155" s="22" t="s">
        <v>87</v>
      </c>
      <c r="D155" s="78" t="s">
        <v>88</v>
      </c>
      <c r="E155" s="22"/>
      <c r="F155" s="22" t="s">
        <v>87</v>
      </c>
    </row>
    <row r="156" spans="1:6" s="35" customFormat="1" ht="15.6" x14ac:dyDescent="0.25">
      <c r="A156" s="76" t="s">
        <v>119</v>
      </c>
      <c r="B156" s="23" t="s">
        <v>120</v>
      </c>
      <c r="C156" s="22" t="s">
        <v>248</v>
      </c>
      <c r="D156" s="79">
        <f>(3.65*18)*1.1</f>
        <v>72.27000000000001</v>
      </c>
      <c r="E156" s="80"/>
      <c r="F156" s="81">
        <f t="shared" ref="F156:F162" si="10">D156*E156</f>
        <v>0</v>
      </c>
    </row>
    <row r="157" spans="1:6" s="35" customFormat="1" ht="15.6" x14ac:dyDescent="0.25">
      <c r="A157" s="76" t="s">
        <v>121</v>
      </c>
      <c r="B157" s="84" t="s">
        <v>122</v>
      </c>
      <c r="C157" s="22" t="s">
        <v>249</v>
      </c>
      <c r="D157" s="79">
        <f>(0.15*0.15*3.4)*8*1.1</f>
        <v>0.67320000000000002</v>
      </c>
      <c r="E157" s="80"/>
      <c r="F157" s="81">
        <f t="shared" si="10"/>
        <v>0</v>
      </c>
    </row>
    <row r="158" spans="1:6" s="35" customFormat="1" ht="15.6" x14ac:dyDescent="0.25">
      <c r="A158" s="76" t="s">
        <v>123</v>
      </c>
      <c r="B158" s="23" t="s">
        <v>124</v>
      </c>
      <c r="C158" s="22" t="s">
        <v>249</v>
      </c>
      <c r="D158" s="79">
        <f>(18*0.15*0.1)*1.1</f>
        <v>0.29699999999999999</v>
      </c>
      <c r="E158" s="80"/>
      <c r="F158" s="81">
        <f t="shared" si="10"/>
        <v>0</v>
      </c>
    </row>
    <row r="159" spans="1:6" s="35" customFormat="1" ht="15.6" x14ac:dyDescent="0.25">
      <c r="A159" s="76" t="s">
        <v>125</v>
      </c>
      <c r="B159" s="23" t="s">
        <v>126</v>
      </c>
      <c r="C159" s="22" t="s">
        <v>249</v>
      </c>
      <c r="D159" s="79">
        <f>(18*0.15*0.2)*1.1</f>
        <v>0.59399999999999997</v>
      </c>
      <c r="E159" s="80"/>
      <c r="F159" s="81">
        <f t="shared" si="10"/>
        <v>0</v>
      </c>
    </row>
    <row r="160" spans="1:6" s="35" customFormat="1" ht="15.6" x14ac:dyDescent="0.25">
      <c r="A160" s="76" t="s">
        <v>127</v>
      </c>
      <c r="B160" s="23" t="s">
        <v>124</v>
      </c>
      <c r="C160" s="22" t="s">
        <v>249</v>
      </c>
      <c r="D160" s="79">
        <f>(18*0.15*0.1)*1.1</f>
        <v>0.29699999999999999</v>
      </c>
      <c r="E160" s="80"/>
      <c r="F160" s="81">
        <f t="shared" si="10"/>
        <v>0</v>
      </c>
    </row>
    <row r="161" spans="1:6" s="35" customFormat="1" ht="15.6" x14ac:dyDescent="0.25">
      <c r="A161" s="76" t="s">
        <v>128</v>
      </c>
      <c r="B161" s="23" t="s">
        <v>129</v>
      </c>
      <c r="C161" s="22" t="s">
        <v>249</v>
      </c>
      <c r="D161" s="79">
        <f>(18*0.15*0.4)*1.1</f>
        <v>1.1879999999999999</v>
      </c>
      <c r="E161" s="80"/>
      <c r="F161" s="81">
        <f t="shared" si="10"/>
        <v>0</v>
      </c>
    </row>
    <row r="162" spans="1:6" s="35" customFormat="1" ht="15.6" x14ac:dyDescent="0.25">
      <c r="A162" s="76" t="s">
        <v>130</v>
      </c>
      <c r="B162" s="23" t="s">
        <v>131</v>
      </c>
      <c r="C162" s="22" t="s">
        <v>249</v>
      </c>
      <c r="D162" s="79">
        <f>(5.3*0.127)*1.1</f>
        <v>0.74041000000000012</v>
      </c>
      <c r="E162" s="80"/>
      <c r="F162" s="81">
        <f t="shared" si="10"/>
        <v>0</v>
      </c>
    </row>
    <row r="163" spans="1:6" s="35" customFormat="1" ht="13.2" x14ac:dyDescent="0.25">
      <c r="A163" s="76" t="s">
        <v>88</v>
      </c>
      <c r="B163" s="76" t="s">
        <v>132</v>
      </c>
      <c r="C163" s="76" t="s">
        <v>88</v>
      </c>
      <c r="D163" s="77" t="s">
        <v>88</v>
      </c>
      <c r="E163" s="76"/>
      <c r="F163" s="82">
        <f>SUM(F156:F161)</f>
        <v>0</v>
      </c>
    </row>
    <row r="164" spans="1:6" s="35" customFormat="1" ht="13.2" x14ac:dyDescent="0.25">
      <c r="A164" s="76" t="s">
        <v>133</v>
      </c>
      <c r="B164" s="20" t="s">
        <v>134</v>
      </c>
      <c r="C164" s="22" t="s">
        <v>87</v>
      </c>
      <c r="D164" s="78" t="s">
        <v>88</v>
      </c>
      <c r="E164" s="22"/>
      <c r="F164" s="22" t="s">
        <v>87</v>
      </c>
    </row>
    <row r="165" spans="1:6" s="35" customFormat="1" ht="26.4" x14ac:dyDescent="0.25">
      <c r="A165" s="76" t="s">
        <v>135</v>
      </c>
      <c r="B165" s="23" t="s">
        <v>136</v>
      </c>
      <c r="C165" s="22" t="s">
        <v>183</v>
      </c>
      <c r="D165" s="85">
        <f>(4.65*10.45)*1.1</f>
        <v>53.451750000000004</v>
      </c>
      <c r="E165" s="80"/>
      <c r="F165" s="81">
        <f>D165*E165</f>
        <v>0</v>
      </c>
    </row>
    <row r="166" spans="1:6" s="35" customFormat="1" ht="26.4" x14ac:dyDescent="0.25">
      <c r="A166" s="76" t="s">
        <v>137</v>
      </c>
      <c r="B166" s="23" t="s">
        <v>184</v>
      </c>
      <c r="C166" s="22" t="s">
        <v>13</v>
      </c>
      <c r="D166" s="85">
        <f>4.65*1.1</f>
        <v>5.1150000000000011</v>
      </c>
      <c r="E166" s="80"/>
      <c r="F166" s="81">
        <f>D166*E166</f>
        <v>0</v>
      </c>
    </row>
    <row r="167" spans="1:6" s="35" customFormat="1" ht="26.4" x14ac:dyDescent="0.25">
      <c r="A167" s="76" t="s">
        <v>139</v>
      </c>
      <c r="B167" s="23" t="s">
        <v>140</v>
      </c>
      <c r="C167" s="22" t="s">
        <v>13</v>
      </c>
      <c r="D167" s="85">
        <f>5.3*4*1.1</f>
        <v>23.32</v>
      </c>
      <c r="E167" s="80"/>
      <c r="F167" s="81">
        <f>D167*E167</f>
        <v>0</v>
      </c>
    </row>
    <row r="168" spans="1:6" s="35" customFormat="1" ht="13.2" x14ac:dyDescent="0.25">
      <c r="A168" s="76" t="s">
        <v>141</v>
      </c>
      <c r="B168" s="23" t="s">
        <v>185</v>
      </c>
      <c r="C168" s="22" t="s">
        <v>183</v>
      </c>
      <c r="D168" s="85">
        <f>20*1.1</f>
        <v>22</v>
      </c>
      <c r="E168" s="80"/>
      <c r="F168" s="81">
        <f>D168*E168</f>
        <v>0</v>
      </c>
    </row>
    <row r="169" spans="1:6" s="35" customFormat="1" ht="13.2" x14ac:dyDescent="0.25">
      <c r="A169" s="76" t="s">
        <v>88</v>
      </c>
      <c r="B169" s="76" t="s">
        <v>143</v>
      </c>
      <c r="C169" s="76" t="s">
        <v>88</v>
      </c>
      <c r="D169" s="77" t="s">
        <v>88</v>
      </c>
      <c r="E169" s="76"/>
      <c r="F169" s="82">
        <f>SUM(F165:F168)</f>
        <v>0</v>
      </c>
    </row>
    <row r="170" spans="1:6" s="35" customFormat="1" ht="13.2" x14ac:dyDescent="0.25">
      <c r="A170" s="76" t="s">
        <v>144</v>
      </c>
      <c r="B170" s="20" t="s">
        <v>145</v>
      </c>
      <c r="C170" s="22" t="s">
        <v>87</v>
      </c>
      <c r="D170" s="78" t="s">
        <v>88</v>
      </c>
      <c r="E170" s="22"/>
      <c r="F170" s="22" t="s">
        <v>87</v>
      </c>
    </row>
    <row r="171" spans="1:6" s="35" customFormat="1" ht="26.4" x14ac:dyDescent="0.25">
      <c r="A171" s="76" t="s">
        <v>146</v>
      </c>
      <c r="B171" s="23" t="s">
        <v>147</v>
      </c>
      <c r="C171" s="22" t="s">
        <v>12</v>
      </c>
      <c r="D171" s="85">
        <v>1</v>
      </c>
      <c r="E171" s="80"/>
      <c r="F171" s="81">
        <f>D171*E171</f>
        <v>0</v>
      </c>
    </row>
    <row r="172" spans="1:6" s="35" customFormat="1" ht="26.4" x14ac:dyDescent="0.25">
      <c r="A172" s="76" t="s">
        <v>148</v>
      </c>
      <c r="B172" s="23" t="s">
        <v>149</v>
      </c>
      <c r="C172" s="22" t="s">
        <v>12</v>
      </c>
      <c r="D172" s="85">
        <v>2</v>
      </c>
      <c r="E172" s="80"/>
      <c r="F172" s="81">
        <f>D172*E172</f>
        <v>0</v>
      </c>
    </row>
    <row r="173" spans="1:6" s="35" customFormat="1" ht="13.2" x14ac:dyDescent="0.25">
      <c r="A173" s="76" t="s">
        <v>88</v>
      </c>
      <c r="B173" s="76" t="s">
        <v>150</v>
      </c>
      <c r="C173" s="76" t="s">
        <v>88</v>
      </c>
      <c r="D173" s="77" t="s">
        <v>88</v>
      </c>
      <c r="E173" s="76"/>
      <c r="F173" s="82">
        <f>SUM(F171:F172)</f>
        <v>0</v>
      </c>
    </row>
    <row r="174" spans="1:6" s="35" customFormat="1" ht="13.2" x14ac:dyDescent="0.25">
      <c r="A174" s="76" t="s">
        <v>151</v>
      </c>
      <c r="B174" s="20" t="s">
        <v>152</v>
      </c>
      <c r="C174" s="22" t="s">
        <v>87</v>
      </c>
      <c r="D174" s="79" t="s">
        <v>87</v>
      </c>
      <c r="E174" s="22"/>
      <c r="F174" s="22" t="s">
        <v>87</v>
      </c>
    </row>
    <row r="175" spans="1:6" s="35" customFormat="1" ht="15.6" x14ac:dyDescent="0.25">
      <c r="A175" s="76" t="s">
        <v>153</v>
      </c>
      <c r="B175" s="23" t="s">
        <v>154</v>
      </c>
      <c r="C175" s="22" t="s">
        <v>248</v>
      </c>
      <c r="D175" s="85">
        <f>(18*3.65)*1.1</f>
        <v>72.27000000000001</v>
      </c>
      <c r="E175" s="80"/>
      <c r="F175" s="81">
        <f t="shared" ref="F175:F180" si="11">D175*E175</f>
        <v>0</v>
      </c>
    </row>
    <row r="176" spans="1:6" s="35" customFormat="1" ht="15.6" x14ac:dyDescent="0.25">
      <c r="A176" s="76" t="s">
        <v>190</v>
      </c>
      <c r="B176" s="23" t="s">
        <v>156</v>
      </c>
      <c r="C176" s="22" t="s">
        <v>248</v>
      </c>
      <c r="D176" s="85">
        <f>(18*4.5)*1.1</f>
        <v>89.100000000000009</v>
      </c>
      <c r="E176" s="80"/>
      <c r="F176" s="81">
        <f t="shared" si="11"/>
        <v>0</v>
      </c>
    </row>
    <row r="177" spans="1:6" s="35" customFormat="1" ht="15.6" x14ac:dyDescent="0.25">
      <c r="A177" s="76" t="s">
        <v>191</v>
      </c>
      <c r="B177" s="23" t="s">
        <v>158</v>
      </c>
      <c r="C177" s="22" t="s">
        <v>248</v>
      </c>
      <c r="D177" s="85">
        <f>+D175</f>
        <v>72.27000000000001</v>
      </c>
      <c r="E177" s="80"/>
      <c r="F177" s="81">
        <f t="shared" si="11"/>
        <v>0</v>
      </c>
    </row>
    <row r="178" spans="1:6" s="35" customFormat="1" ht="15.6" x14ac:dyDescent="0.25">
      <c r="A178" s="76" t="s">
        <v>159</v>
      </c>
      <c r="B178" s="23" t="s">
        <v>160</v>
      </c>
      <c r="C178" s="22" t="s">
        <v>248</v>
      </c>
      <c r="D178" s="85">
        <f>+D176</f>
        <v>89.100000000000009</v>
      </c>
      <c r="E178" s="80"/>
      <c r="F178" s="81">
        <f t="shared" si="11"/>
        <v>0</v>
      </c>
    </row>
    <row r="179" spans="1:6" s="35" customFormat="1" ht="15.6" x14ac:dyDescent="0.25">
      <c r="A179" s="76" t="s">
        <v>161</v>
      </c>
      <c r="B179" s="23" t="s">
        <v>162</v>
      </c>
      <c r="C179" s="22" t="s">
        <v>248</v>
      </c>
      <c r="D179" s="85">
        <f>+D168</f>
        <v>22</v>
      </c>
      <c r="E179" s="80"/>
      <c r="F179" s="81">
        <f t="shared" si="11"/>
        <v>0</v>
      </c>
    </row>
    <row r="180" spans="1:6" s="35" customFormat="1" ht="15.6" x14ac:dyDescent="0.25">
      <c r="A180" s="76" t="s">
        <v>163</v>
      </c>
      <c r="B180" s="23" t="s">
        <v>192</v>
      </c>
      <c r="C180" s="22" t="s">
        <v>248</v>
      </c>
      <c r="D180" s="85">
        <f>20*1.1</f>
        <v>22</v>
      </c>
      <c r="E180" s="80"/>
      <c r="F180" s="81">
        <f t="shared" si="11"/>
        <v>0</v>
      </c>
    </row>
    <row r="181" spans="1:6" s="35" customFormat="1" ht="13.2" x14ac:dyDescent="0.25">
      <c r="A181" s="76" t="s">
        <v>88</v>
      </c>
      <c r="B181" s="76" t="s">
        <v>165</v>
      </c>
      <c r="C181" s="76" t="s">
        <v>88</v>
      </c>
      <c r="D181" s="77" t="s">
        <v>88</v>
      </c>
      <c r="E181" s="76"/>
      <c r="F181" s="82">
        <f>SUM(F175:F180)</f>
        <v>0</v>
      </c>
    </row>
    <row r="182" spans="1:6" s="35" customFormat="1" ht="13.2" x14ac:dyDescent="0.25">
      <c r="A182" s="76" t="s">
        <v>166</v>
      </c>
      <c r="B182" s="20" t="s">
        <v>167</v>
      </c>
      <c r="C182" s="22" t="s">
        <v>87</v>
      </c>
      <c r="D182" s="79" t="s">
        <v>87</v>
      </c>
      <c r="E182" s="22"/>
      <c r="F182" s="22" t="s">
        <v>87</v>
      </c>
    </row>
    <row r="183" spans="1:6" s="35" customFormat="1" ht="26.4" x14ac:dyDescent="0.25">
      <c r="A183" s="76" t="s">
        <v>168</v>
      </c>
      <c r="B183" s="23" t="s">
        <v>169</v>
      </c>
      <c r="C183" s="22" t="s">
        <v>23</v>
      </c>
      <c r="D183" s="85">
        <v>1</v>
      </c>
      <c r="E183" s="80"/>
      <c r="F183" s="81">
        <f>D183*E183</f>
        <v>0</v>
      </c>
    </row>
    <row r="184" spans="1:6" s="35" customFormat="1" ht="13.2" x14ac:dyDescent="0.25">
      <c r="A184" s="76" t="s">
        <v>170</v>
      </c>
      <c r="B184" s="23" t="s">
        <v>171</v>
      </c>
      <c r="C184" s="22" t="s">
        <v>12</v>
      </c>
      <c r="D184" s="85">
        <v>3</v>
      </c>
      <c r="E184" s="80"/>
      <c r="F184" s="81">
        <f>D184*E184</f>
        <v>0</v>
      </c>
    </row>
    <row r="185" spans="1:6" s="35" customFormat="1" ht="13.2" x14ac:dyDescent="0.25">
      <c r="A185" s="76" t="s">
        <v>172</v>
      </c>
      <c r="B185" s="84" t="s">
        <v>173</v>
      </c>
      <c r="C185" s="22" t="s">
        <v>12</v>
      </c>
      <c r="D185" s="85">
        <v>4</v>
      </c>
      <c r="E185" s="80"/>
      <c r="F185" s="81">
        <f>D185*E185</f>
        <v>0</v>
      </c>
    </row>
    <row r="186" spans="1:6" s="35" customFormat="1" ht="13.2" x14ac:dyDescent="0.25">
      <c r="A186" s="76" t="s">
        <v>174</v>
      </c>
      <c r="B186" s="23" t="s">
        <v>175</v>
      </c>
      <c r="C186" s="22" t="s">
        <v>12</v>
      </c>
      <c r="D186" s="85">
        <v>2</v>
      </c>
      <c r="E186" s="80"/>
      <c r="F186" s="81">
        <f>D186*E186</f>
        <v>0</v>
      </c>
    </row>
    <row r="187" spans="1:6" s="35" customFormat="1" ht="13.2" x14ac:dyDescent="0.25">
      <c r="A187" s="76" t="s">
        <v>176</v>
      </c>
      <c r="B187" s="23" t="s">
        <v>177</v>
      </c>
      <c r="C187" s="22" t="s">
        <v>12</v>
      </c>
      <c r="D187" s="85">
        <v>1</v>
      </c>
      <c r="E187" s="80"/>
      <c r="F187" s="81">
        <f>D187*E187</f>
        <v>0</v>
      </c>
    </row>
    <row r="188" spans="1:6" s="35" customFormat="1" ht="13.2" x14ac:dyDescent="0.25">
      <c r="A188" s="76" t="s">
        <v>88</v>
      </c>
      <c r="B188" s="76" t="s">
        <v>178</v>
      </c>
      <c r="C188" s="76" t="s">
        <v>88</v>
      </c>
      <c r="D188" s="77" t="s">
        <v>88</v>
      </c>
      <c r="E188" s="80"/>
      <c r="F188" s="82">
        <f>SUM(F183:F187)</f>
        <v>0</v>
      </c>
    </row>
    <row r="189" spans="1:6" s="35" customFormat="1" ht="13.2" x14ac:dyDescent="0.25">
      <c r="A189" s="95" t="s">
        <v>88</v>
      </c>
      <c r="B189" s="96" t="s">
        <v>193</v>
      </c>
      <c r="C189" s="97" t="s">
        <v>87</v>
      </c>
      <c r="D189" s="98" t="s">
        <v>87</v>
      </c>
      <c r="E189" s="97"/>
      <c r="F189" s="99">
        <f>F188+F181+F173+F169+F163+F154+F145</f>
        <v>0</v>
      </c>
    </row>
    <row r="190" spans="1:6" s="35" customFormat="1" ht="13.2" x14ac:dyDescent="0.25">
      <c r="A190" s="105"/>
      <c r="B190" s="106"/>
      <c r="C190" s="106"/>
      <c r="D190" s="106"/>
      <c r="E190" s="106"/>
      <c r="F190" s="106"/>
    </row>
    <row r="191" spans="1:6" s="35" customFormat="1" ht="13.2" x14ac:dyDescent="0.25">
      <c r="A191" s="75" t="s">
        <v>180</v>
      </c>
      <c r="B191" s="113" t="s">
        <v>194</v>
      </c>
      <c r="C191" s="113"/>
      <c r="D191" s="113"/>
      <c r="E191" s="113"/>
      <c r="F191" s="113"/>
    </row>
    <row r="192" spans="1:6" s="35" customFormat="1" ht="26.4" x14ac:dyDescent="0.25">
      <c r="A192" s="76" t="s">
        <v>79</v>
      </c>
      <c r="B192" s="20" t="s">
        <v>80</v>
      </c>
      <c r="C192" s="76" t="s">
        <v>81</v>
      </c>
      <c r="D192" s="77" t="s">
        <v>82</v>
      </c>
      <c r="E192" s="76" t="s">
        <v>83</v>
      </c>
      <c r="F192" s="76" t="s">
        <v>84</v>
      </c>
    </row>
    <row r="193" spans="1:6" s="35" customFormat="1" ht="13.2" x14ac:dyDescent="0.25">
      <c r="A193" s="76" t="s">
        <v>85</v>
      </c>
      <c r="B193" s="20" t="s">
        <v>195</v>
      </c>
      <c r="C193" s="76" t="s">
        <v>88</v>
      </c>
      <c r="D193" s="77" t="s">
        <v>88</v>
      </c>
      <c r="E193" s="76" t="s">
        <v>87</v>
      </c>
      <c r="F193" s="76" t="s">
        <v>87</v>
      </c>
    </row>
    <row r="194" spans="1:6" s="35" customFormat="1" ht="15.6" x14ac:dyDescent="0.25">
      <c r="A194" s="76" t="s">
        <v>89</v>
      </c>
      <c r="B194" s="23" t="s">
        <v>196</v>
      </c>
      <c r="C194" s="22" t="s">
        <v>248</v>
      </c>
      <c r="D194" s="85">
        <f>(4.2+2)*(2.85+2)</f>
        <v>30.07</v>
      </c>
      <c r="E194" s="80"/>
      <c r="F194" s="81">
        <f>D194*E194</f>
        <v>0</v>
      </c>
    </row>
    <row r="195" spans="1:6" s="35" customFormat="1" ht="15.6" x14ac:dyDescent="0.25">
      <c r="A195" s="76" t="s">
        <v>91</v>
      </c>
      <c r="B195" s="23" t="s">
        <v>197</v>
      </c>
      <c r="C195" s="22" t="s">
        <v>249</v>
      </c>
      <c r="D195" s="85">
        <f>(0.4*0.6*8.55)*1.1</f>
        <v>2.2572000000000001</v>
      </c>
      <c r="E195" s="80"/>
      <c r="F195" s="81">
        <f>D195*E195</f>
        <v>0</v>
      </c>
    </row>
    <row r="196" spans="1:6" s="35" customFormat="1" ht="15.6" x14ac:dyDescent="0.25">
      <c r="A196" s="76" t="s">
        <v>93</v>
      </c>
      <c r="B196" s="23" t="s">
        <v>198</v>
      </c>
      <c r="C196" s="22" t="s">
        <v>249</v>
      </c>
      <c r="D196" s="85">
        <f>(6.568*2.2)*1.1</f>
        <v>15.894560000000002</v>
      </c>
      <c r="E196" s="80"/>
      <c r="F196" s="81">
        <f>D196*E196</f>
        <v>0</v>
      </c>
    </row>
    <row r="197" spans="1:6" s="35" customFormat="1" ht="15.6" x14ac:dyDescent="0.25">
      <c r="A197" s="76" t="s">
        <v>95</v>
      </c>
      <c r="B197" s="23" t="s">
        <v>96</v>
      </c>
      <c r="C197" s="22" t="s">
        <v>249</v>
      </c>
      <c r="D197" s="85">
        <f>+D196+D195</f>
        <v>18.151760000000003</v>
      </c>
      <c r="E197" s="80"/>
      <c r="F197" s="81">
        <f>D197*E197</f>
        <v>0</v>
      </c>
    </row>
    <row r="198" spans="1:6" s="35" customFormat="1" ht="13.2" x14ac:dyDescent="0.25">
      <c r="A198" s="76" t="s">
        <v>88</v>
      </c>
      <c r="B198" s="76" t="s">
        <v>99</v>
      </c>
      <c r="C198" s="76" t="s">
        <v>88</v>
      </c>
      <c r="D198" s="77" t="s">
        <v>88</v>
      </c>
      <c r="E198" s="76"/>
      <c r="F198" s="82">
        <f>SUM(F194:F197)</f>
        <v>0</v>
      </c>
    </row>
    <row r="199" spans="1:6" s="35" customFormat="1" ht="13.2" x14ac:dyDescent="0.25">
      <c r="A199" s="76" t="s">
        <v>100</v>
      </c>
      <c r="B199" s="20" t="s">
        <v>199</v>
      </c>
      <c r="C199" s="76" t="s">
        <v>88</v>
      </c>
      <c r="D199" s="77" t="s">
        <v>88</v>
      </c>
      <c r="E199" s="76"/>
      <c r="F199" s="22" t="s">
        <v>87</v>
      </c>
    </row>
    <row r="200" spans="1:6" s="35" customFormat="1" ht="15.6" x14ac:dyDescent="0.25">
      <c r="A200" s="76" t="s">
        <v>102</v>
      </c>
      <c r="B200" s="23" t="s">
        <v>200</v>
      </c>
      <c r="C200" s="22" t="s">
        <v>249</v>
      </c>
      <c r="D200" s="79">
        <f>(8.55*0.4*0.05)*1.1</f>
        <v>0.18810000000000007</v>
      </c>
      <c r="E200" s="80"/>
      <c r="F200" s="81">
        <f t="shared" ref="F200:F207" si="12">D200*E200</f>
        <v>0</v>
      </c>
    </row>
    <row r="201" spans="1:6" s="35" customFormat="1" ht="15.6" x14ac:dyDescent="0.25">
      <c r="A201" s="76" t="s">
        <v>104</v>
      </c>
      <c r="B201" s="23" t="s">
        <v>201</v>
      </c>
      <c r="C201" s="22" t="s">
        <v>248</v>
      </c>
      <c r="D201" s="79">
        <f>(8.55*0.85)*1.1</f>
        <v>7.994250000000001</v>
      </c>
      <c r="E201" s="80"/>
      <c r="F201" s="81">
        <f t="shared" si="12"/>
        <v>0</v>
      </c>
    </row>
    <row r="202" spans="1:6" s="35" customFormat="1" ht="26.4" x14ac:dyDescent="0.25">
      <c r="A202" s="76" t="s">
        <v>106</v>
      </c>
      <c r="B202" s="23" t="s">
        <v>202</v>
      </c>
      <c r="C202" s="22" t="s">
        <v>249</v>
      </c>
      <c r="D202" s="79">
        <f>(4.75*2*0.1)*1.1</f>
        <v>1.0450000000000002</v>
      </c>
      <c r="E202" s="80"/>
      <c r="F202" s="81">
        <f t="shared" si="12"/>
        <v>0</v>
      </c>
    </row>
    <row r="203" spans="1:6" s="35" customFormat="1" ht="15.6" x14ac:dyDescent="0.25">
      <c r="A203" s="76" t="s">
        <v>108</v>
      </c>
      <c r="B203" s="23" t="s">
        <v>203</v>
      </c>
      <c r="C203" s="22" t="s">
        <v>249</v>
      </c>
      <c r="D203" s="79">
        <f>(6.568*0.1)*1.1</f>
        <v>0.72248000000000012</v>
      </c>
      <c r="E203" s="80"/>
      <c r="F203" s="81">
        <f t="shared" si="12"/>
        <v>0</v>
      </c>
    </row>
    <row r="204" spans="1:6" s="35" customFormat="1" ht="15.6" x14ac:dyDescent="0.25">
      <c r="A204" s="76" t="s">
        <v>110</v>
      </c>
      <c r="B204" s="23" t="s">
        <v>204</v>
      </c>
      <c r="C204" s="22" t="s">
        <v>248</v>
      </c>
      <c r="D204" s="85">
        <f>(12.6*2.45)*1.1</f>
        <v>33.957000000000001</v>
      </c>
      <c r="E204" s="80"/>
      <c r="F204" s="81">
        <f t="shared" si="12"/>
        <v>0</v>
      </c>
    </row>
    <row r="205" spans="1:6" s="35" customFormat="1" ht="26.4" x14ac:dyDescent="0.25">
      <c r="A205" s="76" t="s">
        <v>112</v>
      </c>
      <c r="B205" s="23" t="s">
        <v>205</v>
      </c>
      <c r="C205" s="22" t="s">
        <v>249</v>
      </c>
      <c r="D205" s="79">
        <f>((0.15*0.15*2.2)*8+(0.15*0.2*21.15))*1.1</f>
        <v>1.1335500000000001</v>
      </c>
      <c r="E205" s="80"/>
      <c r="F205" s="81">
        <f t="shared" si="12"/>
        <v>0</v>
      </c>
    </row>
    <row r="206" spans="1:6" s="35" customFormat="1" ht="15.6" x14ac:dyDescent="0.25">
      <c r="A206" s="76" t="s">
        <v>114</v>
      </c>
      <c r="B206" s="23" t="s">
        <v>113</v>
      </c>
      <c r="C206" s="22" t="s">
        <v>249</v>
      </c>
      <c r="D206" s="79">
        <f>(0.53*0.15*4)*1.1</f>
        <v>0.34980000000000006</v>
      </c>
      <c r="E206" s="80"/>
      <c r="F206" s="81">
        <f t="shared" si="12"/>
        <v>0</v>
      </c>
    </row>
    <row r="207" spans="1:6" s="35" customFormat="1" ht="15.6" x14ac:dyDescent="0.25">
      <c r="A207" s="76" t="s">
        <v>206</v>
      </c>
      <c r="B207" s="23" t="s">
        <v>207</v>
      </c>
      <c r="C207" s="22" t="s">
        <v>249</v>
      </c>
      <c r="D207" s="79">
        <f>(2.85*2.3*0.15)*1.1</f>
        <v>1.081575</v>
      </c>
      <c r="E207" s="80"/>
      <c r="F207" s="81">
        <f t="shared" si="12"/>
        <v>0</v>
      </c>
    </row>
    <row r="208" spans="1:6" s="35" customFormat="1" ht="13.2" x14ac:dyDescent="0.25">
      <c r="A208" s="76" t="s">
        <v>88</v>
      </c>
      <c r="B208" s="76" t="s">
        <v>116</v>
      </c>
      <c r="C208" s="76" t="s">
        <v>88</v>
      </c>
      <c r="D208" s="77" t="s">
        <v>88</v>
      </c>
      <c r="E208" s="76"/>
      <c r="F208" s="82">
        <f>SUM(F200:F207)</f>
        <v>0</v>
      </c>
    </row>
    <row r="209" spans="1:6" s="35" customFormat="1" ht="13.2" x14ac:dyDescent="0.25">
      <c r="A209" s="76" t="s">
        <v>117</v>
      </c>
      <c r="B209" s="20" t="s">
        <v>208</v>
      </c>
      <c r="C209" s="76" t="s">
        <v>88</v>
      </c>
      <c r="D209" s="77" t="s">
        <v>88</v>
      </c>
      <c r="E209" s="76"/>
      <c r="F209" s="22" t="s">
        <v>87</v>
      </c>
    </row>
    <row r="210" spans="1:6" s="35" customFormat="1" ht="26.4" x14ac:dyDescent="0.25">
      <c r="A210" s="76" t="s">
        <v>119</v>
      </c>
      <c r="B210" s="23" t="s">
        <v>209</v>
      </c>
      <c r="C210" s="22" t="s">
        <v>249</v>
      </c>
      <c r="D210" s="79">
        <f>((0.15*0.15*2.2)*8+(21.15*0.15*0.2))*1.1</f>
        <v>1.1335500000000001</v>
      </c>
      <c r="E210" s="80"/>
      <c r="F210" s="81">
        <f>D210*E210</f>
        <v>0</v>
      </c>
    </row>
    <row r="211" spans="1:6" s="35" customFormat="1" ht="15.6" x14ac:dyDescent="0.25">
      <c r="A211" s="76" t="s">
        <v>210</v>
      </c>
      <c r="B211" s="23" t="s">
        <v>211</v>
      </c>
      <c r="C211" s="22" t="s">
        <v>248</v>
      </c>
      <c r="D211" s="79">
        <f>(21.15*2.2)*1.1</f>
        <v>51.183000000000007</v>
      </c>
      <c r="E211" s="80"/>
      <c r="F211" s="81">
        <f>D211*E211</f>
        <v>0</v>
      </c>
    </row>
    <row r="212" spans="1:6" s="35" customFormat="1" ht="15.6" x14ac:dyDescent="0.25">
      <c r="A212" s="76" t="s">
        <v>212</v>
      </c>
      <c r="B212" s="23" t="s">
        <v>213</v>
      </c>
      <c r="C212" s="22" t="s">
        <v>248</v>
      </c>
      <c r="D212" s="79">
        <f>(0.3*0.3)*2</f>
        <v>0.18</v>
      </c>
      <c r="E212" s="80"/>
      <c r="F212" s="81">
        <f>D212*E212</f>
        <v>0</v>
      </c>
    </row>
    <row r="213" spans="1:6" s="35" customFormat="1" ht="26.4" x14ac:dyDescent="0.25">
      <c r="A213" s="76" t="s">
        <v>214</v>
      </c>
      <c r="B213" s="23" t="s">
        <v>215</v>
      </c>
      <c r="C213" s="22" t="s">
        <v>13</v>
      </c>
      <c r="D213" s="79">
        <f>(1.6*2)</f>
        <v>3.2</v>
      </c>
      <c r="E213" s="80"/>
      <c r="F213" s="81">
        <f>D213*E213</f>
        <v>0</v>
      </c>
    </row>
    <row r="214" spans="1:6" s="35" customFormat="1" ht="13.2" x14ac:dyDescent="0.25">
      <c r="A214" s="76" t="s">
        <v>88</v>
      </c>
      <c r="B214" s="76" t="s">
        <v>216</v>
      </c>
      <c r="C214" s="76" t="s">
        <v>88</v>
      </c>
      <c r="D214" s="77" t="s">
        <v>88</v>
      </c>
      <c r="E214" s="76"/>
      <c r="F214" s="82">
        <f>SUM(F210:F213)</f>
        <v>0</v>
      </c>
    </row>
    <row r="215" spans="1:6" s="35" customFormat="1" ht="13.2" x14ac:dyDescent="0.25">
      <c r="A215" s="76" t="s">
        <v>133</v>
      </c>
      <c r="B215" s="20" t="s">
        <v>134</v>
      </c>
      <c r="C215" s="76" t="s">
        <v>88</v>
      </c>
      <c r="D215" s="77" t="s">
        <v>88</v>
      </c>
      <c r="E215" s="76"/>
      <c r="F215" s="22" t="s">
        <v>87</v>
      </c>
    </row>
    <row r="216" spans="1:6" s="35" customFormat="1" ht="26.4" x14ac:dyDescent="0.25">
      <c r="A216" s="76" t="s">
        <v>217</v>
      </c>
      <c r="B216" s="23" t="s">
        <v>218</v>
      </c>
      <c r="C216" s="22" t="s">
        <v>13</v>
      </c>
      <c r="D216" s="85">
        <f>(2.3*3+0.4*6)*1.1</f>
        <v>10.230000000000002</v>
      </c>
      <c r="E216" s="80"/>
      <c r="F216" s="81">
        <f>D216*E216</f>
        <v>0</v>
      </c>
    </row>
    <row r="217" spans="1:6" s="35" customFormat="1" ht="26.4" x14ac:dyDescent="0.25">
      <c r="A217" s="76" t="s">
        <v>219</v>
      </c>
      <c r="B217" s="23" t="s">
        <v>220</v>
      </c>
      <c r="C217" s="22" t="s">
        <v>13</v>
      </c>
      <c r="D217" s="85">
        <f>2.85*2*1.1</f>
        <v>6.2700000000000005</v>
      </c>
      <c r="E217" s="80"/>
      <c r="F217" s="81">
        <f>D217*E217</f>
        <v>0</v>
      </c>
    </row>
    <row r="218" spans="1:6" s="35" customFormat="1" ht="15.6" x14ac:dyDescent="0.25">
      <c r="A218" s="76" t="s">
        <v>221</v>
      </c>
      <c r="B218" s="23" t="s">
        <v>222</v>
      </c>
      <c r="C218" s="22" t="s">
        <v>248</v>
      </c>
      <c r="D218" s="85">
        <f>(2.5*2.85)*1.1</f>
        <v>7.8375000000000004</v>
      </c>
      <c r="E218" s="80"/>
      <c r="F218" s="81">
        <f>D218*E218</f>
        <v>0</v>
      </c>
    </row>
    <row r="219" spans="1:6" s="35" customFormat="1" ht="13.2" x14ac:dyDescent="0.25">
      <c r="A219" s="76" t="s">
        <v>88</v>
      </c>
      <c r="B219" s="76" t="s">
        <v>143</v>
      </c>
      <c r="C219" s="76" t="s">
        <v>88</v>
      </c>
      <c r="D219" s="107" t="s">
        <v>88</v>
      </c>
      <c r="E219" s="76"/>
      <c r="F219" s="82">
        <f>SUM(F216:F218)</f>
        <v>0</v>
      </c>
    </row>
    <row r="220" spans="1:6" s="35" customFormat="1" ht="13.2" x14ac:dyDescent="0.25">
      <c r="A220" s="76" t="s">
        <v>144</v>
      </c>
      <c r="B220" s="20" t="s">
        <v>223</v>
      </c>
      <c r="C220" s="76" t="s">
        <v>88</v>
      </c>
      <c r="D220" s="107" t="s">
        <v>88</v>
      </c>
      <c r="E220" s="76"/>
      <c r="F220" s="22" t="s">
        <v>87</v>
      </c>
    </row>
    <row r="221" spans="1:6" s="35" customFormat="1" ht="26.4" x14ac:dyDescent="0.25">
      <c r="A221" s="76" t="s">
        <v>146</v>
      </c>
      <c r="B221" s="108" t="s">
        <v>224</v>
      </c>
      <c r="C221" s="22" t="s">
        <v>12</v>
      </c>
      <c r="D221" s="85">
        <v>2</v>
      </c>
      <c r="E221" s="80"/>
      <c r="F221" s="81">
        <f>D221*E221</f>
        <v>0</v>
      </c>
    </row>
    <row r="222" spans="1:6" s="35" customFormat="1" ht="13.2" x14ac:dyDescent="0.25">
      <c r="A222" s="76" t="s">
        <v>88</v>
      </c>
      <c r="B222" s="76" t="s">
        <v>150</v>
      </c>
      <c r="C222" s="76" t="s">
        <v>88</v>
      </c>
      <c r="D222" s="107" t="s">
        <v>88</v>
      </c>
      <c r="E222" s="76"/>
      <c r="F222" s="82">
        <f>F221</f>
        <v>0</v>
      </c>
    </row>
    <row r="223" spans="1:6" s="35" customFormat="1" ht="13.2" x14ac:dyDescent="0.25">
      <c r="A223" s="76" t="s">
        <v>151</v>
      </c>
      <c r="B223" s="20" t="s">
        <v>225</v>
      </c>
      <c r="C223" s="76" t="s">
        <v>88</v>
      </c>
      <c r="D223" s="77" t="s">
        <v>88</v>
      </c>
      <c r="E223" s="76"/>
      <c r="F223" s="22" t="s">
        <v>87</v>
      </c>
    </row>
    <row r="224" spans="1:6" s="35" customFormat="1" ht="15.6" x14ac:dyDescent="0.25">
      <c r="A224" s="76" t="s">
        <v>153</v>
      </c>
      <c r="B224" s="23" t="s">
        <v>226</v>
      </c>
      <c r="C224" s="22" t="s">
        <v>248</v>
      </c>
      <c r="D224" s="79">
        <f>((25.2*2.2)+(14*2.65))*1.1</f>
        <v>101.79400000000001</v>
      </c>
      <c r="E224" s="80"/>
      <c r="F224" s="81">
        <f>D224*E224</f>
        <v>0</v>
      </c>
    </row>
    <row r="225" spans="1:6" s="35" customFormat="1" ht="15.6" x14ac:dyDescent="0.25">
      <c r="A225" s="76" t="s">
        <v>155</v>
      </c>
      <c r="B225" s="23" t="s">
        <v>164</v>
      </c>
      <c r="C225" s="22" t="s">
        <v>248</v>
      </c>
      <c r="D225" s="79">
        <f>(4.05*2.85)*1.1</f>
        <v>12.696750000000002</v>
      </c>
      <c r="E225" s="80"/>
      <c r="F225" s="81">
        <f>D225*E225</f>
        <v>0</v>
      </c>
    </row>
    <row r="226" spans="1:6" s="35" customFormat="1" ht="15.6" x14ac:dyDescent="0.25">
      <c r="A226" s="76" t="s">
        <v>157</v>
      </c>
      <c r="B226" s="23" t="s">
        <v>227</v>
      </c>
      <c r="C226" s="22" t="s">
        <v>248</v>
      </c>
      <c r="D226" s="79">
        <f>+D224</f>
        <v>101.79400000000001</v>
      </c>
      <c r="E226" s="80"/>
      <c r="F226" s="81">
        <f>D226*E226</f>
        <v>0</v>
      </c>
    </row>
    <row r="227" spans="1:6" s="35" customFormat="1" ht="13.2" x14ac:dyDescent="0.25">
      <c r="A227" s="76" t="s">
        <v>88</v>
      </c>
      <c r="B227" s="76" t="s">
        <v>165</v>
      </c>
      <c r="C227" s="76" t="s">
        <v>88</v>
      </c>
      <c r="D227" s="77" t="s">
        <v>88</v>
      </c>
      <c r="E227" s="76"/>
      <c r="F227" s="82">
        <f>SUM(F224:F226)</f>
        <v>0</v>
      </c>
    </row>
    <row r="228" spans="1:6" s="35" customFormat="1" ht="13.2" x14ac:dyDescent="0.25">
      <c r="A228" s="95" t="s">
        <v>88</v>
      </c>
      <c r="B228" s="96" t="s">
        <v>228</v>
      </c>
      <c r="C228" s="97" t="s">
        <v>87</v>
      </c>
      <c r="D228" s="98" t="s">
        <v>87</v>
      </c>
      <c r="E228" s="97" t="s">
        <v>87</v>
      </c>
      <c r="F228" s="99">
        <f>F227+F222+F219+F214+F208+F198</f>
        <v>0</v>
      </c>
    </row>
    <row r="229" spans="1:6" s="35" customFormat="1" ht="13.2" x14ac:dyDescent="0.25">
      <c r="A229" s="101"/>
      <c r="B229" s="102"/>
      <c r="C229" s="103"/>
      <c r="D229" s="104"/>
      <c r="E229" s="103"/>
      <c r="F229" s="101"/>
    </row>
    <row r="230" spans="1:6" s="35" customFormat="1" ht="13.2" x14ac:dyDescent="0.25">
      <c r="A230" s="75" t="s">
        <v>187</v>
      </c>
      <c r="B230" s="113" t="s">
        <v>229</v>
      </c>
      <c r="C230" s="113"/>
      <c r="D230" s="113"/>
      <c r="E230" s="113"/>
      <c r="F230" s="113"/>
    </row>
    <row r="231" spans="1:6" s="35" customFormat="1" ht="26.4" x14ac:dyDescent="0.25">
      <c r="A231" s="76" t="s">
        <v>79</v>
      </c>
      <c r="B231" s="20" t="s">
        <v>80</v>
      </c>
      <c r="C231" s="76" t="s">
        <v>81</v>
      </c>
      <c r="D231" s="77" t="s">
        <v>82</v>
      </c>
      <c r="E231" s="76" t="s">
        <v>83</v>
      </c>
      <c r="F231" s="76" t="s">
        <v>84</v>
      </c>
    </row>
    <row r="232" spans="1:6" s="35" customFormat="1" ht="13.2" x14ac:dyDescent="0.25">
      <c r="A232" s="76" t="s">
        <v>85</v>
      </c>
      <c r="B232" s="20" t="s">
        <v>195</v>
      </c>
      <c r="C232" s="76" t="s">
        <v>88</v>
      </c>
      <c r="D232" s="77" t="s">
        <v>88</v>
      </c>
      <c r="E232" s="76" t="s">
        <v>87</v>
      </c>
      <c r="F232" s="76" t="s">
        <v>87</v>
      </c>
    </row>
    <row r="233" spans="1:6" s="35" customFormat="1" ht="13.2" x14ac:dyDescent="0.25">
      <c r="A233" s="76" t="s">
        <v>89</v>
      </c>
      <c r="B233" s="23" t="s">
        <v>230</v>
      </c>
      <c r="C233" s="22" t="s">
        <v>12</v>
      </c>
      <c r="D233" s="85">
        <v>12</v>
      </c>
      <c r="E233" s="80"/>
      <c r="F233" s="81">
        <f>D233*E233</f>
        <v>0</v>
      </c>
    </row>
    <row r="234" spans="1:6" s="35" customFormat="1" ht="13.2" x14ac:dyDescent="0.25">
      <c r="A234" s="76" t="s">
        <v>231</v>
      </c>
      <c r="B234" s="23" t="s">
        <v>232</v>
      </c>
      <c r="C234" s="22" t="s">
        <v>12</v>
      </c>
      <c r="D234" s="85">
        <v>6</v>
      </c>
      <c r="E234" s="80"/>
      <c r="F234" s="81">
        <f>D234*E234</f>
        <v>0</v>
      </c>
    </row>
    <row r="235" spans="1:6" s="35" customFormat="1" ht="13.2" x14ac:dyDescent="0.25">
      <c r="A235" s="76" t="s">
        <v>233</v>
      </c>
      <c r="B235" s="23" t="s">
        <v>234</v>
      </c>
      <c r="C235" s="22" t="s">
        <v>12</v>
      </c>
      <c r="D235" s="85">
        <v>1</v>
      </c>
      <c r="E235" s="80"/>
      <c r="F235" s="81">
        <f>D235*E235</f>
        <v>0</v>
      </c>
    </row>
    <row r="236" spans="1:6" s="35" customFormat="1" ht="15.6" x14ac:dyDescent="0.25">
      <c r="A236" s="76" t="s">
        <v>235</v>
      </c>
      <c r="B236" s="23" t="s">
        <v>250</v>
      </c>
      <c r="C236" s="22" t="s">
        <v>13</v>
      </c>
      <c r="D236" s="85">
        <v>10</v>
      </c>
      <c r="E236" s="80"/>
      <c r="F236" s="81">
        <f>D236*E236</f>
        <v>0</v>
      </c>
    </row>
    <row r="237" spans="1:6" s="35" customFormat="1" ht="15.6" x14ac:dyDescent="0.25">
      <c r="A237" s="76" t="s">
        <v>236</v>
      </c>
      <c r="B237" s="23" t="s">
        <v>251</v>
      </c>
      <c r="C237" s="22" t="s">
        <v>13</v>
      </c>
      <c r="D237" s="85">
        <v>40</v>
      </c>
      <c r="E237" s="80"/>
      <c r="F237" s="81">
        <f t="shared" ref="F237:F239" si="13">D237*E237</f>
        <v>0</v>
      </c>
    </row>
    <row r="238" spans="1:6" s="35" customFormat="1" ht="13.2" x14ac:dyDescent="0.25">
      <c r="A238" s="76" t="s">
        <v>237</v>
      </c>
      <c r="B238" s="23" t="s">
        <v>238</v>
      </c>
      <c r="C238" s="22" t="s">
        <v>23</v>
      </c>
      <c r="D238" s="85">
        <v>1</v>
      </c>
      <c r="E238" s="80"/>
      <c r="F238" s="81">
        <f t="shared" si="13"/>
        <v>0</v>
      </c>
    </row>
    <row r="239" spans="1:6" s="35" customFormat="1" ht="13.2" x14ac:dyDescent="0.25">
      <c r="A239" s="76" t="s">
        <v>239</v>
      </c>
      <c r="B239" s="23" t="s">
        <v>240</v>
      </c>
      <c r="C239" s="22" t="s">
        <v>23</v>
      </c>
      <c r="D239" s="85">
        <v>1</v>
      </c>
      <c r="E239" s="80"/>
      <c r="F239" s="81">
        <f t="shared" si="13"/>
        <v>0</v>
      </c>
    </row>
    <row r="240" spans="1:6" s="35" customFormat="1" ht="13.2" x14ac:dyDescent="0.25">
      <c r="A240" s="76" t="s">
        <v>88</v>
      </c>
      <c r="B240" s="76" t="s">
        <v>99</v>
      </c>
      <c r="C240" s="76" t="s">
        <v>88</v>
      </c>
      <c r="D240" s="77" t="s">
        <v>88</v>
      </c>
      <c r="E240" s="76"/>
      <c r="F240" s="82">
        <f>SUM(F233:F239)</f>
        <v>0</v>
      </c>
    </row>
    <row r="241" spans="1:7" s="35" customFormat="1" ht="13.2" x14ac:dyDescent="0.25">
      <c r="A241" s="95" t="s">
        <v>88</v>
      </c>
      <c r="B241" s="96" t="s">
        <v>241</v>
      </c>
      <c r="C241" s="97" t="s">
        <v>87</v>
      </c>
      <c r="D241" s="98" t="s">
        <v>87</v>
      </c>
      <c r="E241" s="97"/>
      <c r="F241" s="99">
        <f>+F240</f>
        <v>0</v>
      </c>
    </row>
    <row r="242" spans="1:7" ht="15.6" x14ac:dyDescent="0.3">
      <c r="A242" s="69" t="s">
        <v>88</v>
      </c>
      <c r="B242" s="70" t="s">
        <v>252</v>
      </c>
      <c r="C242" s="69" t="s">
        <v>88</v>
      </c>
      <c r="D242" s="73" t="s">
        <v>88</v>
      </c>
      <c r="E242" s="71"/>
      <c r="F242" s="72">
        <f>+F241+F228+F189+F135+F81</f>
        <v>0</v>
      </c>
      <c r="G242"/>
    </row>
    <row r="243" spans="1:7" x14ac:dyDescent="0.3">
      <c r="A243" s="29" t="s">
        <v>57</v>
      </c>
      <c r="B243" s="18" t="s">
        <v>17</v>
      </c>
      <c r="C243" s="30"/>
      <c r="D243" s="30"/>
      <c r="E243" s="30"/>
      <c r="F243" s="30"/>
    </row>
    <row r="244" spans="1:7" s="46" customFormat="1" ht="48.75" customHeight="1" x14ac:dyDescent="0.3">
      <c r="A244" s="25">
        <v>5.0999999999999996</v>
      </c>
      <c r="B244" s="25" t="s">
        <v>48</v>
      </c>
      <c r="C244" s="25" t="s">
        <v>12</v>
      </c>
      <c r="D244" s="25">
        <f>700/3</f>
        <v>233.33333333333334</v>
      </c>
      <c r="E244" s="25"/>
      <c r="F244" s="27">
        <f>+D244*E244</f>
        <v>0</v>
      </c>
      <c r="G244" s="45"/>
    </row>
    <row r="245" spans="1:7" s="46" customFormat="1" ht="51.75" customHeight="1" x14ac:dyDescent="0.3">
      <c r="A245" s="25">
        <v>5.2</v>
      </c>
      <c r="B245" s="25" t="s">
        <v>245</v>
      </c>
      <c r="C245" s="25" t="s">
        <v>12</v>
      </c>
      <c r="D245" s="25">
        <f>700/20+6</f>
        <v>41</v>
      </c>
      <c r="E245" s="25"/>
      <c r="F245" s="27">
        <f>+D245*E245</f>
        <v>0</v>
      </c>
      <c r="G245" s="45"/>
    </row>
    <row r="246" spans="1:7" s="46" customFormat="1" ht="39.75" customHeight="1" x14ac:dyDescent="0.3">
      <c r="A246" s="25">
        <v>5.3</v>
      </c>
      <c r="B246" s="25" t="s">
        <v>29</v>
      </c>
      <c r="C246" s="25" t="s">
        <v>13</v>
      </c>
      <c r="D246" s="25">
        <v>700</v>
      </c>
      <c r="E246" s="25"/>
      <c r="F246" s="27">
        <f>+D246*E246</f>
        <v>0</v>
      </c>
      <c r="G246" s="45"/>
    </row>
    <row r="247" spans="1:7" s="46" customFormat="1" ht="24.75" customHeight="1" x14ac:dyDescent="0.3">
      <c r="A247" s="25">
        <v>5.4</v>
      </c>
      <c r="B247" s="25" t="s">
        <v>30</v>
      </c>
      <c r="C247" s="25" t="s">
        <v>13</v>
      </c>
      <c r="D247" s="25">
        <v>700</v>
      </c>
      <c r="E247" s="25"/>
      <c r="F247" s="27">
        <f>+D247*E247</f>
        <v>0</v>
      </c>
      <c r="G247" s="45"/>
    </row>
    <row r="248" spans="1:7" s="48" customFormat="1" ht="39.75" customHeight="1" x14ac:dyDescent="0.3">
      <c r="A248" s="25">
        <v>5.5</v>
      </c>
      <c r="B248" s="25" t="s">
        <v>246</v>
      </c>
      <c r="C248" s="25" t="s">
        <v>22</v>
      </c>
      <c r="D248" s="25">
        <f>700*0.3*0.35</f>
        <v>73.5</v>
      </c>
      <c r="E248" s="43"/>
      <c r="F248" s="43">
        <f>+D248*E248</f>
        <v>0</v>
      </c>
      <c r="G248" s="47"/>
    </row>
    <row r="249" spans="1:7" ht="26.4" x14ac:dyDescent="0.3">
      <c r="A249" s="25">
        <v>5.6</v>
      </c>
      <c r="B249" s="25" t="s">
        <v>32</v>
      </c>
      <c r="C249" s="25" t="s">
        <v>12</v>
      </c>
      <c r="D249" s="25">
        <v>1</v>
      </c>
      <c r="E249" s="43"/>
      <c r="F249" s="27">
        <f t="shared" ref="F249:F252" si="14">+D249*E249</f>
        <v>0</v>
      </c>
    </row>
    <row r="250" spans="1:7" ht="39.6" x14ac:dyDescent="0.3">
      <c r="A250" s="25">
        <v>5.7</v>
      </c>
      <c r="B250" s="25" t="s">
        <v>31</v>
      </c>
      <c r="C250" s="25" t="s">
        <v>12</v>
      </c>
      <c r="D250" s="25">
        <v>1</v>
      </c>
      <c r="E250" s="43"/>
      <c r="F250" s="27">
        <f t="shared" si="14"/>
        <v>0</v>
      </c>
    </row>
    <row r="251" spans="1:7" s="11" customFormat="1" ht="39.6" x14ac:dyDescent="0.3">
      <c r="A251" s="25">
        <v>5.8</v>
      </c>
      <c r="B251" s="25" t="s">
        <v>24</v>
      </c>
      <c r="C251" s="25" t="s">
        <v>13</v>
      </c>
      <c r="D251" s="25">
        <v>200</v>
      </c>
      <c r="E251" s="43"/>
      <c r="F251" s="27">
        <f t="shared" si="14"/>
        <v>0</v>
      </c>
      <c r="G251" s="10"/>
    </row>
    <row r="252" spans="1:7" s="11" customFormat="1" ht="26.4" x14ac:dyDescent="0.3">
      <c r="A252" s="25">
        <v>5.9</v>
      </c>
      <c r="B252" s="25" t="s">
        <v>33</v>
      </c>
      <c r="C252" s="25" t="s">
        <v>12</v>
      </c>
      <c r="D252" s="25">
        <v>1</v>
      </c>
      <c r="E252" s="43"/>
      <c r="F252" s="27">
        <f t="shared" si="14"/>
        <v>0</v>
      </c>
      <c r="G252" s="10"/>
    </row>
    <row r="253" spans="1:7" x14ac:dyDescent="0.3">
      <c r="A253" s="17"/>
      <c r="B253" s="18" t="s">
        <v>18</v>
      </c>
      <c r="C253" s="31"/>
      <c r="D253" s="31"/>
      <c r="E253" s="31"/>
      <c r="F253" s="32">
        <f>SUM(F244:F252)</f>
        <v>0</v>
      </c>
    </row>
    <row r="254" spans="1:7" s="6" customFormat="1" ht="15" x14ac:dyDescent="0.25">
      <c r="A254" s="29" t="s">
        <v>62</v>
      </c>
      <c r="B254" s="18" t="s">
        <v>19</v>
      </c>
      <c r="C254" s="16" t="s">
        <v>7</v>
      </c>
      <c r="D254" s="16"/>
      <c r="E254" s="16"/>
      <c r="F254" s="16"/>
      <c r="G254" s="5"/>
    </row>
    <row r="255" spans="1:7" s="6" customFormat="1" ht="15" x14ac:dyDescent="0.25">
      <c r="A255" s="25">
        <v>6.1</v>
      </c>
      <c r="B255" s="25" t="s">
        <v>64</v>
      </c>
      <c r="C255" s="25" t="s">
        <v>65</v>
      </c>
      <c r="D255" s="25">
        <v>1</v>
      </c>
      <c r="E255" s="43"/>
      <c r="F255" s="27">
        <f t="shared" ref="F255:F261" si="15">+D255*E255</f>
        <v>0</v>
      </c>
      <c r="G255" s="5"/>
    </row>
    <row r="256" spans="1:7" s="6" customFormat="1" ht="26.4" x14ac:dyDescent="0.25">
      <c r="A256" s="25">
        <v>6.2</v>
      </c>
      <c r="B256" s="25" t="s">
        <v>66</v>
      </c>
      <c r="C256" s="25" t="s">
        <v>67</v>
      </c>
      <c r="D256" s="25">
        <v>100</v>
      </c>
      <c r="E256" s="43"/>
      <c r="F256" s="27">
        <f t="shared" si="15"/>
        <v>0</v>
      </c>
      <c r="G256" s="5"/>
    </row>
    <row r="257" spans="1:8" s="6" customFormat="1" ht="26.4" x14ac:dyDescent="0.25">
      <c r="A257" s="25">
        <v>6.3</v>
      </c>
      <c r="B257" s="25" t="s">
        <v>68</v>
      </c>
      <c r="C257" s="25" t="s">
        <v>69</v>
      </c>
      <c r="D257" s="25">
        <v>15</v>
      </c>
      <c r="E257" s="43"/>
      <c r="F257" s="27">
        <f t="shared" si="15"/>
        <v>0</v>
      </c>
      <c r="G257" s="5"/>
    </row>
    <row r="258" spans="1:8" s="6" customFormat="1" ht="26.4" x14ac:dyDescent="0.25">
      <c r="A258" s="25">
        <v>6.4</v>
      </c>
      <c r="B258" s="25" t="s">
        <v>70</v>
      </c>
      <c r="C258" s="25" t="s">
        <v>69</v>
      </c>
      <c r="D258" s="25">
        <v>1</v>
      </c>
      <c r="E258" s="43"/>
      <c r="F258" s="27">
        <f t="shared" si="15"/>
        <v>0</v>
      </c>
      <c r="G258" s="5"/>
    </row>
    <row r="259" spans="1:8" s="6" customFormat="1" ht="15" x14ac:dyDescent="0.25">
      <c r="A259" s="25">
        <v>6.5</v>
      </c>
      <c r="B259" s="25" t="s">
        <v>71</v>
      </c>
      <c r="C259" s="25" t="s">
        <v>65</v>
      </c>
      <c r="D259" s="25">
        <v>1</v>
      </c>
      <c r="E259" s="43"/>
      <c r="F259" s="27">
        <f t="shared" si="15"/>
        <v>0</v>
      </c>
      <c r="G259" s="5"/>
    </row>
    <row r="260" spans="1:8" s="6" customFormat="1" ht="26.4" x14ac:dyDescent="0.25">
      <c r="A260" s="25">
        <v>6.6</v>
      </c>
      <c r="B260" s="25" t="s">
        <v>72</v>
      </c>
      <c r="C260" s="25" t="s">
        <v>73</v>
      </c>
      <c r="D260" s="25">
        <v>1</v>
      </c>
      <c r="E260" s="43"/>
      <c r="F260" s="27">
        <f t="shared" si="15"/>
        <v>0</v>
      </c>
      <c r="G260" s="5"/>
    </row>
    <row r="261" spans="1:8" s="6" customFormat="1" ht="26.4" x14ac:dyDescent="0.25">
      <c r="A261" s="25">
        <v>6.7</v>
      </c>
      <c r="B261" s="25" t="s">
        <v>74</v>
      </c>
      <c r="C261" s="25" t="s">
        <v>75</v>
      </c>
      <c r="D261" s="25">
        <v>2</v>
      </c>
      <c r="E261" s="43"/>
      <c r="F261" s="27">
        <f t="shared" si="15"/>
        <v>0</v>
      </c>
      <c r="G261" s="5"/>
    </row>
    <row r="262" spans="1:8" s="6" customFormat="1" ht="15" x14ac:dyDescent="0.25">
      <c r="A262" s="25"/>
      <c r="B262" s="18" t="s">
        <v>76</v>
      </c>
      <c r="C262" s="31"/>
      <c r="D262" s="31"/>
      <c r="E262" s="31"/>
      <c r="F262" s="32">
        <f>SUM(F255:F261)</f>
        <v>0</v>
      </c>
      <c r="G262" s="5"/>
    </row>
    <row r="263" spans="1:8" x14ac:dyDescent="0.3">
      <c r="A263" s="109" t="s">
        <v>20</v>
      </c>
      <c r="B263" s="109"/>
      <c r="C263" s="33"/>
      <c r="D263" s="33"/>
      <c r="E263" s="33"/>
      <c r="F263" s="34">
        <f>+F7+F12+F27+F253+F242+F262</f>
        <v>0</v>
      </c>
    </row>
    <row r="264" spans="1:8" s="8" customFormat="1" ht="15" x14ac:dyDescent="0.25">
      <c r="A264" s="37"/>
      <c r="B264" s="38" t="s">
        <v>21</v>
      </c>
      <c r="C264" s="38"/>
      <c r="D264" s="38"/>
      <c r="E264" s="38"/>
      <c r="F264" s="39"/>
      <c r="G264" s="7"/>
    </row>
    <row r="265" spans="1:8" s="8" customFormat="1" ht="15" x14ac:dyDescent="0.25">
      <c r="A265" s="35"/>
      <c r="B265" s="36"/>
      <c r="C265" s="36"/>
      <c r="D265" s="36"/>
      <c r="E265" s="36"/>
      <c r="F265" s="36"/>
      <c r="G265" s="7"/>
      <c r="H265" s="9"/>
    </row>
    <row r="267" spans="1:8" x14ac:dyDescent="0.3">
      <c r="A267" s="54" t="s">
        <v>0</v>
      </c>
      <c r="B267" s="55" t="s">
        <v>58</v>
      </c>
      <c r="C267" s="54" t="s">
        <v>59</v>
      </c>
      <c r="D267" s="54" t="s">
        <v>60</v>
      </c>
    </row>
    <row r="268" spans="1:8" x14ac:dyDescent="0.3">
      <c r="A268" s="57">
        <v>1</v>
      </c>
      <c r="B268" s="58" t="str">
        <f>+B4</f>
        <v>Travaux preliminaires</v>
      </c>
      <c r="C268" s="59">
        <f>+F7</f>
        <v>0</v>
      </c>
      <c r="D268" s="60" t="e">
        <f>+C268/$C$274</f>
        <v>#DIV/0!</v>
      </c>
    </row>
    <row r="269" spans="1:8" x14ac:dyDescent="0.3">
      <c r="A269" s="57">
        <v>2</v>
      </c>
      <c r="B269" s="61" t="str">
        <f>+B8</f>
        <v>Reseau de refoulement</v>
      </c>
      <c r="C269" s="59">
        <f>+F12</f>
        <v>0</v>
      </c>
      <c r="D269" s="60" t="e">
        <f t="shared" ref="D269:D274" si="16">+C269/$C$274</f>
        <v>#DIV/0!</v>
      </c>
    </row>
    <row r="270" spans="1:8" x14ac:dyDescent="0.3">
      <c r="A270" s="57">
        <v>3</v>
      </c>
      <c r="B270" s="61" t="str">
        <f>+B13</f>
        <v>Réseau de distribution</v>
      </c>
      <c r="C270" s="59">
        <f>+F27</f>
        <v>0</v>
      </c>
      <c r="D270" s="60" t="e">
        <f t="shared" si="16"/>
        <v>#DIV/0!</v>
      </c>
    </row>
    <row r="271" spans="1:8" x14ac:dyDescent="0.3">
      <c r="A271" s="57">
        <v>4</v>
      </c>
      <c r="B271" s="61" t="str">
        <f>+B28</f>
        <v>Infrastructures d'accompagnement et champs solaire</v>
      </c>
      <c r="C271" s="59">
        <f>+F242</f>
        <v>0</v>
      </c>
      <c r="D271" s="60" t="e">
        <f t="shared" si="16"/>
        <v>#DIV/0!</v>
      </c>
    </row>
    <row r="272" spans="1:8" x14ac:dyDescent="0.3">
      <c r="A272" s="57">
        <v>5</v>
      </c>
      <c r="B272" s="61" t="str">
        <f>+B243</f>
        <v>Clôture et Annexe</v>
      </c>
      <c r="C272" s="59">
        <f>+F253</f>
        <v>0</v>
      </c>
      <c r="D272" s="60" t="e">
        <f t="shared" si="16"/>
        <v>#DIV/0!</v>
      </c>
    </row>
    <row r="273" spans="1:4" x14ac:dyDescent="0.3">
      <c r="A273" s="57">
        <v>6</v>
      </c>
      <c r="B273" s="62" t="str">
        <f>+B254</f>
        <v>Mise en œuvre du PGES</v>
      </c>
      <c r="C273" s="59">
        <f>+F262</f>
        <v>0</v>
      </c>
      <c r="D273" s="60" t="e">
        <f t="shared" si="16"/>
        <v>#DIV/0!</v>
      </c>
    </row>
    <row r="274" spans="1:4" x14ac:dyDescent="0.3">
      <c r="A274" s="57"/>
      <c r="B274" s="63" t="s">
        <v>63</v>
      </c>
      <c r="C274" s="64">
        <f>SUM(C268:C273)</f>
        <v>0</v>
      </c>
      <c r="D274" s="65" t="e">
        <f t="shared" si="16"/>
        <v>#DIV/0!</v>
      </c>
    </row>
  </sheetData>
  <mergeCells count="11">
    <mergeCell ref="A263:B263"/>
    <mergeCell ref="A1:F1"/>
    <mergeCell ref="A2:A3"/>
    <mergeCell ref="B2:B3"/>
    <mergeCell ref="C2:C3"/>
    <mergeCell ref="D2:D3"/>
    <mergeCell ref="B29:F29"/>
    <mergeCell ref="B83:F83"/>
    <mergeCell ref="B137:F137"/>
    <mergeCell ref="B191:F191"/>
    <mergeCell ref="B230:F2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H274"/>
  <sheetViews>
    <sheetView topLeftCell="A262" workbookViewId="0">
      <selection activeCell="G268" sqref="G268"/>
    </sheetView>
  </sheetViews>
  <sheetFormatPr baseColWidth="10" defaultColWidth="11.44140625" defaultRowHeight="14.4" x14ac:dyDescent="0.3"/>
  <cols>
    <col min="1" max="1" width="5.44140625" style="35" customWidth="1"/>
    <col min="2" max="2" width="40.5546875" style="40" customWidth="1"/>
    <col min="3" max="3" width="12" style="35" bestFit="1" customWidth="1"/>
    <col min="4" max="4" width="10.44140625" style="35" bestFit="1" customWidth="1"/>
    <col min="5" max="5" width="13.44140625" style="35" customWidth="1"/>
    <col min="6" max="6" width="20" style="35" bestFit="1" customWidth="1"/>
    <col min="7" max="7" width="13.44140625" style="3" bestFit="1" customWidth="1"/>
    <col min="8" max="8" width="12.88671875" bestFit="1" customWidth="1"/>
  </cols>
  <sheetData>
    <row r="1" spans="1:7" s="2" customFormat="1" x14ac:dyDescent="0.3">
      <c r="A1" s="114" t="s">
        <v>55</v>
      </c>
      <c r="B1" s="114"/>
      <c r="C1" s="114"/>
      <c r="D1" s="114"/>
      <c r="E1" s="114"/>
      <c r="F1" s="114"/>
      <c r="G1" s="1"/>
    </row>
    <row r="2" spans="1:7" x14ac:dyDescent="0.3">
      <c r="A2" s="111" t="s">
        <v>0</v>
      </c>
      <c r="B2" s="112" t="s">
        <v>1</v>
      </c>
      <c r="C2" s="111" t="s">
        <v>2</v>
      </c>
      <c r="D2" s="111" t="s">
        <v>3</v>
      </c>
      <c r="E2" s="67" t="s">
        <v>4</v>
      </c>
      <c r="F2" s="67" t="s">
        <v>5</v>
      </c>
    </row>
    <row r="3" spans="1:7" x14ac:dyDescent="0.3">
      <c r="A3" s="111"/>
      <c r="B3" s="112"/>
      <c r="C3" s="111"/>
      <c r="D3" s="111"/>
      <c r="E3" s="67" t="s">
        <v>25</v>
      </c>
      <c r="F3" s="67" t="s">
        <v>25</v>
      </c>
    </row>
    <row r="4" spans="1:7" x14ac:dyDescent="0.3">
      <c r="A4" s="14" t="s">
        <v>6</v>
      </c>
      <c r="B4" s="50" t="s">
        <v>61</v>
      </c>
      <c r="C4" s="14"/>
      <c r="D4" s="14"/>
      <c r="E4" s="14"/>
      <c r="F4" s="14"/>
    </row>
    <row r="5" spans="1:7" x14ac:dyDescent="0.3">
      <c r="A5" s="15">
        <v>1.1000000000000001</v>
      </c>
      <c r="B5" s="51" t="s">
        <v>26</v>
      </c>
      <c r="C5" s="15" t="s">
        <v>7</v>
      </c>
      <c r="D5" s="15">
        <v>1</v>
      </c>
      <c r="E5" s="16"/>
      <c r="F5" s="16">
        <f>+D5*E5</f>
        <v>0</v>
      </c>
    </row>
    <row r="6" spans="1:7" ht="52.8" x14ac:dyDescent="0.3">
      <c r="A6" s="15">
        <v>1.2</v>
      </c>
      <c r="B6" s="52" t="s">
        <v>27</v>
      </c>
      <c r="C6" s="15" t="s">
        <v>28</v>
      </c>
      <c r="D6" s="15">
        <v>2</v>
      </c>
      <c r="E6" s="16"/>
      <c r="F6" s="16">
        <f>+D6*E6</f>
        <v>0</v>
      </c>
    </row>
    <row r="7" spans="1:7" x14ac:dyDescent="0.3">
      <c r="A7" s="17"/>
      <c r="B7" s="18" t="s">
        <v>8</v>
      </c>
      <c r="C7" s="17"/>
      <c r="D7" s="17"/>
      <c r="E7" s="17"/>
      <c r="F7" s="19">
        <f>SUM(F5:F6)</f>
        <v>0</v>
      </c>
    </row>
    <row r="8" spans="1:7" x14ac:dyDescent="0.3">
      <c r="A8" s="14" t="s">
        <v>9</v>
      </c>
      <c r="B8" s="20" t="s">
        <v>244</v>
      </c>
      <c r="C8" s="21"/>
      <c r="D8" s="21"/>
      <c r="E8" s="21"/>
      <c r="F8" s="21"/>
    </row>
    <row r="9" spans="1:7" ht="66" x14ac:dyDescent="0.3">
      <c r="A9" s="22">
        <v>2.1</v>
      </c>
      <c r="B9" s="52" t="s">
        <v>39</v>
      </c>
      <c r="C9" s="22" t="s">
        <v>13</v>
      </c>
      <c r="D9" s="22">
        <f>240+175</f>
        <v>415</v>
      </c>
      <c r="E9" s="24"/>
      <c r="F9" s="16">
        <f t="shared" ref="F9:F11" si="0">+D9*E9</f>
        <v>0</v>
      </c>
    </row>
    <row r="10" spans="1:7" ht="39.6" x14ac:dyDescent="0.3">
      <c r="A10" s="22">
        <v>2.2000000000000002</v>
      </c>
      <c r="B10" s="23" t="s">
        <v>36</v>
      </c>
      <c r="C10" s="22" t="s">
        <v>14</v>
      </c>
      <c r="D10" s="22">
        <f>240+175</f>
        <v>415</v>
      </c>
      <c r="E10" s="24"/>
      <c r="F10" s="16">
        <f t="shared" si="0"/>
        <v>0</v>
      </c>
    </row>
    <row r="11" spans="1:7" s="2" customFormat="1" ht="55.2" x14ac:dyDescent="0.3">
      <c r="A11" s="22">
        <v>2.2999999999999998</v>
      </c>
      <c r="B11" s="25" t="s">
        <v>34</v>
      </c>
      <c r="C11" s="25" t="s">
        <v>23</v>
      </c>
      <c r="D11" s="56">
        <v>1</v>
      </c>
      <c r="E11" s="24"/>
      <c r="F11" s="16">
        <f t="shared" si="0"/>
        <v>0</v>
      </c>
      <c r="G11" s="3"/>
    </row>
    <row r="12" spans="1:7" x14ac:dyDescent="0.3">
      <c r="A12" s="56"/>
      <c r="B12" s="28" t="s">
        <v>10</v>
      </c>
      <c r="C12" s="17"/>
      <c r="D12" s="17"/>
      <c r="E12" s="17"/>
      <c r="F12" s="19">
        <f>SUM(F9:F11)</f>
        <v>0</v>
      </c>
    </row>
    <row r="13" spans="1:7" x14ac:dyDescent="0.3">
      <c r="A13" s="29" t="s">
        <v>11</v>
      </c>
      <c r="B13" s="18" t="s">
        <v>16</v>
      </c>
      <c r="C13" s="30"/>
      <c r="D13" s="30"/>
      <c r="E13" s="30"/>
      <c r="F13" s="21"/>
    </row>
    <row r="14" spans="1:7" s="2" customFormat="1" ht="66" x14ac:dyDescent="0.3">
      <c r="A14" s="25">
        <v>3.1</v>
      </c>
      <c r="B14" s="26" t="s">
        <v>37</v>
      </c>
      <c r="C14" s="41" t="s">
        <v>13</v>
      </c>
      <c r="D14" s="25">
        <f>+D15+D16+D17</f>
        <v>805</v>
      </c>
      <c r="E14" s="25"/>
      <c r="F14" s="27">
        <f t="shared" ref="F14:F20" si="1">+D14*E14</f>
        <v>0</v>
      </c>
      <c r="G14" s="1"/>
    </row>
    <row r="15" spans="1:7" s="2" customFormat="1" ht="66" x14ac:dyDescent="0.3">
      <c r="A15" s="42">
        <v>3.2</v>
      </c>
      <c r="B15" s="26" t="s">
        <v>40</v>
      </c>
      <c r="C15" s="25" t="s">
        <v>13</v>
      </c>
      <c r="D15" s="25">
        <v>125</v>
      </c>
      <c r="E15" s="43"/>
      <c r="F15" s="27">
        <f t="shared" si="1"/>
        <v>0</v>
      </c>
      <c r="G15" s="1"/>
    </row>
    <row r="16" spans="1:7" s="2" customFormat="1" ht="66" x14ac:dyDescent="0.3">
      <c r="A16" s="25">
        <v>3.3</v>
      </c>
      <c r="B16" s="26" t="s">
        <v>38</v>
      </c>
      <c r="C16" s="25" t="s">
        <v>13</v>
      </c>
      <c r="D16" s="25">
        <v>175</v>
      </c>
      <c r="E16" s="43"/>
      <c r="F16" s="27">
        <f t="shared" si="1"/>
        <v>0</v>
      </c>
      <c r="G16" s="1"/>
    </row>
    <row r="17" spans="1:8" s="2" customFormat="1" ht="66" x14ac:dyDescent="0.3">
      <c r="A17" s="42">
        <v>3.4</v>
      </c>
      <c r="B17" s="26" t="s">
        <v>41</v>
      </c>
      <c r="C17" s="25" t="s">
        <v>13</v>
      </c>
      <c r="D17" s="25">
        <v>505</v>
      </c>
      <c r="E17" s="43"/>
      <c r="F17" s="27">
        <f t="shared" si="1"/>
        <v>0</v>
      </c>
      <c r="G17" s="1"/>
    </row>
    <row r="18" spans="1:8" s="2" customFormat="1" ht="26.4" x14ac:dyDescent="0.3">
      <c r="A18" s="25">
        <v>3.5</v>
      </c>
      <c r="B18" s="26" t="s">
        <v>42</v>
      </c>
      <c r="C18" s="25" t="s">
        <v>12</v>
      </c>
      <c r="D18" s="25">
        <v>1</v>
      </c>
      <c r="E18" s="43"/>
      <c r="F18" s="27">
        <f t="shared" si="1"/>
        <v>0</v>
      </c>
      <c r="G18" s="1"/>
    </row>
    <row r="19" spans="1:8" s="2" customFormat="1" ht="26.4" x14ac:dyDescent="0.3">
      <c r="A19" s="42">
        <v>3.6</v>
      </c>
      <c r="B19" s="26" t="s">
        <v>43</v>
      </c>
      <c r="C19" s="25" t="s">
        <v>12</v>
      </c>
      <c r="D19" s="25">
        <v>1</v>
      </c>
      <c r="E19" s="43"/>
      <c r="F19" s="27">
        <f t="shared" si="1"/>
        <v>0</v>
      </c>
      <c r="G19" s="1"/>
    </row>
    <row r="20" spans="1:8" s="2" customFormat="1" ht="26.4" x14ac:dyDescent="0.3">
      <c r="A20" s="25">
        <v>3.7</v>
      </c>
      <c r="B20" s="26" t="s">
        <v>44</v>
      </c>
      <c r="C20" s="25" t="s">
        <v>12</v>
      </c>
      <c r="D20" s="25">
        <v>23</v>
      </c>
      <c r="E20" s="43"/>
      <c r="F20" s="27">
        <f t="shared" si="1"/>
        <v>0</v>
      </c>
      <c r="G20" s="1"/>
    </row>
    <row r="21" spans="1:8" s="2" customFormat="1" ht="39.6" x14ac:dyDescent="0.3">
      <c r="A21" s="42">
        <v>3.8</v>
      </c>
      <c r="B21" s="26" t="s">
        <v>45</v>
      </c>
      <c r="C21" s="25" t="s">
        <v>23</v>
      </c>
      <c r="D21" s="25"/>
      <c r="E21" s="43"/>
      <c r="F21" s="27">
        <f t="shared" ref="F21:F26" si="2">+D21*E21</f>
        <v>0</v>
      </c>
      <c r="G21" s="1"/>
      <c r="H21" s="44"/>
    </row>
    <row r="22" spans="1:8" s="2" customFormat="1" ht="39.6" x14ac:dyDescent="0.3">
      <c r="A22" s="25">
        <v>3.9</v>
      </c>
      <c r="B22" s="26" t="s">
        <v>46</v>
      </c>
      <c r="C22" s="25" t="s">
        <v>23</v>
      </c>
      <c r="D22" s="25">
        <v>0</v>
      </c>
      <c r="E22" s="43"/>
      <c r="F22" s="27">
        <f t="shared" si="2"/>
        <v>0</v>
      </c>
      <c r="G22" s="1"/>
    </row>
    <row r="23" spans="1:8" s="2" customFormat="1" ht="68.400000000000006" x14ac:dyDescent="0.3">
      <c r="A23" s="49">
        <v>3.1</v>
      </c>
      <c r="B23" s="26" t="s">
        <v>47</v>
      </c>
      <c r="C23" s="25" t="s">
        <v>23</v>
      </c>
      <c r="D23" s="25">
        <f>10+4</f>
        <v>14</v>
      </c>
      <c r="E23" s="43"/>
      <c r="F23" s="27">
        <f t="shared" si="2"/>
        <v>0</v>
      </c>
      <c r="G23" s="1"/>
    </row>
    <row r="24" spans="1:8" s="2" customFormat="1" ht="26.4" x14ac:dyDescent="0.3">
      <c r="A24" s="25">
        <v>3.11</v>
      </c>
      <c r="B24" s="26" t="s">
        <v>52</v>
      </c>
      <c r="C24" s="25" t="s">
        <v>51</v>
      </c>
      <c r="D24" s="26">
        <f>7+20</f>
        <v>27</v>
      </c>
      <c r="E24" s="43"/>
      <c r="F24" s="27">
        <f t="shared" si="2"/>
        <v>0</v>
      </c>
      <c r="G24" s="1"/>
    </row>
    <row r="25" spans="1:8" s="2" customFormat="1" ht="26.4" x14ac:dyDescent="0.3">
      <c r="A25" s="25">
        <v>3.12</v>
      </c>
      <c r="B25" s="26" t="s">
        <v>49</v>
      </c>
      <c r="C25" s="12" t="s">
        <v>12</v>
      </c>
      <c r="D25" s="12">
        <f>2*D23</f>
        <v>28</v>
      </c>
      <c r="E25" s="43"/>
      <c r="F25" s="27">
        <f t="shared" si="2"/>
        <v>0</v>
      </c>
      <c r="G25" s="1"/>
    </row>
    <row r="26" spans="1:8" s="2" customFormat="1" x14ac:dyDescent="0.3">
      <c r="A26" s="25">
        <v>3.13</v>
      </c>
      <c r="B26" s="26" t="s">
        <v>50</v>
      </c>
      <c r="C26" s="12" t="s">
        <v>12</v>
      </c>
      <c r="D26" s="12">
        <v>10</v>
      </c>
      <c r="E26" s="43"/>
      <c r="F26" s="27">
        <f t="shared" si="2"/>
        <v>0</v>
      </c>
      <c r="G26" s="1"/>
    </row>
    <row r="27" spans="1:8" x14ac:dyDescent="0.3">
      <c r="A27" s="17"/>
      <c r="B27" s="18" t="s">
        <v>56</v>
      </c>
      <c r="C27" s="31"/>
      <c r="D27" s="31"/>
      <c r="E27" s="31"/>
      <c r="F27" s="32">
        <f>SUM(F14:F26)</f>
        <v>0</v>
      </c>
    </row>
    <row r="28" spans="1:8" ht="26.4" x14ac:dyDescent="0.3">
      <c r="A28" s="29" t="s">
        <v>15</v>
      </c>
      <c r="B28" s="18" t="s">
        <v>247</v>
      </c>
      <c r="C28" s="18"/>
      <c r="D28" s="18"/>
      <c r="E28" s="18"/>
      <c r="F28" s="18"/>
      <c r="G28" s="53"/>
    </row>
    <row r="29" spans="1:8" s="35" customFormat="1" ht="13.2" x14ac:dyDescent="0.25">
      <c r="A29" s="75" t="s">
        <v>242</v>
      </c>
      <c r="B29" s="113" t="s">
        <v>78</v>
      </c>
      <c r="C29" s="113"/>
      <c r="D29" s="113"/>
      <c r="E29" s="113"/>
      <c r="F29" s="113"/>
    </row>
    <row r="30" spans="1:8" s="35" customFormat="1" ht="13.2" x14ac:dyDescent="0.25">
      <c r="A30" s="76" t="s">
        <v>79</v>
      </c>
      <c r="B30" s="20" t="s">
        <v>80</v>
      </c>
      <c r="C30" s="76" t="s">
        <v>81</v>
      </c>
      <c r="D30" s="77" t="s">
        <v>82</v>
      </c>
      <c r="E30" s="76" t="s">
        <v>83</v>
      </c>
      <c r="F30" s="76" t="s">
        <v>84</v>
      </c>
    </row>
    <row r="31" spans="1:8" s="35" customFormat="1" ht="13.2" x14ac:dyDescent="0.25">
      <c r="A31" s="76" t="s">
        <v>85</v>
      </c>
      <c r="B31" s="20" t="s">
        <v>86</v>
      </c>
      <c r="C31" s="22" t="s">
        <v>87</v>
      </c>
      <c r="D31" s="78" t="s">
        <v>88</v>
      </c>
      <c r="E31" s="22" t="s">
        <v>87</v>
      </c>
      <c r="F31" s="76" t="s">
        <v>87</v>
      </c>
    </row>
    <row r="32" spans="1:8" s="35" customFormat="1" ht="15.6" x14ac:dyDescent="0.25">
      <c r="A32" s="76" t="s">
        <v>89</v>
      </c>
      <c r="B32" s="23" t="s">
        <v>90</v>
      </c>
      <c r="C32" s="22" t="s">
        <v>248</v>
      </c>
      <c r="D32" s="79">
        <f>(10.3+2)*(7.3+2)</f>
        <v>114.39000000000001</v>
      </c>
      <c r="E32" s="80"/>
      <c r="F32" s="81">
        <f>D32*E32</f>
        <v>0</v>
      </c>
    </row>
    <row r="33" spans="1:6" s="35" customFormat="1" ht="15.6" x14ac:dyDescent="0.25">
      <c r="A33" s="76" t="s">
        <v>91</v>
      </c>
      <c r="B33" s="23" t="s">
        <v>92</v>
      </c>
      <c r="C33" s="22" t="s">
        <v>249</v>
      </c>
      <c r="D33" s="79">
        <f>(34.6*0.4*0.6)*1.1</f>
        <v>9.1344000000000012</v>
      </c>
      <c r="E33" s="80"/>
      <c r="F33" s="81">
        <f>D33*E33</f>
        <v>0</v>
      </c>
    </row>
    <row r="34" spans="1:6" s="35" customFormat="1" ht="15.6" x14ac:dyDescent="0.25">
      <c r="A34" s="76" t="s">
        <v>93</v>
      </c>
      <c r="B34" s="23" t="s">
        <v>94</v>
      </c>
      <c r="C34" s="22" t="s">
        <v>249</v>
      </c>
      <c r="D34" s="79">
        <f>(1.2*1.2*1.2)*12*1.1</f>
        <v>22.809600000000003</v>
      </c>
      <c r="E34" s="80"/>
      <c r="F34" s="81">
        <f>D34*E34</f>
        <v>0</v>
      </c>
    </row>
    <row r="35" spans="1:6" s="35" customFormat="1" ht="15.6" x14ac:dyDescent="0.25">
      <c r="A35" s="76" t="s">
        <v>95</v>
      </c>
      <c r="B35" s="23" t="s">
        <v>96</v>
      </c>
      <c r="C35" s="22" t="s">
        <v>249</v>
      </c>
      <c r="D35" s="79">
        <f>+D34+D33</f>
        <v>31.944000000000003</v>
      </c>
      <c r="E35" s="80"/>
      <c r="F35" s="81">
        <f>D35*E35</f>
        <v>0</v>
      </c>
    </row>
    <row r="36" spans="1:6" s="35" customFormat="1" ht="15.6" x14ac:dyDescent="0.25">
      <c r="A36" s="76" t="s">
        <v>97</v>
      </c>
      <c r="B36" s="23" t="s">
        <v>98</v>
      </c>
      <c r="C36" s="22" t="s">
        <v>249</v>
      </c>
      <c r="D36" s="79">
        <f>((70*0.45)-D35*0.15)*1.1</f>
        <v>29.379240000000003</v>
      </c>
      <c r="E36" s="80"/>
      <c r="F36" s="81">
        <f>D36*E36</f>
        <v>0</v>
      </c>
    </row>
    <row r="37" spans="1:6" s="35" customFormat="1" ht="13.2" x14ac:dyDescent="0.25">
      <c r="A37" s="76" t="s">
        <v>88</v>
      </c>
      <c r="B37" s="76" t="s">
        <v>99</v>
      </c>
      <c r="C37" s="76" t="s">
        <v>88</v>
      </c>
      <c r="D37" s="77" t="s">
        <v>88</v>
      </c>
      <c r="E37" s="76"/>
      <c r="F37" s="82">
        <f>SUM(F32:F36)</f>
        <v>0</v>
      </c>
    </row>
    <row r="38" spans="1:6" s="35" customFormat="1" ht="13.2" x14ac:dyDescent="0.25">
      <c r="A38" s="76" t="s">
        <v>100</v>
      </c>
      <c r="B38" s="20" t="s">
        <v>101</v>
      </c>
      <c r="C38" s="76" t="s">
        <v>88</v>
      </c>
      <c r="D38" s="83" t="s">
        <v>88</v>
      </c>
      <c r="E38" s="76"/>
      <c r="F38" s="22" t="s">
        <v>87</v>
      </c>
    </row>
    <row r="39" spans="1:6" s="35" customFormat="1" ht="15.6" x14ac:dyDescent="0.25">
      <c r="A39" s="76" t="s">
        <v>102</v>
      </c>
      <c r="B39" s="23" t="s">
        <v>103</v>
      </c>
      <c r="C39" s="22" t="s">
        <v>249</v>
      </c>
      <c r="D39" s="79">
        <f>((0.4*0.05*34.6)+(1.2*1.2*0.05)*12)*1.1</f>
        <v>1.7116000000000002</v>
      </c>
      <c r="E39" s="80"/>
      <c r="F39" s="81">
        <f t="shared" ref="F39:F45" si="3">D39*E39</f>
        <v>0</v>
      </c>
    </row>
    <row r="40" spans="1:6" s="35" customFormat="1" ht="15.6" x14ac:dyDescent="0.25">
      <c r="A40" s="76" t="s">
        <v>104</v>
      </c>
      <c r="B40" s="84" t="s">
        <v>105</v>
      </c>
      <c r="C40" s="22" t="s">
        <v>249</v>
      </c>
      <c r="D40" s="79">
        <f>(1.2*1.2*0.25)*12*1.1</f>
        <v>4.7520000000000007</v>
      </c>
      <c r="E40" s="80"/>
      <c r="F40" s="81">
        <f t="shared" si="3"/>
        <v>0</v>
      </c>
    </row>
    <row r="41" spans="1:6" s="35" customFormat="1" ht="15.6" x14ac:dyDescent="0.25">
      <c r="A41" s="76" t="s">
        <v>106</v>
      </c>
      <c r="B41" s="23" t="s">
        <v>107</v>
      </c>
      <c r="C41" s="22" t="s">
        <v>249</v>
      </c>
      <c r="D41" s="79">
        <f>(0.2*0.2*1.5)*12*1</f>
        <v>0.7200000000000002</v>
      </c>
      <c r="E41" s="80"/>
      <c r="F41" s="81">
        <f t="shared" si="3"/>
        <v>0</v>
      </c>
    </row>
    <row r="42" spans="1:6" s="35" customFormat="1" ht="26.4" x14ac:dyDescent="0.25">
      <c r="A42" s="76" t="s">
        <v>108</v>
      </c>
      <c r="B42" s="23" t="s">
        <v>109</v>
      </c>
      <c r="C42" s="22" t="s">
        <v>248</v>
      </c>
      <c r="D42" s="79">
        <f>(34.6*1.05)*1.1</f>
        <v>39.963000000000008</v>
      </c>
      <c r="E42" s="80"/>
      <c r="F42" s="81">
        <f t="shared" si="3"/>
        <v>0</v>
      </c>
    </row>
    <row r="43" spans="1:6" s="35" customFormat="1" ht="15.6" x14ac:dyDescent="0.25">
      <c r="A43" s="76" t="s">
        <v>110</v>
      </c>
      <c r="B43" s="23" t="s">
        <v>111</v>
      </c>
      <c r="C43" s="22" t="s">
        <v>249</v>
      </c>
      <c r="D43" s="79">
        <f>(0.2*0.2*34.6)*1.1</f>
        <v>1.5224000000000004</v>
      </c>
      <c r="E43" s="80"/>
      <c r="F43" s="81">
        <f t="shared" si="3"/>
        <v>0</v>
      </c>
    </row>
    <row r="44" spans="1:6" s="35" customFormat="1" ht="15.6" x14ac:dyDescent="0.25">
      <c r="A44" s="76" t="s">
        <v>112</v>
      </c>
      <c r="B44" s="23" t="s">
        <v>113</v>
      </c>
      <c r="C44" s="22" t="s">
        <v>249</v>
      </c>
      <c r="D44" s="79">
        <f>(0.76*6*0.15)*1.1</f>
        <v>0.75240000000000007</v>
      </c>
      <c r="E44" s="80"/>
      <c r="F44" s="81">
        <f t="shared" si="3"/>
        <v>0</v>
      </c>
    </row>
    <row r="45" spans="1:6" s="35" customFormat="1" ht="26.4" x14ac:dyDescent="0.25">
      <c r="A45" s="76" t="s">
        <v>114</v>
      </c>
      <c r="B45" s="23" t="s">
        <v>115</v>
      </c>
      <c r="C45" s="22" t="s">
        <v>249</v>
      </c>
      <c r="D45" s="79">
        <f>70*0.12*1.1</f>
        <v>9.240000000000002</v>
      </c>
      <c r="E45" s="80"/>
      <c r="F45" s="81">
        <f t="shared" si="3"/>
        <v>0</v>
      </c>
    </row>
    <row r="46" spans="1:6" s="35" customFormat="1" ht="13.2" x14ac:dyDescent="0.25">
      <c r="A46" s="76" t="s">
        <v>88</v>
      </c>
      <c r="B46" s="76" t="s">
        <v>116</v>
      </c>
      <c r="C46" s="76" t="s">
        <v>88</v>
      </c>
      <c r="D46" s="77" t="s">
        <v>88</v>
      </c>
      <c r="E46" s="76"/>
      <c r="F46" s="82">
        <f>SUM(F39:F45)</f>
        <v>0</v>
      </c>
    </row>
    <row r="47" spans="1:6" s="35" customFormat="1" ht="13.2" x14ac:dyDescent="0.25">
      <c r="A47" s="76" t="s">
        <v>117</v>
      </c>
      <c r="B47" s="20" t="s">
        <v>118</v>
      </c>
      <c r="C47" s="22" t="s">
        <v>87</v>
      </c>
      <c r="D47" s="78" t="s">
        <v>88</v>
      </c>
      <c r="E47" s="22"/>
      <c r="F47" s="22" t="s">
        <v>87</v>
      </c>
    </row>
    <row r="48" spans="1:6" s="35" customFormat="1" ht="15.6" x14ac:dyDescent="0.25">
      <c r="A48" s="76" t="s">
        <v>119</v>
      </c>
      <c r="B48" s="23" t="s">
        <v>120</v>
      </c>
      <c r="C48" s="22" t="s">
        <v>248</v>
      </c>
      <c r="D48" s="79">
        <f>(4.4*34.6)*1.1</f>
        <v>167.46400000000003</v>
      </c>
      <c r="E48" s="80"/>
      <c r="F48" s="81">
        <f t="shared" ref="F48:F54" si="4">D48*E48</f>
        <v>0</v>
      </c>
    </row>
    <row r="49" spans="1:6" s="35" customFormat="1" ht="15.6" x14ac:dyDescent="0.25">
      <c r="A49" s="76" t="s">
        <v>121</v>
      </c>
      <c r="B49" s="84" t="s">
        <v>122</v>
      </c>
      <c r="C49" s="22" t="s">
        <v>249</v>
      </c>
      <c r="D49" s="79">
        <f>(0.15*0.15*4)*12*1.1</f>
        <v>1.1880000000000002</v>
      </c>
      <c r="E49" s="80"/>
      <c r="F49" s="81">
        <f t="shared" si="4"/>
        <v>0</v>
      </c>
    </row>
    <row r="50" spans="1:6" s="35" customFormat="1" ht="15.6" x14ac:dyDescent="0.25">
      <c r="A50" s="76" t="s">
        <v>123</v>
      </c>
      <c r="B50" s="23" t="s">
        <v>124</v>
      </c>
      <c r="C50" s="22" t="s">
        <v>249</v>
      </c>
      <c r="D50" s="79">
        <f>(34.6*0.15*0.1)*1.1</f>
        <v>0.57090000000000007</v>
      </c>
      <c r="E50" s="80"/>
      <c r="F50" s="81">
        <f t="shared" si="4"/>
        <v>0</v>
      </c>
    </row>
    <row r="51" spans="1:6" s="35" customFormat="1" ht="15.6" x14ac:dyDescent="0.25">
      <c r="A51" s="76" t="s">
        <v>125</v>
      </c>
      <c r="B51" s="23" t="s">
        <v>126</v>
      </c>
      <c r="C51" s="22" t="s">
        <v>249</v>
      </c>
      <c r="D51" s="79">
        <f>(34.6*0.15*0.2)*1.1</f>
        <v>1.1418000000000001</v>
      </c>
      <c r="E51" s="80"/>
      <c r="F51" s="81">
        <f t="shared" si="4"/>
        <v>0</v>
      </c>
    </row>
    <row r="52" spans="1:6" s="35" customFormat="1" ht="15.6" x14ac:dyDescent="0.25">
      <c r="A52" s="76" t="s">
        <v>127</v>
      </c>
      <c r="B52" s="23" t="s">
        <v>124</v>
      </c>
      <c r="C52" s="22" t="s">
        <v>249</v>
      </c>
      <c r="D52" s="79">
        <f>(34.6*0.15*0.1)*1.1</f>
        <v>0.57090000000000007</v>
      </c>
      <c r="E52" s="80"/>
      <c r="F52" s="81">
        <f t="shared" si="4"/>
        <v>0</v>
      </c>
    </row>
    <row r="53" spans="1:6" s="35" customFormat="1" ht="15.6" x14ac:dyDescent="0.25">
      <c r="A53" s="76" t="s">
        <v>128</v>
      </c>
      <c r="B53" s="23" t="s">
        <v>129</v>
      </c>
      <c r="C53" s="22" t="s">
        <v>249</v>
      </c>
      <c r="D53" s="79">
        <f>(34.6*0.15*0.2)*1.1</f>
        <v>1.1418000000000001</v>
      </c>
      <c r="E53" s="80"/>
      <c r="F53" s="81">
        <f t="shared" si="4"/>
        <v>0</v>
      </c>
    </row>
    <row r="54" spans="1:6" s="35" customFormat="1" ht="15.6" x14ac:dyDescent="0.25">
      <c r="A54" s="76" t="s">
        <v>130</v>
      </c>
      <c r="B54" s="23" t="s">
        <v>131</v>
      </c>
      <c r="C54" s="22" t="s">
        <v>249</v>
      </c>
      <c r="D54" s="79">
        <f>(10.3*0.127)*1.1</f>
        <v>1.4389100000000001</v>
      </c>
      <c r="E54" s="80"/>
      <c r="F54" s="81">
        <f t="shared" si="4"/>
        <v>0</v>
      </c>
    </row>
    <row r="55" spans="1:6" s="35" customFormat="1" ht="13.2" x14ac:dyDescent="0.25">
      <c r="A55" s="76" t="s">
        <v>88</v>
      </c>
      <c r="B55" s="76" t="s">
        <v>132</v>
      </c>
      <c r="C55" s="76" t="s">
        <v>88</v>
      </c>
      <c r="D55" s="77" t="s">
        <v>88</v>
      </c>
      <c r="E55" s="76"/>
      <c r="F55" s="82">
        <f>SUM(F48:F53)</f>
        <v>0</v>
      </c>
    </row>
    <row r="56" spans="1:6" s="35" customFormat="1" ht="13.2" x14ac:dyDescent="0.25">
      <c r="A56" s="76" t="s">
        <v>133</v>
      </c>
      <c r="B56" s="20" t="s">
        <v>134</v>
      </c>
      <c r="C56" s="22" t="s">
        <v>87</v>
      </c>
      <c r="D56" s="78" t="s">
        <v>88</v>
      </c>
      <c r="E56" s="22"/>
      <c r="F56" s="22" t="s">
        <v>87</v>
      </c>
    </row>
    <row r="57" spans="1:6" s="35" customFormat="1" ht="26.4" x14ac:dyDescent="0.25">
      <c r="A57" s="76" t="s">
        <v>135</v>
      </c>
      <c r="B57" s="23" t="s">
        <v>136</v>
      </c>
      <c r="C57" s="22" t="s">
        <v>248</v>
      </c>
      <c r="D57" s="85">
        <f>(7.3*10.3)*1.1</f>
        <v>82.709000000000003</v>
      </c>
      <c r="E57" s="80"/>
      <c r="F57" s="81">
        <f>D57*E57</f>
        <v>0</v>
      </c>
    </row>
    <row r="58" spans="1:6" s="35" customFormat="1" ht="26.4" x14ac:dyDescent="0.25">
      <c r="A58" s="76" t="s">
        <v>137</v>
      </c>
      <c r="B58" s="23" t="s">
        <v>138</v>
      </c>
      <c r="C58" s="22" t="s">
        <v>13</v>
      </c>
      <c r="D58" s="85">
        <f>7.3*3*1.1</f>
        <v>24.09</v>
      </c>
      <c r="E58" s="80"/>
      <c r="F58" s="81">
        <f>D58*E58</f>
        <v>0</v>
      </c>
    </row>
    <row r="59" spans="1:6" s="35" customFormat="1" ht="26.4" x14ac:dyDescent="0.25">
      <c r="A59" s="76" t="s">
        <v>139</v>
      </c>
      <c r="B59" s="23" t="s">
        <v>140</v>
      </c>
      <c r="C59" s="22" t="s">
        <v>13</v>
      </c>
      <c r="D59" s="85">
        <f>10.3*7*1.1</f>
        <v>79.310000000000016</v>
      </c>
      <c r="E59" s="80"/>
      <c r="F59" s="81">
        <f>D59*E59</f>
        <v>0</v>
      </c>
    </row>
    <row r="60" spans="1:6" s="35" customFormat="1" ht="15.6" x14ac:dyDescent="0.25">
      <c r="A60" s="76" t="s">
        <v>141</v>
      </c>
      <c r="B60" s="23" t="s">
        <v>142</v>
      </c>
      <c r="C60" s="22" t="s">
        <v>248</v>
      </c>
      <c r="D60" s="85">
        <f>70*1.1</f>
        <v>77</v>
      </c>
      <c r="E60" s="80"/>
      <c r="F60" s="81">
        <f>D60*E60</f>
        <v>0</v>
      </c>
    </row>
    <row r="61" spans="1:6" s="35" customFormat="1" ht="13.2" x14ac:dyDescent="0.25">
      <c r="A61" s="76" t="s">
        <v>88</v>
      </c>
      <c r="B61" s="76" t="s">
        <v>143</v>
      </c>
      <c r="C61" s="76" t="s">
        <v>88</v>
      </c>
      <c r="D61" s="77" t="s">
        <v>88</v>
      </c>
      <c r="E61" s="76"/>
      <c r="F61" s="82">
        <f>SUM(F57:F60)</f>
        <v>0</v>
      </c>
    </row>
    <row r="62" spans="1:6" s="35" customFormat="1" ht="13.2" x14ac:dyDescent="0.25">
      <c r="A62" s="76" t="s">
        <v>144</v>
      </c>
      <c r="B62" s="20" t="s">
        <v>145</v>
      </c>
      <c r="C62" s="22" t="s">
        <v>87</v>
      </c>
      <c r="D62" s="78" t="s">
        <v>88</v>
      </c>
      <c r="E62" s="22"/>
      <c r="F62" s="22" t="s">
        <v>87</v>
      </c>
    </row>
    <row r="63" spans="1:6" s="35" customFormat="1" ht="26.4" x14ac:dyDescent="0.25">
      <c r="A63" s="76" t="s">
        <v>146</v>
      </c>
      <c r="B63" s="23" t="s">
        <v>147</v>
      </c>
      <c r="C63" s="22" t="s">
        <v>12</v>
      </c>
      <c r="D63" s="85">
        <v>2</v>
      </c>
      <c r="E63" s="80"/>
      <c r="F63" s="81">
        <f>D63*E63</f>
        <v>0</v>
      </c>
    </row>
    <row r="64" spans="1:6" s="35" customFormat="1" ht="26.4" x14ac:dyDescent="0.25">
      <c r="A64" s="76" t="s">
        <v>148</v>
      </c>
      <c r="B64" s="23" t="s">
        <v>149</v>
      </c>
      <c r="C64" s="22" t="s">
        <v>12</v>
      </c>
      <c r="D64" s="85">
        <v>8</v>
      </c>
      <c r="E64" s="80"/>
      <c r="F64" s="81">
        <f>D64*E64</f>
        <v>0</v>
      </c>
    </row>
    <row r="65" spans="1:6" s="35" customFormat="1" ht="13.2" x14ac:dyDescent="0.25">
      <c r="A65" s="76" t="s">
        <v>88</v>
      </c>
      <c r="B65" s="76" t="s">
        <v>150</v>
      </c>
      <c r="C65" s="76" t="s">
        <v>88</v>
      </c>
      <c r="D65" s="77" t="s">
        <v>88</v>
      </c>
      <c r="E65" s="76"/>
      <c r="F65" s="82">
        <f>SUM(F63:F64)</f>
        <v>0</v>
      </c>
    </row>
    <row r="66" spans="1:6" s="35" customFormat="1" ht="13.2" x14ac:dyDescent="0.25">
      <c r="A66" s="76" t="s">
        <v>151</v>
      </c>
      <c r="B66" s="20" t="s">
        <v>152</v>
      </c>
      <c r="C66" s="22" t="s">
        <v>87</v>
      </c>
      <c r="D66" s="79" t="s">
        <v>87</v>
      </c>
      <c r="E66" s="22"/>
      <c r="F66" s="22" t="s">
        <v>87</v>
      </c>
    </row>
    <row r="67" spans="1:6" s="35" customFormat="1" ht="26.4" x14ac:dyDescent="0.25">
      <c r="A67" s="76" t="s">
        <v>153</v>
      </c>
      <c r="B67" s="23" t="s">
        <v>154</v>
      </c>
      <c r="C67" s="22" t="s">
        <v>248</v>
      </c>
      <c r="D67" s="85">
        <f>(34*3.65)*1.1</f>
        <v>136.51</v>
      </c>
      <c r="E67" s="80"/>
      <c r="F67" s="81">
        <f t="shared" ref="F67:F72" si="5">D67*E67</f>
        <v>0</v>
      </c>
    </row>
    <row r="68" spans="1:6" s="35" customFormat="1" ht="26.4" x14ac:dyDescent="0.25">
      <c r="A68" s="76" t="s">
        <v>155</v>
      </c>
      <c r="B68" s="23" t="s">
        <v>156</v>
      </c>
      <c r="C68" s="22" t="s">
        <v>248</v>
      </c>
      <c r="D68" s="85">
        <f>(34.6*4.85)*1.1</f>
        <v>184.59100000000001</v>
      </c>
      <c r="E68" s="80"/>
      <c r="F68" s="81">
        <f t="shared" si="5"/>
        <v>0</v>
      </c>
    </row>
    <row r="69" spans="1:6" s="35" customFormat="1" ht="15.6" x14ac:dyDescent="0.25">
      <c r="A69" s="76" t="s">
        <v>157</v>
      </c>
      <c r="B69" s="23" t="s">
        <v>158</v>
      </c>
      <c r="C69" s="22" t="s">
        <v>248</v>
      </c>
      <c r="D69" s="85">
        <f>+D67</f>
        <v>136.51</v>
      </c>
      <c r="E69" s="80"/>
      <c r="F69" s="81">
        <f t="shared" si="5"/>
        <v>0</v>
      </c>
    </row>
    <row r="70" spans="1:6" s="35" customFormat="1" ht="15.6" x14ac:dyDescent="0.25">
      <c r="A70" s="76" t="s">
        <v>159</v>
      </c>
      <c r="B70" s="23" t="s">
        <v>160</v>
      </c>
      <c r="C70" s="22" t="s">
        <v>248</v>
      </c>
      <c r="D70" s="85">
        <f>+D68</f>
        <v>184.59100000000001</v>
      </c>
      <c r="E70" s="80"/>
      <c r="F70" s="81">
        <f t="shared" si="5"/>
        <v>0</v>
      </c>
    </row>
    <row r="71" spans="1:6" s="35" customFormat="1" ht="15.6" x14ac:dyDescent="0.25">
      <c r="A71" s="76" t="s">
        <v>161</v>
      </c>
      <c r="B71" s="23" t="s">
        <v>162</v>
      </c>
      <c r="C71" s="22" t="s">
        <v>248</v>
      </c>
      <c r="D71" s="85">
        <f>70*1.1</f>
        <v>77</v>
      </c>
      <c r="E71" s="80"/>
      <c r="F71" s="81">
        <f t="shared" si="5"/>
        <v>0</v>
      </c>
    </row>
    <row r="72" spans="1:6" s="35" customFormat="1" ht="26.4" x14ac:dyDescent="0.25">
      <c r="A72" s="76" t="s">
        <v>163</v>
      </c>
      <c r="B72" s="23" t="s">
        <v>164</v>
      </c>
      <c r="C72" s="22" t="s">
        <v>248</v>
      </c>
      <c r="D72" s="85">
        <f>70*1.1</f>
        <v>77</v>
      </c>
      <c r="E72" s="80"/>
      <c r="F72" s="81">
        <f t="shared" si="5"/>
        <v>0</v>
      </c>
    </row>
    <row r="73" spans="1:6" s="35" customFormat="1" ht="13.2" x14ac:dyDescent="0.25">
      <c r="A73" s="76" t="s">
        <v>88</v>
      </c>
      <c r="B73" s="76" t="s">
        <v>165</v>
      </c>
      <c r="C73" s="76" t="s">
        <v>88</v>
      </c>
      <c r="D73" s="77" t="s">
        <v>88</v>
      </c>
      <c r="E73" s="76"/>
      <c r="F73" s="82">
        <f>SUM(F67:F72)</f>
        <v>0</v>
      </c>
    </row>
    <row r="74" spans="1:6" s="35" customFormat="1" ht="13.2" x14ac:dyDescent="0.25">
      <c r="A74" s="76" t="s">
        <v>166</v>
      </c>
      <c r="B74" s="20" t="s">
        <v>167</v>
      </c>
      <c r="C74" s="22" t="s">
        <v>87</v>
      </c>
      <c r="D74" s="79" t="s">
        <v>87</v>
      </c>
      <c r="E74" s="22"/>
      <c r="F74" s="22" t="s">
        <v>87</v>
      </c>
    </row>
    <row r="75" spans="1:6" s="35" customFormat="1" ht="26.4" x14ac:dyDescent="0.25">
      <c r="A75" s="76" t="s">
        <v>168</v>
      </c>
      <c r="B75" s="23" t="s">
        <v>169</v>
      </c>
      <c r="C75" s="22" t="s">
        <v>23</v>
      </c>
      <c r="D75" s="85">
        <v>1</v>
      </c>
      <c r="E75" s="80"/>
      <c r="F75" s="81">
        <f>D75*E75</f>
        <v>0</v>
      </c>
    </row>
    <row r="76" spans="1:6" s="35" customFormat="1" ht="13.2" x14ac:dyDescent="0.25">
      <c r="A76" s="86" t="s">
        <v>170</v>
      </c>
      <c r="B76" s="87" t="s">
        <v>171</v>
      </c>
      <c r="C76" s="88" t="s">
        <v>12</v>
      </c>
      <c r="D76" s="89">
        <v>8</v>
      </c>
      <c r="E76" s="90"/>
      <c r="F76" s="91">
        <f>D76*E76</f>
        <v>0</v>
      </c>
    </row>
    <row r="77" spans="1:6" s="35" customFormat="1" ht="13.2" x14ac:dyDescent="0.25">
      <c r="A77" s="86" t="s">
        <v>172</v>
      </c>
      <c r="B77" s="92" t="s">
        <v>173</v>
      </c>
      <c r="C77" s="88" t="s">
        <v>12</v>
      </c>
      <c r="D77" s="89">
        <v>5</v>
      </c>
      <c r="E77" s="90"/>
      <c r="F77" s="91">
        <f>D77*E77</f>
        <v>0</v>
      </c>
    </row>
    <row r="78" spans="1:6" s="35" customFormat="1" ht="13.2" x14ac:dyDescent="0.25">
      <c r="A78" s="86" t="s">
        <v>174</v>
      </c>
      <c r="B78" s="87" t="s">
        <v>175</v>
      </c>
      <c r="C78" s="88" t="s">
        <v>12</v>
      </c>
      <c r="D78" s="89">
        <v>8</v>
      </c>
      <c r="E78" s="90"/>
      <c r="F78" s="91">
        <f>D78*E78</f>
        <v>0</v>
      </c>
    </row>
    <row r="79" spans="1:6" s="35" customFormat="1" ht="13.2" x14ac:dyDescent="0.25">
      <c r="A79" s="86" t="s">
        <v>176</v>
      </c>
      <c r="B79" s="87" t="s">
        <v>177</v>
      </c>
      <c r="C79" s="88" t="s">
        <v>12</v>
      </c>
      <c r="D79" s="89">
        <v>6</v>
      </c>
      <c r="E79" s="90"/>
      <c r="F79" s="91">
        <f>D79*E79</f>
        <v>0</v>
      </c>
    </row>
    <row r="80" spans="1:6" s="35" customFormat="1" ht="13.2" x14ac:dyDescent="0.25">
      <c r="A80" s="86" t="s">
        <v>88</v>
      </c>
      <c r="B80" s="86" t="s">
        <v>178</v>
      </c>
      <c r="C80" s="86" t="s">
        <v>88</v>
      </c>
      <c r="D80" s="93" t="s">
        <v>88</v>
      </c>
      <c r="E80" s="86"/>
      <c r="F80" s="94">
        <f>SUM(F75:F79)</f>
        <v>0</v>
      </c>
    </row>
    <row r="81" spans="1:6" s="35" customFormat="1" ht="13.2" x14ac:dyDescent="0.25">
      <c r="A81" s="95" t="s">
        <v>88</v>
      </c>
      <c r="B81" s="96" t="s">
        <v>179</v>
      </c>
      <c r="C81" s="97" t="s">
        <v>87</v>
      </c>
      <c r="D81" s="98" t="s">
        <v>87</v>
      </c>
      <c r="E81" s="97" t="s">
        <v>87</v>
      </c>
      <c r="F81" s="99">
        <f>F80+F73+F65+F61+F55+F46+F37</f>
        <v>0</v>
      </c>
    </row>
    <row r="82" spans="1:6" s="35" customFormat="1" ht="13.2" x14ac:dyDescent="0.25">
      <c r="A82" s="100"/>
      <c r="B82" s="100"/>
      <c r="C82" s="100"/>
      <c r="D82" s="100"/>
      <c r="E82" s="100"/>
      <c r="F82" s="100"/>
    </row>
    <row r="83" spans="1:6" s="35" customFormat="1" ht="13.2" x14ac:dyDescent="0.25">
      <c r="A83" s="75" t="s">
        <v>243</v>
      </c>
      <c r="B83" s="113" t="s">
        <v>181</v>
      </c>
      <c r="C83" s="113"/>
      <c r="D83" s="113"/>
      <c r="E83" s="113"/>
      <c r="F83" s="113"/>
    </row>
    <row r="84" spans="1:6" s="35" customFormat="1" ht="13.2" x14ac:dyDescent="0.25">
      <c r="A84" s="76" t="s">
        <v>79</v>
      </c>
      <c r="B84" s="20" t="s">
        <v>80</v>
      </c>
      <c r="C84" s="76" t="s">
        <v>81</v>
      </c>
      <c r="D84" s="77" t="s">
        <v>82</v>
      </c>
      <c r="E84" s="76" t="s">
        <v>83</v>
      </c>
      <c r="F84" s="76" t="s">
        <v>84</v>
      </c>
    </row>
    <row r="85" spans="1:6" s="35" customFormat="1" ht="13.2" x14ac:dyDescent="0.25">
      <c r="A85" s="76" t="s">
        <v>85</v>
      </c>
      <c r="B85" s="20" t="s">
        <v>86</v>
      </c>
      <c r="C85" s="22" t="s">
        <v>87</v>
      </c>
      <c r="D85" s="78" t="s">
        <v>88</v>
      </c>
      <c r="E85" s="22" t="s">
        <v>87</v>
      </c>
      <c r="F85" s="76" t="s">
        <v>87</v>
      </c>
    </row>
    <row r="86" spans="1:6" s="35" customFormat="1" ht="15.6" x14ac:dyDescent="0.25">
      <c r="A86" s="76" t="s">
        <v>89</v>
      </c>
      <c r="B86" s="23" t="s">
        <v>90</v>
      </c>
      <c r="C86" s="22" t="s">
        <v>248</v>
      </c>
      <c r="D86" s="79">
        <f>(10.45+2)*(4.3+2)</f>
        <v>78.434999999999988</v>
      </c>
      <c r="E86" s="80"/>
      <c r="F86" s="81">
        <f>D86*E86</f>
        <v>0</v>
      </c>
    </row>
    <row r="87" spans="1:6" s="35" customFormat="1" ht="15.6" x14ac:dyDescent="0.25">
      <c r="A87" s="76" t="s">
        <v>91</v>
      </c>
      <c r="B87" s="23" t="s">
        <v>92</v>
      </c>
      <c r="C87" s="22" t="s">
        <v>249</v>
      </c>
      <c r="D87" s="79">
        <f>(33.5*0.4*0.6)*1.1</f>
        <v>8.8439999999999994</v>
      </c>
      <c r="E87" s="80"/>
      <c r="F87" s="81">
        <f>D87*E87</f>
        <v>0</v>
      </c>
    </row>
    <row r="88" spans="1:6" s="35" customFormat="1" ht="15.6" x14ac:dyDescent="0.25">
      <c r="A88" s="76" t="s">
        <v>93</v>
      </c>
      <c r="B88" s="23" t="s">
        <v>94</v>
      </c>
      <c r="C88" s="22" t="s">
        <v>249</v>
      </c>
      <c r="D88" s="79">
        <f>(1.2*1.2*1.2)*13*1.1</f>
        <v>24.7104</v>
      </c>
      <c r="E88" s="80"/>
      <c r="F88" s="81">
        <f>D88*E88</f>
        <v>0</v>
      </c>
    </row>
    <row r="89" spans="1:6" s="35" customFormat="1" ht="15.6" x14ac:dyDescent="0.25">
      <c r="A89" s="76" t="s">
        <v>95</v>
      </c>
      <c r="B89" s="23" t="s">
        <v>96</v>
      </c>
      <c r="C89" s="22" t="s">
        <v>249</v>
      </c>
      <c r="D89" s="79">
        <f>+D88+D87</f>
        <v>33.554400000000001</v>
      </c>
      <c r="E89" s="80"/>
      <c r="F89" s="81">
        <f>D89*E89</f>
        <v>0</v>
      </c>
    </row>
    <row r="90" spans="1:6" s="35" customFormat="1" ht="15.6" x14ac:dyDescent="0.25">
      <c r="A90" s="76" t="s">
        <v>97</v>
      </c>
      <c r="B90" s="23" t="s">
        <v>98</v>
      </c>
      <c r="C90" s="22" t="s">
        <v>249</v>
      </c>
      <c r="D90" s="79">
        <f>((44.935*0.45)-D89*0.15)*1.1</f>
        <v>16.706349000000007</v>
      </c>
      <c r="E90" s="80"/>
      <c r="F90" s="81">
        <f>D90*E90</f>
        <v>0</v>
      </c>
    </row>
    <row r="91" spans="1:6" s="35" customFormat="1" ht="13.2" x14ac:dyDescent="0.25">
      <c r="A91" s="76" t="s">
        <v>88</v>
      </c>
      <c r="B91" s="76" t="s">
        <v>99</v>
      </c>
      <c r="C91" s="76" t="s">
        <v>88</v>
      </c>
      <c r="D91" s="77" t="s">
        <v>88</v>
      </c>
      <c r="E91" s="76"/>
      <c r="F91" s="82">
        <f>SUM(F86:F90)</f>
        <v>0</v>
      </c>
    </row>
    <row r="92" spans="1:6" s="35" customFormat="1" ht="13.2" x14ac:dyDescent="0.25">
      <c r="A92" s="76" t="s">
        <v>100</v>
      </c>
      <c r="B92" s="20" t="s">
        <v>101</v>
      </c>
      <c r="C92" s="76" t="s">
        <v>88</v>
      </c>
      <c r="D92" s="83" t="s">
        <v>88</v>
      </c>
      <c r="E92" s="76"/>
      <c r="F92" s="22" t="s">
        <v>87</v>
      </c>
    </row>
    <row r="93" spans="1:6" s="35" customFormat="1" ht="15.6" x14ac:dyDescent="0.25">
      <c r="A93" s="76" t="s">
        <v>102</v>
      </c>
      <c r="B93" s="23" t="s">
        <v>103</v>
      </c>
      <c r="C93" s="22" t="s">
        <v>249</v>
      </c>
      <c r="D93" s="79">
        <f>((0.4*0.05*33.5)+(1.2*1.2*0.05)*13)*1.1</f>
        <v>1.7666000000000002</v>
      </c>
      <c r="E93" s="80"/>
      <c r="F93" s="81">
        <f t="shared" ref="F93:F99" si="6">D93*E93</f>
        <v>0</v>
      </c>
    </row>
    <row r="94" spans="1:6" s="35" customFormat="1" ht="15.6" x14ac:dyDescent="0.25">
      <c r="A94" s="76" t="s">
        <v>104</v>
      </c>
      <c r="B94" s="84" t="s">
        <v>105</v>
      </c>
      <c r="C94" s="22" t="s">
        <v>249</v>
      </c>
      <c r="D94" s="79">
        <f>(1.2*1.2*0.25)*13*1.1</f>
        <v>5.1479999999999997</v>
      </c>
      <c r="E94" s="80"/>
      <c r="F94" s="81">
        <f t="shared" si="6"/>
        <v>0</v>
      </c>
    </row>
    <row r="95" spans="1:6" s="35" customFormat="1" ht="15.6" x14ac:dyDescent="0.25">
      <c r="A95" s="76" t="s">
        <v>106</v>
      </c>
      <c r="B95" s="23" t="s">
        <v>107</v>
      </c>
      <c r="C95" s="22" t="s">
        <v>249</v>
      </c>
      <c r="D95" s="79">
        <f>(0.2*0.2*1.5)*13*1.1</f>
        <v>0.85800000000000021</v>
      </c>
      <c r="E95" s="80"/>
      <c r="F95" s="81">
        <f t="shared" si="6"/>
        <v>0</v>
      </c>
    </row>
    <row r="96" spans="1:6" s="35" customFormat="1" ht="26.4" x14ac:dyDescent="0.25">
      <c r="A96" s="76" t="s">
        <v>108</v>
      </c>
      <c r="B96" s="23" t="s">
        <v>109</v>
      </c>
      <c r="C96" s="22" t="s">
        <v>248</v>
      </c>
      <c r="D96" s="79">
        <f>(33.5*1.05)*1.1</f>
        <v>38.69250000000001</v>
      </c>
      <c r="E96" s="80"/>
      <c r="F96" s="81">
        <f t="shared" si="6"/>
        <v>0</v>
      </c>
    </row>
    <row r="97" spans="1:6" s="35" customFormat="1" ht="15.6" x14ac:dyDescent="0.25">
      <c r="A97" s="76" t="s">
        <v>110</v>
      </c>
      <c r="B97" s="23" t="s">
        <v>111</v>
      </c>
      <c r="C97" s="22" t="s">
        <v>249</v>
      </c>
      <c r="D97" s="79">
        <f>(0.2*0.2*33.5)*1.1</f>
        <v>1.4740000000000004</v>
      </c>
      <c r="E97" s="80"/>
      <c r="F97" s="81">
        <f t="shared" si="6"/>
        <v>0</v>
      </c>
    </row>
    <row r="98" spans="1:6" s="35" customFormat="1" ht="15.6" x14ac:dyDescent="0.25">
      <c r="A98" s="76" t="s">
        <v>112</v>
      </c>
      <c r="B98" s="23" t="s">
        <v>113</v>
      </c>
      <c r="C98" s="22" t="s">
        <v>249</v>
      </c>
      <c r="D98" s="79">
        <f>(0.76*6*0.15)*1.1</f>
        <v>0.75240000000000007</v>
      </c>
      <c r="E98" s="80"/>
      <c r="F98" s="81">
        <f t="shared" si="6"/>
        <v>0</v>
      </c>
    </row>
    <row r="99" spans="1:6" s="35" customFormat="1" ht="26.4" x14ac:dyDescent="0.25">
      <c r="A99" s="76" t="s">
        <v>114</v>
      </c>
      <c r="B99" s="23" t="s">
        <v>182</v>
      </c>
      <c r="C99" s="22" t="s">
        <v>249</v>
      </c>
      <c r="D99" s="79">
        <f>44.935*0.12*1.1</f>
        <v>5.9314200000000001</v>
      </c>
      <c r="E99" s="80"/>
      <c r="F99" s="81">
        <f t="shared" si="6"/>
        <v>0</v>
      </c>
    </row>
    <row r="100" spans="1:6" s="35" customFormat="1" ht="13.2" x14ac:dyDescent="0.25">
      <c r="A100" s="76" t="s">
        <v>88</v>
      </c>
      <c r="B100" s="76" t="s">
        <v>116</v>
      </c>
      <c r="C100" s="76" t="s">
        <v>88</v>
      </c>
      <c r="D100" s="77" t="s">
        <v>88</v>
      </c>
      <c r="E100" s="76"/>
      <c r="F100" s="82">
        <f>SUM(F93:F99)</f>
        <v>0</v>
      </c>
    </row>
    <row r="101" spans="1:6" s="35" customFormat="1" ht="13.2" x14ac:dyDescent="0.25">
      <c r="A101" s="76" t="s">
        <v>117</v>
      </c>
      <c r="B101" s="20" t="s">
        <v>118</v>
      </c>
      <c r="C101" s="22" t="s">
        <v>87</v>
      </c>
      <c r="D101" s="78" t="s">
        <v>88</v>
      </c>
      <c r="E101" s="22"/>
      <c r="F101" s="22" t="s">
        <v>87</v>
      </c>
    </row>
    <row r="102" spans="1:6" s="35" customFormat="1" ht="15.6" x14ac:dyDescent="0.25">
      <c r="A102" s="76" t="s">
        <v>119</v>
      </c>
      <c r="B102" s="23" t="s">
        <v>120</v>
      </c>
      <c r="C102" s="22" t="s">
        <v>248</v>
      </c>
      <c r="D102" s="79">
        <f>(3.65*33.5)*1.1</f>
        <v>134.5025</v>
      </c>
      <c r="E102" s="80"/>
      <c r="F102" s="81">
        <f t="shared" ref="F102:F107" si="7">D102*E102</f>
        <v>0</v>
      </c>
    </row>
    <row r="103" spans="1:6" s="35" customFormat="1" ht="15.6" x14ac:dyDescent="0.25">
      <c r="A103" s="76" t="s">
        <v>121</v>
      </c>
      <c r="B103" s="84" t="s">
        <v>122</v>
      </c>
      <c r="C103" s="22" t="s">
        <v>249</v>
      </c>
      <c r="D103" s="79">
        <f>(0.15*0.15*3.4)*13*1.1</f>
        <v>1.09395</v>
      </c>
      <c r="E103" s="80"/>
      <c r="F103" s="81">
        <f t="shared" si="7"/>
        <v>0</v>
      </c>
    </row>
    <row r="104" spans="1:6" s="35" customFormat="1" ht="15.6" x14ac:dyDescent="0.25">
      <c r="A104" s="76" t="s">
        <v>123</v>
      </c>
      <c r="B104" s="23" t="s">
        <v>124</v>
      </c>
      <c r="C104" s="22" t="s">
        <v>249</v>
      </c>
      <c r="D104" s="79">
        <f>(33.5*0.15*0.1)*1.1</f>
        <v>0.55274999999999996</v>
      </c>
      <c r="E104" s="80"/>
      <c r="F104" s="81">
        <f t="shared" si="7"/>
        <v>0</v>
      </c>
    </row>
    <row r="105" spans="1:6" s="35" customFormat="1" ht="15.6" x14ac:dyDescent="0.25">
      <c r="A105" s="76" t="s">
        <v>125</v>
      </c>
      <c r="B105" s="23" t="s">
        <v>126</v>
      </c>
      <c r="C105" s="22" t="s">
        <v>249</v>
      </c>
      <c r="D105" s="79">
        <f>(33.5*0.15*0.2)*1.1</f>
        <v>1.1054999999999999</v>
      </c>
      <c r="E105" s="80"/>
      <c r="F105" s="81">
        <f t="shared" si="7"/>
        <v>0</v>
      </c>
    </row>
    <row r="106" spans="1:6" s="35" customFormat="1" ht="15.6" x14ac:dyDescent="0.25">
      <c r="A106" s="76" t="s">
        <v>127</v>
      </c>
      <c r="B106" s="23" t="s">
        <v>124</v>
      </c>
      <c r="C106" s="22" t="s">
        <v>249</v>
      </c>
      <c r="D106" s="79">
        <f>(33.5*0.15*0.1)*1.1</f>
        <v>0.55274999999999996</v>
      </c>
      <c r="E106" s="80"/>
      <c r="F106" s="81">
        <f t="shared" si="7"/>
        <v>0</v>
      </c>
    </row>
    <row r="107" spans="1:6" s="35" customFormat="1" ht="15.6" x14ac:dyDescent="0.25">
      <c r="A107" s="76" t="s">
        <v>128</v>
      </c>
      <c r="B107" s="23" t="s">
        <v>129</v>
      </c>
      <c r="C107" s="22" t="s">
        <v>249</v>
      </c>
      <c r="D107" s="79">
        <f>(33.5*0.15*0.4)*1.1</f>
        <v>2.2109999999999999</v>
      </c>
      <c r="E107" s="80"/>
      <c r="F107" s="81">
        <f t="shared" si="7"/>
        <v>0</v>
      </c>
    </row>
    <row r="108" spans="1:6" s="35" customFormat="1" ht="15.6" x14ac:dyDescent="0.25">
      <c r="A108" s="76" t="s">
        <v>130</v>
      </c>
      <c r="B108" s="23" t="s">
        <v>131</v>
      </c>
      <c r="C108" s="22" t="s">
        <v>249</v>
      </c>
      <c r="D108" s="79">
        <f>(10.45*0.127)*1.1</f>
        <v>1.459865</v>
      </c>
      <c r="E108" s="80"/>
      <c r="F108" s="81">
        <f>D108*E108</f>
        <v>0</v>
      </c>
    </row>
    <row r="109" spans="1:6" s="35" customFormat="1" ht="13.2" x14ac:dyDescent="0.25">
      <c r="A109" s="76" t="s">
        <v>88</v>
      </c>
      <c r="B109" s="76" t="s">
        <v>132</v>
      </c>
      <c r="C109" s="76" t="s">
        <v>88</v>
      </c>
      <c r="D109" s="77" t="s">
        <v>88</v>
      </c>
      <c r="E109" s="76"/>
      <c r="F109" s="82">
        <f>SUM(F102:F107)</f>
        <v>0</v>
      </c>
    </row>
    <row r="110" spans="1:6" s="35" customFormat="1" ht="13.2" x14ac:dyDescent="0.25">
      <c r="A110" s="76" t="s">
        <v>133</v>
      </c>
      <c r="B110" s="20" t="s">
        <v>134</v>
      </c>
      <c r="C110" s="22" t="s">
        <v>87</v>
      </c>
      <c r="D110" s="78" t="s">
        <v>88</v>
      </c>
      <c r="E110" s="22"/>
      <c r="F110" s="22" t="s">
        <v>87</v>
      </c>
    </row>
    <row r="111" spans="1:6" s="35" customFormat="1" ht="26.4" x14ac:dyDescent="0.25">
      <c r="A111" s="76" t="s">
        <v>135</v>
      </c>
      <c r="B111" s="23" t="s">
        <v>136</v>
      </c>
      <c r="C111" s="22" t="s">
        <v>183</v>
      </c>
      <c r="D111" s="79">
        <f>(4.65*10.45)*1.1</f>
        <v>53.451750000000004</v>
      </c>
      <c r="E111" s="80"/>
      <c r="F111" s="81">
        <f>D111*E111</f>
        <v>0</v>
      </c>
    </row>
    <row r="112" spans="1:6" s="35" customFormat="1" ht="26.4" x14ac:dyDescent="0.25">
      <c r="A112" s="76" t="s">
        <v>137</v>
      </c>
      <c r="B112" s="23" t="s">
        <v>184</v>
      </c>
      <c r="C112" s="22" t="s">
        <v>13</v>
      </c>
      <c r="D112" s="79">
        <f>4.65*2*1.1</f>
        <v>10.230000000000002</v>
      </c>
      <c r="E112" s="80"/>
      <c r="F112" s="81">
        <f>D112*E112</f>
        <v>0</v>
      </c>
    </row>
    <row r="113" spans="1:6" s="35" customFormat="1" ht="26.4" x14ac:dyDescent="0.25">
      <c r="A113" s="76" t="s">
        <v>139</v>
      </c>
      <c r="B113" s="23" t="s">
        <v>140</v>
      </c>
      <c r="C113" s="22" t="s">
        <v>13</v>
      </c>
      <c r="D113" s="79">
        <f>10.45*4*1.1</f>
        <v>45.980000000000004</v>
      </c>
      <c r="E113" s="80"/>
      <c r="F113" s="81">
        <f>D113*E113</f>
        <v>0</v>
      </c>
    </row>
    <row r="114" spans="1:6" s="35" customFormat="1" ht="13.2" x14ac:dyDescent="0.25">
      <c r="A114" s="76" t="s">
        <v>141</v>
      </c>
      <c r="B114" s="23" t="s">
        <v>185</v>
      </c>
      <c r="C114" s="22" t="s">
        <v>183</v>
      </c>
      <c r="D114" s="79">
        <f>44.935*1.1</f>
        <v>49.428500000000007</v>
      </c>
      <c r="E114" s="80"/>
      <c r="F114" s="81">
        <f>D114*E114</f>
        <v>0</v>
      </c>
    </row>
    <row r="115" spans="1:6" s="35" customFormat="1" ht="13.2" x14ac:dyDescent="0.25">
      <c r="A115" s="76" t="s">
        <v>88</v>
      </c>
      <c r="B115" s="76" t="s">
        <v>143</v>
      </c>
      <c r="C115" s="76" t="s">
        <v>88</v>
      </c>
      <c r="D115" s="77" t="s">
        <v>88</v>
      </c>
      <c r="E115" s="76"/>
      <c r="F115" s="82">
        <f>SUM(F111:F114)</f>
        <v>0</v>
      </c>
    </row>
    <row r="116" spans="1:6" s="35" customFormat="1" ht="13.2" x14ac:dyDescent="0.25">
      <c r="A116" s="76" t="s">
        <v>144</v>
      </c>
      <c r="B116" s="20" t="s">
        <v>145</v>
      </c>
      <c r="C116" s="22" t="s">
        <v>87</v>
      </c>
      <c r="D116" s="78" t="s">
        <v>88</v>
      </c>
      <c r="E116" s="22"/>
      <c r="F116" s="22" t="s">
        <v>87</v>
      </c>
    </row>
    <row r="117" spans="1:6" s="35" customFormat="1" ht="26.4" x14ac:dyDescent="0.25">
      <c r="A117" s="76" t="s">
        <v>146</v>
      </c>
      <c r="B117" s="23" t="s">
        <v>147</v>
      </c>
      <c r="C117" s="22" t="s">
        <v>12</v>
      </c>
      <c r="D117" s="85">
        <v>2</v>
      </c>
      <c r="E117" s="80"/>
      <c r="F117" s="81">
        <f>D117*E117</f>
        <v>0</v>
      </c>
    </row>
    <row r="118" spans="1:6" s="35" customFormat="1" ht="26.4" x14ac:dyDescent="0.25">
      <c r="A118" s="76" t="s">
        <v>148</v>
      </c>
      <c r="B118" s="23" t="s">
        <v>149</v>
      </c>
      <c r="C118" s="22" t="s">
        <v>12</v>
      </c>
      <c r="D118" s="85">
        <v>4</v>
      </c>
      <c r="E118" s="80"/>
      <c r="F118" s="81">
        <f>D118*E118</f>
        <v>0</v>
      </c>
    </row>
    <row r="119" spans="1:6" s="35" customFormat="1" ht="13.2" x14ac:dyDescent="0.25">
      <c r="A119" s="76" t="s">
        <v>88</v>
      </c>
      <c r="B119" s="76" t="s">
        <v>150</v>
      </c>
      <c r="C119" s="76" t="s">
        <v>88</v>
      </c>
      <c r="D119" s="77" t="s">
        <v>88</v>
      </c>
      <c r="E119" s="76"/>
      <c r="F119" s="82">
        <f>SUM(F117:F118)</f>
        <v>0</v>
      </c>
    </row>
    <row r="120" spans="1:6" s="35" customFormat="1" ht="13.2" x14ac:dyDescent="0.25">
      <c r="A120" s="76" t="s">
        <v>151</v>
      </c>
      <c r="B120" s="20" t="s">
        <v>152</v>
      </c>
      <c r="C120" s="22" t="s">
        <v>87</v>
      </c>
      <c r="D120" s="79" t="s">
        <v>87</v>
      </c>
      <c r="E120" s="22"/>
      <c r="F120" s="22" t="s">
        <v>87</v>
      </c>
    </row>
    <row r="121" spans="1:6" s="35" customFormat="1" ht="26.4" x14ac:dyDescent="0.25">
      <c r="A121" s="76" t="s">
        <v>153</v>
      </c>
      <c r="B121" s="23" t="s">
        <v>154</v>
      </c>
      <c r="C121" s="22" t="s">
        <v>248</v>
      </c>
      <c r="D121" s="79">
        <f>(36*3.65)*1.1</f>
        <v>144.54000000000002</v>
      </c>
      <c r="E121" s="80"/>
      <c r="F121" s="81">
        <f t="shared" ref="F121:F126" si="8">D121*E121</f>
        <v>0</v>
      </c>
    </row>
    <row r="122" spans="1:6" s="35" customFormat="1" ht="26.4" x14ac:dyDescent="0.25">
      <c r="A122" s="76" t="s">
        <v>155</v>
      </c>
      <c r="B122" s="23" t="s">
        <v>156</v>
      </c>
      <c r="C122" s="22" t="s">
        <v>248</v>
      </c>
      <c r="D122" s="79">
        <f>(29.5*4.85)*1.1</f>
        <v>157.38249999999999</v>
      </c>
      <c r="E122" s="80"/>
      <c r="F122" s="81">
        <f t="shared" si="8"/>
        <v>0</v>
      </c>
    </row>
    <row r="123" spans="1:6" s="35" customFormat="1" ht="15.6" x14ac:dyDescent="0.25">
      <c r="A123" s="76" t="s">
        <v>157</v>
      </c>
      <c r="B123" s="23" t="s">
        <v>158</v>
      </c>
      <c r="C123" s="22" t="s">
        <v>248</v>
      </c>
      <c r="D123" s="79">
        <f>+D121</f>
        <v>144.54000000000002</v>
      </c>
      <c r="E123" s="80"/>
      <c r="F123" s="81">
        <f t="shared" si="8"/>
        <v>0</v>
      </c>
    </row>
    <row r="124" spans="1:6" s="35" customFormat="1" ht="15.6" x14ac:dyDescent="0.25">
      <c r="A124" s="76" t="s">
        <v>159</v>
      </c>
      <c r="B124" s="23" t="s">
        <v>160</v>
      </c>
      <c r="C124" s="22" t="s">
        <v>248</v>
      </c>
      <c r="D124" s="79">
        <f>+D122</f>
        <v>157.38249999999999</v>
      </c>
      <c r="E124" s="80"/>
      <c r="F124" s="81">
        <f t="shared" si="8"/>
        <v>0</v>
      </c>
    </row>
    <row r="125" spans="1:6" s="35" customFormat="1" ht="15.6" x14ac:dyDescent="0.25">
      <c r="A125" s="76" t="s">
        <v>161</v>
      </c>
      <c r="B125" s="23" t="s">
        <v>162</v>
      </c>
      <c r="C125" s="22" t="s">
        <v>248</v>
      </c>
      <c r="D125" s="79">
        <f>+D114</f>
        <v>49.428500000000007</v>
      </c>
      <c r="E125" s="80"/>
      <c r="F125" s="81">
        <f t="shared" si="8"/>
        <v>0</v>
      </c>
    </row>
    <row r="126" spans="1:6" s="35" customFormat="1" ht="26.4" x14ac:dyDescent="0.25">
      <c r="A126" s="76" t="s">
        <v>163</v>
      </c>
      <c r="B126" s="23" t="s">
        <v>164</v>
      </c>
      <c r="C126" s="22" t="s">
        <v>248</v>
      </c>
      <c r="D126" s="79">
        <f>44.935*1.1</f>
        <v>49.428500000000007</v>
      </c>
      <c r="E126" s="80"/>
      <c r="F126" s="81">
        <f t="shared" si="8"/>
        <v>0</v>
      </c>
    </row>
    <row r="127" spans="1:6" s="35" customFormat="1" ht="13.2" x14ac:dyDescent="0.25">
      <c r="A127" s="76" t="s">
        <v>88</v>
      </c>
      <c r="B127" s="76" t="s">
        <v>165</v>
      </c>
      <c r="C127" s="76" t="s">
        <v>88</v>
      </c>
      <c r="D127" s="77" t="s">
        <v>88</v>
      </c>
      <c r="E127" s="76"/>
      <c r="F127" s="82">
        <f>SUM(F121:F126)</f>
        <v>0</v>
      </c>
    </row>
    <row r="128" spans="1:6" s="35" customFormat="1" ht="13.2" x14ac:dyDescent="0.25">
      <c r="A128" s="76" t="s">
        <v>166</v>
      </c>
      <c r="B128" s="20" t="s">
        <v>167</v>
      </c>
      <c r="C128" s="22" t="s">
        <v>87</v>
      </c>
      <c r="D128" s="79" t="s">
        <v>87</v>
      </c>
      <c r="E128" s="22"/>
      <c r="F128" s="22" t="s">
        <v>87</v>
      </c>
    </row>
    <row r="129" spans="1:6" s="35" customFormat="1" ht="26.4" x14ac:dyDescent="0.25">
      <c r="A129" s="76" t="s">
        <v>168</v>
      </c>
      <c r="B129" s="23" t="s">
        <v>169</v>
      </c>
      <c r="C129" s="22" t="s">
        <v>23</v>
      </c>
      <c r="D129" s="85">
        <v>1</v>
      </c>
      <c r="E129" s="80"/>
      <c r="F129" s="81">
        <f>D129*E129</f>
        <v>0</v>
      </c>
    </row>
    <row r="130" spans="1:6" s="35" customFormat="1" ht="13.2" x14ac:dyDescent="0.25">
      <c r="A130" s="76" t="s">
        <v>170</v>
      </c>
      <c r="B130" s="23" t="s">
        <v>171</v>
      </c>
      <c r="C130" s="22" t="s">
        <v>12</v>
      </c>
      <c r="D130" s="85">
        <v>8</v>
      </c>
      <c r="E130" s="80"/>
      <c r="F130" s="81">
        <f>D130*E130</f>
        <v>0</v>
      </c>
    </row>
    <row r="131" spans="1:6" s="35" customFormat="1" ht="13.2" x14ac:dyDescent="0.25">
      <c r="A131" s="76" t="s">
        <v>172</v>
      </c>
      <c r="B131" s="84" t="s">
        <v>173</v>
      </c>
      <c r="C131" s="22" t="s">
        <v>12</v>
      </c>
      <c r="D131" s="85">
        <v>4</v>
      </c>
      <c r="E131" s="80"/>
      <c r="F131" s="81">
        <f>D131*E131</f>
        <v>0</v>
      </c>
    </row>
    <row r="132" spans="1:6" s="35" customFormat="1" ht="13.2" x14ac:dyDescent="0.25">
      <c r="A132" s="76" t="s">
        <v>174</v>
      </c>
      <c r="B132" s="23" t="s">
        <v>175</v>
      </c>
      <c r="C132" s="22" t="s">
        <v>12</v>
      </c>
      <c r="D132" s="85">
        <v>6</v>
      </c>
      <c r="E132" s="80"/>
      <c r="F132" s="81">
        <f>D132*E132</f>
        <v>0</v>
      </c>
    </row>
    <row r="133" spans="1:6" s="35" customFormat="1" ht="13.2" x14ac:dyDescent="0.25">
      <c r="A133" s="76" t="s">
        <v>176</v>
      </c>
      <c r="B133" s="23" t="s">
        <v>177</v>
      </c>
      <c r="C133" s="22" t="s">
        <v>12</v>
      </c>
      <c r="D133" s="85">
        <v>2</v>
      </c>
      <c r="E133" s="80"/>
      <c r="F133" s="81">
        <f>D133*E133</f>
        <v>0</v>
      </c>
    </row>
    <row r="134" spans="1:6" s="35" customFormat="1" ht="13.2" x14ac:dyDescent="0.25">
      <c r="A134" s="76" t="s">
        <v>88</v>
      </c>
      <c r="B134" s="76" t="s">
        <v>178</v>
      </c>
      <c r="C134" s="76" t="s">
        <v>88</v>
      </c>
      <c r="D134" s="77" t="s">
        <v>88</v>
      </c>
      <c r="E134" s="76"/>
      <c r="F134" s="82">
        <f>SUM(F129:F133)</f>
        <v>0</v>
      </c>
    </row>
    <row r="135" spans="1:6" s="35" customFormat="1" ht="13.2" x14ac:dyDescent="0.25">
      <c r="A135" s="95" t="s">
        <v>88</v>
      </c>
      <c r="B135" s="96" t="s">
        <v>186</v>
      </c>
      <c r="C135" s="97" t="s">
        <v>87</v>
      </c>
      <c r="D135" s="98" t="s">
        <v>87</v>
      </c>
      <c r="E135" s="97"/>
      <c r="F135" s="99">
        <f>F134+F127+F119+F115+F109+F100+F91</f>
        <v>0</v>
      </c>
    </row>
    <row r="136" spans="1:6" s="35" customFormat="1" ht="13.2" x14ac:dyDescent="0.25">
      <c r="A136" s="101"/>
      <c r="B136" s="102"/>
      <c r="C136" s="103"/>
      <c r="D136" s="104"/>
      <c r="E136" s="103"/>
      <c r="F136" s="101"/>
    </row>
    <row r="137" spans="1:6" s="35" customFormat="1" ht="13.2" x14ac:dyDescent="0.25">
      <c r="A137" s="75" t="s">
        <v>77</v>
      </c>
      <c r="B137" s="113" t="s">
        <v>188</v>
      </c>
      <c r="C137" s="113"/>
      <c r="D137" s="113"/>
      <c r="E137" s="113"/>
      <c r="F137" s="113"/>
    </row>
    <row r="138" spans="1:6" s="35" customFormat="1" ht="13.2" x14ac:dyDescent="0.25">
      <c r="A138" s="76" t="s">
        <v>79</v>
      </c>
      <c r="B138" s="20" t="s">
        <v>80</v>
      </c>
      <c r="C138" s="76" t="s">
        <v>81</v>
      </c>
      <c r="D138" s="77" t="s">
        <v>82</v>
      </c>
      <c r="E138" s="76" t="s">
        <v>83</v>
      </c>
      <c r="F138" s="76" t="s">
        <v>84</v>
      </c>
    </row>
    <row r="139" spans="1:6" s="35" customFormat="1" ht="13.2" x14ac:dyDescent="0.25">
      <c r="A139" s="76" t="s">
        <v>85</v>
      </c>
      <c r="B139" s="20" t="s">
        <v>86</v>
      </c>
      <c r="C139" s="22" t="s">
        <v>87</v>
      </c>
      <c r="D139" s="78" t="s">
        <v>88</v>
      </c>
      <c r="E139" s="22" t="s">
        <v>87</v>
      </c>
      <c r="F139" s="76" t="s">
        <v>87</v>
      </c>
    </row>
    <row r="140" spans="1:6" s="35" customFormat="1" ht="15.6" x14ac:dyDescent="0.25">
      <c r="A140" s="76" t="s">
        <v>89</v>
      </c>
      <c r="B140" s="23" t="s">
        <v>90</v>
      </c>
      <c r="C140" s="22" t="s">
        <v>248</v>
      </c>
      <c r="D140" s="79">
        <f>(5.3+2)*(4.3+2)</f>
        <v>45.989999999999995</v>
      </c>
      <c r="E140" s="80"/>
      <c r="F140" s="81">
        <f>D140*E140</f>
        <v>0</v>
      </c>
    </row>
    <row r="141" spans="1:6" s="35" customFormat="1" ht="15.6" x14ac:dyDescent="0.25">
      <c r="A141" s="76" t="s">
        <v>91</v>
      </c>
      <c r="B141" s="23" t="s">
        <v>92</v>
      </c>
      <c r="C141" s="22" t="s">
        <v>249</v>
      </c>
      <c r="D141" s="79">
        <f>(18*0.4*0.6)*1.1</f>
        <v>4.7520000000000007</v>
      </c>
      <c r="E141" s="80"/>
      <c r="F141" s="81">
        <f>D141*E141</f>
        <v>0</v>
      </c>
    </row>
    <row r="142" spans="1:6" s="35" customFormat="1" ht="15.6" x14ac:dyDescent="0.25">
      <c r="A142" s="76" t="s">
        <v>93</v>
      </c>
      <c r="B142" s="23" t="s">
        <v>94</v>
      </c>
      <c r="C142" s="22" t="s">
        <v>249</v>
      </c>
      <c r="D142" s="79">
        <f>(1.2*1.2*1.2)*8*1.1</f>
        <v>15.2064</v>
      </c>
      <c r="E142" s="80"/>
      <c r="F142" s="81">
        <f>D142*E142</f>
        <v>0</v>
      </c>
    </row>
    <row r="143" spans="1:6" s="35" customFormat="1" ht="15.6" x14ac:dyDescent="0.25">
      <c r="A143" s="76" t="s">
        <v>95</v>
      </c>
      <c r="B143" s="23" t="s">
        <v>96</v>
      </c>
      <c r="C143" s="22" t="s">
        <v>249</v>
      </c>
      <c r="D143" s="79">
        <f>+D142+D141</f>
        <v>19.958400000000001</v>
      </c>
      <c r="E143" s="80"/>
      <c r="F143" s="81">
        <f>D143*E143</f>
        <v>0</v>
      </c>
    </row>
    <row r="144" spans="1:6" s="35" customFormat="1" ht="15.6" x14ac:dyDescent="0.25">
      <c r="A144" s="76" t="s">
        <v>97</v>
      </c>
      <c r="B144" s="23" t="s">
        <v>98</v>
      </c>
      <c r="C144" s="22" t="s">
        <v>249</v>
      </c>
      <c r="D144" s="79">
        <f>((20*0.45)-D143*0.15)*1.1</f>
        <v>6.6068640000000007</v>
      </c>
      <c r="E144" s="80"/>
      <c r="F144" s="81">
        <f>D144*E144</f>
        <v>0</v>
      </c>
    </row>
    <row r="145" spans="1:6" s="35" customFormat="1" ht="13.2" x14ac:dyDescent="0.25">
      <c r="A145" s="76" t="s">
        <v>88</v>
      </c>
      <c r="B145" s="76" t="s">
        <v>99</v>
      </c>
      <c r="C145" s="76" t="s">
        <v>88</v>
      </c>
      <c r="D145" s="77" t="s">
        <v>88</v>
      </c>
      <c r="E145" s="76"/>
      <c r="F145" s="82">
        <f>SUM(F140:F144)</f>
        <v>0</v>
      </c>
    </row>
    <row r="146" spans="1:6" s="35" customFormat="1" ht="13.2" x14ac:dyDescent="0.25">
      <c r="A146" s="76" t="s">
        <v>100</v>
      </c>
      <c r="B146" s="20" t="s">
        <v>101</v>
      </c>
      <c r="C146" s="76" t="s">
        <v>88</v>
      </c>
      <c r="D146" s="83" t="s">
        <v>88</v>
      </c>
      <c r="E146" s="76"/>
      <c r="F146" s="22" t="s">
        <v>87</v>
      </c>
    </row>
    <row r="147" spans="1:6" s="35" customFormat="1" ht="15.6" x14ac:dyDescent="0.25">
      <c r="A147" s="76" t="s">
        <v>102</v>
      </c>
      <c r="B147" s="23" t="s">
        <v>103</v>
      </c>
      <c r="C147" s="22" t="s">
        <v>249</v>
      </c>
      <c r="D147" s="79">
        <f>((0.4*0.05*18)+(1.2*1.2*0.05)*8)*1.1</f>
        <v>1.0296000000000001</v>
      </c>
      <c r="E147" s="80"/>
      <c r="F147" s="81">
        <f t="shared" ref="F147:F153" si="9">D147*E147</f>
        <v>0</v>
      </c>
    </row>
    <row r="148" spans="1:6" s="35" customFormat="1" ht="15.6" x14ac:dyDescent="0.25">
      <c r="A148" s="76" t="s">
        <v>104</v>
      </c>
      <c r="B148" s="84" t="s">
        <v>105</v>
      </c>
      <c r="C148" s="22" t="s">
        <v>249</v>
      </c>
      <c r="D148" s="79">
        <f>(1.2*1.2*0.25)*8*1.1</f>
        <v>3.1680000000000001</v>
      </c>
      <c r="E148" s="80"/>
      <c r="F148" s="81">
        <f t="shared" si="9"/>
        <v>0</v>
      </c>
    </row>
    <row r="149" spans="1:6" s="35" customFormat="1" ht="15.6" x14ac:dyDescent="0.25">
      <c r="A149" s="76" t="s">
        <v>106</v>
      </c>
      <c r="B149" s="23" t="s">
        <v>107</v>
      </c>
      <c r="C149" s="22" t="s">
        <v>249</v>
      </c>
      <c r="D149" s="79">
        <f>(0.2*0.2*1.5)*8*1.1</f>
        <v>0.52800000000000014</v>
      </c>
      <c r="E149" s="80"/>
      <c r="F149" s="81">
        <f t="shared" si="9"/>
        <v>0</v>
      </c>
    </row>
    <row r="150" spans="1:6" s="35" customFormat="1" ht="26.4" x14ac:dyDescent="0.25">
      <c r="A150" s="76" t="s">
        <v>108</v>
      </c>
      <c r="B150" s="23" t="s">
        <v>109</v>
      </c>
      <c r="C150" s="22" t="s">
        <v>248</v>
      </c>
      <c r="D150" s="79">
        <f>(18*1.05)*1.1</f>
        <v>20.790000000000003</v>
      </c>
      <c r="E150" s="80"/>
      <c r="F150" s="81">
        <f t="shared" si="9"/>
        <v>0</v>
      </c>
    </row>
    <row r="151" spans="1:6" s="35" customFormat="1" ht="15.6" x14ac:dyDescent="0.25">
      <c r="A151" s="76" t="s">
        <v>110</v>
      </c>
      <c r="B151" s="23" t="s">
        <v>111</v>
      </c>
      <c r="C151" s="22" t="s">
        <v>249</v>
      </c>
      <c r="D151" s="79">
        <f>(0.2*0.2*18)*1.1</f>
        <v>0.79200000000000026</v>
      </c>
      <c r="E151" s="80"/>
      <c r="F151" s="81">
        <f t="shared" si="9"/>
        <v>0</v>
      </c>
    </row>
    <row r="152" spans="1:6" s="35" customFormat="1" ht="15.6" x14ac:dyDescent="0.25">
      <c r="A152" s="76" t="s">
        <v>112</v>
      </c>
      <c r="B152" s="23" t="s">
        <v>113</v>
      </c>
      <c r="C152" s="22" t="s">
        <v>249</v>
      </c>
      <c r="D152" s="79">
        <f>(0.76*3*0.15)*1.1</f>
        <v>0.37620000000000003</v>
      </c>
      <c r="E152" s="80"/>
      <c r="F152" s="81">
        <f t="shared" si="9"/>
        <v>0</v>
      </c>
    </row>
    <row r="153" spans="1:6" s="35" customFormat="1" ht="15.6" x14ac:dyDescent="0.25">
      <c r="A153" s="76" t="s">
        <v>114</v>
      </c>
      <c r="B153" s="23" t="s">
        <v>189</v>
      </c>
      <c r="C153" s="22" t="s">
        <v>249</v>
      </c>
      <c r="D153" s="79">
        <f>20*0.08*1.1</f>
        <v>1.7600000000000002</v>
      </c>
      <c r="E153" s="80"/>
      <c r="F153" s="81">
        <f t="shared" si="9"/>
        <v>0</v>
      </c>
    </row>
    <row r="154" spans="1:6" s="35" customFormat="1" ht="13.2" x14ac:dyDescent="0.25">
      <c r="A154" s="76" t="s">
        <v>88</v>
      </c>
      <c r="B154" s="76" t="s">
        <v>116</v>
      </c>
      <c r="C154" s="76" t="s">
        <v>88</v>
      </c>
      <c r="D154" s="77" t="s">
        <v>88</v>
      </c>
      <c r="E154" s="76"/>
      <c r="F154" s="82">
        <f>SUM(F147:F153)</f>
        <v>0</v>
      </c>
    </row>
    <row r="155" spans="1:6" s="35" customFormat="1" ht="13.2" x14ac:dyDescent="0.25">
      <c r="A155" s="76" t="s">
        <v>117</v>
      </c>
      <c r="B155" s="20" t="s">
        <v>118</v>
      </c>
      <c r="C155" s="22" t="s">
        <v>87</v>
      </c>
      <c r="D155" s="78" t="s">
        <v>88</v>
      </c>
      <c r="E155" s="22"/>
      <c r="F155" s="22" t="s">
        <v>87</v>
      </c>
    </row>
    <row r="156" spans="1:6" s="35" customFormat="1" ht="15.6" x14ac:dyDescent="0.25">
      <c r="A156" s="76" t="s">
        <v>119</v>
      </c>
      <c r="B156" s="23" t="s">
        <v>120</v>
      </c>
      <c r="C156" s="22" t="s">
        <v>248</v>
      </c>
      <c r="D156" s="79">
        <f>(3.65*18)*1.1</f>
        <v>72.27000000000001</v>
      </c>
      <c r="E156" s="80"/>
      <c r="F156" s="81">
        <f t="shared" ref="F156:F162" si="10">D156*E156</f>
        <v>0</v>
      </c>
    </row>
    <row r="157" spans="1:6" s="35" customFormat="1" ht="15.6" x14ac:dyDescent="0.25">
      <c r="A157" s="76" t="s">
        <v>121</v>
      </c>
      <c r="B157" s="84" t="s">
        <v>122</v>
      </c>
      <c r="C157" s="22" t="s">
        <v>249</v>
      </c>
      <c r="D157" s="79">
        <f>(0.15*0.15*3.4)*8*1.1</f>
        <v>0.67320000000000002</v>
      </c>
      <c r="E157" s="80"/>
      <c r="F157" s="81">
        <f t="shared" si="10"/>
        <v>0</v>
      </c>
    </row>
    <row r="158" spans="1:6" s="35" customFormat="1" ht="15.6" x14ac:dyDescent="0.25">
      <c r="A158" s="76" t="s">
        <v>123</v>
      </c>
      <c r="B158" s="23" t="s">
        <v>124</v>
      </c>
      <c r="C158" s="22" t="s">
        <v>249</v>
      </c>
      <c r="D158" s="79">
        <f>(18*0.15*0.1)*1.1</f>
        <v>0.29699999999999999</v>
      </c>
      <c r="E158" s="80"/>
      <c r="F158" s="81">
        <f t="shared" si="10"/>
        <v>0</v>
      </c>
    </row>
    <row r="159" spans="1:6" s="35" customFormat="1" ht="15.6" x14ac:dyDescent="0.25">
      <c r="A159" s="76" t="s">
        <v>125</v>
      </c>
      <c r="B159" s="23" t="s">
        <v>126</v>
      </c>
      <c r="C159" s="22" t="s">
        <v>249</v>
      </c>
      <c r="D159" s="79">
        <f>(18*0.15*0.2)*1.1</f>
        <v>0.59399999999999997</v>
      </c>
      <c r="E159" s="80"/>
      <c r="F159" s="81">
        <f t="shared" si="10"/>
        <v>0</v>
      </c>
    </row>
    <row r="160" spans="1:6" s="35" customFormat="1" ht="15.6" x14ac:dyDescent="0.25">
      <c r="A160" s="76" t="s">
        <v>127</v>
      </c>
      <c r="B160" s="23" t="s">
        <v>124</v>
      </c>
      <c r="C160" s="22" t="s">
        <v>249</v>
      </c>
      <c r="D160" s="79">
        <f>(18*0.15*0.1)*1.1</f>
        <v>0.29699999999999999</v>
      </c>
      <c r="E160" s="80"/>
      <c r="F160" s="81">
        <f t="shared" si="10"/>
        <v>0</v>
      </c>
    </row>
    <row r="161" spans="1:6" s="35" customFormat="1" ht="15.6" x14ac:dyDescent="0.25">
      <c r="A161" s="76" t="s">
        <v>128</v>
      </c>
      <c r="B161" s="23" t="s">
        <v>129</v>
      </c>
      <c r="C161" s="22" t="s">
        <v>249</v>
      </c>
      <c r="D161" s="79">
        <f>(18*0.15*0.4)*1.1</f>
        <v>1.1879999999999999</v>
      </c>
      <c r="E161" s="80"/>
      <c r="F161" s="81">
        <f t="shared" si="10"/>
        <v>0</v>
      </c>
    </row>
    <row r="162" spans="1:6" s="35" customFormat="1" ht="15.6" x14ac:dyDescent="0.25">
      <c r="A162" s="76" t="s">
        <v>130</v>
      </c>
      <c r="B162" s="23" t="s">
        <v>131</v>
      </c>
      <c r="C162" s="22" t="s">
        <v>249</v>
      </c>
      <c r="D162" s="79">
        <f>(5.3*0.127)*1.1</f>
        <v>0.74041000000000012</v>
      </c>
      <c r="E162" s="80"/>
      <c r="F162" s="81">
        <f t="shared" si="10"/>
        <v>0</v>
      </c>
    </row>
    <row r="163" spans="1:6" s="35" customFormat="1" ht="13.2" x14ac:dyDescent="0.25">
      <c r="A163" s="76" t="s">
        <v>88</v>
      </c>
      <c r="B163" s="76" t="s">
        <v>132</v>
      </c>
      <c r="C163" s="76" t="s">
        <v>88</v>
      </c>
      <c r="D163" s="77" t="s">
        <v>88</v>
      </c>
      <c r="E163" s="76"/>
      <c r="F163" s="82">
        <f>SUM(F156:F161)</f>
        <v>0</v>
      </c>
    </row>
    <row r="164" spans="1:6" s="35" customFormat="1" ht="13.2" x14ac:dyDescent="0.25">
      <c r="A164" s="76" t="s">
        <v>133</v>
      </c>
      <c r="B164" s="20" t="s">
        <v>134</v>
      </c>
      <c r="C164" s="22" t="s">
        <v>87</v>
      </c>
      <c r="D164" s="78" t="s">
        <v>88</v>
      </c>
      <c r="E164" s="22"/>
      <c r="F164" s="22" t="s">
        <v>87</v>
      </c>
    </row>
    <row r="165" spans="1:6" s="35" customFormat="1" ht="26.4" x14ac:dyDescent="0.25">
      <c r="A165" s="76" t="s">
        <v>135</v>
      </c>
      <c r="B165" s="23" t="s">
        <v>136</v>
      </c>
      <c r="C165" s="22" t="s">
        <v>183</v>
      </c>
      <c r="D165" s="85">
        <f>(4.65*10.45)*1.1</f>
        <v>53.451750000000004</v>
      </c>
      <c r="E165" s="80"/>
      <c r="F165" s="81">
        <f>D165*E165</f>
        <v>0</v>
      </c>
    </row>
    <row r="166" spans="1:6" s="35" customFormat="1" ht="26.4" x14ac:dyDescent="0.25">
      <c r="A166" s="76" t="s">
        <v>137</v>
      </c>
      <c r="B166" s="23" t="s">
        <v>184</v>
      </c>
      <c r="C166" s="22" t="s">
        <v>13</v>
      </c>
      <c r="D166" s="85">
        <f>4.65*1.1</f>
        <v>5.1150000000000011</v>
      </c>
      <c r="E166" s="80"/>
      <c r="F166" s="81">
        <f>D166*E166</f>
        <v>0</v>
      </c>
    </row>
    <row r="167" spans="1:6" s="35" customFormat="1" ht="26.4" x14ac:dyDescent="0.25">
      <c r="A167" s="76" t="s">
        <v>139</v>
      </c>
      <c r="B167" s="23" t="s">
        <v>140</v>
      </c>
      <c r="C167" s="22" t="s">
        <v>13</v>
      </c>
      <c r="D167" s="85">
        <f>5.3*4*1.1</f>
        <v>23.32</v>
      </c>
      <c r="E167" s="80"/>
      <c r="F167" s="81">
        <f>D167*E167</f>
        <v>0</v>
      </c>
    </row>
    <row r="168" spans="1:6" s="35" customFormat="1" ht="13.2" x14ac:dyDescent="0.25">
      <c r="A168" s="76" t="s">
        <v>141</v>
      </c>
      <c r="B168" s="23" t="s">
        <v>185</v>
      </c>
      <c r="C168" s="22" t="s">
        <v>183</v>
      </c>
      <c r="D168" s="85">
        <f>20*1.1</f>
        <v>22</v>
      </c>
      <c r="E168" s="80"/>
      <c r="F168" s="81">
        <f>D168*E168</f>
        <v>0</v>
      </c>
    </row>
    <row r="169" spans="1:6" s="35" customFormat="1" ht="13.2" x14ac:dyDescent="0.25">
      <c r="A169" s="76" t="s">
        <v>88</v>
      </c>
      <c r="B169" s="76" t="s">
        <v>143</v>
      </c>
      <c r="C169" s="76" t="s">
        <v>88</v>
      </c>
      <c r="D169" s="77" t="s">
        <v>88</v>
      </c>
      <c r="E169" s="76"/>
      <c r="F169" s="82">
        <f>SUM(F165:F168)</f>
        <v>0</v>
      </c>
    </row>
    <row r="170" spans="1:6" s="35" customFormat="1" ht="13.2" x14ac:dyDescent="0.25">
      <c r="A170" s="76" t="s">
        <v>144</v>
      </c>
      <c r="B170" s="20" t="s">
        <v>145</v>
      </c>
      <c r="C170" s="22" t="s">
        <v>87</v>
      </c>
      <c r="D170" s="78" t="s">
        <v>88</v>
      </c>
      <c r="E170" s="22"/>
      <c r="F170" s="22" t="s">
        <v>87</v>
      </c>
    </row>
    <row r="171" spans="1:6" s="35" customFormat="1" ht="26.4" x14ac:dyDescent="0.25">
      <c r="A171" s="76" t="s">
        <v>146</v>
      </c>
      <c r="B171" s="23" t="s">
        <v>147</v>
      </c>
      <c r="C171" s="22" t="s">
        <v>12</v>
      </c>
      <c r="D171" s="85">
        <v>1</v>
      </c>
      <c r="E171" s="80"/>
      <c r="F171" s="81">
        <f>D171*E171</f>
        <v>0</v>
      </c>
    </row>
    <row r="172" spans="1:6" s="35" customFormat="1" ht="26.4" x14ac:dyDescent="0.25">
      <c r="A172" s="76" t="s">
        <v>148</v>
      </c>
      <c r="B172" s="23" t="s">
        <v>149</v>
      </c>
      <c r="C172" s="22" t="s">
        <v>12</v>
      </c>
      <c r="D172" s="85">
        <v>2</v>
      </c>
      <c r="E172" s="80"/>
      <c r="F172" s="81">
        <f>D172*E172</f>
        <v>0</v>
      </c>
    </row>
    <row r="173" spans="1:6" s="35" customFormat="1" ht="13.2" x14ac:dyDescent="0.25">
      <c r="A173" s="76" t="s">
        <v>88</v>
      </c>
      <c r="B173" s="76" t="s">
        <v>150</v>
      </c>
      <c r="C173" s="76" t="s">
        <v>88</v>
      </c>
      <c r="D173" s="77" t="s">
        <v>88</v>
      </c>
      <c r="E173" s="76"/>
      <c r="F173" s="82">
        <f>SUM(F171:F172)</f>
        <v>0</v>
      </c>
    </row>
    <row r="174" spans="1:6" s="35" customFormat="1" ht="13.2" x14ac:dyDescent="0.25">
      <c r="A174" s="76" t="s">
        <v>151</v>
      </c>
      <c r="B174" s="20" t="s">
        <v>152</v>
      </c>
      <c r="C174" s="22" t="s">
        <v>87</v>
      </c>
      <c r="D174" s="79" t="s">
        <v>87</v>
      </c>
      <c r="E174" s="22"/>
      <c r="F174" s="22" t="s">
        <v>87</v>
      </c>
    </row>
    <row r="175" spans="1:6" s="35" customFormat="1" ht="26.4" x14ac:dyDescent="0.25">
      <c r="A175" s="76" t="s">
        <v>153</v>
      </c>
      <c r="B175" s="23" t="s">
        <v>154</v>
      </c>
      <c r="C175" s="22" t="s">
        <v>248</v>
      </c>
      <c r="D175" s="85">
        <f>(18*3.65)*1.1</f>
        <v>72.27000000000001</v>
      </c>
      <c r="E175" s="80"/>
      <c r="F175" s="81">
        <f t="shared" ref="F175:F180" si="11">D175*E175</f>
        <v>0</v>
      </c>
    </row>
    <row r="176" spans="1:6" s="35" customFormat="1" ht="26.4" x14ac:dyDescent="0.25">
      <c r="A176" s="76" t="s">
        <v>190</v>
      </c>
      <c r="B176" s="23" t="s">
        <v>156</v>
      </c>
      <c r="C176" s="22" t="s">
        <v>248</v>
      </c>
      <c r="D176" s="85">
        <f>(18*4.5)*1.1</f>
        <v>89.100000000000009</v>
      </c>
      <c r="E176" s="80"/>
      <c r="F176" s="81">
        <f t="shared" si="11"/>
        <v>0</v>
      </c>
    </row>
    <row r="177" spans="1:6" s="35" customFormat="1" ht="15.6" x14ac:dyDescent="0.25">
      <c r="A177" s="76" t="s">
        <v>191</v>
      </c>
      <c r="B177" s="23" t="s">
        <v>158</v>
      </c>
      <c r="C177" s="22" t="s">
        <v>248</v>
      </c>
      <c r="D177" s="85">
        <f>+D175</f>
        <v>72.27000000000001</v>
      </c>
      <c r="E177" s="80"/>
      <c r="F177" s="81">
        <f t="shared" si="11"/>
        <v>0</v>
      </c>
    </row>
    <row r="178" spans="1:6" s="35" customFormat="1" ht="15.6" x14ac:dyDescent="0.25">
      <c r="A178" s="76" t="s">
        <v>159</v>
      </c>
      <c r="B178" s="23" t="s">
        <v>160</v>
      </c>
      <c r="C178" s="22" t="s">
        <v>248</v>
      </c>
      <c r="D178" s="85">
        <f>+D176</f>
        <v>89.100000000000009</v>
      </c>
      <c r="E178" s="80"/>
      <c r="F178" s="81">
        <f t="shared" si="11"/>
        <v>0</v>
      </c>
    </row>
    <row r="179" spans="1:6" s="35" customFormat="1" ht="15.6" x14ac:dyDescent="0.25">
      <c r="A179" s="76" t="s">
        <v>161</v>
      </c>
      <c r="B179" s="23" t="s">
        <v>162</v>
      </c>
      <c r="C179" s="22" t="s">
        <v>248</v>
      </c>
      <c r="D179" s="85">
        <f>+D168</f>
        <v>22</v>
      </c>
      <c r="E179" s="80"/>
      <c r="F179" s="81">
        <f t="shared" si="11"/>
        <v>0</v>
      </c>
    </row>
    <row r="180" spans="1:6" s="35" customFormat="1" ht="26.4" x14ac:dyDescent="0.25">
      <c r="A180" s="76" t="s">
        <v>163</v>
      </c>
      <c r="B180" s="23" t="s">
        <v>192</v>
      </c>
      <c r="C180" s="22" t="s">
        <v>248</v>
      </c>
      <c r="D180" s="85">
        <f>20*1.1</f>
        <v>22</v>
      </c>
      <c r="E180" s="80"/>
      <c r="F180" s="81">
        <f t="shared" si="11"/>
        <v>0</v>
      </c>
    </row>
    <row r="181" spans="1:6" s="35" customFormat="1" ht="13.2" x14ac:dyDescent="0.25">
      <c r="A181" s="76" t="s">
        <v>88</v>
      </c>
      <c r="B181" s="76" t="s">
        <v>165</v>
      </c>
      <c r="C181" s="76" t="s">
        <v>88</v>
      </c>
      <c r="D181" s="77" t="s">
        <v>88</v>
      </c>
      <c r="E181" s="76"/>
      <c r="F181" s="82">
        <f>SUM(F175:F180)</f>
        <v>0</v>
      </c>
    </row>
    <row r="182" spans="1:6" s="35" customFormat="1" ht="13.2" x14ac:dyDescent="0.25">
      <c r="A182" s="76" t="s">
        <v>166</v>
      </c>
      <c r="B182" s="20" t="s">
        <v>167</v>
      </c>
      <c r="C182" s="22" t="s">
        <v>87</v>
      </c>
      <c r="D182" s="79" t="s">
        <v>87</v>
      </c>
      <c r="E182" s="22"/>
      <c r="F182" s="22" t="s">
        <v>87</v>
      </c>
    </row>
    <row r="183" spans="1:6" s="35" customFormat="1" ht="26.4" x14ac:dyDescent="0.25">
      <c r="A183" s="76" t="s">
        <v>168</v>
      </c>
      <c r="B183" s="23" t="s">
        <v>169</v>
      </c>
      <c r="C183" s="22" t="s">
        <v>23</v>
      </c>
      <c r="D183" s="85">
        <v>1</v>
      </c>
      <c r="E183" s="80"/>
      <c r="F183" s="81">
        <f>D183*E183</f>
        <v>0</v>
      </c>
    </row>
    <row r="184" spans="1:6" s="35" customFormat="1" ht="13.2" x14ac:dyDescent="0.25">
      <c r="A184" s="76" t="s">
        <v>170</v>
      </c>
      <c r="B184" s="23" t="s">
        <v>171</v>
      </c>
      <c r="C184" s="22" t="s">
        <v>12</v>
      </c>
      <c r="D184" s="85">
        <v>3</v>
      </c>
      <c r="E184" s="80"/>
      <c r="F184" s="81">
        <f>D184*E184</f>
        <v>0</v>
      </c>
    </row>
    <row r="185" spans="1:6" s="35" customFormat="1" ht="13.2" x14ac:dyDescent="0.25">
      <c r="A185" s="76" t="s">
        <v>172</v>
      </c>
      <c r="B185" s="84" t="s">
        <v>173</v>
      </c>
      <c r="C185" s="22" t="s">
        <v>12</v>
      </c>
      <c r="D185" s="85">
        <v>4</v>
      </c>
      <c r="E185" s="80"/>
      <c r="F185" s="81">
        <f>D185*E185</f>
        <v>0</v>
      </c>
    </row>
    <row r="186" spans="1:6" s="35" customFormat="1" ht="13.2" x14ac:dyDescent="0.25">
      <c r="A186" s="76" t="s">
        <v>174</v>
      </c>
      <c r="B186" s="23" t="s">
        <v>175</v>
      </c>
      <c r="C186" s="22" t="s">
        <v>12</v>
      </c>
      <c r="D186" s="85">
        <v>2</v>
      </c>
      <c r="E186" s="80"/>
      <c r="F186" s="81">
        <f>D186*E186</f>
        <v>0</v>
      </c>
    </row>
    <row r="187" spans="1:6" s="35" customFormat="1" ht="13.2" x14ac:dyDescent="0.25">
      <c r="A187" s="76" t="s">
        <v>176</v>
      </c>
      <c r="B187" s="23" t="s">
        <v>177</v>
      </c>
      <c r="C187" s="22" t="s">
        <v>12</v>
      </c>
      <c r="D187" s="85">
        <v>1</v>
      </c>
      <c r="E187" s="80"/>
      <c r="F187" s="81">
        <f>D187*E187</f>
        <v>0</v>
      </c>
    </row>
    <row r="188" spans="1:6" s="35" customFormat="1" ht="13.2" x14ac:dyDescent="0.25">
      <c r="A188" s="76" t="s">
        <v>88</v>
      </c>
      <c r="B188" s="76" t="s">
        <v>178</v>
      </c>
      <c r="C188" s="76" t="s">
        <v>88</v>
      </c>
      <c r="D188" s="77" t="s">
        <v>88</v>
      </c>
      <c r="E188" s="80"/>
      <c r="F188" s="82">
        <f>SUM(F183:F187)</f>
        <v>0</v>
      </c>
    </row>
    <row r="189" spans="1:6" s="35" customFormat="1" ht="13.2" x14ac:dyDescent="0.25">
      <c r="A189" s="95" t="s">
        <v>88</v>
      </c>
      <c r="B189" s="96" t="s">
        <v>193</v>
      </c>
      <c r="C189" s="97" t="s">
        <v>87</v>
      </c>
      <c r="D189" s="98" t="s">
        <v>87</v>
      </c>
      <c r="E189" s="97" t="s">
        <v>87</v>
      </c>
      <c r="F189" s="99">
        <f>F188+F181+F173+F169+F163+F154+F145</f>
        <v>0</v>
      </c>
    </row>
    <row r="190" spans="1:6" s="35" customFormat="1" ht="13.2" x14ac:dyDescent="0.25">
      <c r="A190" s="105"/>
      <c r="B190" s="106"/>
      <c r="C190" s="106"/>
      <c r="D190" s="106"/>
      <c r="E190" s="106"/>
      <c r="F190" s="106"/>
    </row>
    <row r="191" spans="1:6" s="35" customFormat="1" ht="13.2" x14ac:dyDescent="0.25">
      <c r="A191" s="75" t="s">
        <v>180</v>
      </c>
      <c r="B191" s="113" t="s">
        <v>194</v>
      </c>
      <c r="C191" s="113"/>
      <c r="D191" s="113"/>
      <c r="E191" s="113"/>
      <c r="F191" s="113"/>
    </row>
    <row r="192" spans="1:6" s="35" customFormat="1" ht="13.2" x14ac:dyDescent="0.25">
      <c r="A192" s="76" t="s">
        <v>79</v>
      </c>
      <c r="B192" s="20" t="s">
        <v>80</v>
      </c>
      <c r="C192" s="76" t="s">
        <v>81</v>
      </c>
      <c r="D192" s="77" t="s">
        <v>82</v>
      </c>
      <c r="E192" s="76" t="s">
        <v>83</v>
      </c>
      <c r="F192" s="76" t="s">
        <v>84</v>
      </c>
    </row>
    <row r="193" spans="1:6" s="35" customFormat="1" ht="13.2" x14ac:dyDescent="0.25">
      <c r="A193" s="76" t="s">
        <v>85</v>
      </c>
      <c r="B193" s="20" t="s">
        <v>195</v>
      </c>
      <c r="C193" s="76" t="s">
        <v>88</v>
      </c>
      <c r="D193" s="77" t="s">
        <v>88</v>
      </c>
      <c r="E193" s="76" t="s">
        <v>87</v>
      </c>
      <c r="F193" s="76" t="s">
        <v>87</v>
      </c>
    </row>
    <row r="194" spans="1:6" s="35" customFormat="1" ht="15.6" x14ac:dyDescent="0.25">
      <c r="A194" s="76" t="s">
        <v>89</v>
      </c>
      <c r="B194" s="23" t="s">
        <v>196</v>
      </c>
      <c r="C194" s="22" t="s">
        <v>248</v>
      </c>
      <c r="D194" s="85">
        <f>(4.2+2)*(2.85+2)</f>
        <v>30.07</v>
      </c>
      <c r="E194" s="80"/>
      <c r="F194" s="81">
        <f>D194*E194</f>
        <v>0</v>
      </c>
    </row>
    <row r="195" spans="1:6" s="35" customFormat="1" ht="15.6" x14ac:dyDescent="0.25">
      <c r="A195" s="76" t="s">
        <v>91</v>
      </c>
      <c r="B195" s="23" t="s">
        <v>197</v>
      </c>
      <c r="C195" s="22" t="s">
        <v>249</v>
      </c>
      <c r="D195" s="85">
        <f>(0.4*0.6*8.55)*1.1</f>
        <v>2.2572000000000001</v>
      </c>
      <c r="E195" s="80"/>
      <c r="F195" s="81">
        <f>D195*E195</f>
        <v>0</v>
      </c>
    </row>
    <row r="196" spans="1:6" s="35" customFormat="1" ht="15.6" x14ac:dyDescent="0.25">
      <c r="A196" s="76" t="s">
        <v>93</v>
      </c>
      <c r="B196" s="23" t="s">
        <v>198</v>
      </c>
      <c r="C196" s="22" t="s">
        <v>249</v>
      </c>
      <c r="D196" s="85">
        <f>(6.568*2.2)*1.1</f>
        <v>15.894560000000002</v>
      </c>
      <c r="E196" s="80"/>
      <c r="F196" s="81">
        <f>D196*E196</f>
        <v>0</v>
      </c>
    </row>
    <row r="197" spans="1:6" s="35" customFormat="1" ht="15.6" x14ac:dyDescent="0.25">
      <c r="A197" s="76" t="s">
        <v>95</v>
      </c>
      <c r="B197" s="23" t="s">
        <v>96</v>
      </c>
      <c r="C197" s="22" t="s">
        <v>249</v>
      </c>
      <c r="D197" s="85">
        <f>+D196+D195</f>
        <v>18.151760000000003</v>
      </c>
      <c r="E197" s="80"/>
      <c r="F197" s="81">
        <f>D197*E197</f>
        <v>0</v>
      </c>
    </row>
    <row r="198" spans="1:6" s="35" customFormat="1" ht="13.2" x14ac:dyDescent="0.25">
      <c r="A198" s="76" t="s">
        <v>88</v>
      </c>
      <c r="B198" s="76" t="s">
        <v>99</v>
      </c>
      <c r="C198" s="76" t="s">
        <v>88</v>
      </c>
      <c r="D198" s="77" t="s">
        <v>88</v>
      </c>
      <c r="E198" s="76"/>
      <c r="F198" s="82">
        <f>SUM(F194:F197)</f>
        <v>0</v>
      </c>
    </row>
    <row r="199" spans="1:6" s="35" customFormat="1" ht="13.2" x14ac:dyDescent="0.25">
      <c r="A199" s="76" t="s">
        <v>100</v>
      </c>
      <c r="B199" s="20" t="s">
        <v>199</v>
      </c>
      <c r="C199" s="76" t="s">
        <v>88</v>
      </c>
      <c r="D199" s="77" t="s">
        <v>88</v>
      </c>
      <c r="E199" s="76"/>
      <c r="F199" s="22" t="s">
        <v>87</v>
      </c>
    </row>
    <row r="200" spans="1:6" s="35" customFormat="1" ht="26.4" x14ac:dyDescent="0.25">
      <c r="A200" s="76" t="s">
        <v>102</v>
      </c>
      <c r="B200" s="23" t="s">
        <v>200</v>
      </c>
      <c r="C200" s="22" t="s">
        <v>249</v>
      </c>
      <c r="D200" s="79">
        <f>(8.55*0.4*0.05)*1.1</f>
        <v>0.18810000000000007</v>
      </c>
      <c r="E200" s="80"/>
      <c r="F200" s="81">
        <f t="shared" ref="F200:F207" si="12">D200*E200</f>
        <v>0</v>
      </c>
    </row>
    <row r="201" spans="1:6" s="35" customFormat="1" ht="26.4" x14ac:dyDescent="0.25">
      <c r="A201" s="76" t="s">
        <v>104</v>
      </c>
      <c r="B201" s="23" t="s">
        <v>201</v>
      </c>
      <c r="C201" s="22" t="s">
        <v>248</v>
      </c>
      <c r="D201" s="79">
        <f>(8.55*0.85)*1.1</f>
        <v>7.994250000000001</v>
      </c>
      <c r="E201" s="80"/>
      <c r="F201" s="81">
        <f t="shared" si="12"/>
        <v>0</v>
      </c>
    </row>
    <row r="202" spans="1:6" s="35" customFormat="1" ht="26.4" x14ac:dyDescent="0.25">
      <c r="A202" s="76" t="s">
        <v>106</v>
      </c>
      <c r="B202" s="23" t="s">
        <v>202</v>
      </c>
      <c r="C202" s="22" t="s">
        <v>249</v>
      </c>
      <c r="D202" s="79">
        <f>(4.75*2*0.1)*1.1</f>
        <v>1.0450000000000002</v>
      </c>
      <c r="E202" s="80"/>
      <c r="F202" s="81">
        <f t="shared" si="12"/>
        <v>0</v>
      </c>
    </row>
    <row r="203" spans="1:6" s="35" customFormat="1" ht="26.4" x14ac:dyDescent="0.25">
      <c r="A203" s="76" t="s">
        <v>108</v>
      </c>
      <c r="B203" s="23" t="s">
        <v>203</v>
      </c>
      <c r="C203" s="22" t="s">
        <v>249</v>
      </c>
      <c r="D203" s="79">
        <f>(6.568*0.1)*1.1</f>
        <v>0.72248000000000012</v>
      </c>
      <c r="E203" s="80"/>
      <c r="F203" s="81">
        <f t="shared" si="12"/>
        <v>0</v>
      </c>
    </row>
    <row r="204" spans="1:6" s="35" customFormat="1" ht="15.6" x14ac:dyDescent="0.25">
      <c r="A204" s="76" t="s">
        <v>110</v>
      </c>
      <c r="B204" s="23" t="s">
        <v>204</v>
      </c>
      <c r="C204" s="22" t="s">
        <v>248</v>
      </c>
      <c r="D204" s="85">
        <f>(12.6*2.45)*1.1</f>
        <v>33.957000000000001</v>
      </c>
      <c r="E204" s="80"/>
      <c r="F204" s="81">
        <f t="shared" si="12"/>
        <v>0</v>
      </c>
    </row>
    <row r="205" spans="1:6" s="35" customFormat="1" ht="26.4" x14ac:dyDescent="0.25">
      <c r="A205" s="76" t="s">
        <v>112</v>
      </c>
      <c r="B205" s="23" t="s">
        <v>205</v>
      </c>
      <c r="C205" s="22" t="s">
        <v>249</v>
      </c>
      <c r="D205" s="79">
        <f>((0.15*0.15*2.2)*8+(0.15*0.2*21.15))*1.1</f>
        <v>1.1335500000000001</v>
      </c>
      <c r="E205" s="80"/>
      <c r="F205" s="81">
        <f t="shared" si="12"/>
        <v>0</v>
      </c>
    </row>
    <row r="206" spans="1:6" s="35" customFormat="1" ht="15.6" x14ac:dyDescent="0.25">
      <c r="A206" s="76" t="s">
        <v>114</v>
      </c>
      <c r="B206" s="23" t="s">
        <v>113</v>
      </c>
      <c r="C206" s="22" t="s">
        <v>249</v>
      </c>
      <c r="D206" s="79">
        <f>(0.53*0.15*4)*1.1</f>
        <v>0.34980000000000006</v>
      </c>
      <c r="E206" s="80"/>
      <c r="F206" s="81">
        <f t="shared" si="12"/>
        <v>0</v>
      </c>
    </row>
    <row r="207" spans="1:6" s="35" customFormat="1" ht="15.6" x14ac:dyDescent="0.25">
      <c r="A207" s="76" t="s">
        <v>206</v>
      </c>
      <c r="B207" s="23" t="s">
        <v>207</v>
      </c>
      <c r="C207" s="22" t="s">
        <v>249</v>
      </c>
      <c r="D207" s="79">
        <f>(2.85*2.3*0.15)*1.1</f>
        <v>1.081575</v>
      </c>
      <c r="E207" s="80"/>
      <c r="F207" s="81">
        <f t="shared" si="12"/>
        <v>0</v>
      </c>
    </row>
    <row r="208" spans="1:6" s="35" customFormat="1" ht="13.2" x14ac:dyDescent="0.25">
      <c r="A208" s="76" t="s">
        <v>88</v>
      </c>
      <c r="B208" s="76" t="s">
        <v>116</v>
      </c>
      <c r="C208" s="76" t="s">
        <v>88</v>
      </c>
      <c r="D208" s="77" t="s">
        <v>88</v>
      </c>
      <c r="E208" s="76"/>
      <c r="F208" s="82">
        <f>SUM(F200:F207)</f>
        <v>0</v>
      </c>
    </row>
    <row r="209" spans="1:6" s="35" customFormat="1" ht="13.2" x14ac:dyDescent="0.25">
      <c r="A209" s="76" t="s">
        <v>117</v>
      </c>
      <c r="B209" s="20" t="s">
        <v>208</v>
      </c>
      <c r="C209" s="76" t="s">
        <v>88</v>
      </c>
      <c r="D209" s="77" t="s">
        <v>88</v>
      </c>
      <c r="E209" s="76"/>
      <c r="F209" s="22" t="s">
        <v>87</v>
      </c>
    </row>
    <row r="210" spans="1:6" s="35" customFormat="1" ht="26.4" x14ac:dyDescent="0.25">
      <c r="A210" s="76" t="s">
        <v>119</v>
      </c>
      <c r="B210" s="23" t="s">
        <v>209</v>
      </c>
      <c r="C210" s="22" t="s">
        <v>249</v>
      </c>
      <c r="D210" s="79">
        <f>((0.15*0.15*2.2)*8+(21.15*0.15*0.2))*1.1</f>
        <v>1.1335500000000001</v>
      </c>
      <c r="E210" s="80"/>
      <c r="F210" s="81">
        <f>D210*E210</f>
        <v>0</v>
      </c>
    </row>
    <row r="211" spans="1:6" s="35" customFormat="1" ht="15.6" x14ac:dyDescent="0.25">
      <c r="A211" s="76" t="s">
        <v>210</v>
      </c>
      <c r="B211" s="23" t="s">
        <v>211</v>
      </c>
      <c r="C211" s="22" t="s">
        <v>248</v>
      </c>
      <c r="D211" s="79">
        <f>(21.15*2.2)*1.1</f>
        <v>51.183000000000007</v>
      </c>
      <c r="E211" s="80"/>
      <c r="F211" s="81">
        <f>D211*E211</f>
        <v>0</v>
      </c>
    </row>
    <row r="212" spans="1:6" s="35" customFormat="1" ht="15.6" x14ac:dyDescent="0.25">
      <c r="A212" s="76" t="s">
        <v>212</v>
      </c>
      <c r="B212" s="23" t="s">
        <v>213</v>
      </c>
      <c r="C212" s="22" t="s">
        <v>248</v>
      </c>
      <c r="D212" s="79">
        <f>(0.3*0.3)*2</f>
        <v>0.18</v>
      </c>
      <c r="E212" s="80"/>
      <c r="F212" s="81">
        <f>D212*E212</f>
        <v>0</v>
      </c>
    </row>
    <row r="213" spans="1:6" s="35" customFormat="1" ht="26.4" x14ac:dyDescent="0.25">
      <c r="A213" s="76" t="s">
        <v>214</v>
      </c>
      <c r="B213" s="23" t="s">
        <v>215</v>
      </c>
      <c r="C213" s="22" t="s">
        <v>13</v>
      </c>
      <c r="D213" s="79">
        <f>(1.6*2)</f>
        <v>3.2</v>
      </c>
      <c r="E213" s="80"/>
      <c r="F213" s="81">
        <f>D213*E213</f>
        <v>0</v>
      </c>
    </row>
    <row r="214" spans="1:6" s="35" customFormat="1" ht="13.2" x14ac:dyDescent="0.25">
      <c r="A214" s="76" t="s">
        <v>88</v>
      </c>
      <c r="B214" s="76" t="s">
        <v>216</v>
      </c>
      <c r="C214" s="76" t="s">
        <v>88</v>
      </c>
      <c r="D214" s="77" t="s">
        <v>88</v>
      </c>
      <c r="E214" s="76"/>
      <c r="F214" s="82">
        <f>SUM(F210:F213)</f>
        <v>0</v>
      </c>
    </row>
    <row r="215" spans="1:6" s="35" customFormat="1" ht="13.2" x14ac:dyDescent="0.25">
      <c r="A215" s="76" t="s">
        <v>133</v>
      </c>
      <c r="B215" s="20" t="s">
        <v>134</v>
      </c>
      <c r="C215" s="76" t="s">
        <v>88</v>
      </c>
      <c r="D215" s="77" t="s">
        <v>88</v>
      </c>
      <c r="E215" s="76"/>
      <c r="F215" s="22" t="s">
        <v>87</v>
      </c>
    </row>
    <row r="216" spans="1:6" s="35" customFormat="1" ht="26.4" x14ac:dyDescent="0.25">
      <c r="A216" s="76" t="s">
        <v>217</v>
      </c>
      <c r="B216" s="23" t="s">
        <v>218</v>
      </c>
      <c r="C216" s="22" t="s">
        <v>13</v>
      </c>
      <c r="D216" s="85">
        <f>(2.3*3+0.4*6)*1.1</f>
        <v>10.230000000000002</v>
      </c>
      <c r="E216" s="80"/>
      <c r="F216" s="81">
        <f>D216*E216</f>
        <v>0</v>
      </c>
    </row>
    <row r="217" spans="1:6" s="35" customFormat="1" ht="26.4" x14ac:dyDescent="0.25">
      <c r="A217" s="76" t="s">
        <v>219</v>
      </c>
      <c r="B217" s="23" t="s">
        <v>220</v>
      </c>
      <c r="C217" s="22" t="s">
        <v>13</v>
      </c>
      <c r="D217" s="85">
        <f>2.85*2*1.1</f>
        <v>6.2700000000000005</v>
      </c>
      <c r="E217" s="80"/>
      <c r="F217" s="81">
        <f>D217*E217</f>
        <v>0</v>
      </c>
    </row>
    <row r="218" spans="1:6" s="35" customFormat="1" ht="15.6" x14ac:dyDescent="0.25">
      <c r="A218" s="76" t="s">
        <v>221</v>
      </c>
      <c r="B218" s="23" t="s">
        <v>222</v>
      </c>
      <c r="C218" s="22" t="s">
        <v>248</v>
      </c>
      <c r="D218" s="85">
        <f>(2.5*2.85)*1.1</f>
        <v>7.8375000000000004</v>
      </c>
      <c r="E218" s="80"/>
      <c r="F218" s="81">
        <f>D218*E218</f>
        <v>0</v>
      </c>
    </row>
    <row r="219" spans="1:6" s="35" customFormat="1" ht="13.2" x14ac:dyDescent="0.25">
      <c r="A219" s="76" t="s">
        <v>88</v>
      </c>
      <c r="B219" s="76" t="s">
        <v>143</v>
      </c>
      <c r="C219" s="76" t="s">
        <v>88</v>
      </c>
      <c r="D219" s="107" t="s">
        <v>88</v>
      </c>
      <c r="E219" s="76"/>
      <c r="F219" s="82">
        <f>SUM(F216:F218)</f>
        <v>0</v>
      </c>
    </row>
    <row r="220" spans="1:6" s="35" customFormat="1" ht="13.2" x14ac:dyDescent="0.25">
      <c r="A220" s="76" t="s">
        <v>144</v>
      </c>
      <c r="B220" s="20" t="s">
        <v>223</v>
      </c>
      <c r="C220" s="76" t="s">
        <v>88</v>
      </c>
      <c r="D220" s="107" t="s">
        <v>88</v>
      </c>
      <c r="E220" s="76"/>
      <c r="F220" s="22" t="s">
        <v>87</v>
      </c>
    </row>
    <row r="221" spans="1:6" s="35" customFormat="1" ht="26.4" x14ac:dyDescent="0.25">
      <c r="A221" s="76" t="s">
        <v>146</v>
      </c>
      <c r="B221" s="108" t="s">
        <v>224</v>
      </c>
      <c r="C221" s="22" t="s">
        <v>12</v>
      </c>
      <c r="D221" s="85">
        <v>2</v>
      </c>
      <c r="E221" s="80"/>
      <c r="F221" s="81">
        <f>D221*E221</f>
        <v>0</v>
      </c>
    </row>
    <row r="222" spans="1:6" s="35" customFormat="1" ht="13.2" x14ac:dyDescent="0.25">
      <c r="A222" s="76" t="s">
        <v>88</v>
      </c>
      <c r="B222" s="76" t="s">
        <v>150</v>
      </c>
      <c r="C222" s="76" t="s">
        <v>88</v>
      </c>
      <c r="D222" s="107" t="s">
        <v>88</v>
      </c>
      <c r="E222" s="76"/>
      <c r="F222" s="82">
        <f>F221</f>
        <v>0</v>
      </c>
    </row>
    <row r="223" spans="1:6" s="35" customFormat="1" ht="13.2" x14ac:dyDescent="0.25">
      <c r="A223" s="76" t="s">
        <v>151</v>
      </c>
      <c r="B223" s="20" t="s">
        <v>225</v>
      </c>
      <c r="C223" s="76" t="s">
        <v>88</v>
      </c>
      <c r="D223" s="77" t="s">
        <v>88</v>
      </c>
      <c r="E223" s="76"/>
      <c r="F223" s="22" t="s">
        <v>87</v>
      </c>
    </row>
    <row r="224" spans="1:6" s="35" customFormat="1" ht="26.4" x14ac:dyDescent="0.25">
      <c r="A224" s="76" t="s">
        <v>153</v>
      </c>
      <c r="B224" s="23" t="s">
        <v>226</v>
      </c>
      <c r="C224" s="22" t="s">
        <v>248</v>
      </c>
      <c r="D224" s="79">
        <f>((25.2*2.2)+(14*2.65))*1.1</f>
        <v>101.79400000000001</v>
      </c>
      <c r="E224" s="80"/>
      <c r="F224" s="81">
        <f>D224*E224</f>
        <v>0</v>
      </c>
    </row>
    <row r="225" spans="1:6" s="35" customFormat="1" ht="26.4" x14ac:dyDescent="0.25">
      <c r="A225" s="76" t="s">
        <v>155</v>
      </c>
      <c r="B225" s="23" t="s">
        <v>164</v>
      </c>
      <c r="C225" s="22" t="s">
        <v>248</v>
      </c>
      <c r="D225" s="79">
        <f>(4.05*2.85)*1.1</f>
        <v>12.696750000000002</v>
      </c>
      <c r="E225" s="80"/>
      <c r="F225" s="81">
        <f>D225*E225</f>
        <v>0</v>
      </c>
    </row>
    <row r="226" spans="1:6" s="35" customFormat="1" ht="15.6" x14ac:dyDescent="0.25">
      <c r="A226" s="76" t="s">
        <v>157</v>
      </c>
      <c r="B226" s="23" t="s">
        <v>227</v>
      </c>
      <c r="C226" s="22" t="s">
        <v>248</v>
      </c>
      <c r="D226" s="79">
        <f>+D224</f>
        <v>101.79400000000001</v>
      </c>
      <c r="E226" s="80"/>
      <c r="F226" s="81">
        <f>D226*E226</f>
        <v>0</v>
      </c>
    </row>
    <row r="227" spans="1:6" s="35" customFormat="1" ht="13.2" x14ac:dyDescent="0.25">
      <c r="A227" s="76" t="s">
        <v>88</v>
      </c>
      <c r="B227" s="76" t="s">
        <v>165</v>
      </c>
      <c r="C227" s="76" t="s">
        <v>88</v>
      </c>
      <c r="D227" s="77" t="s">
        <v>88</v>
      </c>
      <c r="E227" s="76"/>
      <c r="F227" s="82">
        <f>SUM(F224:F226)</f>
        <v>0</v>
      </c>
    </row>
    <row r="228" spans="1:6" s="35" customFormat="1" ht="13.2" x14ac:dyDescent="0.25">
      <c r="A228" s="95" t="s">
        <v>88</v>
      </c>
      <c r="B228" s="96" t="s">
        <v>228</v>
      </c>
      <c r="C228" s="97" t="s">
        <v>87</v>
      </c>
      <c r="D228" s="98" t="s">
        <v>87</v>
      </c>
      <c r="E228" s="97"/>
      <c r="F228" s="99">
        <f>F227+F222+F219+F214+F208+F198</f>
        <v>0</v>
      </c>
    </row>
    <row r="229" spans="1:6" s="35" customFormat="1" ht="13.2" x14ac:dyDescent="0.25">
      <c r="A229" s="101"/>
      <c r="B229" s="102"/>
      <c r="C229" s="103"/>
      <c r="D229" s="104"/>
      <c r="E229" s="103"/>
      <c r="F229" s="101"/>
    </row>
    <row r="230" spans="1:6" s="35" customFormat="1" ht="13.2" x14ac:dyDescent="0.25">
      <c r="A230" s="75" t="s">
        <v>187</v>
      </c>
      <c r="B230" s="113" t="s">
        <v>229</v>
      </c>
      <c r="C230" s="113"/>
      <c r="D230" s="113"/>
      <c r="E230" s="113"/>
      <c r="F230" s="113"/>
    </row>
    <row r="231" spans="1:6" s="35" customFormat="1" ht="13.2" x14ac:dyDescent="0.25">
      <c r="A231" s="76" t="s">
        <v>79</v>
      </c>
      <c r="B231" s="20" t="s">
        <v>80</v>
      </c>
      <c r="C231" s="76" t="s">
        <v>81</v>
      </c>
      <c r="D231" s="77" t="s">
        <v>82</v>
      </c>
      <c r="E231" s="76" t="s">
        <v>83</v>
      </c>
      <c r="F231" s="76" t="s">
        <v>84</v>
      </c>
    </row>
    <row r="232" spans="1:6" s="35" customFormat="1" ht="13.2" x14ac:dyDescent="0.25">
      <c r="A232" s="76" t="s">
        <v>85</v>
      </c>
      <c r="B232" s="20" t="s">
        <v>195</v>
      </c>
      <c r="C232" s="76" t="s">
        <v>88</v>
      </c>
      <c r="D232" s="77" t="s">
        <v>88</v>
      </c>
      <c r="E232" s="76" t="s">
        <v>87</v>
      </c>
      <c r="F232" s="76" t="s">
        <v>87</v>
      </c>
    </row>
    <row r="233" spans="1:6" s="35" customFormat="1" ht="13.2" x14ac:dyDescent="0.25">
      <c r="A233" s="76" t="s">
        <v>89</v>
      </c>
      <c r="B233" s="23" t="s">
        <v>230</v>
      </c>
      <c r="C233" s="22" t="s">
        <v>12</v>
      </c>
      <c r="D233" s="85">
        <v>12</v>
      </c>
      <c r="E233" s="80"/>
      <c r="F233" s="81">
        <f>D233*E233</f>
        <v>0</v>
      </c>
    </row>
    <row r="234" spans="1:6" s="35" customFormat="1" ht="13.2" x14ac:dyDescent="0.25">
      <c r="A234" s="76" t="s">
        <v>231</v>
      </c>
      <c r="B234" s="23" t="s">
        <v>232</v>
      </c>
      <c r="C234" s="22" t="s">
        <v>12</v>
      </c>
      <c r="D234" s="85">
        <v>6</v>
      </c>
      <c r="E234" s="80"/>
      <c r="F234" s="81">
        <f>D234*E234</f>
        <v>0</v>
      </c>
    </row>
    <row r="235" spans="1:6" s="35" customFormat="1" ht="13.2" x14ac:dyDescent="0.25">
      <c r="A235" s="76" t="s">
        <v>233</v>
      </c>
      <c r="B235" s="23" t="s">
        <v>234</v>
      </c>
      <c r="C235" s="22" t="s">
        <v>12</v>
      </c>
      <c r="D235" s="85">
        <v>1</v>
      </c>
      <c r="E235" s="80"/>
      <c r="F235" s="81">
        <f>D235*E235</f>
        <v>0</v>
      </c>
    </row>
    <row r="236" spans="1:6" s="35" customFormat="1" ht="15.6" x14ac:dyDescent="0.25">
      <c r="A236" s="76" t="s">
        <v>235</v>
      </c>
      <c r="B236" s="23" t="s">
        <v>250</v>
      </c>
      <c r="C236" s="22" t="s">
        <v>13</v>
      </c>
      <c r="D236" s="85">
        <v>10</v>
      </c>
      <c r="E236" s="80"/>
      <c r="F236" s="81">
        <f>D236*E236</f>
        <v>0</v>
      </c>
    </row>
    <row r="237" spans="1:6" s="35" customFormat="1" ht="15.6" x14ac:dyDescent="0.25">
      <c r="A237" s="76" t="s">
        <v>236</v>
      </c>
      <c r="B237" s="23" t="s">
        <v>251</v>
      </c>
      <c r="C237" s="22" t="s">
        <v>13</v>
      </c>
      <c r="D237" s="85">
        <v>40</v>
      </c>
      <c r="E237" s="80"/>
      <c r="F237" s="81">
        <f t="shared" ref="F237:F239" si="13">D237*E237</f>
        <v>0</v>
      </c>
    </row>
    <row r="238" spans="1:6" s="35" customFormat="1" ht="13.2" x14ac:dyDescent="0.25">
      <c r="A238" s="76" t="s">
        <v>237</v>
      </c>
      <c r="B238" s="23" t="s">
        <v>238</v>
      </c>
      <c r="C238" s="22" t="s">
        <v>23</v>
      </c>
      <c r="D238" s="85">
        <v>1</v>
      </c>
      <c r="E238" s="80"/>
      <c r="F238" s="81">
        <f t="shared" si="13"/>
        <v>0</v>
      </c>
    </row>
    <row r="239" spans="1:6" s="35" customFormat="1" ht="13.2" x14ac:dyDescent="0.25">
      <c r="A239" s="76" t="s">
        <v>239</v>
      </c>
      <c r="B239" s="23" t="s">
        <v>240</v>
      </c>
      <c r="C239" s="22" t="s">
        <v>23</v>
      </c>
      <c r="D239" s="85">
        <v>1</v>
      </c>
      <c r="E239" s="80"/>
      <c r="F239" s="81">
        <f t="shared" si="13"/>
        <v>0</v>
      </c>
    </row>
    <row r="240" spans="1:6" s="35" customFormat="1" ht="13.2" x14ac:dyDescent="0.25">
      <c r="A240" s="76" t="s">
        <v>88</v>
      </c>
      <c r="B240" s="76" t="s">
        <v>99</v>
      </c>
      <c r="C240" s="76" t="s">
        <v>88</v>
      </c>
      <c r="D240" s="77" t="s">
        <v>88</v>
      </c>
      <c r="E240" s="76"/>
      <c r="F240" s="82">
        <f>SUM(F233:F239)</f>
        <v>0</v>
      </c>
    </row>
    <row r="241" spans="1:7" s="35" customFormat="1" ht="13.2" x14ac:dyDescent="0.25">
      <c r="A241" s="95" t="s">
        <v>88</v>
      </c>
      <c r="B241" s="96" t="s">
        <v>241</v>
      </c>
      <c r="C241" s="97" t="s">
        <v>87</v>
      </c>
      <c r="D241" s="98" t="s">
        <v>87</v>
      </c>
      <c r="E241" s="97"/>
      <c r="F241" s="99">
        <f>+F240</f>
        <v>0</v>
      </c>
    </row>
    <row r="242" spans="1:7" ht="15.6" x14ac:dyDescent="0.3">
      <c r="A242" s="69" t="s">
        <v>88</v>
      </c>
      <c r="B242" s="70" t="s">
        <v>252</v>
      </c>
      <c r="C242" s="69" t="s">
        <v>88</v>
      </c>
      <c r="D242" s="73" t="s">
        <v>88</v>
      </c>
      <c r="E242" s="71"/>
      <c r="F242" s="72">
        <f>+F241+F228+F189+F135+F81</f>
        <v>0</v>
      </c>
      <c r="G242"/>
    </row>
    <row r="243" spans="1:7" x14ac:dyDescent="0.3">
      <c r="A243" s="29" t="s">
        <v>57</v>
      </c>
      <c r="B243" s="18" t="s">
        <v>17</v>
      </c>
      <c r="C243" s="18"/>
      <c r="D243" s="18"/>
      <c r="E243" s="18"/>
      <c r="F243" s="18"/>
    </row>
    <row r="244" spans="1:7" s="46" customFormat="1" ht="48.75" customHeight="1" x14ac:dyDescent="0.3">
      <c r="A244" s="25">
        <v>5.0999999999999996</v>
      </c>
      <c r="B244" s="25" t="s">
        <v>48</v>
      </c>
      <c r="C244" s="25" t="s">
        <v>12</v>
      </c>
      <c r="D244" s="25">
        <f>700/3</f>
        <v>233.33333333333334</v>
      </c>
      <c r="E244" s="25"/>
      <c r="F244" s="27">
        <f>+D244*E244</f>
        <v>0</v>
      </c>
      <c r="G244" s="45"/>
    </row>
    <row r="245" spans="1:7" s="46" customFormat="1" ht="51.75" customHeight="1" x14ac:dyDescent="0.3">
      <c r="A245" s="25">
        <v>5.2</v>
      </c>
      <c r="B245" s="25" t="s">
        <v>245</v>
      </c>
      <c r="C245" s="25" t="s">
        <v>12</v>
      </c>
      <c r="D245" s="25">
        <f>700/20+6</f>
        <v>41</v>
      </c>
      <c r="E245" s="25"/>
      <c r="F245" s="27">
        <f>+D245*E245</f>
        <v>0</v>
      </c>
      <c r="G245" s="45"/>
    </row>
    <row r="246" spans="1:7" s="46" customFormat="1" ht="39.75" customHeight="1" x14ac:dyDescent="0.3">
      <c r="A246" s="25">
        <v>5.3</v>
      </c>
      <c r="B246" s="25" t="s">
        <v>29</v>
      </c>
      <c r="C246" s="25" t="s">
        <v>13</v>
      </c>
      <c r="D246" s="25">
        <v>700</v>
      </c>
      <c r="E246" s="25"/>
      <c r="F246" s="27">
        <f>+D246*E246</f>
        <v>0</v>
      </c>
      <c r="G246" s="45"/>
    </row>
    <row r="247" spans="1:7" s="46" customFormat="1" ht="39.75" customHeight="1" x14ac:dyDescent="0.3">
      <c r="A247" s="25">
        <v>5.4</v>
      </c>
      <c r="B247" s="25" t="s">
        <v>30</v>
      </c>
      <c r="C247" s="25" t="s">
        <v>13</v>
      </c>
      <c r="D247" s="25">
        <v>700</v>
      </c>
      <c r="E247" s="25"/>
      <c r="F247" s="27">
        <f>+D247*E247</f>
        <v>0</v>
      </c>
      <c r="G247" s="45"/>
    </row>
    <row r="248" spans="1:7" s="48" customFormat="1" ht="39.75" customHeight="1" x14ac:dyDescent="0.3">
      <c r="A248" s="25">
        <v>5.5</v>
      </c>
      <c r="B248" s="25" t="s">
        <v>246</v>
      </c>
      <c r="C248" s="25" t="s">
        <v>22</v>
      </c>
      <c r="D248" s="25">
        <f>700*0.3*0.35</f>
        <v>73.5</v>
      </c>
      <c r="E248" s="43"/>
      <c r="F248" s="43">
        <f>+D248*E248</f>
        <v>0</v>
      </c>
      <c r="G248" s="47"/>
    </row>
    <row r="249" spans="1:7" ht="39.6" x14ac:dyDescent="0.3">
      <c r="A249" s="25">
        <v>5.6</v>
      </c>
      <c r="B249" s="25" t="s">
        <v>32</v>
      </c>
      <c r="C249" s="25" t="s">
        <v>12</v>
      </c>
      <c r="D249" s="25">
        <v>1</v>
      </c>
      <c r="E249" s="43"/>
      <c r="F249" s="27">
        <f t="shared" ref="F249:F252" si="14">+D249*E249</f>
        <v>0</v>
      </c>
    </row>
    <row r="250" spans="1:7" ht="39.6" x14ac:dyDescent="0.3">
      <c r="A250" s="25">
        <v>5.7</v>
      </c>
      <c r="B250" s="25" t="s">
        <v>31</v>
      </c>
      <c r="C250" s="25" t="s">
        <v>12</v>
      </c>
      <c r="D250" s="25">
        <v>1</v>
      </c>
      <c r="E250" s="43"/>
      <c r="F250" s="27">
        <f t="shared" si="14"/>
        <v>0</v>
      </c>
    </row>
    <row r="251" spans="1:7" s="11" customFormat="1" ht="39.6" x14ac:dyDescent="0.3">
      <c r="A251" s="25">
        <v>5.8</v>
      </c>
      <c r="B251" s="25" t="s">
        <v>24</v>
      </c>
      <c r="C251" s="25" t="s">
        <v>13</v>
      </c>
      <c r="D251" s="25">
        <v>200</v>
      </c>
      <c r="E251" s="43"/>
      <c r="F251" s="27">
        <f t="shared" si="14"/>
        <v>0</v>
      </c>
      <c r="G251" s="10"/>
    </row>
    <row r="252" spans="1:7" s="11" customFormat="1" ht="26.4" x14ac:dyDescent="0.3">
      <c r="A252" s="25">
        <v>5.9</v>
      </c>
      <c r="B252" s="25" t="s">
        <v>33</v>
      </c>
      <c r="C252" s="25" t="s">
        <v>12</v>
      </c>
      <c r="D252" s="25">
        <v>1</v>
      </c>
      <c r="E252" s="43"/>
      <c r="F252" s="27">
        <f t="shared" si="14"/>
        <v>0</v>
      </c>
      <c r="G252" s="10"/>
    </row>
    <row r="253" spans="1:7" x14ac:dyDescent="0.3">
      <c r="A253" s="17"/>
      <c r="B253" s="18" t="s">
        <v>18</v>
      </c>
      <c r="C253" s="31"/>
      <c r="D253" s="31"/>
      <c r="E253" s="31"/>
      <c r="F253" s="32">
        <f>SUM(F244:F252)</f>
        <v>0</v>
      </c>
    </row>
    <row r="254" spans="1:7" s="6" customFormat="1" ht="15" x14ac:dyDescent="0.25">
      <c r="A254" s="29" t="s">
        <v>57</v>
      </c>
      <c r="B254" s="18" t="s">
        <v>19</v>
      </c>
      <c r="C254" s="16" t="s">
        <v>7</v>
      </c>
      <c r="D254" s="16"/>
      <c r="E254" s="16"/>
      <c r="F254" s="16"/>
      <c r="G254" s="5"/>
    </row>
    <row r="255" spans="1:7" s="6" customFormat="1" ht="15" x14ac:dyDescent="0.25">
      <c r="A255" s="25">
        <v>5.0999999999999996</v>
      </c>
      <c r="B255" s="25" t="s">
        <v>64</v>
      </c>
      <c r="C255" s="25" t="s">
        <v>65</v>
      </c>
      <c r="D255" s="25">
        <v>1</v>
      </c>
      <c r="E255" s="43"/>
      <c r="F255" s="27">
        <f t="shared" ref="F255:F259" si="15">+D255*E255</f>
        <v>0</v>
      </c>
      <c r="G255" s="5"/>
    </row>
    <row r="256" spans="1:7" s="6" customFormat="1" ht="26.4" x14ac:dyDescent="0.25">
      <c r="A256" s="25">
        <v>5.2</v>
      </c>
      <c r="B256" s="25" t="s">
        <v>66</v>
      </c>
      <c r="C256" s="25" t="s">
        <v>67</v>
      </c>
      <c r="D256" s="25">
        <v>100</v>
      </c>
      <c r="E256" s="43"/>
      <c r="F256" s="27">
        <f t="shared" si="15"/>
        <v>0</v>
      </c>
      <c r="G256" s="5"/>
    </row>
    <row r="257" spans="1:8" s="6" customFormat="1" ht="39.6" x14ac:dyDescent="0.25">
      <c r="A257" s="25">
        <v>5.3</v>
      </c>
      <c r="B257" s="25" t="s">
        <v>68</v>
      </c>
      <c r="C257" s="25" t="s">
        <v>69</v>
      </c>
      <c r="D257" s="25">
        <v>15</v>
      </c>
      <c r="E257" s="43"/>
      <c r="F257" s="27">
        <f t="shared" si="15"/>
        <v>0</v>
      </c>
      <c r="G257" s="5"/>
    </row>
    <row r="258" spans="1:8" s="6" customFormat="1" ht="26.4" x14ac:dyDescent="0.25">
      <c r="A258" s="25">
        <v>5.4</v>
      </c>
      <c r="B258" s="25" t="s">
        <v>70</v>
      </c>
      <c r="C258" s="25" t="s">
        <v>69</v>
      </c>
      <c r="D258" s="25">
        <v>1</v>
      </c>
      <c r="E258" s="43"/>
      <c r="F258" s="27">
        <f t="shared" si="15"/>
        <v>0</v>
      </c>
      <c r="G258" s="5"/>
    </row>
    <row r="259" spans="1:8" s="6" customFormat="1" ht="15" x14ac:dyDescent="0.25">
      <c r="A259" s="25">
        <v>5.5</v>
      </c>
      <c r="B259" s="25" t="s">
        <v>71</v>
      </c>
      <c r="C259" s="25" t="s">
        <v>65</v>
      </c>
      <c r="D259" s="25">
        <v>1</v>
      </c>
      <c r="E259" s="43"/>
      <c r="F259" s="27">
        <f t="shared" si="15"/>
        <v>0</v>
      </c>
      <c r="G259" s="5"/>
    </row>
    <row r="260" spans="1:8" s="6" customFormat="1" ht="26.4" x14ac:dyDescent="0.25">
      <c r="A260" s="25">
        <v>5.6</v>
      </c>
      <c r="B260" s="25" t="s">
        <v>72</v>
      </c>
      <c r="C260" s="25" t="s">
        <v>73</v>
      </c>
      <c r="D260" s="25">
        <v>1</v>
      </c>
      <c r="E260" s="43"/>
      <c r="F260" s="27">
        <f>+D260*E260</f>
        <v>0</v>
      </c>
      <c r="G260" s="5"/>
    </row>
    <row r="261" spans="1:8" s="6" customFormat="1" ht="26.4" x14ac:dyDescent="0.25">
      <c r="A261" s="25">
        <v>5.7</v>
      </c>
      <c r="B261" s="25" t="s">
        <v>74</v>
      </c>
      <c r="C261" s="25" t="s">
        <v>75</v>
      </c>
      <c r="D261" s="25">
        <v>2</v>
      </c>
      <c r="E261" s="43"/>
      <c r="F261" s="27">
        <f>+D261*E261</f>
        <v>0</v>
      </c>
      <c r="G261" s="5"/>
    </row>
    <row r="262" spans="1:8" s="6" customFormat="1" ht="15" x14ac:dyDescent="0.25">
      <c r="A262" s="25"/>
      <c r="B262" s="18" t="s">
        <v>76</v>
      </c>
      <c r="C262" s="31"/>
      <c r="D262" s="31"/>
      <c r="E262" s="31"/>
      <c r="F262" s="32">
        <f>SUM(F255:F261)</f>
        <v>0</v>
      </c>
      <c r="G262" s="5"/>
    </row>
    <row r="263" spans="1:8" x14ac:dyDescent="0.3">
      <c r="A263" s="109" t="s">
        <v>20</v>
      </c>
      <c r="B263" s="109"/>
      <c r="C263" s="33"/>
      <c r="D263" s="33"/>
      <c r="E263" s="33"/>
      <c r="F263" s="34">
        <f>+F7+F12+F27+F253+F262+F242</f>
        <v>0</v>
      </c>
    </row>
    <row r="264" spans="1:8" s="8" customFormat="1" ht="15" x14ac:dyDescent="0.25">
      <c r="A264" s="37"/>
      <c r="B264" s="38" t="s">
        <v>21</v>
      </c>
      <c r="C264" s="38"/>
      <c r="D264" s="38"/>
      <c r="E264" s="38"/>
      <c r="F264" s="39"/>
      <c r="G264" s="7"/>
    </row>
    <row r="265" spans="1:8" s="8" customFormat="1" ht="15" x14ac:dyDescent="0.25">
      <c r="A265" s="35"/>
      <c r="B265" s="36"/>
      <c r="C265" s="36"/>
      <c r="D265" s="36"/>
      <c r="E265" s="36"/>
      <c r="F265" s="36"/>
      <c r="G265" s="7"/>
      <c r="H265" s="9"/>
    </row>
    <row r="267" spans="1:8" x14ac:dyDescent="0.3">
      <c r="A267" s="54" t="s">
        <v>0</v>
      </c>
      <c r="B267" s="55" t="s">
        <v>58</v>
      </c>
      <c r="C267" s="54" t="s">
        <v>59</v>
      </c>
      <c r="D267" s="54" t="s">
        <v>60</v>
      </c>
    </row>
    <row r="268" spans="1:8" x14ac:dyDescent="0.3">
      <c r="A268" s="57">
        <v>1</v>
      </c>
      <c r="B268" s="74" t="str">
        <f>+B4</f>
        <v>Travaux preliminaires</v>
      </c>
      <c r="C268" s="59">
        <f>+F7</f>
        <v>0</v>
      </c>
      <c r="D268" s="60" t="e">
        <f>+C268/$C$274</f>
        <v>#DIV/0!</v>
      </c>
    </row>
    <row r="269" spans="1:8" x14ac:dyDescent="0.3">
      <c r="A269" s="57">
        <v>2</v>
      </c>
      <c r="B269" s="61" t="str">
        <f>+B8</f>
        <v>Reseau de refoulement</v>
      </c>
      <c r="C269" s="59">
        <f>+F12</f>
        <v>0</v>
      </c>
      <c r="D269" s="60" t="e">
        <f>+C269/$C$274</f>
        <v>#DIV/0!</v>
      </c>
    </row>
    <row r="270" spans="1:8" x14ac:dyDescent="0.3">
      <c r="A270" s="57">
        <v>3</v>
      </c>
      <c r="B270" s="61" t="str">
        <f>+B13</f>
        <v>Réseau de distribution</v>
      </c>
      <c r="C270" s="59">
        <f>+F27</f>
        <v>0</v>
      </c>
      <c r="D270" s="60" t="e">
        <f t="shared" ref="D270:D274" si="16">+C270/$C$274</f>
        <v>#DIV/0!</v>
      </c>
    </row>
    <row r="271" spans="1:8" ht="27" x14ac:dyDescent="0.3">
      <c r="A271" s="57">
        <v>4</v>
      </c>
      <c r="B271" s="61" t="str">
        <f>+B28</f>
        <v>Infrastructures d'accompagnement et champs solaire</v>
      </c>
      <c r="C271" s="59">
        <f>+F242</f>
        <v>0</v>
      </c>
      <c r="D271" s="60" t="e">
        <f t="shared" si="16"/>
        <v>#DIV/0!</v>
      </c>
    </row>
    <row r="272" spans="1:8" x14ac:dyDescent="0.3">
      <c r="A272" s="57">
        <v>5</v>
      </c>
      <c r="B272" s="61" t="str">
        <f>+B243</f>
        <v>Clôture et Annexe</v>
      </c>
      <c r="C272" s="59">
        <f>+F253</f>
        <v>0</v>
      </c>
      <c r="D272" s="60" t="e">
        <f t="shared" si="16"/>
        <v>#DIV/0!</v>
      </c>
    </row>
    <row r="273" spans="1:4" x14ac:dyDescent="0.3">
      <c r="A273" s="57">
        <v>6</v>
      </c>
      <c r="B273" s="62" t="str">
        <f>+B254</f>
        <v>Mise en œuvre du PGES</v>
      </c>
      <c r="C273" s="59">
        <f>+F262</f>
        <v>0</v>
      </c>
      <c r="D273" s="60" t="e">
        <f t="shared" si="16"/>
        <v>#DIV/0!</v>
      </c>
    </row>
    <row r="274" spans="1:4" x14ac:dyDescent="0.3">
      <c r="A274" s="57"/>
      <c r="B274" s="63" t="s">
        <v>63</v>
      </c>
      <c r="C274" s="64">
        <f>SUM(C268:C273)</f>
        <v>0</v>
      </c>
      <c r="D274" s="65" t="e">
        <f t="shared" si="16"/>
        <v>#DIV/0!</v>
      </c>
    </row>
  </sheetData>
  <mergeCells count="11">
    <mergeCell ref="A263:B263"/>
    <mergeCell ref="A1:F1"/>
    <mergeCell ref="A2:A3"/>
    <mergeCell ref="B2:B3"/>
    <mergeCell ref="C2:C3"/>
    <mergeCell ref="D2:D3"/>
    <mergeCell ref="B29:F29"/>
    <mergeCell ref="B83:F83"/>
    <mergeCell ref="B137:F137"/>
    <mergeCell ref="B191:F191"/>
    <mergeCell ref="B230:F2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H274"/>
  <sheetViews>
    <sheetView topLeftCell="A267" workbookViewId="0">
      <selection activeCell="A266" sqref="A266:XFD266"/>
    </sheetView>
  </sheetViews>
  <sheetFormatPr baseColWidth="10" defaultColWidth="11.44140625" defaultRowHeight="14.4" x14ac:dyDescent="0.3"/>
  <cols>
    <col min="1" max="1" width="5.44140625" style="35" customWidth="1"/>
    <col min="2" max="2" width="40.5546875" style="40" customWidth="1"/>
    <col min="3" max="3" width="12" style="35" bestFit="1" customWidth="1"/>
    <col min="4" max="4" width="10.44140625" style="35" bestFit="1" customWidth="1"/>
    <col min="5" max="5" width="13.44140625" style="35" customWidth="1"/>
    <col min="6" max="6" width="20" style="35" bestFit="1" customWidth="1"/>
    <col min="7" max="7" width="13.44140625" style="3" bestFit="1" customWidth="1"/>
    <col min="8" max="8" width="12.88671875" bestFit="1" customWidth="1"/>
  </cols>
  <sheetData>
    <row r="1" spans="1:7" s="2" customFormat="1" x14ac:dyDescent="0.3">
      <c r="A1" s="110" t="s">
        <v>53</v>
      </c>
      <c r="B1" s="110"/>
      <c r="C1" s="110"/>
      <c r="D1" s="110"/>
      <c r="E1" s="110"/>
      <c r="F1" s="110"/>
      <c r="G1" s="1"/>
    </row>
    <row r="2" spans="1:7" x14ac:dyDescent="0.3">
      <c r="A2" s="111" t="s">
        <v>0</v>
      </c>
      <c r="B2" s="112" t="s">
        <v>1</v>
      </c>
      <c r="C2" s="111" t="s">
        <v>2</v>
      </c>
      <c r="D2" s="111" t="s">
        <v>3</v>
      </c>
      <c r="E2" s="67" t="s">
        <v>4</v>
      </c>
      <c r="F2" s="67" t="s">
        <v>5</v>
      </c>
    </row>
    <row r="3" spans="1:7" x14ac:dyDescent="0.3">
      <c r="A3" s="111"/>
      <c r="B3" s="112"/>
      <c r="C3" s="111"/>
      <c r="D3" s="111"/>
      <c r="E3" s="67" t="s">
        <v>25</v>
      </c>
      <c r="F3" s="67" t="s">
        <v>25</v>
      </c>
    </row>
    <row r="4" spans="1:7" x14ac:dyDescent="0.3">
      <c r="A4" s="14" t="s">
        <v>6</v>
      </c>
      <c r="B4" s="50" t="s">
        <v>61</v>
      </c>
      <c r="C4" s="14"/>
      <c r="D4" s="14"/>
      <c r="E4" s="14"/>
      <c r="F4" s="14"/>
    </row>
    <row r="5" spans="1:7" x14ac:dyDescent="0.3">
      <c r="A5" s="15">
        <v>1.1000000000000001</v>
      </c>
      <c r="B5" s="51" t="s">
        <v>26</v>
      </c>
      <c r="C5" s="15" t="s">
        <v>7</v>
      </c>
      <c r="D5" s="15">
        <v>1</v>
      </c>
      <c r="E5" s="16"/>
      <c r="F5" s="16">
        <f>+D5*E5</f>
        <v>0</v>
      </c>
    </row>
    <row r="6" spans="1:7" ht="52.8" x14ac:dyDescent="0.3">
      <c r="A6" s="15">
        <v>1.2</v>
      </c>
      <c r="B6" s="52" t="s">
        <v>27</v>
      </c>
      <c r="C6" s="15" t="s">
        <v>28</v>
      </c>
      <c r="D6" s="15">
        <v>2</v>
      </c>
      <c r="E6" s="16"/>
      <c r="F6" s="16">
        <f>+D6*E6</f>
        <v>0</v>
      </c>
    </row>
    <row r="7" spans="1:7" x14ac:dyDescent="0.3">
      <c r="A7" s="17"/>
      <c r="B7" s="18" t="s">
        <v>8</v>
      </c>
      <c r="C7" s="17"/>
      <c r="D7" s="17"/>
      <c r="E7" s="17"/>
      <c r="F7" s="19">
        <f>SUM(F5:F6)</f>
        <v>0</v>
      </c>
    </row>
    <row r="8" spans="1:7" x14ac:dyDescent="0.3">
      <c r="A8" s="14" t="s">
        <v>9</v>
      </c>
      <c r="B8" s="20" t="s">
        <v>244</v>
      </c>
      <c r="C8" s="21"/>
      <c r="D8" s="21"/>
      <c r="E8" s="21"/>
      <c r="F8" s="21"/>
    </row>
    <row r="9" spans="1:7" ht="66" x14ac:dyDescent="0.3">
      <c r="A9" s="22">
        <v>2.1</v>
      </c>
      <c r="B9" s="52" t="s">
        <v>39</v>
      </c>
      <c r="C9" s="22" t="s">
        <v>13</v>
      </c>
      <c r="D9" s="22">
        <f>240+175</f>
        <v>415</v>
      </c>
      <c r="E9" s="24"/>
      <c r="F9" s="16">
        <f t="shared" ref="F9:F11" si="0">+D9*E9</f>
        <v>0</v>
      </c>
    </row>
    <row r="10" spans="1:7" ht="39.6" x14ac:dyDescent="0.3">
      <c r="A10" s="22">
        <v>2.2000000000000002</v>
      </c>
      <c r="B10" s="23" t="s">
        <v>36</v>
      </c>
      <c r="C10" s="22" t="s">
        <v>14</v>
      </c>
      <c r="D10" s="22">
        <f>240+175</f>
        <v>415</v>
      </c>
      <c r="E10" s="24"/>
      <c r="F10" s="16">
        <f t="shared" si="0"/>
        <v>0</v>
      </c>
    </row>
    <row r="11" spans="1:7" s="2" customFormat="1" ht="55.2" x14ac:dyDescent="0.3">
      <c r="A11" s="22">
        <v>2.2999999999999998</v>
      </c>
      <c r="B11" s="25" t="s">
        <v>34</v>
      </c>
      <c r="C11" s="25" t="s">
        <v>23</v>
      </c>
      <c r="D11" s="56">
        <v>1</v>
      </c>
      <c r="E11" s="24"/>
      <c r="F11" s="16">
        <f t="shared" si="0"/>
        <v>0</v>
      </c>
      <c r="G11" s="3"/>
    </row>
    <row r="12" spans="1:7" x14ac:dyDescent="0.3">
      <c r="A12" s="56"/>
      <c r="B12" s="28" t="s">
        <v>10</v>
      </c>
      <c r="C12" s="17"/>
      <c r="D12" s="17"/>
      <c r="E12" s="17"/>
      <c r="F12" s="19">
        <f>SUM(F9:F11)</f>
        <v>0</v>
      </c>
    </row>
    <row r="13" spans="1:7" x14ac:dyDescent="0.3">
      <c r="A13" s="29" t="s">
        <v>11</v>
      </c>
      <c r="B13" s="18" t="s">
        <v>16</v>
      </c>
      <c r="C13" s="30"/>
      <c r="D13" s="30"/>
      <c r="E13" s="30"/>
      <c r="F13" s="21"/>
    </row>
    <row r="14" spans="1:7" s="2" customFormat="1" ht="66" x14ac:dyDescent="0.3">
      <c r="A14" s="25">
        <v>3.1</v>
      </c>
      <c r="B14" s="26" t="s">
        <v>37</v>
      </c>
      <c r="C14" s="41" t="s">
        <v>13</v>
      </c>
      <c r="D14" s="25">
        <f>+D15+D16+D17</f>
        <v>880</v>
      </c>
      <c r="E14" s="25"/>
      <c r="F14" s="27">
        <f t="shared" ref="F14:F20" si="1">+D14*E14</f>
        <v>0</v>
      </c>
      <c r="G14" s="1"/>
    </row>
    <row r="15" spans="1:7" s="2" customFormat="1" ht="66" x14ac:dyDescent="0.3">
      <c r="A15" s="42">
        <v>3.2</v>
      </c>
      <c r="B15" s="26" t="s">
        <v>40</v>
      </c>
      <c r="C15" s="25" t="s">
        <v>13</v>
      </c>
      <c r="D15" s="25">
        <v>100</v>
      </c>
      <c r="E15" s="43"/>
      <c r="F15" s="27">
        <f t="shared" si="1"/>
        <v>0</v>
      </c>
      <c r="G15" s="1"/>
    </row>
    <row r="16" spans="1:7" s="2" customFormat="1" ht="66" x14ac:dyDescent="0.3">
      <c r="A16" s="25">
        <v>3.3</v>
      </c>
      <c r="B16" s="26" t="s">
        <v>38</v>
      </c>
      <c r="C16" s="25" t="s">
        <v>13</v>
      </c>
      <c r="D16" s="25">
        <v>180</v>
      </c>
      <c r="E16" s="43"/>
      <c r="F16" s="27">
        <f t="shared" si="1"/>
        <v>0</v>
      </c>
      <c r="G16" s="1"/>
    </row>
    <row r="17" spans="1:8" s="2" customFormat="1" ht="66" x14ac:dyDescent="0.3">
      <c r="A17" s="42">
        <v>3.4</v>
      </c>
      <c r="B17" s="26" t="s">
        <v>41</v>
      </c>
      <c r="C17" s="25" t="s">
        <v>13</v>
      </c>
      <c r="D17" s="25">
        <v>600</v>
      </c>
      <c r="E17" s="43"/>
      <c r="F17" s="27">
        <f t="shared" si="1"/>
        <v>0</v>
      </c>
      <c r="G17" s="1"/>
    </row>
    <row r="18" spans="1:8" s="2" customFormat="1" ht="26.4" x14ac:dyDescent="0.3">
      <c r="A18" s="25">
        <v>3.5</v>
      </c>
      <c r="B18" s="26" t="s">
        <v>42</v>
      </c>
      <c r="C18" s="25" t="s">
        <v>12</v>
      </c>
      <c r="D18" s="25">
        <v>1</v>
      </c>
      <c r="E18" s="43"/>
      <c r="F18" s="27">
        <f t="shared" si="1"/>
        <v>0</v>
      </c>
      <c r="G18" s="1"/>
    </row>
    <row r="19" spans="1:8" s="2" customFormat="1" ht="26.4" x14ac:dyDescent="0.3">
      <c r="A19" s="42">
        <v>3.6</v>
      </c>
      <c r="B19" s="26" t="s">
        <v>43</v>
      </c>
      <c r="C19" s="25" t="s">
        <v>12</v>
      </c>
      <c r="D19" s="25">
        <v>1</v>
      </c>
      <c r="E19" s="43"/>
      <c r="F19" s="27">
        <f t="shared" si="1"/>
        <v>0</v>
      </c>
      <c r="G19" s="1"/>
    </row>
    <row r="20" spans="1:8" s="2" customFormat="1" ht="26.4" x14ac:dyDescent="0.3">
      <c r="A20" s="25">
        <v>3.7</v>
      </c>
      <c r="B20" s="26" t="s">
        <v>44</v>
      </c>
      <c r="C20" s="25" t="s">
        <v>12</v>
      </c>
      <c r="D20" s="25">
        <v>20</v>
      </c>
      <c r="E20" s="43"/>
      <c r="F20" s="27">
        <f t="shared" si="1"/>
        <v>0</v>
      </c>
      <c r="G20" s="1"/>
    </row>
    <row r="21" spans="1:8" s="2" customFormat="1" ht="39.6" x14ac:dyDescent="0.3">
      <c r="A21" s="42">
        <v>3.8</v>
      </c>
      <c r="B21" s="26" t="s">
        <v>45</v>
      </c>
      <c r="C21" s="25" t="s">
        <v>23</v>
      </c>
      <c r="D21" s="25"/>
      <c r="E21" s="43"/>
      <c r="F21" s="27">
        <f t="shared" ref="F21:F26" si="2">+D21*E21</f>
        <v>0</v>
      </c>
      <c r="G21" s="1"/>
      <c r="H21" s="44"/>
    </row>
    <row r="22" spans="1:8" s="2" customFormat="1" ht="39.6" x14ac:dyDescent="0.3">
      <c r="A22" s="25">
        <v>3.9</v>
      </c>
      <c r="B22" s="26" t="s">
        <v>46</v>
      </c>
      <c r="C22" s="25" t="s">
        <v>23</v>
      </c>
      <c r="D22" s="25">
        <v>0</v>
      </c>
      <c r="E22" s="43"/>
      <c r="F22" s="27">
        <f t="shared" si="2"/>
        <v>0</v>
      </c>
      <c r="G22" s="1"/>
    </row>
    <row r="23" spans="1:8" s="2" customFormat="1" ht="68.400000000000006" x14ac:dyDescent="0.3">
      <c r="A23" s="49">
        <v>3.1</v>
      </c>
      <c r="B23" s="26" t="s">
        <v>47</v>
      </c>
      <c r="C23" s="25" t="s">
        <v>23</v>
      </c>
      <c r="D23" s="25">
        <v>12</v>
      </c>
      <c r="E23" s="43"/>
      <c r="F23" s="27">
        <f t="shared" si="2"/>
        <v>0</v>
      </c>
      <c r="G23" s="1"/>
    </row>
    <row r="24" spans="1:8" s="2" customFormat="1" ht="26.4" x14ac:dyDescent="0.3">
      <c r="A24" s="25">
        <v>3.11</v>
      </c>
      <c r="B24" s="26" t="s">
        <v>52</v>
      </c>
      <c r="C24" s="25" t="s">
        <v>51</v>
      </c>
      <c r="D24" s="26">
        <v>24</v>
      </c>
      <c r="E24" s="43"/>
      <c r="F24" s="27">
        <f t="shared" si="2"/>
        <v>0</v>
      </c>
      <c r="G24" s="1"/>
    </row>
    <row r="25" spans="1:8" s="2" customFormat="1" ht="26.4" x14ac:dyDescent="0.3">
      <c r="A25" s="25">
        <v>3.12</v>
      </c>
      <c r="B25" s="26" t="s">
        <v>49</v>
      </c>
      <c r="C25" s="12" t="s">
        <v>12</v>
      </c>
      <c r="D25" s="12">
        <f>2*D24</f>
        <v>48</v>
      </c>
      <c r="E25" s="43"/>
      <c r="F25" s="27">
        <f t="shared" si="2"/>
        <v>0</v>
      </c>
      <c r="G25" s="1"/>
    </row>
    <row r="26" spans="1:8" s="2" customFormat="1" x14ac:dyDescent="0.3">
      <c r="A26" s="25">
        <v>3.13</v>
      </c>
      <c r="B26" s="26" t="s">
        <v>50</v>
      </c>
      <c r="C26" s="12" t="s">
        <v>12</v>
      </c>
      <c r="D26" s="12">
        <v>10</v>
      </c>
      <c r="E26" s="43"/>
      <c r="F26" s="27">
        <f t="shared" si="2"/>
        <v>0</v>
      </c>
      <c r="G26" s="1"/>
    </row>
    <row r="27" spans="1:8" x14ac:dyDescent="0.3">
      <c r="A27" s="17"/>
      <c r="B27" s="18" t="s">
        <v>56</v>
      </c>
      <c r="C27" s="31"/>
      <c r="D27" s="31"/>
      <c r="E27" s="31"/>
      <c r="F27" s="32">
        <f>SUM(F14:F26)</f>
        <v>0</v>
      </c>
    </row>
    <row r="28" spans="1:8" ht="26.4" x14ac:dyDescent="0.3">
      <c r="A28" s="29" t="s">
        <v>15</v>
      </c>
      <c r="B28" s="18" t="s">
        <v>247</v>
      </c>
      <c r="C28" s="18"/>
      <c r="D28" s="18"/>
      <c r="E28" s="18"/>
      <c r="F28" s="18"/>
      <c r="G28" s="53"/>
    </row>
    <row r="29" spans="1:8" s="35" customFormat="1" ht="13.2" x14ac:dyDescent="0.25">
      <c r="A29" s="75" t="s">
        <v>242</v>
      </c>
      <c r="B29" s="113" t="s">
        <v>78</v>
      </c>
      <c r="C29" s="113"/>
      <c r="D29" s="113"/>
      <c r="E29" s="113"/>
      <c r="F29" s="113"/>
    </row>
    <row r="30" spans="1:8" s="35" customFormat="1" ht="13.2" x14ac:dyDescent="0.25">
      <c r="A30" s="76" t="s">
        <v>79</v>
      </c>
      <c r="B30" s="20" t="s">
        <v>80</v>
      </c>
      <c r="C30" s="76" t="s">
        <v>81</v>
      </c>
      <c r="D30" s="77" t="s">
        <v>82</v>
      </c>
      <c r="E30" s="76" t="s">
        <v>83</v>
      </c>
      <c r="F30" s="76" t="s">
        <v>84</v>
      </c>
    </row>
    <row r="31" spans="1:8" s="35" customFormat="1" ht="13.2" x14ac:dyDescent="0.25">
      <c r="A31" s="76" t="s">
        <v>85</v>
      </c>
      <c r="B31" s="20" t="s">
        <v>86</v>
      </c>
      <c r="C31" s="22" t="s">
        <v>87</v>
      </c>
      <c r="D31" s="78" t="s">
        <v>88</v>
      </c>
      <c r="E31" s="22" t="s">
        <v>87</v>
      </c>
      <c r="F31" s="76" t="s">
        <v>87</v>
      </c>
    </row>
    <row r="32" spans="1:8" s="35" customFormat="1" ht="15.6" x14ac:dyDescent="0.25">
      <c r="A32" s="76" t="s">
        <v>89</v>
      </c>
      <c r="B32" s="23" t="s">
        <v>90</v>
      </c>
      <c r="C32" s="22" t="s">
        <v>248</v>
      </c>
      <c r="D32" s="79">
        <f>(10.3+2)*(7.3+2)</f>
        <v>114.39000000000001</v>
      </c>
      <c r="E32" s="80"/>
      <c r="F32" s="81">
        <f>D32*E32</f>
        <v>0</v>
      </c>
    </row>
    <row r="33" spans="1:6" s="35" customFormat="1" ht="15.6" x14ac:dyDescent="0.25">
      <c r="A33" s="76" t="s">
        <v>91</v>
      </c>
      <c r="B33" s="23" t="s">
        <v>92</v>
      </c>
      <c r="C33" s="22" t="s">
        <v>249</v>
      </c>
      <c r="D33" s="79">
        <f>(34.6*0.4*0.6)*1.1</f>
        <v>9.1344000000000012</v>
      </c>
      <c r="E33" s="80"/>
      <c r="F33" s="81">
        <f>D33*E33</f>
        <v>0</v>
      </c>
    </row>
    <row r="34" spans="1:6" s="35" customFormat="1" ht="15.6" x14ac:dyDescent="0.25">
      <c r="A34" s="76" t="s">
        <v>93</v>
      </c>
      <c r="B34" s="23" t="s">
        <v>94</v>
      </c>
      <c r="C34" s="22" t="s">
        <v>249</v>
      </c>
      <c r="D34" s="79">
        <f>(1.2*1.2*1.2)*12*1.1</f>
        <v>22.809600000000003</v>
      </c>
      <c r="E34" s="80"/>
      <c r="F34" s="81">
        <f>D34*E34</f>
        <v>0</v>
      </c>
    </row>
    <row r="35" spans="1:6" s="35" customFormat="1" ht="15.6" x14ac:dyDescent="0.25">
      <c r="A35" s="76" t="s">
        <v>95</v>
      </c>
      <c r="B35" s="23" t="s">
        <v>96</v>
      </c>
      <c r="C35" s="22" t="s">
        <v>249</v>
      </c>
      <c r="D35" s="79">
        <f>+D34+D33</f>
        <v>31.944000000000003</v>
      </c>
      <c r="E35" s="80"/>
      <c r="F35" s="81">
        <f>D35*E35</f>
        <v>0</v>
      </c>
    </row>
    <row r="36" spans="1:6" s="35" customFormat="1" ht="15.6" x14ac:dyDescent="0.25">
      <c r="A36" s="76" t="s">
        <v>97</v>
      </c>
      <c r="B36" s="23" t="s">
        <v>98</v>
      </c>
      <c r="C36" s="22" t="s">
        <v>249</v>
      </c>
      <c r="D36" s="79">
        <f>((70*0.45)-D35*0.15)*1.1</f>
        <v>29.379240000000003</v>
      </c>
      <c r="E36" s="80"/>
      <c r="F36" s="81">
        <f>D36*E36</f>
        <v>0</v>
      </c>
    </row>
    <row r="37" spans="1:6" s="35" customFormat="1" ht="13.2" x14ac:dyDescent="0.25">
      <c r="A37" s="76" t="s">
        <v>88</v>
      </c>
      <c r="B37" s="76" t="s">
        <v>99</v>
      </c>
      <c r="C37" s="76" t="s">
        <v>88</v>
      </c>
      <c r="D37" s="77" t="s">
        <v>88</v>
      </c>
      <c r="E37" s="76"/>
      <c r="F37" s="82">
        <f>SUM(F32:F36)</f>
        <v>0</v>
      </c>
    </row>
    <row r="38" spans="1:6" s="35" customFormat="1" ht="13.2" x14ac:dyDescent="0.25">
      <c r="A38" s="76" t="s">
        <v>100</v>
      </c>
      <c r="B38" s="20" t="s">
        <v>101</v>
      </c>
      <c r="C38" s="76" t="s">
        <v>88</v>
      </c>
      <c r="D38" s="83" t="s">
        <v>88</v>
      </c>
      <c r="E38" s="76"/>
      <c r="F38" s="22" t="s">
        <v>87</v>
      </c>
    </row>
    <row r="39" spans="1:6" s="35" customFormat="1" ht="15.6" x14ac:dyDescent="0.25">
      <c r="A39" s="76" t="s">
        <v>102</v>
      </c>
      <c r="B39" s="23" t="s">
        <v>103</v>
      </c>
      <c r="C39" s="22" t="s">
        <v>249</v>
      </c>
      <c r="D39" s="79">
        <f>((0.4*0.05*34.6)+(1.2*1.2*0.05)*12)*1.1</f>
        <v>1.7116000000000002</v>
      </c>
      <c r="E39" s="80"/>
      <c r="F39" s="81">
        <f t="shared" ref="F39:F45" si="3">D39*E39</f>
        <v>0</v>
      </c>
    </row>
    <row r="40" spans="1:6" s="35" customFormat="1" ht="15.6" x14ac:dyDescent="0.25">
      <c r="A40" s="76" t="s">
        <v>104</v>
      </c>
      <c r="B40" s="84" t="s">
        <v>105</v>
      </c>
      <c r="C40" s="22" t="s">
        <v>249</v>
      </c>
      <c r="D40" s="79">
        <f>(1.2*1.2*0.25)*12*1.1</f>
        <v>4.7520000000000007</v>
      </c>
      <c r="E40" s="80"/>
      <c r="F40" s="81">
        <f t="shared" si="3"/>
        <v>0</v>
      </c>
    </row>
    <row r="41" spans="1:6" s="35" customFormat="1" ht="15.6" x14ac:dyDescent="0.25">
      <c r="A41" s="76" t="s">
        <v>106</v>
      </c>
      <c r="B41" s="23" t="s">
        <v>107</v>
      </c>
      <c r="C41" s="22" t="s">
        <v>249</v>
      </c>
      <c r="D41" s="79">
        <f>(0.2*0.2*1.5)*12*1</f>
        <v>0.7200000000000002</v>
      </c>
      <c r="E41" s="80"/>
      <c r="F41" s="81">
        <f t="shared" si="3"/>
        <v>0</v>
      </c>
    </row>
    <row r="42" spans="1:6" s="35" customFormat="1" ht="26.4" x14ac:dyDescent="0.25">
      <c r="A42" s="76" t="s">
        <v>108</v>
      </c>
      <c r="B42" s="23" t="s">
        <v>109</v>
      </c>
      <c r="C42" s="22" t="s">
        <v>248</v>
      </c>
      <c r="D42" s="79">
        <f>(34.6*1.05)*1.1</f>
        <v>39.963000000000008</v>
      </c>
      <c r="E42" s="80"/>
      <c r="F42" s="81">
        <f t="shared" si="3"/>
        <v>0</v>
      </c>
    </row>
    <row r="43" spans="1:6" s="35" customFormat="1" ht="15.6" x14ac:dyDescent="0.25">
      <c r="A43" s="76" t="s">
        <v>110</v>
      </c>
      <c r="B43" s="23" t="s">
        <v>111</v>
      </c>
      <c r="C43" s="22" t="s">
        <v>249</v>
      </c>
      <c r="D43" s="79">
        <f>(0.2*0.2*34.6)*1.1</f>
        <v>1.5224000000000004</v>
      </c>
      <c r="E43" s="80"/>
      <c r="F43" s="81">
        <f t="shared" si="3"/>
        <v>0</v>
      </c>
    </row>
    <row r="44" spans="1:6" s="35" customFormat="1" ht="15.6" x14ac:dyDescent="0.25">
      <c r="A44" s="76" t="s">
        <v>112</v>
      </c>
      <c r="B44" s="23" t="s">
        <v>113</v>
      </c>
      <c r="C44" s="22" t="s">
        <v>249</v>
      </c>
      <c r="D44" s="79">
        <f>(0.76*6*0.15)*1.1</f>
        <v>0.75240000000000007</v>
      </c>
      <c r="E44" s="80"/>
      <c r="F44" s="81">
        <f t="shared" si="3"/>
        <v>0</v>
      </c>
    </row>
    <row r="45" spans="1:6" s="35" customFormat="1" ht="26.4" x14ac:dyDescent="0.25">
      <c r="A45" s="76" t="s">
        <v>114</v>
      </c>
      <c r="B45" s="23" t="s">
        <v>115</v>
      </c>
      <c r="C45" s="22" t="s">
        <v>249</v>
      </c>
      <c r="D45" s="79">
        <f>70*0.12*1.1</f>
        <v>9.240000000000002</v>
      </c>
      <c r="E45" s="80"/>
      <c r="F45" s="81">
        <f t="shared" si="3"/>
        <v>0</v>
      </c>
    </row>
    <row r="46" spans="1:6" s="35" customFormat="1" ht="13.2" x14ac:dyDescent="0.25">
      <c r="A46" s="76" t="s">
        <v>88</v>
      </c>
      <c r="B46" s="76" t="s">
        <v>116</v>
      </c>
      <c r="C46" s="76" t="s">
        <v>88</v>
      </c>
      <c r="D46" s="77" t="s">
        <v>88</v>
      </c>
      <c r="E46" s="76"/>
      <c r="F46" s="82">
        <f>SUM(F39:F45)</f>
        <v>0</v>
      </c>
    </row>
    <row r="47" spans="1:6" s="35" customFormat="1" ht="13.2" x14ac:dyDescent="0.25">
      <c r="A47" s="76" t="s">
        <v>117</v>
      </c>
      <c r="B47" s="20" t="s">
        <v>118</v>
      </c>
      <c r="C47" s="22" t="s">
        <v>87</v>
      </c>
      <c r="D47" s="78" t="s">
        <v>88</v>
      </c>
      <c r="E47" s="22"/>
      <c r="F47" s="22" t="s">
        <v>87</v>
      </c>
    </row>
    <row r="48" spans="1:6" s="35" customFormat="1" ht="15.6" x14ac:dyDescent="0.25">
      <c r="A48" s="76" t="s">
        <v>119</v>
      </c>
      <c r="B48" s="23" t="s">
        <v>120</v>
      </c>
      <c r="C48" s="22" t="s">
        <v>248</v>
      </c>
      <c r="D48" s="85">
        <f>(4.4*34.6)*1.1</f>
        <v>167.46400000000003</v>
      </c>
      <c r="E48" s="80"/>
      <c r="F48" s="81">
        <f t="shared" ref="F48:F54" si="4">D48*E48</f>
        <v>0</v>
      </c>
    </row>
    <row r="49" spans="1:6" s="35" customFormat="1" ht="15.6" x14ac:dyDescent="0.25">
      <c r="A49" s="76" t="s">
        <v>121</v>
      </c>
      <c r="B49" s="84" t="s">
        <v>122</v>
      </c>
      <c r="C49" s="22" t="s">
        <v>249</v>
      </c>
      <c r="D49" s="79">
        <f>(0.15*0.15*4)*12*1.1</f>
        <v>1.1880000000000002</v>
      </c>
      <c r="E49" s="80"/>
      <c r="F49" s="81">
        <f t="shared" si="4"/>
        <v>0</v>
      </c>
    </row>
    <row r="50" spans="1:6" s="35" customFormat="1" ht="15.6" x14ac:dyDescent="0.25">
      <c r="A50" s="76" t="s">
        <v>123</v>
      </c>
      <c r="B50" s="23" t="s">
        <v>124</v>
      </c>
      <c r="C50" s="22" t="s">
        <v>249</v>
      </c>
      <c r="D50" s="79">
        <f>(34.6*0.15*0.1)*1.1</f>
        <v>0.57090000000000007</v>
      </c>
      <c r="E50" s="80"/>
      <c r="F50" s="81">
        <f t="shared" si="4"/>
        <v>0</v>
      </c>
    </row>
    <row r="51" spans="1:6" s="35" customFormat="1" ht="15.6" x14ac:dyDescent="0.25">
      <c r="A51" s="76" t="s">
        <v>125</v>
      </c>
      <c r="B51" s="23" t="s">
        <v>126</v>
      </c>
      <c r="C51" s="22" t="s">
        <v>249</v>
      </c>
      <c r="D51" s="79">
        <f>(34.6*0.15*0.2)*1.1</f>
        <v>1.1418000000000001</v>
      </c>
      <c r="E51" s="80"/>
      <c r="F51" s="81">
        <f t="shared" si="4"/>
        <v>0</v>
      </c>
    </row>
    <row r="52" spans="1:6" s="35" customFormat="1" ht="15.6" x14ac:dyDescent="0.25">
      <c r="A52" s="76" t="s">
        <v>127</v>
      </c>
      <c r="B52" s="23" t="s">
        <v>124</v>
      </c>
      <c r="C52" s="22" t="s">
        <v>249</v>
      </c>
      <c r="D52" s="79">
        <f>(34.6*0.15*0.1)*1.1</f>
        <v>0.57090000000000007</v>
      </c>
      <c r="E52" s="80"/>
      <c r="F52" s="81">
        <f t="shared" si="4"/>
        <v>0</v>
      </c>
    </row>
    <row r="53" spans="1:6" s="35" customFormat="1" ht="15.6" x14ac:dyDescent="0.25">
      <c r="A53" s="76" t="s">
        <v>128</v>
      </c>
      <c r="B53" s="23" t="s">
        <v>129</v>
      </c>
      <c r="C53" s="22" t="s">
        <v>249</v>
      </c>
      <c r="D53" s="79">
        <f>(34.6*0.15*0.2)*1.1</f>
        <v>1.1418000000000001</v>
      </c>
      <c r="E53" s="80"/>
      <c r="F53" s="81">
        <f t="shared" si="4"/>
        <v>0</v>
      </c>
    </row>
    <row r="54" spans="1:6" s="35" customFormat="1" ht="15.6" x14ac:dyDescent="0.25">
      <c r="A54" s="76" t="s">
        <v>130</v>
      </c>
      <c r="B54" s="23" t="s">
        <v>131</v>
      </c>
      <c r="C54" s="22" t="s">
        <v>249</v>
      </c>
      <c r="D54" s="79">
        <f>(10.3*0.127)*1.1</f>
        <v>1.4389100000000001</v>
      </c>
      <c r="E54" s="80"/>
      <c r="F54" s="81">
        <f t="shared" si="4"/>
        <v>0</v>
      </c>
    </row>
    <row r="55" spans="1:6" s="35" customFormat="1" ht="13.2" x14ac:dyDescent="0.25">
      <c r="A55" s="76" t="s">
        <v>88</v>
      </c>
      <c r="B55" s="76" t="s">
        <v>132</v>
      </c>
      <c r="C55" s="76" t="s">
        <v>88</v>
      </c>
      <c r="D55" s="77" t="s">
        <v>88</v>
      </c>
      <c r="E55" s="76"/>
      <c r="F55" s="82">
        <f>SUM(F48:F53)</f>
        <v>0</v>
      </c>
    </row>
    <row r="56" spans="1:6" s="35" customFormat="1" ht="13.2" x14ac:dyDescent="0.25">
      <c r="A56" s="76" t="s">
        <v>133</v>
      </c>
      <c r="B56" s="20" t="s">
        <v>134</v>
      </c>
      <c r="C56" s="22" t="s">
        <v>87</v>
      </c>
      <c r="D56" s="78" t="s">
        <v>88</v>
      </c>
      <c r="E56" s="22"/>
      <c r="F56" s="22" t="s">
        <v>87</v>
      </c>
    </row>
    <row r="57" spans="1:6" s="35" customFormat="1" ht="26.4" x14ac:dyDescent="0.25">
      <c r="A57" s="76" t="s">
        <v>135</v>
      </c>
      <c r="B57" s="23" t="s">
        <v>136</v>
      </c>
      <c r="C57" s="22" t="s">
        <v>248</v>
      </c>
      <c r="D57" s="85">
        <f>(7.3*10.3)*1.1</f>
        <v>82.709000000000003</v>
      </c>
      <c r="E57" s="80"/>
      <c r="F57" s="81">
        <f>D57*E57</f>
        <v>0</v>
      </c>
    </row>
    <row r="58" spans="1:6" s="35" customFormat="1" ht="26.4" x14ac:dyDescent="0.25">
      <c r="A58" s="76" t="s">
        <v>137</v>
      </c>
      <c r="B58" s="23" t="s">
        <v>138</v>
      </c>
      <c r="C58" s="22" t="s">
        <v>13</v>
      </c>
      <c r="D58" s="85">
        <f>7.3*3*1.1</f>
        <v>24.09</v>
      </c>
      <c r="E58" s="80"/>
      <c r="F58" s="81">
        <f>D58*E58</f>
        <v>0</v>
      </c>
    </row>
    <row r="59" spans="1:6" s="35" customFormat="1" ht="26.4" x14ac:dyDescent="0.25">
      <c r="A59" s="76" t="s">
        <v>139</v>
      </c>
      <c r="B59" s="23" t="s">
        <v>140</v>
      </c>
      <c r="C59" s="22" t="s">
        <v>13</v>
      </c>
      <c r="D59" s="85">
        <f>10.3*7*1.1</f>
        <v>79.310000000000016</v>
      </c>
      <c r="E59" s="80"/>
      <c r="F59" s="81">
        <f>D59*E59</f>
        <v>0</v>
      </c>
    </row>
    <row r="60" spans="1:6" s="35" customFormat="1" ht="15.6" x14ac:dyDescent="0.25">
      <c r="A60" s="76" t="s">
        <v>141</v>
      </c>
      <c r="B60" s="23" t="s">
        <v>142</v>
      </c>
      <c r="C60" s="22" t="s">
        <v>248</v>
      </c>
      <c r="D60" s="85">
        <f>70*1.1</f>
        <v>77</v>
      </c>
      <c r="E60" s="80"/>
      <c r="F60" s="81">
        <f>D60*E60</f>
        <v>0</v>
      </c>
    </row>
    <row r="61" spans="1:6" s="35" customFormat="1" ht="13.2" x14ac:dyDescent="0.25">
      <c r="A61" s="76" t="s">
        <v>88</v>
      </c>
      <c r="B61" s="76" t="s">
        <v>143</v>
      </c>
      <c r="C61" s="76" t="s">
        <v>88</v>
      </c>
      <c r="D61" s="77" t="s">
        <v>88</v>
      </c>
      <c r="E61" s="76"/>
      <c r="F61" s="82">
        <f>SUM(F57:F60)</f>
        <v>0</v>
      </c>
    </row>
    <row r="62" spans="1:6" s="35" customFormat="1" ht="13.2" x14ac:dyDescent="0.25">
      <c r="A62" s="76" t="s">
        <v>144</v>
      </c>
      <c r="B62" s="20" t="s">
        <v>145</v>
      </c>
      <c r="C62" s="22" t="s">
        <v>87</v>
      </c>
      <c r="D62" s="78" t="s">
        <v>88</v>
      </c>
      <c r="E62" s="22"/>
      <c r="F62" s="22" t="s">
        <v>87</v>
      </c>
    </row>
    <row r="63" spans="1:6" s="35" customFormat="1" ht="26.4" x14ac:dyDescent="0.25">
      <c r="A63" s="76" t="s">
        <v>146</v>
      </c>
      <c r="B63" s="23" t="s">
        <v>147</v>
      </c>
      <c r="C63" s="22" t="s">
        <v>12</v>
      </c>
      <c r="D63" s="85">
        <v>2</v>
      </c>
      <c r="E63" s="80"/>
      <c r="F63" s="81">
        <f>D63*E63</f>
        <v>0</v>
      </c>
    </row>
    <row r="64" spans="1:6" s="35" customFormat="1" ht="26.4" x14ac:dyDescent="0.25">
      <c r="A64" s="76" t="s">
        <v>148</v>
      </c>
      <c r="B64" s="23" t="s">
        <v>149</v>
      </c>
      <c r="C64" s="22" t="s">
        <v>12</v>
      </c>
      <c r="D64" s="85">
        <v>8</v>
      </c>
      <c r="E64" s="80"/>
      <c r="F64" s="81">
        <f>D64*E64</f>
        <v>0</v>
      </c>
    </row>
    <row r="65" spans="1:6" s="35" customFormat="1" ht="13.2" x14ac:dyDescent="0.25">
      <c r="A65" s="76" t="s">
        <v>88</v>
      </c>
      <c r="B65" s="76" t="s">
        <v>150</v>
      </c>
      <c r="C65" s="76" t="s">
        <v>88</v>
      </c>
      <c r="D65" s="77" t="s">
        <v>88</v>
      </c>
      <c r="E65" s="76"/>
      <c r="F65" s="82">
        <f>SUM(F63:F64)</f>
        <v>0</v>
      </c>
    </row>
    <row r="66" spans="1:6" s="35" customFormat="1" ht="13.2" x14ac:dyDescent="0.25">
      <c r="A66" s="76" t="s">
        <v>151</v>
      </c>
      <c r="B66" s="20" t="s">
        <v>152</v>
      </c>
      <c r="C66" s="22" t="s">
        <v>87</v>
      </c>
      <c r="D66" s="79" t="s">
        <v>87</v>
      </c>
      <c r="E66" s="22"/>
      <c r="F66" s="22" t="s">
        <v>87</v>
      </c>
    </row>
    <row r="67" spans="1:6" s="35" customFormat="1" ht="26.4" x14ac:dyDescent="0.25">
      <c r="A67" s="76" t="s">
        <v>153</v>
      </c>
      <c r="B67" s="23" t="s">
        <v>154</v>
      </c>
      <c r="C67" s="22" t="s">
        <v>248</v>
      </c>
      <c r="D67" s="85">
        <f>(34*3.65)*1.1</f>
        <v>136.51</v>
      </c>
      <c r="E67" s="80"/>
      <c r="F67" s="81">
        <f t="shared" ref="F67:F72" si="5">D67*E67</f>
        <v>0</v>
      </c>
    </row>
    <row r="68" spans="1:6" s="35" customFormat="1" ht="26.4" x14ac:dyDescent="0.25">
      <c r="A68" s="76" t="s">
        <v>155</v>
      </c>
      <c r="B68" s="23" t="s">
        <v>156</v>
      </c>
      <c r="C68" s="22" t="s">
        <v>248</v>
      </c>
      <c r="D68" s="85">
        <f>(34.6*4.85)*1.1</f>
        <v>184.59100000000001</v>
      </c>
      <c r="E68" s="80"/>
      <c r="F68" s="81">
        <f t="shared" si="5"/>
        <v>0</v>
      </c>
    </row>
    <row r="69" spans="1:6" s="35" customFormat="1" ht="15.6" x14ac:dyDescent="0.25">
      <c r="A69" s="76" t="s">
        <v>157</v>
      </c>
      <c r="B69" s="23" t="s">
        <v>158</v>
      </c>
      <c r="C69" s="22" t="s">
        <v>248</v>
      </c>
      <c r="D69" s="85">
        <f>+D67</f>
        <v>136.51</v>
      </c>
      <c r="E69" s="80"/>
      <c r="F69" s="81">
        <f t="shared" si="5"/>
        <v>0</v>
      </c>
    </row>
    <row r="70" spans="1:6" s="35" customFormat="1" ht="15.6" x14ac:dyDescent="0.25">
      <c r="A70" s="76" t="s">
        <v>159</v>
      </c>
      <c r="B70" s="23" t="s">
        <v>160</v>
      </c>
      <c r="C70" s="22" t="s">
        <v>248</v>
      </c>
      <c r="D70" s="85">
        <f>+D68</f>
        <v>184.59100000000001</v>
      </c>
      <c r="E70" s="80"/>
      <c r="F70" s="81">
        <f t="shared" si="5"/>
        <v>0</v>
      </c>
    </row>
    <row r="71" spans="1:6" s="35" customFormat="1" ht="15.6" x14ac:dyDescent="0.25">
      <c r="A71" s="76" t="s">
        <v>161</v>
      </c>
      <c r="B71" s="23" t="s">
        <v>162</v>
      </c>
      <c r="C71" s="22" t="s">
        <v>248</v>
      </c>
      <c r="D71" s="85">
        <f>70*1.1</f>
        <v>77</v>
      </c>
      <c r="E71" s="80"/>
      <c r="F71" s="81">
        <f t="shared" si="5"/>
        <v>0</v>
      </c>
    </row>
    <row r="72" spans="1:6" s="35" customFormat="1" ht="26.4" x14ac:dyDescent="0.25">
      <c r="A72" s="76" t="s">
        <v>163</v>
      </c>
      <c r="B72" s="23" t="s">
        <v>164</v>
      </c>
      <c r="C72" s="22" t="s">
        <v>248</v>
      </c>
      <c r="D72" s="85">
        <f>70*1.1</f>
        <v>77</v>
      </c>
      <c r="E72" s="80"/>
      <c r="F72" s="81">
        <f t="shared" si="5"/>
        <v>0</v>
      </c>
    </row>
    <row r="73" spans="1:6" s="35" customFormat="1" ht="13.2" x14ac:dyDescent="0.25">
      <c r="A73" s="76" t="s">
        <v>88</v>
      </c>
      <c r="B73" s="76" t="s">
        <v>165</v>
      </c>
      <c r="C73" s="76" t="s">
        <v>88</v>
      </c>
      <c r="D73" s="77" t="s">
        <v>88</v>
      </c>
      <c r="E73" s="76"/>
      <c r="F73" s="82">
        <f>SUM(F67:F72)</f>
        <v>0</v>
      </c>
    </row>
    <row r="74" spans="1:6" s="35" customFormat="1" ht="13.2" x14ac:dyDescent="0.25">
      <c r="A74" s="76" t="s">
        <v>166</v>
      </c>
      <c r="B74" s="20" t="s">
        <v>167</v>
      </c>
      <c r="C74" s="22" t="s">
        <v>87</v>
      </c>
      <c r="D74" s="79" t="s">
        <v>87</v>
      </c>
      <c r="E74" s="22"/>
      <c r="F74" s="22" t="s">
        <v>87</v>
      </c>
    </row>
    <row r="75" spans="1:6" s="35" customFormat="1" ht="26.4" x14ac:dyDescent="0.25">
      <c r="A75" s="76" t="s">
        <v>168</v>
      </c>
      <c r="B75" s="23" t="s">
        <v>169</v>
      </c>
      <c r="C75" s="22" t="s">
        <v>23</v>
      </c>
      <c r="D75" s="85">
        <v>1</v>
      </c>
      <c r="E75" s="80"/>
      <c r="F75" s="81">
        <f>D75*E75</f>
        <v>0</v>
      </c>
    </row>
    <row r="76" spans="1:6" s="35" customFormat="1" ht="13.2" x14ac:dyDescent="0.25">
      <c r="A76" s="86" t="s">
        <v>170</v>
      </c>
      <c r="B76" s="87" t="s">
        <v>171</v>
      </c>
      <c r="C76" s="88" t="s">
        <v>12</v>
      </c>
      <c r="D76" s="89">
        <v>8</v>
      </c>
      <c r="E76" s="90"/>
      <c r="F76" s="91">
        <f>D76*E76</f>
        <v>0</v>
      </c>
    </row>
    <row r="77" spans="1:6" s="35" customFormat="1" ht="13.2" x14ac:dyDescent="0.25">
      <c r="A77" s="86" t="s">
        <v>172</v>
      </c>
      <c r="B77" s="92" t="s">
        <v>173</v>
      </c>
      <c r="C77" s="88" t="s">
        <v>12</v>
      </c>
      <c r="D77" s="89">
        <v>5</v>
      </c>
      <c r="E77" s="90"/>
      <c r="F77" s="91">
        <f>D77*E77</f>
        <v>0</v>
      </c>
    </row>
    <row r="78" spans="1:6" s="35" customFormat="1" ht="13.2" x14ac:dyDescent="0.25">
      <c r="A78" s="86" t="s">
        <v>174</v>
      </c>
      <c r="B78" s="87" t="s">
        <v>175</v>
      </c>
      <c r="C78" s="88" t="s">
        <v>12</v>
      </c>
      <c r="D78" s="89">
        <v>8</v>
      </c>
      <c r="E78" s="90"/>
      <c r="F78" s="91">
        <f>D78*E78</f>
        <v>0</v>
      </c>
    </row>
    <row r="79" spans="1:6" s="35" customFormat="1" ht="13.2" x14ac:dyDescent="0.25">
      <c r="A79" s="86" t="s">
        <v>176</v>
      </c>
      <c r="B79" s="87" t="s">
        <v>177</v>
      </c>
      <c r="C79" s="88" t="s">
        <v>12</v>
      </c>
      <c r="D79" s="89">
        <v>6</v>
      </c>
      <c r="E79" s="90"/>
      <c r="F79" s="91">
        <f>D79*E79</f>
        <v>0</v>
      </c>
    </row>
    <row r="80" spans="1:6" s="35" customFormat="1" ht="13.2" x14ac:dyDescent="0.25">
      <c r="A80" s="86" t="s">
        <v>88</v>
      </c>
      <c r="B80" s="86" t="s">
        <v>178</v>
      </c>
      <c r="C80" s="86" t="s">
        <v>88</v>
      </c>
      <c r="D80" s="93" t="s">
        <v>88</v>
      </c>
      <c r="E80" s="86"/>
      <c r="F80" s="94">
        <f>SUM(F75:F79)</f>
        <v>0</v>
      </c>
    </row>
    <row r="81" spans="1:6" s="35" customFormat="1" ht="13.2" x14ac:dyDescent="0.25">
      <c r="A81" s="95" t="s">
        <v>88</v>
      </c>
      <c r="B81" s="96" t="s">
        <v>179</v>
      </c>
      <c r="C81" s="97" t="s">
        <v>87</v>
      </c>
      <c r="D81" s="98" t="s">
        <v>87</v>
      </c>
      <c r="E81" s="97" t="s">
        <v>87</v>
      </c>
      <c r="F81" s="99">
        <f>F80+F73+F65+F61+F55+F46+F37</f>
        <v>0</v>
      </c>
    </row>
    <row r="82" spans="1:6" s="35" customFormat="1" ht="13.2" x14ac:dyDescent="0.25">
      <c r="A82" s="100"/>
      <c r="B82" s="100"/>
      <c r="C82" s="100"/>
      <c r="D82" s="100"/>
      <c r="E82" s="100"/>
      <c r="F82" s="100"/>
    </row>
    <row r="83" spans="1:6" s="35" customFormat="1" ht="13.2" x14ac:dyDescent="0.25">
      <c r="A83" s="75" t="s">
        <v>243</v>
      </c>
      <c r="B83" s="113" t="s">
        <v>181</v>
      </c>
      <c r="C83" s="113"/>
      <c r="D83" s="113"/>
      <c r="E83" s="113"/>
      <c r="F83" s="113"/>
    </row>
    <row r="84" spans="1:6" s="35" customFormat="1" ht="13.2" x14ac:dyDescent="0.25">
      <c r="A84" s="76" t="s">
        <v>79</v>
      </c>
      <c r="B84" s="20" t="s">
        <v>80</v>
      </c>
      <c r="C84" s="76" t="s">
        <v>81</v>
      </c>
      <c r="D84" s="77" t="s">
        <v>82</v>
      </c>
      <c r="E84" s="76" t="s">
        <v>83</v>
      </c>
      <c r="F84" s="76" t="s">
        <v>84</v>
      </c>
    </row>
    <row r="85" spans="1:6" s="35" customFormat="1" ht="13.2" x14ac:dyDescent="0.25">
      <c r="A85" s="76" t="s">
        <v>85</v>
      </c>
      <c r="B85" s="20" t="s">
        <v>86</v>
      </c>
      <c r="C85" s="22" t="s">
        <v>87</v>
      </c>
      <c r="D85" s="78" t="s">
        <v>88</v>
      </c>
      <c r="E85" s="22" t="s">
        <v>87</v>
      </c>
      <c r="F85" s="76" t="s">
        <v>87</v>
      </c>
    </row>
    <row r="86" spans="1:6" s="35" customFormat="1" ht="15.6" x14ac:dyDescent="0.25">
      <c r="A86" s="76" t="s">
        <v>89</v>
      </c>
      <c r="B86" s="23" t="s">
        <v>90</v>
      </c>
      <c r="C86" s="22" t="s">
        <v>248</v>
      </c>
      <c r="D86" s="79">
        <f>(10.45+2)*(4.3+2)</f>
        <v>78.434999999999988</v>
      </c>
      <c r="E86" s="80"/>
      <c r="F86" s="81">
        <f>D86*E86</f>
        <v>0</v>
      </c>
    </row>
    <row r="87" spans="1:6" s="35" customFormat="1" ht="15.6" x14ac:dyDescent="0.25">
      <c r="A87" s="76" t="s">
        <v>91</v>
      </c>
      <c r="B87" s="23" t="s">
        <v>92</v>
      </c>
      <c r="C87" s="22" t="s">
        <v>249</v>
      </c>
      <c r="D87" s="79">
        <f>(33.5*0.4*0.6)*1.1</f>
        <v>8.8439999999999994</v>
      </c>
      <c r="E87" s="80"/>
      <c r="F87" s="81">
        <f>D87*E87</f>
        <v>0</v>
      </c>
    </row>
    <row r="88" spans="1:6" s="35" customFormat="1" ht="15.6" x14ac:dyDescent="0.25">
      <c r="A88" s="76" t="s">
        <v>93</v>
      </c>
      <c r="B88" s="23" t="s">
        <v>94</v>
      </c>
      <c r="C88" s="22" t="s">
        <v>249</v>
      </c>
      <c r="D88" s="79">
        <f>(1.2*1.2*1.2)*13*1.1</f>
        <v>24.7104</v>
      </c>
      <c r="E88" s="80"/>
      <c r="F88" s="81">
        <f>D88*E88</f>
        <v>0</v>
      </c>
    </row>
    <row r="89" spans="1:6" s="35" customFormat="1" ht="15.6" x14ac:dyDescent="0.25">
      <c r="A89" s="76" t="s">
        <v>95</v>
      </c>
      <c r="B89" s="23" t="s">
        <v>96</v>
      </c>
      <c r="C89" s="22" t="s">
        <v>249</v>
      </c>
      <c r="D89" s="79">
        <f>+D88+D87</f>
        <v>33.554400000000001</v>
      </c>
      <c r="E89" s="80"/>
      <c r="F89" s="81">
        <f>D89*E89</f>
        <v>0</v>
      </c>
    </row>
    <row r="90" spans="1:6" s="35" customFormat="1" ht="15.6" x14ac:dyDescent="0.25">
      <c r="A90" s="76" t="s">
        <v>97</v>
      </c>
      <c r="B90" s="23" t="s">
        <v>98</v>
      </c>
      <c r="C90" s="22" t="s">
        <v>249</v>
      </c>
      <c r="D90" s="79">
        <f>((44.935*0.45)-D89*0.15)*1.1</f>
        <v>16.706349000000007</v>
      </c>
      <c r="E90" s="80"/>
      <c r="F90" s="81">
        <f>D90*E90</f>
        <v>0</v>
      </c>
    </row>
    <row r="91" spans="1:6" s="35" customFormat="1" ht="13.2" x14ac:dyDescent="0.25">
      <c r="A91" s="76" t="s">
        <v>88</v>
      </c>
      <c r="B91" s="76" t="s">
        <v>99</v>
      </c>
      <c r="C91" s="76" t="s">
        <v>88</v>
      </c>
      <c r="D91" s="77" t="s">
        <v>88</v>
      </c>
      <c r="E91" s="76"/>
      <c r="F91" s="82">
        <f>SUM(F86:F90)</f>
        <v>0</v>
      </c>
    </row>
    <row r="92" spans="1:6" s="35" customFormat="1" ht="13.2" x14ac:dyDescent="0.25">
      <c r="A92" s="76" t="s">
        <v>100</v>
      </c>
      <c r="B92" s="20" t="s">
        <v>101</v>
      </c>
      <c r="C92" s="76" t="s">
        <v>88</v>
      </c>
      <c r="D92" s="83" t="s">
        <v>88</v>
      </c>
      <c r="E92" s="76"/>
      <c r="F92" s="22" t="s">
        <v>87</v>
      </c>
    </row>
    <row r="93" spans="1:6" s="35" customFormat="1" ht="15.6" x14ac:dyDescent="0.25">
      <c r="A93" s="76" t="s">
        <v>102</v>
      </c>
      <c r="B93" s="23" t="s">
        <v>103</v>
      </c>
      <c r="C93" s="22" t="s">
        <v>249</v>
      </c>
      <c r="D93" s="79">
        <f>((0.4*0.05*33.5)+(1.2*1.2*0.05)*13)*1.1</f>
        <v>1.7666000000000002</v>
      </c>
      <c r="E93" s="80"/>
      <c r="F93" s="81">
        <f t="shared" ref="F93:F99" si="6">D93*E93</f>
        <v>0</v>
      </c>
    </row>
    <row r="94" spans="1:6" s="35" customFormat="1" ht="15.6" x14ac:dyDescent="0.25">
      <c r="A94" s="76" t="s">
        <v>104</v>
      </c>
      <c r="B94" s="84" t="s">
        <v>105</v>
      </c>
      <c r="C94" s="22" t="s">
        <v>249</v>
      </c>
      <c r="D94" s="79">
        <f>(1.2*1.2*0.25)*13*1.1</f>
        <v>5.1479999999999997</v>
      </c>
      <c r="E94" s="80"/>
      <c r="F94" s="81">
        <f t="shared" si="6"/>
        <v>0</v>
      </c>
    </row>
    <row r="95" spans="1:6" s="35" customFormat="1" ht="15.6" x14ac:dyDescent="0.25">
      <c r="A95" s="76" t="s">
        <v>106</v>
      </c>
      <c r="B95" s="23" t="s">
        <v>107</v>
      </c>
      <c r="C95" s="22" t="s">
        <v>249</v>
      </c>
      <c r="D95" s="79">
        <f>(0.2*0.2*1.5)*13*1.1</f>
        <v>0.85800000000000021</v>
      </c>
      <c r="E95" s="80"/>
      <c r="F95" s="81">
        <f t="shared" si="6"/>
        <v>0</v>
      </c>
    </row>
    <row r="96" spans="1:6" s="35" customFormat="1" ht="26.4" x14ac:dyDescent="0.25">
      <c r="A96" s="76" t="s">
        <v>108</v>
      </c>
      <c r="B96" s="23" t="s">
        <v>109</v>
      </c>
      <c r="C96" s="22" t="s">
        <v>248</v>
      </c>
      <c r="D96" s="79">
        <f>(33.5*1.05)*1.1</f>
        <v>38.69250000000001</v>
      </c>
      <c r="E96" s="80"/>
      <c r="F96" s="81">
        <f t="shared" si="6"/>
        <v>0</v>
      </c>
    </row>
    <row r="97" spans="1:6" s="35" customFormat="1" ht="15.6" x14ac:dyDescent="0.25">
      <c r="A97" s="76" t="s">
        <v>110</v>
      </c>
      <c r="B97" s="23" t="s">
        <v>111</v>
      </c>
      <c r="C97" s="22" t="s">
        <v>249</v>
      </c>
      <c r="D97" s="79">
        <f>(0.2*0.2*33.5)*1.1</f>
        <v>1.4740000000000004</v>
      </c>
      <c r="E97" s="80"/>
      <c r="F97" s="81">
        <f t="shared" si="6"/>
        <v>0</v>
      </c>
    </row>
    <row r="98" spans="1:6" s="35" customFormat="1" ht="15.6" x14ac:dyDescent="0.25">
      <c r="A98" s="76" t="s">
        <v>112</v>
      </c>
      <c r="B98" s="23" t="s">
        <v>113</v>
      </c>
      <c r="C98" s="22" t="s">
        <v>249</v>
      </c>
      <c r="D98" s="79">
        <f>(0.76*6*0.15)*1.1</f>
        <v>0.75240000000000007</v>
      </c>
      <c r="E98" s="80"/>
      <c r="F98" s="81">
        <f t="shared" si="6"/>
        <v>0</v>
      </c>
    </row>
    <row r="99" spans="1:6" s="35" customFormat="1" ht="26.4" x14ac:dyDescent="0.25">
      <c r="A99" s="76" t="s">
        <v>114</v>
      </c>
      <c r="B99" s="23" t="s">
        <v>182</v>
      </c>
      <c r="C99" s="22" t="s">
        <v>249</v>
      </c>
      <c r="D99" s="79">
        <f>44.935*0.12*1.1</f>
        <v>5.9314200000000001</v>
      </c>
      <c r="E99" s="80"/>
      <c r="F99" s="81">
        <f t="shared" si="6"/>
        <v>0</v>
      </c>
    </row>
    <row r="100" spans="1:6" s="35" customFormat="1" ht="13.2" x14ac:dyDescent="0.25">
      <c r="A100" s="76" t="s">
        <v>88</v>
      </c>
      <c r="B100" s="76" t="s">
        <v>116</v>
      </c>
      <c r="C100" s="76" t="s">
        <v>88</v>
      </c>
      <c r="D100" s="77" t="s">
        <v>88</v>
      </c>
      <c r="E100" s="76"/>
      <c r="F100" s="82">
        <f>SUM(F93:F99)</f>
        <v>0</v>
      </c>
    </row>
    <row r="101" spans="1:6" s="35" customFormat="1" ht="13.2" x14ac:dyDescent="0.25">
      <c r="A101" s="76" t="s">
        <v>117</v>
      </c>
      <c r="B101" s="20" t="s">
        <v>118</v>
      </c>
      <c r="C101" s="22" t="s">
        <v>87</v>
      </c>
      <c r="D101" s="78" t="s">
        <v>88</v>
      </c>
      <c r="E101" s="22"/>
      <c r="F101" s="22" t="s">
        <v>87</v>
      </c>
    </row>
    <row r="102" spans="1:6" s="35" customFormat="1" ht="15.6" x14ac:dyDescent="0.25">
      <c r="A102" s="76" t="s">
        <v>119</v>
      </c>
      <c r="B102" s="23" t="s">
        <v>120</v>
      </c>
      <c r="C102" s="22" t="s">
        <v>248</v>
      </c>
      <c r="D102" s="85">
        <f>(3.65*33.5)*1.1</f>
        <v>134.5025</v>
      </c>
      <c r="E102" s="80"/>
      <c r="F102" s="81">
        <f t="shared" ref="F102:F107" si="7">D102*E102</f>
        <v>0</v>
      </c>
    </row>
    <row r="103" spans="1:6" s="35" customFormat="1" ht="15.6" x14ac:dyDescent="0.25">
      <c r="A103" s="76" t="s">
        <v>121</v>
      </c>
      <c r="B103" s="84" t="s">
        <v>122</v>
      </c>
      <c r="C103" s="22" t="s">
        <v>249</v>
      </c>
      <c r="D103" s="79">
        <f>(0.15*0.15*3.4)*13*1.1</f>
        <v>1.09395</v>
      </c>
      <c r="E103" s="80"/>
      <c r="F103" s="81">
        <f t="shared" si="7"/>
        <v>0</v>
      </c>
    </row>
    <row r="104" spans="1:6" s="35" customFormat="1" ht="15.6" x14ac:dyDescent="0.25">
      <c r="A104" s="76" t="s">
        <v>123</v>
      </c>
      <c r="B104" s="23" t="s">
        <v>124</v>
      </c>
      <c r="C104" s="22" t="s">
        <v>249</v>
      </c>
      <c r="D104" s="79">
        <f>(33.5*0.15*0.1)*1.1</f>
        <v>0.55274999999999996</v>
      </c>
      <c r="E104" s="80"/>
      <c r="F104" s="81">
        <f t="shared" si="7"/>
        <v>0</v>
      </c>
    </row>
    <row r="105" spans="1:6" s="35" customFormat="1" ht="15.6" x14ac:dyDescent="0.25">
      <c r="A105" s="76" t="s">
        <v>125</v>
      </c>
      <c r="B105" s="23" t="s">
        <v>126</v>
      </c>
      <c r="C105" s="22" t="s">
        <v>249</v>
      </c>
      <c r="D105" s="79">
        <f>(33.5*0.15*0.2)*1.1</f>
        <v>1.1054999999999999</v>
      </c>
      <c r="E105" s="80"/>
      <c r="F105" s="81">
        <f t="shared" si="7"/>
        <v>0</v>
      </c>
    </row>
    <row r="106" spans="1:6" s="35" customFormat="1" ht="15.6" x14ac:dyDescent="0.25">
      <c r="A106" s="76" t="s">
        <v>127</v>
      </c>
      <c r="B106" s="23" t="s">
        <v>124</v>
      </c>
      <c r="C106" s="22" t="s">
        <v>249</v>
      </c>
      <c r="D106" s="79">
        <f>(33.5*0.15*0.1)*1.1</f>
        <v>0.55274999999999996</v>
      </c>
      <c r="E106" s="80"/>
      <c r="F106" s="81">
        <f t="shared" si="7"/>
        <v>0</v>
      </c>
    </row>
    <row r="107" spans="1:6" s="35" customFormat="1" ht="15.6" x14ac:dyDescent="0.25">
      <c r="A107" s="76" t="s">
        <v>128</v>
      </c>
      <c r="B107" s="23" t="s">
        <v>129</v>
      </c>
      <c r="C107" s="22" t="s">
        <v>249</v>
      </c>
      <c r="D107" s="79">
        <f>(33.5*0.15*0.4)*1.1</f>
        <v>2.2109999999999999</v>
      </c>
      <c r="E107" s="80"/>
      <c r="F107" s="81">
        <f t="shared" si="7"/>
        <v>0</v>
      </c>
    </row>
    <row r="108" spans="1:6" s="35" customFormat="1" ht="15.6" x14ac:dyDescent="0.25">
      <c r="A108" s="76" t="s">
        <v>130</v>
      </c>
      <c r="B108" s="23" t="s">
        <v>131</v>
      </c>
      <c r="C108" s="22" t="s">
        <v>249</v>
      </c>
      <c r="D108" s="79">
        <f>(10.45*0.127)*1.1</f>
        <v>1.459865</v>
      </c>
      <c r="E108" s="80"/>
      <c r="F108" s="81">
        <f>D108*E108</f>
        <v>0</v>
      </c>
    </row>
    <row r="109" spans="1:6" s="35" customFormat="1" ht="13.2" x14ac:dyDescent="0.25">
      <c r="A109" s="76" t="s">
        <v>88</v>
      </c>
      <c r="B109" s="76" t="s">
        <v>132</v>
      </c>
      <c r="C109" s="76" t="s">
        <v>88</v>
      </c>
      <c r="D109" s="77" t="s">
        <v>88</v>
      </c>
      <c r="E109" s="76"/>
      <c r="F109" s="82">
        <f>SUM(F102:F107)</f>
        <v>0</v>
      </c>
    </row>
    <row r="110" spans="1:6" s="35" customFormat="1" ht="13.2" x14ac:dyDescent="0.25">
      <c r="A110" s="76" t="s">
        <v>133</v>
      </c>
      <c r="B110" s="20" t="s">
        <v>134</v>
      </c>
      <c r="C110" s="22" t="s">
        <v>87</v>
      </c>
      <c r="D110" s="78" t="s">
        <v>88</v>
      </c>
      <c r="E110" s="22"/>
      <c r="F110" s="22" t="s">
        <v>87</v>
      </c>
    </row>
    <row r="111" spans="1:6" s="35" customFormat="1" ht="26.4" x14ac:dyDescent="0.25">
      <c r="A111" s="76" t="s">
        <v>135</v>
      </c>
      <c r="B111" s="23" t="s">
        <v>136</v>
      </c>
      <c r="C111" s="22" t="s">
        <v>183</v>
      </c>
      <c r="D111" s="79">
        <f>(4.65*10.45)*1.1</f>
        <v>53.451750000000004</v>
      </c>
      <c r="E111" s="80"/>
      <c r="F111" s="81">
        <f>D111*E111</f>
        <v>0</v>
      </c>
    </row>
    <row r="112" spans="1:6" s="35" customFormat="1" ht="26.4" x14ac:dyDescent="0.25">
      <c r="A112" s="76" t="s">
        <v>137</v>
      </c>
      <c r="B112" s="23" t="s">
        <v>184</v>
      </c>
      <c r="C112" s="22" t="s">
        <v>13</v>
      </c>
      <c r="D112" s="79">
        <f>4.65*2*1.1</f>
        <v>10.230000000000002</v>
      </c>
      <c r="E112" s="80"/>
      <c r="F112" s="81">
        <f>D112*E112</f>
        <v>0</v>
      </c>
    </row>
    <row r="113" spans="1:6" s="35" customFormat="1" ht="26.4" x14ac:dyDescent="0.25">
      <c r="A113" s="76" t="s">
        <v>139</v>
      </c>
      <c r="B113" s="23" t="s">
        <v>140</v>
      </c>
      <c r="C113" s="22" t="s">
        <v>13</v>
      </c>
      <c r="D113" s="79">
        <f>10.45*4*1.1</f>
        <v>45.980000000000004</v>
      </c>
      <c r="E113" s="80"/>
      <c r="F113" s="81">
        <f>D113*E113</f>
        <v>0</v>
      </c>
    </row>
    <row r="114" spans="1:6" s="35" customFormat="1" ht="13.2" x14ac:dyDescent="0.25">
      <c r="A114" s="76" t="s">
        <v>141</v>
      </c>
      <c r="B114" s="23" t="s">
        <v>185</v>
      </c>
      <c r="C114" s="22" t="s">
        <v>183</v>
      </c>
      <c r="D114" s="79">
        <f>44.935*1.1</f>
        <v>49.428500000000007</v>
      </c>
      <c r="E114" s="80"/>
      <c r="F114" s="81">
        <f>D114*E114</f>
        <v>0</v>
      </c>
    </row>
    <row r="115" spans="1:6" s="35" customFormat="1" ht="13.2" x14ac:dyDescent="0.25">
      <c r="A115" s="76" t="s">
        <v>88</v>
      </c>
      <c r="B115" s="76" t="s">
        <v>143</v>
      </c>
      <c r="C115" s="76" t="s">
        <v>88</v>
      </c>
      <c r="D115" s="77" t="s">
        <v>88</v>
      </c>
      <c r="E115" s="76"/>
      <c r="F115" s="82">
        <f>SUM(F111:F114)</f>
        <v>0</v>
      </c>
    </row>
    <row r="116" spans="1:6" s="35" customFormat="1" ht="13.2" x14ac:dyDescent="0.25">
      <c r="A116" s="76" t="s">
        <v>144</v>
      </c>
      <c r="B116" s="20" t="s">
        <v>145</v>
      </c>
      <c r="C116" s="22" t="s">
        <v>87</v>
      </c>
      <c r="D116" s="78" t="s">
        <v>88</v>
      </c>
      <c r="E116" s="22"/>
      <c r="F116" s="22" t="s">
        <v>87</v>
      </c>
    </row>
    <row r="117" spans="1:6" s="35" customFormat="1" ht="26.4" x14ac:dyDescent="0.25">
      <c r="A117" s="76" t="s">
        <v>146</v>
      </c>
      <c r="B117" s="23" t="s">
        <v>147</v>
      </c>
      <c r="C117" s="22" t="s">
        <v>12</v>
      </c>
      <c r="D117" s="85">
        <v>2</v>
      </c>
      <c r="E117" s="80"/>
      <c r="F117" s="81">
        <f>D117*E117</f>
        <v>0</v>
      </c>
    </row>
    <row r="118" spans="1:6" s="35" customFormat="1" ht="26.4" x14ac:dyDescent="0.25">
      <c r="A118" s="76" t="s">
        <v>148</v>
      </c>
      <c r="B118" s="23" t="s">
        <v>149</v>
      </c>
      <c r="C118" s="22" t="s">
        <v>12</v>
      </c>
      <c r="D118" s="85">
        <v>4</v>
      </c>
      <c r="E118" s="80"/>
      <c r="F118" s="81">
        <f>D118*E118</f>
        <v>0</v>
      </c>
    </row>
    <row r="119" spans="1:6" s="35" customFormat="1" ht="13.2" x14ac:dyDescent="0.25">
      <c r="A119" s="76" t="s">
        <v>88</v>
      </c>
      <c r="B119" s="76" t="s">
        <v>150</v>
      </c>
      <c r="C119" s="76" t="s">
        <v>88</v>
      </c>
      <c r="D119" s="77" t="s">
        <v>88</v>
      </c>
      <c r="E119" s="76"/>
      <c r="F119" s="82">
        <f>SUM(F117:F118)</f>
        <v>0</v>
      </c>
    </row>
    <row r="120" spans="1:6" s="35" customFormat="1" ht="13.2" x14ac:dyDescent="0.25">
      <c r="A120" s="76" t="s">
        <v>151</v>
      </c>
      <c r="B120" s="20" t="s">
        <v>152</v>
      </c>
      <c r="C120" s="22" t="s">
        <v>87</v>
      </c>
      <c r="D120" s="79" t="s">
        <v>87</v>
      </c>
      <c r="E120" s="22"/>
      <c r="F120" s="22" t="s">
        <v>87</v>
      </c>
    </row>
    <row r="121" spans="1:6" s="35" customFormat="1" ht="26.4" x14ac:dyDescent="0.25">
      <c r="A121" s="76" t="s">
        <v>153</v>
      </c>
      <c r="B121" s="23" t="s">
        <v>154</v>
      </c>
      <c r="C121" s="22" t="s">
        <v>248</v>
      </c>
      <c r="D121" s="85">
        <f>(36*3.65)*1.1</f>
        <v>144.54000000000002</v>
      </c>
      <c r="E121" s="80"/>
      <c r="F121" s="81">
        <f t="shared" ref="F121:F126" si="8">D121*E121</f>
        <v>0</v>
      </c>
    </row>
    <row r="122" spans="1:6" s="35" customFormat="1" ht="26.4" x14ac:dyDescent="0.25">
      <c r="A122" s="76" t="s">
        <v>155</v>
      </c>
      <c r="B122" s="23" t="s">
        <v>156</v>
      </c>
      <c r="C122" s="22" t="s">
        <v>248</v>
      </c>
      <c r="D122" s="85">
        <f>(29.5*4.85)*1.1</f>
        <v>157.38249999999999</v>
      </c>
      <c r="E122" s="80"/>
      <c r="F122" s="81">
        <f t="shared" si="8"/>
        <v>0</v>
      </c>
    </row>
    <row r="123" spans="1:6" s="35" customFormat="1" ht="15.6" x14ac:dyDescent="0.25">
      <c r="A123" s="76" t="s">
        <v>157</v>
      </c>
      <c r="B123" s="23" t="s">
        <v>158</v>
      </c>
      <c r="C123" s="22" t="s">
        <v>248</v>
      </c>
      <c r="D123" s="85">
        <f>+D121</f>
        <v>144.54000000000002</v>
      </c>
      <c r="E123" s="80"/>
      <c r="F123" s="81">
        <f t="shared" si="8"/>
        <v>0</v>
      </c>
    </row>
    <row r="124" spans="1:6" s="35" customFormat="1" ht="15.6" x14ac:dyDescent="0.25">
      <c r="A124" s="76" t="s">
        <v>159</v>
      </c>
      <c r="B124" s="23" t="s">
        <v>160</v>
      </c>
      <c r="C124" s="22" t="s">
        <v>248</v>
      </c>
      <c r="D124" s="85">
        <f>+D122</f>
        <v>157.38249999999999</v>
      </c>
      <c r="E124" s="80"/>
      <c r="F124" s="81">
        <f t="shared" si="8"/>
        <v>0</v>
      </c>
    </row>
    <row r="125" spans="1:6" s="35" customFormat="1" ht="15.6" x14ac:dyDescent="0.25">
      <c r="A125" s="76" t="s">
        <v>161</v>
      </c>
      <c r="B125" s="23" t="s">
        <v>162</v>
      </c>
      <c r="C125" s="22" t="s">
        <v>248</v>
      </c>
      <c r="D125" s="79">
        <f>+D114</f>
        <v>49.428500000000007</v>
      </c>
      <c r="E125" s="80"/>
      <c r="F125" s="81">
        <f t="shared" si="8"/>
        <v>0</v>
      </c>
    </row>
    <row r="126" spans="1:6" s="35" customFormat="1" ht="26.4" x14ac:dyDescent="0.25">
      <c r="A126" s="76" t="s">
        <v>163</v>
      </c>
      <c r="B126" s="23" t="s">
        <v>164</v>
      </c>
      <c r="C126" s="22" t="s">
        <v>248</v>
      </c>
      <c r="D126" s="79">
        <f>44.935*1.1</f>
        <v>49.428500000000007</v>
      </c>
      <c r="E126" s="80"/>
      <c r="F126" s="81">
        <f t="shared" si="8"/>
        <v>0</v>
      </c>
    </row>
    <row r="127" spans="1:6" s="35" customFormat="1" ht="13.2" x14ac:dyDescent="0.25">
      <c r="A127" s="76" t="s">
        <v>88</v>
      </c>
      <c r="B127" s="76" t="s">
        <v>165</v>
      </c>
      <c r="C127" s="76" t="s">
        <v>88</v>
      </c>
      <c r="D127" s="77" t="s">
        <v>88</v>
      </c>
      <c r="E127" s="76"/>
      <c r="F127" s="82">
        <f>SUM(F121:F126)</f>
        <v>0</v>
      </c>
    </row>
    <row r="128" spans="1:6" s="35" customFormat="1" ht="13.2" x14ac:dyDescent="0.25">
      <c r="A128" s="76" t="s">
        <v>166</v>
      </c>
      <c r="B128" s="20" t="s">
        <v>167</v>
      </c>
      <c r="C128" s="22" t="s">
        <v>87</v>
      </c>
      <c r="D128" s="79" t="s">
        <v>87</v>
      </c>
      <c r="E128" s="22"/>
      <c r="F128" s="22" t="s">
        <v>87</v>
      </c>
    </row>
    <row r="129" spans="1:6" s="35" customFormat="1" ht="26.4" x14ac:dyDescent="0.25">
      <c r="A129" s="76" t="s">
        <v>168</v>
      </c>
      <c r="B129" s="23" t="s">
        <v>169</v>
      </c>
      <c r="C129" s="22" t="s">
        <v>23</v>
      </c>
      <c r="D129" s="85">
        <v>1</v>
      </c>
      <c r="E129" s="80"/>
      <c r="F129" s="81">
        <f>D129*E129</f>
        <v>0</v>
      </c>
    </row>
    <row r="130" spans="1:6" s="35" customFormat="1" ht="13.2" x14ac:dyDescent="0.25">
      <c r="A130" s="76" t="s">
        <v>170</v>
      </c>
      <c r="B130" s="23" t="s">
        <v>171</v>
      </c>
      <c r="C130" s="22" t="s">
        <v>12</v>
      </c>
      <c r="D130" s="85">
        <v>8</v>
      </c>
      <c r="E130" s="80"/>
      <c r="F130" s="81">
        <f>D130*E130</f>
        <v>0</v>
      </c>
    </row>
    <row r="131" spans="1:6" s="35" customFormat="1" ht="13.2" x14ac:dyDescent="0.25">
      <c r="A131" s="76" t="s">
        <v>172</v>
      </c>
      <c r="B131" s="84" t="s">
        <v>173</v>
      </c>
      <c r="C131" s="22" t="s">
        <v>12</v>
      </c>
      <c r="D131" s="85">
        <v>4</v>
      </c>
      <c r="E131" s="80"/>
      <c r="F131" s="81">
        <f>D131*E131</f>
        <v>0</v>
      </c>
    </row>
    <row r="132" spans="1:6" s="35" customFormat="1" ht="13.2" x14ac:dyDescent="0.25">
      <c r="A132" s="76" t="s">
        <v>174</v>
      </c>
      <c r="B132" s="23" t="s">
        <v>175</v>
      </c>
      <c r="C132" s="22" t="s">
        <v>12</v>
      </c>
      <c r="D132" s="85">
        <v>6</v>
      </c>
      <c r="E132" s="80"/>
      <c r="F132" s="81">
        <f>D132*E132</f>
        <v>0</v>
      </c>
    </row>
    <row r="133" spans="1:6" s="35" customFormat="1" ht="13.2" x14ac:dyDescent="0.25">
      <c r="A133" s="76" t="s">
        <v>176</v>
      </c>
      <c r="B133" s="23" t="s">
        <v>177</v>
      </c>
      <c r="C133" s="22" t="s">
        <v>12</v>
      </c>
      <c r="D133" s="85">
        <v>2</v>
      </c>
      <c r="E133" s="80"/>
      <c r="F133" s="81">
        <f>D133*E133</f>
        <v>0</v>
      </c>
    </row>
    <row r="134" spans="1:6" s="35" customFormat="1" ht="13.2" x14ac:dyDescent="0.25">
      <c r="A134" s="76" t="s">
        <v>88</v>
      </c>
      <c r="B134" s="76" t="s">
        <v>178</v>
      </c>
      <c r="C134" s="76" t="s">
        <v>88</v>
      </c>
      <c r="D134" s="77" t="s">
        <v>88</v>
      </c>
      <c r="E134" s="76"/>
      <c r="F134" s="82">
        <f>SUM(F129:F133)</f>
        <v>0</v>
      </c>
    </row>
    <row r="135" spans="1:6" s="35" customFormat="1" ht="13.2" x14ac:dyDescent="0.25">
      <c r="A135" s="95" t="s">
        <v>88</v>
      </c>
      <c r="B135" s="96" t="s">
        <v>186</v>
      </c>
      <c r="C135" s="97" t="s">
        <v>87</v>
      </c>
      <c r="D135" s="98" t="s">
        <v>87</v>
      </c>
      <c r="E135" s="97"/>
      <c r="F135" s="99">
        <f>F134+F127+F119+F115+F109+F100+F91</f>
        <v>0</v>
      </c>
    </row>
    <row r="136" spans="1:6" s="35" customFormat="1" ht="13.2" x14ac:dyDescent="0.25">
      <c r="A136" s="101"/>
      <c r="B136" s="102"/>
      <c r="C136" s="103"/>
      <c r="D136" s="104"/>
      <c r="E136" s="103"/>
      <c r="F136" s="101"/>
    </row>
    <row r="137" spans="1:6" s="35" customFormat="1" ht="13.2" x14ac:dyDescent="0.25">
      <c r="A137" s="75" t="s">
        <v>77</v>
      </c>
      <c r="B137" s="113" t="s">
        <v>188</v>
      </c>
      <c r="C137" s="113"/>
      <c r="D137" s="113"/>
      <c r="E137" s="113"/>
      <c r="F137" s="113"/>
    </row>
    <row r="138" spans="1:6" s="35" customFormat="1" ht="13.2" x14ac:dyDescent="0.25">
      <c r="A138" s="76" t="s">
        <v>79</v>
      </c>
      <c r="B138" s="20" t="s">
        <v>80</v>
      </c>
      <c r="C138" s="76" t="s">
        <v>81</v>
      </c>
      <c r="D138" s="77" t="s">
        <v>82</v>
      </c>
      <c r="E138" s="76" t="s">
        <v>83</v>
      </c>
      <c r="F138" s="76" t="s">
        <v>84</v>
      </c>
    </row>
    <row r="139" spans="1:6" s="35" customFormat="1" ht="13.2" x14ac:dyDescent="0.25">
      <c r="A139" s="76" t="s">
        <v>85</v>
      </c>
      <c r="B139" s="20" t="s">
        <v>86</v>
      </c>
      <c r="C139" s="22" t="s">
        <v>87</v>
      </c>
      <c r="D139" s="78" t="s">
        <v>88</v>
      </c>
      <c r="E139" s="22" t="s">
        <v>87</v>
      </c>
      <c r="F139" s="76" t="s">
        <v>87</v>
      </c>
    </row>
    <row r="140" spans="1:6" s="35" customFormat="1" ht="15.6" x14ac:dyDescent="0.25">
      <c r="A140" s="76" t="s">
        <v>89</v>
      </c>
      <c r="B140" s="23" t="s">
        <v>90</v>
      </c>
      <c r="C140" s="22" t="s">
        <v>248</v>
      </c>
      <c r="D140" s="79">
        <f>(5.3+2)*(4.3+2)</f>
        <v>45.989999999999995</v>
      </c>
      <c r="E140" s="80"/>
      <c r="F140" s="81">
        <f>D140*E140</f>
        <v>0</v>
      </c>
    </row>
    <row r="141" spans="1:6" s="35" customFormat="1" ht="15.6" x14ac:dyDescent="0.25">
      <c r="A141" s="76" t="s">
        <v>91</v>
      </c>
      <c r="B141" s="23" t="s">
        <v>92</v>
      </c>
      <c r="C141" s="22" t="s">
        <v>249</v>
      </c>
      <c r="D141" s="79">
        <f>(18*0.4*0.6)*1.1</f>
        <v>4.7520000000000007</v>
      </c>
      <c r="E141" s="80"/>
      <c r="F141" s="81">
        <f>D141*E141</f>
        <v>0</v>
      </c>
    </row>
    <row r="142" spans="1:6" s="35" customFormat="1" ht="15.6" x14ac:dyDescent="0.25">
      <c r="A142" s="76" t="s">
        <v>93</v>
      </c>
      <c r="B142" s="23" t="s">
        <v>94</v>
      </c>
      <c r="C142" s="22" t="s">
        <v>249</v>
      </c>
      <c r="D142" s="79">
        <f>(1.2*1.2*1.2)*8*1.1</f>
        <v>15.2064</v>
      </c>
      <c r="E142" s="80"/>
      <c r="F142" s="81">
        <f>D142*E142</f>
        <v>0</v>
      </c>
    </row>
    <row r="143" spans="1:6" s="35" customFormat="1" ht="15.6" x14ac:dyDescent="0.25">
      <c r="A143" s="76" t="s">
        <v>95</v>
      </c>
      <c r="B143" s="23" t="s">
        <v>96</v>
      </c>
      <c r="C143" s="22" t="s">
        <v>249</v>
      </c>
      <c r="D143" s="79">
        <f>+D142+D141</f>
        <v>19.958400000000001</v>
      </c>
      <c r="E143" s="80"/>
      <c r="F143" s="81">
        <f>D143*E143</f>
        <v>0</v>
      </c>
    </row>
    <row r="144" spans="1:6" s="35" customFormat="1" ht="15.6" x14ac:dyDescent="0.25">
      <c r="A144" s="76" t="s">
        <v>97</v>
      </c>
      <c r="B144" s="23" t="s">
        <v>98</v>
      </c>
      <c r="C144" s="22" t="s">
        <v>249</v>
      </c>
      <c r="D144" s="79">
        <f>((20*0.45)-D143*0.15)*1.1</f>
        <v>6.6068640000000007</v>
      </c>
      <c r="E144" s="80"/>
      <c r="F144" s="81">
        <f>D144*E144</f>
        <v>0</v>
      </c>
    </row>
    <row r="145" spans="1:6" s="35" customFormat="1" ht="13.2" x14ac:dyDescent="0.25">
      <c r="A145" s="76" t="s">
        <v>88</v>
      </c>
      <c r="B145" s="76" t="s">
        <v>99</v>
      </c>
      <c r="C145" s="76" t="s">
        <v>88</v>
      </c>
      <c r="D145" s="77" t="s">
        <v>88</v>
      </c>
      <c r="E145" s="76"/>
      <c r="F145" s="82">
        <f>SUM(F140:F144)</f>
        <v>0</v>
      </c>
    </row>
    <row r="146" spans="1:6" s="35" customFormat="1" ht="13.2" x14ac:dyDescent="0.25">
      <c r="A146" s="76" t="s">
        <v>100</v>
      </c>
      <c r="B146" s="20" t="s">
        <v>101</v>
      </c>
      <c r="C146" s="76" t="s">
        <v>88</v>
      </c>
      <c r="D146" s="83" t="s">
        <v>88</v>
      </c>
      <c r="E146" s="76"/>
      <c r="F146" s="22" t="s">
        <v>87</v>
      </c>
    </row>
    <row r="147" spans="1:6" s="35" customFormat="1" ht="15.6" x14ac:dyDescent="0.25">
      <c r="A147" s="76" t="s">
        <v>102</v>
      </c>
      <c r="B147" s="23" t="s">
        <v>103</v>
      </c>
      <c r="C147" s="22" t="s">
        <v>249</v>
      </c>
      <c r="D147" s="79">
        <f>((0.4*0.05*18)+(1.2*1.2*0.05)*8)*1.1</f>
        <v>1.0296000000000001</v>
      </c>
      <c r="E147" s="80"/>
      <c r="F147" s="81">
        <f t="shared" ref="F147:F153" si="9">D147*E147</f>
        <v>0</v>
      </c>
    </row>
    <row r="148" spans="1:6" s="35" customFormat="1" ht="15.6" x14ac:dyDescent="0.25">
      <c r="A148" s="76" t="s">
        <v>104</v>
      </c>
      <c r="B148" s="84" t="s">
        <v>105</v>
      </c>
      <c r="C148" s="22" t="s">
        <v>249</v>
      </c>
      <c r="D148" s="79">
        <f>(1.2*1.2*0.25)*8*1.1</f>
        <v>3.1680000000000001</v>
      </c>
      <c r="E148" s="80"/>
      <c r="F148" s="81">
        <f t="shared" si="9"/>
        <v>0</v>
      </c>
    </row>
    <row r="149" spans="1:6" s="35" customFormat="1" ht="15.6" x14ac:dyDescent="0.25">
      <c r="A149" s="76" t="s">
        <v>106</v>
      </c>
      <c r="B149" s="23" t="s">
        <v>107</v>
      </c>
      <c r="C149" s="22" t="s">
        <v>249</v>
      </c>
      <c r="D149" s="79">
        <f>(0.2*0.2*1.5)*8*1.1</f>
        <v>0.52800000000000014</v>
      </c>
      <c r="E149" s="80"/>
      <c r="F149" s="81">
        <f t="shared" si="9"/>
        <v>0</v>
      </c>
    </row>
    <row r="150" spans="1:6" s="35" customFormat="1" ht="26.4" x14ac:dyDescent="0.25">
      <c r="A150" s="76" t="s">
        <v>108</v>
      </c>
      <c r="B150" s="23" t="s">
        <v>109</v>
      </c>
      <c r="C150" s="22" t="s">
        <v>248</v>
      </c>
      <c r="D150" s="79">
        <f>(18*1.05)*1.1</f>
        <v>20.790000000000003</v>
      </c>
      <c r="E150" s="80"/>
      <c r="F150" s="81">
        <f t="shared" si="9"/>
        <v>0</v>
      </c>
    </row>
    <row r="151" spans="1:6" s="35" customFormat="1" ht="15.6" x14ac:dyDescent="0.25">
      <c r="A151" s="76" t="s">
        <v>110</v>
      </c>
      <c r="B151" s="23" t="s">
        <v>111</v>
      </c>
      <c r="C151" s="22" t="s">
        <v>249</v>
      </c>
      <c r="D151" s="79">
        <f>(0.2*0.2*18)*1.1</f>
        <v>0.79200000000000026</v>
      </c>
      <c r="E151" s="80"/>
      <c r="F151" s="81">
        <f t="shared" si="9"/>
        <v>0</v>
      </c>
    </row>
    <row r="152" spans="1:6" s="35" customFormat="1" ht="15.6" x14ac:dyDescent="0.25">
      <c r="A152" s="76" t="s">
        <v>112</v>
      </c>
      <c r="B152" s="23" t="s">
        <v>113</v>
      </c>
      <c r="C152" s="22" t="s">
        <v>249</v>
      </c>
      <c r="D152" s="79">
        <f>(0.76*3*0.15)*1.1</f>
        <v>0.37620000000000003</v>
      </c>
      <c r="E152" s="80"/>
      <c r="F152" s="81">
        <f t="shared" si="9"/>
        <v>0</v>
      </c>
    </row>
    <row r="153" spans="1:6" s="35" customFormat="1" ht="15.6" x14ac:dyDescent="0.25">
      <c r="A153" s="76" t="s">
        <v>114</v>
      </c>
      <c r="B153" s="23" t="s">
        <v>189</v>
      </c>
      <c r="C153" s="22" t="s">
        <v>249</v>
      </c>
      <c r="D153" s="79">
        <f>20*0.08*1.1</f>
        <v>1.7600000000000002</v>
      </c>
      <c r="E153" s="80"/>
      <c r="F153" s="81">
        <f t="shared" si="9"/>
        <v>0</v>
      </c>
    </row>
    <row r="154" spans="1:6" s="35" customFormat="1" ht="13.2" x14ac:dyDescent="0.25">
      <c r="A154" s="76" t="s">
        <v>88</v>
      </c>
      <c r="B154" s="76" t="s">
        <v>116</v>
      </c>
      <c r="C154" s="76" t="s">
        <v>88</v>
      </c>
      <c r="D154" s="77" t="s">
        <v>88</v>
      </c>
      <c r="E154" s="76"/>
      <c r="F154" s="82">
        <f>SUM(F147:F153)</f>
        <v>0</v>
      </c>
    </row>
    <row r="155" spans="1:6" s="35" customFormat="1" ht="13.2" x14ac:dyDescent="0.25">
      <c r="A155" s="76" t="s">
        <v>117</v>
      </c>
      <c r="B155" s="20" t="s">
        <v>118</v>
      </c>
      <c r="C155" s="22" t="s">
        <v>87</v>
      </c>
      <c r="D155" s="78" t="s">
        <v>88</v>
      </c>
      <c r="E155" s="22"/>
      <c r="F155" s="22" t="s">
        <v>87</v>
      </c>
    </row>
    <row r="156" spans="1:6" s="35" customFormat="1" ht="15.6" x14ac:dyDescent="0.25">
      <c r="A156" s="76" t="s">
        <v>119</v>
      </c>
      <c r="B156" s="23" t="s">
        <v>120</v>
      </c>
      <c r="C156" s="22" t="s">
        <v>248</v>
      </c>
      <c r="D156" s="79">
        <f>(3.65*18)*1.1</f>
        <v>72.27000000000001</v>
      </c>
      <c r="E156" s="80"/>
      <c r="F156" s="81">
        <f t="shared" ref="F156:F162" si="10">D156*E156</f>
        <v>0</v>
      </c>
    </row>
    <row r="157" spans="1:6" s="35" customFormat="1" ht="15.6" x14ac:dyDescent="0.25">
      <c r="A157" s="76" t="s">
        <v>121</v>
      </c>
      <c r="B157" s="84" t="s">
        <v>122</v>
      </c>
      <c r="C157" s="22" t="s">
        <v>249</v>
      </c>
      <c r="D157" s="79">
        <f>(0.15*0.15*3.4)*8*1.1</f>
        <v>0.67320000000000002</v>
      </c>
      <c r="E157" s="80"/>
      <c r="F157" s="81">
        <f t="shared" si="10"/>
        <v>0</v>
      </c>
    </row>
    <row r="158" spans="1:6" s="35" customFormat="1" ht="15.6" x14ac:dyDescent="0.25">
      <c r="A158" s="76" t="s">
        <v>123</v>
      </c>
      <c r="B158" s="23" t="s">
        <v>124</v>
      </c>
      <c r="C158" s="22" t="s">
        <v>249</v>
      </c>
      <c r="D158" s="79">
        <f>(18*0.15*0.1)*1.1</f>
        <v>0.29699999999999999</v>
      </c>
      <c r="E158" s="80"/>
      <c r="F158" s="81">
        <f t="shared" si="10"/>
        <v>0</v>
      </c>
    </row>
    <row r="159" spans="1:6" s="35" customFormat="1" ht="15.6" x14ac:dyDescent="0.25">
      <c r="A159" s="76" t="s">
        <v>125</v>
      </c>
      <c r="B159" s="23" t="s">
        <v>126</v>
      </c>
      <c r="C159" s="22" t="s">
        <v>249</v>
      </c>
      <c r="D159" s="79">
        <f>(18*0.15*0.2)*1.1</f>
        <v>0.59399999999999997</v>
      </c>
      <c r="E159" s="80"/>
      <c r="F159" s="81">
        <f t="shared" si="10"/>
        <v>0</v>
      </c>
    </row>
    <row r="160" spans="1:6" s="35" customFormat="1" ht="15.6" x14ac:dyDescent="0.25">
      <c r="A160" s="76" t="s">
        <v>127</v>
      </c>
      <c r="B160" s="23" t="s">
        <v>124</v>
      </c>
      <c r="C160" s="22" t="s">
        <v>249</v>
      </c>
      <c r="D160" s="79">
        <f>(18*0.15*0.1)*1.1</f>
        <v>0.29699999999999999</v>
      </c>
      <c r="E160" s="80"/>
      <c r="F160" s="81">
        <f t="shared" si="10"/>
        <v>0</v>
      </c>
    </row>
    <row r="161" spans="1:6" s="35" customFormat="1" ht="15.6" x14ac:dyDescent="0.25">
      <c r="A161" s="76" t="s">
        <v>128</v>
      </c>
      <c r="B161" s="23" t="s">
        <v>129</v>
      </c>
      <c r="C161" s="22" t="s">
        <v>249</v>
      </c>
      <c r="D161" s="79">
        <f>(18*0.15*0.4)*1.1</f>
        <v>1.1879999999999999</v>
      </c>
      <c r="E161" s="80"/>
      <c r="F161" s="81">
        <f t="shared" si="10"/>
        <v>0</v>
      </c>
    </row>
    <row r="162" spans="1:6" s="35" customFormat="1" ht="15.6" x14ac:dyDescent="0.25">
      <c r="A162" s="76" t="s">
        <v>130</v>
      </c>
      <c r="B162" s="23" t="s">
        <v>131</v>
      </c>
      <c r="C162" s="22" t="s">
        <v>249</v>
      </c>
      <c r="D162" s="79">
        <f>(5.3*0.127)*1.1</f>
        <v>0.74041000000000012</v>
      </c>
      <c r="E162" s="80"/>
      <c r="F162" s="81">
        <f t="shared" si="10"/>
        <v>0</v>
      </c>
    </row>
    <row r="163" spans="1:6" s="35" customFormat="1" ht="13.2" x14ac:dyDescent="0.25">
      <c r="A163" s="76" t="s">
        <v>88</v>
      </c>
      <c r="B163" s="76" t="s">
        <v>132</v>
      </c>
      <c r="C163" s="76" t="s">
        <v>88</v>
      </c>
      <c r="D163" s="77" t="s">
        <v>88</v>
      </c>
      <c r="E163" s="76"/>
      <c r="F163" s="82">
        <f>SUM(F156:F161)</f>
        <v>0</v>
      </c>
    </row>
    <row r="164" spans="1:6" s="35" customFormat="1" ht="13.2" x14ac:dyDescent="0.25">
      <c r="A164" s="76" t="s">
        <v>133</v>
      </c>
      <c r="B164" s="20" t="s">
        <v>134</v>
      </c>
      <c r="C164" s="22" t="s">
        <v>87</v>
      </c>
      <c r="D164" s="78" t="s">
        <v>88</v>
      </c>
      <c r="E164" s="22"/>
      <c r="F164" s="22" t="s">
        <v>87</v>
      </c>
    </row>
    <row r="165" spans="1:6" s="35" customFormat="1" ht="26.4" x14ac:dyDescent="0.25">
      <c r="A165" s="76" t="s">
        <v>135</v>
      </c>
      <c r="B165" s="23" t="s">
        <v>136</v>
      </c>
      <c r="C165" s="22" t="s">
        <v>183</v>
      </c>
      <c r="D165" s="85">
        <f>(4.65*10.45)*1.1</f>
        <v>53.451750000000004</v>
      </c>
      <c r="E165" s="80"/>
      <c r="F165" s="81">
        <f>D165*E165</f>
        <v>0</v>
      </c>
    </row>
    <row r="166" spans="1:6" s="35" customFormat="1" ht="26.4" x14ac:dyDescent="0.25">
      <c r="A166" s="76" t="s">
        <v>137</v>
      </c>
      <c r="B166" s="23" t="s">
        <v>184</v>
      </c>
      <c r="C166" s="22" t="s">
        <v>13</v>
      </c>
      <c r="D166" s="85">
        <f>4.65*1.1</f>
        <v>5.1150000000000011</v>
      </c>
      <c r="E166" s="80"/>
      <c r="F166" s="81">
        <f>D166*E166</f>
        <v>0</v>
      </c>
    </row>
    <row r="167" spans="1:6" s="35" customFormat="1" ht="26.4" x14ac:dyDescent="0.25">
      <c r="A167" s="76" t="s">
        <v>139</v>
      </c>
      <c r="B167" s="23" t="s">
        <v>140</v>
      </c>
      <c r="C167" s="22" t="s">
        <v>13</v>
      </c>
      <c r="D167" s="85">
        <f>5.3*4*1.1</f>
        <v>23.32</v>
      </c>
      <c r="E167" s="80"/>
      <c r="F167" s="81">
        <f>D167*E167</f>
        <v>0</v>
      </c>
    </row>
    <row r="168" spans="1:6" s="35" customFormat="1" ht="13.2" x14ac:dyDescent="0.25">
      <c r="A168" s="76" t="s">
        <v>141</v>
      </c>
      <c r="B168" s="23" t="s">
        <v>185</v>
      </c>
      <c r="C168" s="22" t="s">
        <v>183</v>
      </c>
      <c r="D168" s="85">
        <f>20*1.1</f>
        <v>22</v>
      </c>
      <c r="E168" s="80"/>
      <c r="F168" s="81">
        <f>D168*E168</f>
        <v>0</v>
      </c>
    </row>
    <row r="169" spans="1:6" s="35" customFormat="1" ht="13.2" x14ac:dyDescent="0.25">
      <c r="A169" s="76" t="s">
        <v>88</v>
      </c>
      <c r="B169" s="76" t="s">
        <v>143</v>
      </c>
      <c r="C169" s="76" t="s">
        <v>88</v>
      </c>
      <c r="D169" s="77" t="s">
        <v>88</v>
      </c>
      <c r="E169" s="76"/>
      <c r="F169" s="82">
        <f>SUM(F165:F168)</f>
        <v>0</v>
      </c>
    </row>
    <row r="170" spans="1:6" s="35" customFormat="1" ht="13.2" x14ac:dyDescent="0.25">
      <c r="A170" s="76" t="s">
        <v>144</v>
      </c>
      <c r="B170" s="20" t="s">
        <v>145</v>
      </c>
      <c r="C170" s="22" t="s">
        <v>87</v>
      </c>
      <c r="D170" s="78" t="s">
        <v>88</v>
      </c>
      <c r="E170" s="22"/>
      <c r="F170" s="22" t="s">
        <v>87</v>
      </c>
    </row>
    <row r="171" spans="1:6" s="35" customFormat="1" ht="26.4" x14ac:dyDescent="0.25">
      <c r="A171" s="76" t="s">
        <v>146</v>
      </c>
      <c r="B171" s="23" t="s">
        <v>147</v>
      </c>
      <c r="C171" s="22" t="s">
        <v>12</v>
      </c>
      <c r="D171" s="85">
        <v>1</v>
      </c>
      <c r="E171" s="80"/>
      <c r="F171" s="81">
        <f>D171*E171</f>
        <v>0</v>
      </c>
    </row>
    <row r="172" spans="1:6" s="35" customFormat="1" ht="26.4" x14ac:dyDescent="0.25">
      <c r="A172" s="76" t="s">
        <v>148</v>
      </c>
      <c r="B172" s="23" t="s">
        <v>149</v>
      </c>
      <c r="C172" s="22" t="s">
        <v>12</v>
      </c>
      <c r="D172" s="85">
        <v>2</v>
      </c>
      <c r="E172" s="80"/>
      <c r="F172" s="81">
        <f>D172*E172</f>
        <v>0</v>
      </c>
    </row>
    <row r="173" spans="1:6" s="35" customFormat="1" ht="13.2" x14ac:dyDescent="0.25">
      <c r="A173" s="76" t="s">
        <v>88</v>
      </c>
      <c r="B173" s="76" t="s">
        <v>150</v>
      </c>
      <c r="C173" s="76" t="s">
        <v>88</v>
      </c>
      <c r="D173" s="77" t="s">
        <v>88</v>
      </c>
      <c r="E173" s="76"/>
      <c r="F173" s="82">
        <f>SUM(F171:F172)</f>
        <v>0</v>
      </c>
    </row>
    <row r="174" spans="1:6" s="35" customFormat="1" ht="13.2" x14ac:dyDescent="0.25">
      <c r="A174" s="76" t="s">
        <v>151</v>
      </c>
      <c r="B174" s="20" t="s">
        <v>152</v>
      </c>
      <c r="C174" s="22" t="s">
        <v>87</v>
      </c>
      <c r="D174" s="79" t="s">
        <v>87</v>
      </c>
      <c r="E174" s="22"/>
      <c r="F174" s="22" t="s">
        <v>87</v>
      </c>
    </row>
    <row r="175" spans="1:6" s="35" customFormat="1" ht="26.4" x14ac:dyDescent="0.25">
      <c r="A175" s="76" t="s">
        <v>153</v>
      </c>
      <c r="B175" s="23" t="s">
        <v>154</v>
      </c>
      <c r="C175" s="22" t="s">
        <v>248</v>
      </c>
      <c r="D175" s="85">
        <f>(18*3.65)*1.1</f>
        <v>72.27000000000001</v>
      </c>
      <c r="E175" s="80"/>
      <c r="F175" s="81">
        <f t="shared" ref="F175:F180" si="11">D175*E175</f>
        <v>0</v>
      </c>
    </row>
    <row r="176" spans="1:6" s="35" customFormat="1" ht="26.4" x14ac:dyDescent="0.25">
      <c r="A176" s="76" t="s">
        <v>190</v>
      </c>
      <c r="B176" s="23" t="s">
        <v>156</v>
      </c>
      <c r="C176" s="22" t="s">
        <v>248</v>
      </c>
      <c r="D176" s="85">
        <f>(18*4.5)*1.1</f>
        <v>89.100000000000009</v>
      </c>
      <c r="E176" s="80"/>
      <c r="F176" s="81">
        <f t="shared" si="11"/>
        <v>0</v>
      </c>
    </row>
    <row r="177" spans="1:6" s="35" customFormat="1" ht="15.6" x14ac:dyDescent="0.25">
      <c r="A177" s="76" t="s">
        <v>191</v>
      </c>
      <c r="B177" s="23" t="s">
        <v>158</v>
      </c>
      <c r="C177" s="22" t="s">
        <v>248</v>
      </c>
      <c r="D177" s="85">
        <f>+D175</f>
        <v>72.27000000000001</v>
      </c>
      <c r="E177" s="80"/>
      <c r="F177" s="81">
        <f t="shared" si="11"/>
        <v>0</v>
      </c>
    </row>
    <row r="178" spans="1:6" s="35" customFormat="1" ht="15.6" x14ac:dyDescent="0.25">
      <c r="A178" s="76" t="s">
        <v>159</v>
      </c>
      <c r="B178" s="23" t="s">
        <v>160</v>
      </c>
      <c r="C178" s="22" t="s">
        <v>248</v>
      </c>
      <c r="D178" s="85">
        <f>+D176</f>
        <v>89.100000000000009</v>
      </c>
      <c r="E178" s="80"/>
      <c r="F178" s="81">
        <f t="shared" si="11"/>
        <v>0</v>
      </c>
    </row>
    <row r="179" spans="1:6" s="35" customFormat="1" ht="15.6" x14ac:dyDescent="0.25">
      <c r="A179" s="76" t="s">
        <v>161</v>
      </c>
      <c r="B179" s="23" t="s">
        <v>162</v>
      </c>
      <c r="C179" s="22" t="s">
        <v>248</v>
      </c>
      <c r="D179" s="85">
        <f>+D168</f>
        <v>22</v>
      </c>
      <c r="E179" s="80"/>
      <c r="F179" s="81">
        <f t="shared" si="11"/>
        <v>0</v>
      </c>
    </row>
    <row r="180" spans="1:6" s="35" customFormat="1" ht="26.4" x14ac:dyDescent="0.25">
      <c r="A180" s="76" t="s">
        <v>163</v>
      </c>
      <c r="B180" s="23" t="s">
        <v>192</v>
      </c>
      <c r="C180" s="22" t="s">
        <v>248</v>
      </c>
      <c r="D180" s="85">
        <f>20*1.1</f>
        <v>22</v>
      </c>
      <c r="E180" s="80"/>
      <c r="F180" s="81">
        <f t="shared" si="11"/>
        <v>0</v>
      </c>
    </row>
    <row r="181" spans="1:6" s="35" customFormat="1" ht="13.2" x14ac:dyDescent="0.25">
      <c r="A181" s="76" t="s">
        <v>88</v>
      </c>
      <c r="B181" s="76" t="s">
        <v>165</v>
      </c>
      <c r="C181" s="76" t="s">
        <v>88</v>
      </c>
      <c r="D181" s="77" t="s">
        <v>88</v>
      </c>
      <c r="E181" s="76"/>
      <c r="F181" s="82">
        <f>SUM(F175:F180)</f>
        <v>0</v>
      </c>
    </row>
    <row r="182" spans="1:6" s="35" customFormat="1" ht="13.2" x14ac:dyDescent="0.25">
      <c r="A182" s="76" t="s">
        <v>166</v>
      </c>
      <c r="B182" s="20" t="s">
        <v>167</v>
      </c>
      <c r="C182" s="22" t="s">
        <v>87</v>
      </c>
      <c r="D182" s="79" t="s">
        <v>87</v>
      </c>
      <c r="E182" s="22"/>
      <c r="F182" s="22" t="s">
        <v>87</v>
      </c>
    </row>
    <row r="183" spans="1:6" s="35" customFormat="1" ht="26.4" x14ac:dyDescent="0.25">
      <c r="A183" s="76" t="s">
        <v>168</v>
      </c>
      <c r="B183" s="23" t="s">
        <v>169</v>
      </c>
      <c r="C183" s="22" t="s">
        <v>23</v>
      </c>
      <c r="D183" s="85">
        <v>1</v>
      </c>
      <c r="E183" s="80"/>
      <c r="F183" s="81">
        <f>D183*E183</f>
        <v>0</v>
      </c>
    </row>
    <row r="184" spans="1:6" s="35" customFormat="1" ht="13.2" x14ac:dyDescent="0.25">
      <c r="A184" s="76" t="s">
        <v>170</v>
      </c>
      <c r="B184" s="23" t="s">
        <v>171</v>
      </c>
      <c r="C184" s="22" t="s">
        <v>12</v>
      </c>
      <c r="D184" s="85">
        <v>3</v>
      </c>
      <c r="E184" s="80"/>
      <c r="F184" s="81">
        <f>D184*E184</f>
        <v>0</v>
      </c>
    </row>
    <row r="185" spans="1:6" s="35" customFormat="1" ht="13.2" x14ac:dyDescent="0.25">
      <c r="A185" s="76" t="s">
        <v>172</v>
      </c>
      <c r="B185" s="84" t="s">
        <v>173</v>
      </c>
      <c r="C185" s="22" t="s">
        <v>12</v>
      </c>
      <c r="D185" s="85">
        <v>4</v>
      </c>
      <c r="E185" s="80"/>
      <c r="F185" s="81">
        <f>D185*E185</f>
        <v>0</v>
      </c>
    </row>
    <row r="186" spans="1:6" s="35" customFormat="1" ht="13.2" x14ac:dyDescent="0.25">
      <c r="A186" s="76" t="s">
        <v>174</v>
      </c>
      <c r="B186" s="23" t="s">
        <v>175</v>
      </c>
      <c r="C186" s="22" t="s">
        <v>12</v>
      </c>
      <c r="D186" s="85">
        <v>2</v>
      </c>
      <c r="E186" s="80"/>
      <c r="F186" s="81">
        <f>D186*E186</f>
        <v>0</v>
      </c>
    </row>
    <row r="187" spans="1:6" s="35" customFormat="1" ht="13.2" x14ac:dyDescent="0.25">
      <c r="A187" s="76" t="s">
        <v>176</v>
      </c>
      <c r="B187" s="23" t="s">
        <v>177</v>
      </c>
      <c r="C187" s="22" t="s">
        <v>12</v>
      </c>
      <c r="D187" s="85">
        <v>1</v>
      </c>
      <c r="E187" s="80"/>
      <c r="F187" s="81">
        <f>D187*E187</f>
        <v>0</v>
      </c>
    </row>
    <row r="188" spans="1:6" s="35" customFormat="1" ht="13.2" x14ac:dyDescent="0.25">
      <c r="A188" s="76" t="s">
        <v>88</v>
      </c>
      <c r="B188" s="76" t="s">
        <v>178</v>
      </c>
      <c r="C188" s="76" t="s">
        <v>88</v>
      </c>
      <c r="D188" s="77" t="s">
        <v>88</v>
      </c>
      <c r="E188" s="80"/>
      <c r="F188" s="82">
        <f>SUM(F183:F187)</f>
        <v>0</v>
      </c>
    </row>
    <row r="189" spans="1:6" s="35" customFormat="1" ht="13.2" x14ac:dyDescent="0.25">
      <c r="A189" s="95" t="s">
        <v>88</v>
      </c>
      <c r="B189" s="96" t="s">
        <v>193</v>
      </c>
      <c r="C189" s="97" t="s">
        <v>87</v>
      </c>
      <c r="D189" s="98" t="s">
        <v>87</v>
      </c>
      <c r="E189" s="97" t="s">
        <v>87</v>
      </c>
      <c r="F189" s="99">
        <f>F188+F181+F173+F169+F163+F154+F145</f>
        <v>0</v>
      </c>
    </row>
    <row r="190" spans="1:6" s="35" customFormat="1" ht="13.2" x14ac:dyDescent="0.25">
      <c r="A190" s="105"/>
      <c r="B190" s="106"/>
      <c r="C190" s="106"/>
      <c r="D190" s="106"/>
      <c r="E190" s="106"/>
      <c r="F190" s="106"/>
    </row>
    <row r="191" spans="1:6" s="35" customFormat="1" ht="13.2" x14ac:dyDescent="0.25">
      <c r="A191" s="75" t="s">
        <v>180</v>
      </c>
      <c r="B191" s="113" t="s">
        <v>194</v>
      </c>
      <c r="C191" s="113"/>
      <c r="D191" s="113"/>
      <c r="E191" s="113"/>
      <c r="F191" s="113"/>
    </row>
    <row r="192" spans="1:6" s="35" customFormat="1" ht="13.2" x14ac:dyDescent="0.25">
      <c r="A192" s="76" t="s">
        <v>79</v>
      </c>
      <c r="B192" s="20" t="s">
        <v>80</v>
      </c>
      <c r="C192" s="76" t="s">
        <v>81</v>
      </c>
      <c r="D192" s="77" t="s">
        <v>82</v>
      </c>
      <c r="E192" s="76" t="s">
        <v>83</v>
      </c>
      <c r="F192" s="76" t="s">
        <v>84</v>
      </c>
    </row>
    <row r="193" spans="1:6" s="35" customFormat="1" ht="13.2" x14ac:dyDescent="0.25">
      <c r="A193" s="76" t="s">
        <v>85</v>
      </c>
      <c r="B193" s="20" t="s">
        <v>195</v>
      </c>
      <c r="C193" s="76" t="s">
        <v>88</v>
      </c>
      <c r="D193" s="77" t="s">
        <v>88</v>
      </c>
      <c r="E193" s="76" t="s">
        <v>87</v>
      </c>
      <c r="F193" s="76" t="s">
        <v>87</v>
      </c>
    </row>
    <row r="194" spans="1:6" s="35" customFormat="1" ht="15.6" x14ac:dyDescent="0.25">
      <c r="A194" s="76" t="s">
        <v>89</v>
      </c>
      <c r="B194" s="23" t="s">
        <v>196</v>
      </c>
      <c r="C194" s="22" t="s">
        <v>248</v>
      </c>
      <c r="D194" s="85">
        <f>(4.2+2)*(2.85+2)</f>
        <v>30.07</v>
      </c>
      <c r="E194" s="80"/>
      <c r="F194" s="81">
        <f>D194*E194</f>
        <v>0</v>
      </c>
    </row>
    <row r="195" spans="1:6" s="35" customFormat="1" ht="15.6" x14ac:dyDescent="0.25">
      <c r="A195" s="76" t="s">
        <v>91</v>
      </c>
      <c r="B195" s="23" t="s">
        <v>197</v>
      </c>
      <c r="C195" s="22" t="s">
        <v>249</v>
      </c>
      <c r="D195" s="85">
        <f>(0.4*0.6*8.55)*1.1</f>
        <v>2.2572000000000001</v>
      </c>
      <c r="E195" s="80"/>
      <c r="F195" s="81">
        <f>D195*E195</f>
        <v>0</v>
      </c>
    </row>
    <row r="196" spans="1:6" s="35" customFormat="1" ht="15.6" x14ac:dyDescent="0.25">
      <c r="A196" s="76" t="s">
        <v>93</v>
      </c>
      <c r="B196" s="23" t="s">
        <v>198</v>
      </c>
      <c r="C196" s="22" t="s">
        <v>249</v>
      </c>
      <c r="D196" s="85">
        <f>(6.568*2.2)*1.1</f>
        <v>15.894560000000002</v>
      </c>
      <c r="E196" s="80"/>
      <c r="F196" s="81">
        <f>D196*E196</f>
        <v>0</v>
      </c>
    </row>
    <row r="197" spans="1:6" s="35" customFormat="1" ht="15.6" x14ac:dyDescent="0.25">
      <c r="A197" s="76" t="s">
        <v>95</v>
      </c>
      <c r="B197" s="23" t="s">
        <v>96</v>
      </c>
      <c r="C197" s="22" t="s">
        <v>249</v>
      </c>
      <c r="D197" s="85">
        <f>+D196+D195</f>
        <v>18.151760000000003</v>
      </c>
      <c r="E197" s="80"/>
      <c r="F197" s="81">
        <f>D197*E197</f>
        <v>0</v>
      </c>
    </row>
    <row r="198" spans="1:6" s="35" customFormat="1" ht="13.2" x14ac:dyDescent="0.25">
      <c r="A198" s="76" t="s">
        <v>88</v>
      </c>
      <c r="B198" s="76" t="s">
        <v>99</v>
      </c>
      <c r="C198" s="76" t="s">
        <v>88</v>
      </c>
      <c r="D198" s="77" t="s">
        <v>88</v>
      </c>
      <c r="E198" s="76"/>
      <c r="F198" s="82">
        <f>SUM(F194:F197)</f>
        <v>0</v>
      </c>
    </row>
    <row r="199" spans="1:6" s="35" customFormat="1" ht="13.2" x14ac:dyDescent="0.25">
      <c r="A199" s="76" t="s">
        <v>100</v>
      </c>
      <c r="B199" s="20" t="s">
        <v>199</v>
      </c>
      <c r="C199" s="76" t="s">
        <v>88</v>
      </c>
      <c r="D199" s="77" t="s">
        <v>88</v>
      </c>
      <c r="E199" s="76"/>
      <c r="F199" s="22" t="s">
        <v>87</v>
      </c>
    </row>
    <row r="200" spans="1:6" s="35" customFormat="1" ht="26.4" x14ac:dyDescent="0.25">
      <c r="A200" s="76" t="s">
        <v>102</v>
      </c>
      <c r="B200" s="23" t="s">
        <v>200</v>
      </c>
      <c r="C200" s="22" t="s">
        <v>249</v>
      </c>
      <c r="D200" s="79">
        <f>(8.55*0.4*0.05)*1.1</f>
        <v>0.18810000000000007</v>
      </c>
      <c r="E200" s="80"/>
      <c r="F200" s="81">
        <f t="shared" ref="F200:F207" si="12">D200*E200</f>
        <v>0</v>
      </c>
    </row>
    <row r="201" spans="1:6" s="35" customFormat="1" ht="26.4" x14ac:dyDescent="0.25">
      <c r="A201" s="76" t="s">
        <v>104</v>
      </c>
      <c r="B201" s="23" t="s">
        <v>201</v>
      </c>
      <c r="C201" s="22" t="s">
        <v>248</v>
      </c>
      <c r="D201" s="79">
        <f>(8.55*0.85)*1.1</f>
        <v>7.994250000000001</v>
      </c>
      <c r="E201" s="80"/>
      <c r="F201" s="81">
        <f t="shared" si="12"/>
        <v>0</v>
      </c>
    </row>
    <row r="202" spans="1:6" s="35" customFormat="1" ht="26.4" x14ac:dyDescent="0.25">
      <c r="A202" s="76" t="s">
        <v>106</v>
      </c>
      <c r="B202" s="23" t="s">
        <v>202</v>
      </c>
      <c r="C202" s="22" t="s">
        <v>249</v>
      </c>
      <c r="D202" s="79">
        <f>(4.75*2*0.1)*1.1</f>
        <v>1.0450000000000002</v>
      </c>
      <c r="E202" s="80"/>
      <c r="F202" s="81">
        <f t="shared" si="12"/>
        <v>0</v>
      </c>
    </row>
    <row r="203" spans="1:6" s="35" customFormat="1" ht="26.4" x14ac:dyDescent="0.25">
      <c r="A203" s="76" t="s">
        <v>108</v>
      </c>
      <c r="B203" s="23" t="s">
        <v>203</v>
      </c>
      <c r="C203" s="22" t="s">
        <v>249</v>
      </c>
      <c r="D203" s="79">
        <f>(6.568*0.1)*1.1</f>
        <v>0.72248000000000012</v>
      </c>
      <c r="E203" s="80"/>
      <c r="F203" s="81">
        <f t="shared" si="12"/>
        <v>0</v>
      </c>
    </row>
    <row r="204" spans="1:6" s="35" customFormat="1" ht="15.6" x14ac:dyDescent="0.25">
      <c r="A204" s="76" t="s">
        <v>110</v>
      </c>
      <c r="B204" s="23" t="s">
        <v>204</v>
      </c>
      <c r="C204" s="22" t="s">
        <v>248</v>
      </c>
      <c r="D204" s="85">
        <f>(12.6*2.45)*1.1</f>
        <v>33.957000000000001</v>
      </c>
      <c r="E204" s="80"/>
      <c r="F204" s="81">
        <f t="shared" si="12"/>
        <v>0</v>
      </c>
    </row>
    <row r="205" spans="1:6" s="35" customFormat="1" ht="26.4" x14ac:dyDescent="0.25">
      <c r="A205" s="76" t="s">
        <v>112</v>
      </c>
      <c r="B205" s="23" t="s">
        <v>205</v>
      </c>
      <c r="C205" s="22" t="s">
        <v>249</v>
      </c>
      <c r="D205" s="79">
        <f>((0.15*0.15*2.2)*8+(0.15*0.2*21.15))*1.1</f>
        <v>1.1335500000000001</v>
      </c>
      <c r="E205" s="80"/>
      <c r="F205" s="81">
        <f t="shared" si="12"/>
        <v>0</v>
      </c>
    </row>
    <row r="206" spans="1:6" s="35" customFormat="1" ht="15.6" x14ac:dyDescent="0.25">
      <c r="A206" s="76" t="s">
        <v>114</v>
      </c>
      <c r="B206" s="23" t="s">
        <v>113</v>
      </c>
      <c r="C206" s="22" t="s">
        <v>249</v>
      </c>
      <c r="D206" s="79">
        <f>(0.53*0.15*4)*1.1</f>
        <v>0.34980000000000006</v>
      </c>
      <c r="E206" s="80"/>
      <c r="F206" s="81">
        <f t="shared" si="12"/>
        <v>0</v>
      </c>
    </row>
    <row r="207" spans="1:6" s="35" customFormat="1" ht="15.6" x14ac:dyDescent="0.25">
      <c r="A207" s="76" t="s">
        <v>206</v>
      </c>
      <c r="B207" s="23" t="s">
        <v>207</v>
      </c>
      <c r="C207" s="22" t="s">
        <v>249</v>
      </c>
      <c r="D207" s="79">
        <f>(2.85*2.3*0.15)*1.1</f>
        <v>1.081575</v>
      </c>
      <c r="E207" s="80"/>
      <c r="F207" s="81">
        <f t="shared" si="12"/>
        <v>0</v>
      </c>
    </row>
    <row r="208" spans="1:6" s="35" customFormat="1" ht="13.2" x14ac:dyDescent="0.25">
      <c r="A208" s="76" t="s">
        <v>88</v>
      </c>
      <c r="B208" s="76" t="s">
        <v>116</v>
      </c>
      <c r="C208" s="76" t="s">
        <v>88</v>
      </c>
      <c r="D208" s="77" t="s">
        <v>88</v>
      </c>
      <c r="E208" s="76"/>
      <c r="F208" s="82">
        <f>SUM(F200:F207)</f>
        <v>0</v>
      </c>
    </row>
    <row r="209" spans="1:6" s="35" customFormat="1" ht="13.2" x14ac:dyDescent="0.25">
      <c r="A209" s="76" t="s">
        <v>117</v>
      </c>
      <c r="B209" s="20" t="s">
        <v>208</v>
      </c>
      <c r="C209" s="76" t="s">
        <v>88</v>
      </c>
      <c r="D209" s="77" t="s">
        <v>88</v>
      </c>
      <c r="E209" s="76"/>
      <c r="F209" s="22" t="s">
        <v>87</v>
      </c>
    </row>
    <row r="210" spans="1:6" s="35" customFormat="1" ht="26.4" x14ac:dyDescent="0.25">
      <c r="A210" s="76" t="s">
        <v>119</v>
      </c>
      <c r="B210" s="23" t="s">
        <v>209</v>
      </c>
      <c r="C210" s="22" t="s">
        <v>249</v>
      </c>
      <c r="D210" s="79">
        <f>((0.15*0.15*2.2)*8+(21.15*0.15*0.2))*1.1</f>
        <v>1.1335500000000001</v>
      </c>
      <c r="E210" s="80"/>
      <c r="F210" s="81">
        <f>D210*E210</f>
        <v>0</v>
      </c>
    </row>
    <row r="211" spans="1:6" s="35" customFormat="1" ht="15.6" x14ac:dyDescent="0.25">
      <c r="A211" s="76" t="s">
        <v>210</v>
      </c>
      <c r="B211" s="23" t="s">
        <v>211</v>
      </c>
      <c r="C211" s="22" t="s">
        <v>248</v>
      </c>
      <c r="D211" s="79">
        <f>(21.15*2.2)*1.1</f>
        <v>51.183000000000007</v>
      </c>
      <c r="E211" s="80"/>
      <c r="F211" s="81">
        <f>D211*E211</f>
        <v>0</v>
      </c>
    </row>
    <row r="212" spans="1:6" s="35" customFormat="1" ht="15.6" x14ac:dyDescent="0.25">
      <c r="A212" s="76" t="s">
        <v>212</v>
      </c>
      <c r="B212" s="23" t="s">
        <v>213</v>
      </c>
      <c r="C212" s="22" t="s">
        <v>248</v>
      </c>
      <c r="D212" s="79">
        <f>(0.3*0.3)*2</f>
        <v>0.18</v>
      </c>
      <c r="E212" s="80"/>
      <c r="F212" s="81">
        <f>D212*E212</f>
        <v>0</v>
      </c>
    </row>
    <row r="213" spans="1:6" s="35" customFormat="1" ht="26.4" x14ac:dyDescent="0.25">
      <c r="A213" s="76" t="s">
        <v>214</v>
      </c>
      <c r="B213" s="23" t="s">
        <v>215</v>
      </c>
      <c r="C213" s="22" t="s">
        <v>13</v>
      </c>
      <c r="D213" s="79">
        <f>(1.6*2)</f>
        <v>3.2</v>
      </c>
      <c r="E213" s="80"/>
      <c r="F213" s="81">
        <f>D213*E213</f>
        <v>0</v>
      </c>
    </row>
    <row r="214" spans="1:6" s="35" customFormat="1" ht="13.2" x14ac:dyDescent="0.25">
      <c r="A214" s="76" t="s">
        <v>88</v>
      </c>
      <c r="B214" s="76" t="s">
        <v>216</v>
      </c>
      <c r="C214" s="76" t="s">
        <v>88</v>
      </c>
      <c r="D214" s="77" t="s">
        <v>88</v>
      </c>
      <c r="E214" s="76"/>
      <c r="F214" s="82">
        <f>SUM(F210:F213)</f>
        <v>0</v>
      </c>
    </row>
    <row r="215" spans="1:6" s="35" customFormat="1" ht="13.2" x14ac:dyDescent="0.25">
      <c r="A215" s="76" t="s">
        <v>133</v>
      </c>
      <c r="B215" s="20" t="s">
        <v>134</v>
      </c>
      <c r="C215" s="76" t="s">
        <v>88</v>
      </c>
      <c r="D215" s="77" t="s">
        <v>88</v>
      </c>
      <c r="E215" s="76"/>
      <c r="F215" s="22" t="s">
        <v>87</v>
      </c>
    </row>
    <row r="216" spans="1:6" s="35" customFormat="1" ht="26.4" x14ac:dyDescent="0.25">
      <c r="A216" s="76" t="s">
        <v>217</v>
      </c>
      <c r="B216" s="23" t="s">
        <v>218</v>
      </c>
      <c r="C216" s="22" t="s">
        <v>13</v>
      </c>
      <c r="D216" s="85">
        <f>(2.3*3+0.4*6)*1.1</f>
        <v>10.230000000000002</v>
      </c>
      <c r="E216" s="80"/>
      <c r="F216" s="81">
        <f>D216*E216</f>
        <v>0</v>
      </c>
    </row>
    <row r="217" spans="1:6" s="35" customFormat="1" ht="26.4" x14ac:dyDescent="0.25">
      <c r="A217" s="76" t="s">
        <v>219</v>
      </c>
      <c r="B217" s="23" t="s">
        <v>220</v>
      </c>
      <c r="C217" s="22" t="s">
        <v>13</v>
      </c>
      <c r="D217" s="85">
        <f>2.85*2*1.1</f>
        <v>6.2700000000000005</v>
      </c>
      <c r="E217" s="80"/>
      <c r="F217" s="81">
        <f>D217*E217</f>
        <v>0</v>
      </c>
    </row>
    <row r="218" spans="1:6" s="35" customFormat="1" ht="15.6" x14ac:dyDescent="0.25">
      <c r="A218" s="76" t="s">
        <v>221</v>
      </c>
      <c r="B218" s="23" t="s">
        <v>222</v>
      </c>
      <c r="C218" s="22" t="s">
        <v>248</v>
      </c>
      <c r="D218" s="85">
        <f>(2.5*2.85)*1.1</f>
        <v>7.8375000000000004</v>
      </c>
      <c r="E218" s="80"/>
      <c r="F218" s="81">
        <f>D218*E218</f>
        <v>0</v>
      </c>
    </row>
    <row r="219" spans="1:6" s="35" customFormat="1" ht="13.2" x14ac:dyDescent="0.25">
      <c r="A219" s="76" t="s">
        <v>88</v>
      </c>
      <c r="B219" s="76" t="s">
        <v>143</v>
      </c>
      <c r="C219" s="76" t="s">
        <v>88</v>
      </c>
      <c r="D219" s="107" t="s">
        <v>88</v>
      </c>
      <c r="E219" s="76"/>
      <c r="F219" s="82">
        <f>SUM(F216:F218)</f>
        <v>0</v>
      </c>
    </row>
    <row r="220" spans="1:6" s="35" customFormat="1" ht="13.2" x14ac:dyDescent="0.25">
      <c r="A220" s="76" t="s">
        <v>144</v>
      </c>
      <c r="B220" s="20" t="s">
        <v>223</v>
      </c>
      <c r="C220" s="76" t="s">
        <v>88</v>
      </c>
      <c r="D220" s="107" t="s">
        <v>88</v>
      </c>
      <c r="E220" s="76"/>
      <c r="F220" s="22" t="s">
        <v>87</v>
      </c>
    </row>
    <row r="221" spans="1:6" s="35" customFormat="1" ht="26.4" x14ac:dyDescent="0.25">
      <c r="A221" s="76" t="s">
        <v>146</v>
      </c>
      <c r="B221" s="108" t="s">
        <v>224</v>
      </c>
      <c r="C221" s="22" t="s">
        <v>12</v>
      </c>
      <c r="D221" s="85">
        <v>2</v>
      </c>
      <c r="E221" s="80"/>
      <c r="F221" s="81">
        <f>D221*E221</f>
        <v>0</v>
      </c>
    </row>
    <row r="222" spans="1:6" s="35" customFormat="1" ht="13.2" x14ac:dyDescent="0.25">
      <c r="A222" s="76" t="s">
        <v>88</v>
      </c>
      <c r="B222" s="76" t="s">
        <v>150</v>
      </c>
      <c r="C222" s="76" t="s">
        <v>88</v>
      </c>
      <c r="D222" s="107" t="s">
        <v>88</v>
      </c>
      <c r="E222" s="76"/>
      <c r="F222" s="82">
        <f>F221</f>
        <v>0</v>
      </c>
    </row>
    <row r="223" spans="1:6" s="35" customFormat="1" ht="13.2" x14ac:dyDescent="0.25">
      <c r="A223" s="76" t="s">
        <v>151</v>
      </c>
      <c r="B223" s="20" t="s">
        <v>225</v>
      </c>
      <c r="C223" s="76" t="s">
        <v>88</v>
      </c>
      <c r="D223" s="77" t="s">
        <v>88</v>
      </c>
      <c r="E223" s="76"/>
      <c r="F223" s="22" t="s">
        <v>87</v>
      </c>
    </row>
    <row r="224" spans="1:6" s="35" customFormat="1" ht="26.4" x14ac:dyDescent="0.25">
      <c r="A224" s="76" t="s">
        <v>153</v>
      </c>
      <c r="B224" s="23" t="s">
        <v>226</v>
      </c>
      <c r="C224" s="22" t="s">
        <v>248</v>
      </c>
      <c r="D224" s="85">
        <f>((25.2*2.2)+(14*2.65))*1.1</f>
        <v>101.79400000000001</v>
      </c>
      <c r="E224" s="80"/>
      <c r="F224" s="81">
        <f>D224*E224</f>
        <v>0</v>
      </c>
    </row>
    <row r="225" spans="1:6" s="35" customFormat="1" ht="26.4" x14ac:dyDescent="0.25">
      <c r="A225" s="76" t="s">
        <v>155</v>
      </c>
      <c r="B225" s="23" t="s">
        <v>164</v>
      </c>
      <c r="C225" s="22" t="s">
        <v>248</v>
      </c>
      <c r="D225" s="85">
        <f>(4.05*2.85)*1.1</f>
        <v>12.696750000000002</v>
      </c>
      <c r="E225" s="80"/>
      <c r="F225" s="81">
        <f>D225*E225</f>
        <v>0</v>
      </c>
    </row>
    <row r="226" spans="1:6" s="35" customFormat="1" ht="15.6" x14ac:dyDescent="0.25">
      <c r="A226" s="76" t="s">
        <v>157</v>
      </c>
      <c r="B226" s="23" t="s">
        <v>227</v>
      </c>
      <c r="C226" s="22" t="s">
        <v>248</v>
      </c>
      <c r="D226" s="85">
        <f>+D224</f>
        <v>101.79400000000001</v>
      </c>
      <c r="E226" s="80"/>
      <c r="F226" s="81">
        <f>D226*E226</f>
        <v>0</v>
      </c>
    </row>
    <row r="227" spans="1:6" s="35" customFormat="1" ht="13.2" x14ac:dyDescent="0.25">
      <c r="A227" s="76" t="s">
        <v>88</v>
      </c>
      <c r="B227" s="76" t="s">
        <v>165</v>
      </c>
      <c r="C227" s="76" t="s">
        <v>88</v>
      </c>
      <c r="D227" s="77" t="s">
        <v>88</v>
      </c>
      <c r="E227" s="76"/>
      <c r="F227" s="82">
        <f>SUM(F224:F226)</f>
        <v>0</v>
      </c>
    </row>
    <row r="228" spans="1:6" s="35" customFormat="1" ht="13.2" x14ac:dyDescent="0.25">
      <c r="A228" s="95" t="s">
        <v>88</v>
      </c>
      <c r="B228" s="96" t="s">
        <v>228</v>
      </c>
      <c r="C228" s="97" t="s">
        <v>87</v>
      </c>
      <c r="D228" s="98" t="s">
        <v>87</v>
      </c>
      <c r="E228" s="97"/>
      <c r="F228" s="99">
        <f>F227+F222+F219+F214+F208+F198</f>
        <v>0</v>
      </c>
    </row>
    <row r="229" spans="1:6" s="35" customFormat="1" ht="13.2" x14ac:dyDescent="0.25">
      <c r="A229" s="101"/>
      <c r="B229" s="102"/>
      <c r="C229" s="103"/>
      <c r="D229" s="104"/>
      <c r="E229" s="103"/>
      <c r="F229" s="101"/>
    </row>
    <row r="230" spans="1:6" s="35" customFormat="1" ht="13.2" x14ac:dyDescent="0.25">
      <c r="A230" s="75" t="s">
        <v>187</v>
      </c>
      <c r="B230" s="113" t="s">
        <v>229</v>
      </c>
      <c r="C230" s="113"/>
      <c r="D230" s="113"/>
      <c r="E230" s="113"/>
      <c r="F230" s="113"/>
    </row>
    <row r="231" spans="1:6" s="35" customFormat="1" ht="13.2" x14ac:dyDescent="0.25">
      <c r="A231" s="76" t="s">
        <v>79</v>
      </c>
      <c r="B231" s="20" t="s">
        <v>80</v>
      </c>
      <c r="C231" s="76" t="s">
        <v>81</v>
      </c>
      <c r="D231" s="77" t="s">
        <v>82</v>
      </c>
      <c r="E231" s="76" t="s">
        <v>83</v>
      </c>
      <c r="F231" s="76" t="s">
        <v>84</v>
      </c>
    </row>
    <row r="232" spans="1:6" s="35" customFormat="1" ht="13.2" x14ac:dyDescent="0.25">
      <c r="A232" s="76" t="s">
        <v>85</v>
      </c>
      <c r="B232" s="20" t="s">
        <v>195</v>
      </c>
      <c r="C232" s="76" t="s">
        <v>88</v>
      </c>
      <c r="D232" s="77" t="s">
        <v>88</v>
      </c>
      <c r="E232" s="76" t="s">
        <v>87</v>
      </c>
      <c r="F232" s="76" t="s">
        <v>87</v>
      </c>
    </row>
    <row r="233" spans="1:6" s="35" customFormat="1" ht="13.2" x14ac:dyDescent="0.25">
      <c r="A233" s="76" t="s">
        <v>89</v>
      </c>
      <c r="B233" s="23" t="s">
        <v>230</v>
      </c>
      <c r="C233" s="22" t="s">
        <v>12</v>
      </c>
      <c r="D233" s="85">
        <v>12</v>
      </c>
      <c r="E233" s="80"/>
      <c r="F233" s="81">
        <f>D233*E233</f>
        <v>0</v>
      </c>
    </row>
    <row r="234" spans="1:6" s="35" customFormat="1" ht="13.2" x14ac:dyDescent="0.25">
      <c r="A234" s="76" t="s">
        <v>231</v>
      </c>
      <c r="B234" s="23" t="s">
        <v>232</v>
      </c>
      <c r="C234" s="22" t="s">
        <v>12</v>
      </c>
      <c r="D234" s="85">
        <v>6</v>
      </c>
      <c r="E234" s="80"/>
      <c r="F234" s="81">
        <f>D234*E234</f>
        <v>0</v>
      </c>
    </row>
    <row r="235" spans="1:6" s="35" customFormat="1" ht="13.2" x14ac:dyDescent="0.25">
      <c r="A235" s="76" t="s">
        <v>233</v>
      </c>
      <c r="B235" s="23" t="s">
        <v>234</v>
      </c>
      <c r="C235" s="22" t="s">
        <v>12</v>
      </c>
      <c r="D235" s="85">
        <v>1</v>
      </c>
      <c r="E235" s="80"/>
      <c r="F235" s="81">
        <f>D235*E235</f>
        <v>0</v>
      </c>
    </row>
    <row r="236" spans="1:6" s="35" customFormat="1" ht="15.6" x14ac:dyDescent="0.25">
      <c r="A236" s="76" t="s">
        <v>235</v>
      </c>
      <c r="B236" s="23" t="s">
        <v>250</v>
      </c>
      <c r="C236" s="22" t="s">
        <v>13</v>
      </c>
      <c r="D236" s="85">
        <v>10</v>
      </c>
      <c r="E236" s="80"/>
      <c r="F236" s="81">
        <f>D236*E236</f>
        <v>0</v>
      </c>
    </row>
    <row r="237" spans="1:6" s="35" customFormat="1" ht="15.6" x14ac:dyDescent="0.25">
      <c r="A237" s="76" t="s">
        <v>236</v>
      </c>
      <c r="B237" s="23" t="s">
        <v>251</v>
      </c>
      <c r="C237" s="22" t="s">
        <v>13</v>
      </c>
      <c r="D237" s="85">
        <v>40</v>
      </c>
      <c r="E237" s="80"/>
      <c r="F237" s="81">
        <f t="shared" ref="F237:F239" si="13">D237*E237</f>
        <v>0</v>
      </c>
    </row>
    <row r="238" spans="1:6" s="35" customFormat="1" ht="13.2" x14ac:dyDescent="0.25">
      <c r="A238" s="76" t="s">
        <v>237</v>
      </c>
      <c r="B238" s="23" t="s">
        <v>238</v>
      </c>
      <c r="C238" s="22" t="s">
        <v>23</v>
      </c>
      <c r="D238" s="85">
        <v>1</v>
      </c>
      <c r="E238" s="80"/>
      <c r="F238" s="81">
        <f t="shared" si="13"/>
        <v>0</v>
      </c>
    </row>
    <row r="239" spans="1:6" s="35" customFormat="1" ht="13.2" x14ac:dyDescent="0.25">
      <c r="A239" s="76" t="s">
        <v>239</v>
      </c>
      <c r="B239" s="23" t="s">
        <v>240</v>
      </c>
      <c r="C239" s="22" t="s">
        <v>23</v>
      </c>
      <c r="D239" s="85">
        <v>1</v>
      </c>
      <c r="E239" s="80"/>
      <c r="F239" s="81">
        <f t="shared" si="13"/>
        <v>0</v>
      </c>
    </row>
    <row r="240" spans="1:6" s="35" customFormat="1" ht="13.2" x14ac:dyDescent="0.25">
      <c r="A240" s="76" t="s">
        <v>88</v>
      </c>
      <c r="B240" s="76" t="s">
        <v>99</v>
      </c>
      <c r="C240" s="76" t="s">
        <v>88</v>
      </c>
      <c r="D240" s="77" t="s">
        <v>88</v>
      </c>
      <c r="E240" s="76"/>
      <c r="F240" s="82">
        <f>SUM(F233:F239)</f>
        <v>0</v>
      </c>
    </row>
    <row r="241" spans="1:7" s="35" customFormat="1" ht="13.2" x14ac:dyDescent="0.25">
      <c r="A241" s="95" t="s">
        <v>88</v>
      </c>
      <c r="B241" s="96" t="s">
        <v>241</v>
      </c>
      <c r="C241" s="97" t="s">
        <v>87</v>
      </c>
      <c r="D241" s="98" t="s">
        <v>87</v>
      </c>
      <c r="E241" s="97"/>
      <c r="F241" s="99">
        <f>+F240</f>
        <v>0</v>
      </c>
    </row>
    <row r="242" spans="1:7" ht="15.6" x14ac:dyDescent="0.3">
      <c r="A242" s="69" t="s">
        <v>88</v>
      </c>
      <c r="B242" s="70" t="s">
        <v>252</v>
      </c>
      <c r="C242" s="69" t="s">
        <v>88</v>
      </c>
      <c r="D242" s="73" t="s">
        <v>88</v>
      </c>
      <c r="E242" s="71"/>
      <c r="F242" s="72">
        <f>+F241+F228+F189+F135+F81</f>
        <v>0</v>
      </c>
      <c r="G242"/>
    </row>
    <row r="243" spans="1:7" x14ac:dyDescent="0.3">
      <c r="A243" s="29" t="s">
        <v>57</v>
      </c>
      <c r="B243" s="18" t="s">
        <v>17</v>
      </c>
      <c r="C243" s="30"/>
      <c r="D243" s="30"/>
      <c r="E243" s="30"/>
      <c r="F243" s="30"/>
    </row>
    <row r="244" spans="1:7" s="46" customFormat="1" ht="48.75" customHeight="1" x14ac:dyDescent="0.3">
      <c r="A244" s="25">
        <v>5.0999999999999996</v>
      </c>
      <c r="B244" s="25" t="s">
        <v>48</v>
      </c>
      <c r="C244" s="25" t="s">
        <v>12</v>
      </c>
      <c r="D244" s="25">
        <f>700/3</f>
        <v>233.33333333333334</v>
      </c>
      <c r="E244" s="25"/>
      <c r="F244" s="27">
        <f>+D244*E244</f>
        <v>0</v>
      </c>
      <c r="G244" s="45"/>
    </row>
    <row r="245" spans="1:7" s="46" customFormat="1" ht="51.75" customHeight="1" x14ac:dyDescent="0.3">
      <c r="A245" s="25">
        <v>5.2</v>
      </c>
      <c r="B245" s="25" t="s">
        <v>245</v>
      </c>
      <c r="C245" s="25" t="s">
        <v>12</v>
      </c>
      <c r="D245" s="25">
        <f>700/20+6</f>
        <v>41</v>
      </c>
      <c r="E245" s="25"/>
      <c r="F245" s="27">
        <f>+D245*E245</f>
        <v>0</v>
      </c>
      <c r="G245" s="45"/>
    </row>
    <row r="246" spans="1:7" s="46" customFormat="1" ht="39.75" customHeight="1" x14ac:dyDescent="0.3">
      <c r="A246" s="25">
        <v>5.3</v>
      </c>
      <c r="B246" s="25" t="s">
        <v>29</v>
      </c>
      <c r="C246" s="25" t="s">
        <v>13</v>
      </c>
      <c r="D246" s="25">
        <v>700</v>
      </c>
      <c r="E246" s="25"/>
      <c r="F246" s="27">
        <f>+D246*E246</f>
        <v>0</v>
      </c>
      <c r="G246" s="45"/>
    </row>
    <row r="247" spans="1:7" s="46" customFormat="1" ht="39.75" customHeight="1" x14ac:dyDescent="0.3">
      <c r="A247" s="25">
        <v>5.4</v>
      </c>
      <c r="B247" s="25" t="s">
        <v>30</v>
      </c>
      <c r="C247" s="25" t="s">
        <v>13</v>
      </c>
      <c r="D247" s="25">
        <v>700</v>
      </c>
      <c r="E247" s="25"/>
      <c r="F247" s="27">
        <f>+D247*E247</f>
        <v>0</v>
      </c>
      <c r="G247" s="45"/>
    </row>
    <row r="248" spans="1:7" s="48" customFormat="1" ht="39.75" customHeight="1" x14ac:dyDescent="0.3">
      <c r="A248" s="25">
        <v>5.5</v>
      </c>
      <c r="B248" s="25" t="s">
        <v>246</v>
      </c>
      <c r="C248" s="25" t="s">
        <v>22</v>
      </c>
      <c r="D248" s="25">
        <f>700*0.3*0.35</f>
        <v>73.5</v>
      </c>
      <c r="E248" s="43"/>
      <c r="F248" s="43">
        <f>+D248*E248</f>
        <v>0</v>
      </c>
      <c r="G248" s="47"/>
    </row>
    <row r="249" spans="1:7" ht="39.6" x14ac:dyDescent="0.3">
      <c r="A249" s="25">
        <v>5.6</v>
      </c>
      <c r="B249" s="25" t="s">
        <v>32</v>
      </c>
      <c r="C249" s="25" t="s">
        <v>12</v>
      </c>
      <c r="D249" s="25">
        <v>1</v>
      </c>
      <c r="E249" s="43"/>
      <c r="F249" s="27">
        <f t="shared" ref="F249:F252" si="14">+D249*E249</f>
        <v>0</v>
      </c>
    </row>
    <row r="250" spans="1:7" ht="39.6" x14ac:dyDescent="0.3">
      <c r="A250" s="25">
        <v>5.7</v>
      </c>
      <c r="B250" s="25" t="s">
        <v>31</v>
      </c>
      <c r="C250" s="25" t="s">
        <v>12</v>
      </c>
      <c r="D250" s="25">
        <v>1</v>
      </c>
      <c r="E250" s="43"/>
      <c r="F250" s="27">
        <f t="shared" si="14"/>
        <v>0</v>
      </c>
    </row>
    <row r="251" spans="1:7" s="11" customFormat="1" ht="39.6" x14ac:dyDescent="0.3">
      <c r="A251" s="25">
        <v>5.8</v>
      </c>
      <c r="B251" s="25" t="s">
        <v>24</v>
      </c>
      <c r="C251" s="25" t="s">
        <v>13</v>
      </c>
      <c r="D251" s="25">
        <v>200</v>
      </c>
      <c r="E251" s="43"/>
      <c r="F251" s="27">
        <f t="shared" si="14"/>
        <v>0</v>
      </c>
      <c r="G251" s="10"/>
    </row>
    <row r="252" spans="1:7" s="11" customFormat="1" ht="26.4" x14ac:dyDescent="0.3">
      <c r="A252" s="25">
        <v>5.9</v>
      </c>
      <c r="B252" s="25" t="s">
        <v>33</v>
      </c>
      <c r="C252" s="25" t="s">
        <v>12</v>
      </c>
      <c r="D252" s="25">
        <v>1</v>
      </c>
      <c r="E252" s="43"/>
      <c r="F252" s="27">
        <f t="shared" si="14"/>
        <v>0</v>
      </c>
      <c r="G252" s="10"/>
    </row>
    <row r="253" spans="1:7" x14ac:dyDescent="0.3">
      <c r="A253" s="17"/>
      <c r="B253" s="18" t="s">
        <v>18</v>
      </c>
      <c r="C253" s="31"/>
      <c r="D253" s="31"/>
      <c r="E253" s="31"/>
      <c r="F253" s="32">
        <f>SUM(F244:F252)</f>
        <v>0</v>
      </c>
    </row>
    <row r="254" spans="1:7" s="6" customFormat="1" ht="15" x14ac:dyDescent="0.25">
      <c r="A254" s="20" t="s">
        <v>62</v>
      </c>
      <c r="B254" s="18" t="s">
        <v>19</v>
      </c>
      <c r="C254" s="16" t="s">
        <v>7</v>
      </c>
      <c r="D254" s="16"/>
      <c r="E254" s="16"/>
      <c r="F254" s="16"/>
      <c r="G254" s="5"/>
    </row>
    <row r="255" spans="1:7" s="6" customFormat="1" ht="15" x14ac:dyDescent="0.25">
      <c r="A255" s="25">
        <v>6.1</v>
      </c>
      <c r="B255" s="25" t="s">
        <v>64</v>
      </c>
      <c r="C255" s="25" t="s">
        <v>65</v>
      </c>
      <c r="D255" s="25">
        <v>1</v>
      </c>
      <c r="E255" s="43"/>
      <c r="F255" s="27">
        <f t="shared" ref="F255:F261" si="15">+D255*E255</f>
        <v>0</v>
      </c>
      <c r="G255" s="5"/>
    </row>
    <row r="256" spans="1:7" s="6" customFormat="1" ht="26.4" x14ac:dyDescent="0.25">
      <c r="A256" s="25">
        <v>6.2</v>
      </c>
      <c r="B256" s="25" t="s">
        <v>66</v>
      </c>
      <c r="C256" s="25" t="s">
        <v>67</v>
      </c>
      <c r="D256" s="25">
        <v>100</v>
      </c>
      <c r="E256" s="43"/>
      <c r="F256" s="27">
        <f t="shared" si="15"/>
        <v>0</v>
      </c>
      <c r="G256" s="5"/>
    </row>
    <row r="257" spans="1:8" s="6" customFormat="1" ht="39.6" x14ac:dyDescent="0.25">
      <c r="A257" s="25">
        <v>6.3</v>
      </c>
      <c r="B257" s="25" t="s">
        <v>68</v>
      </c>
      <c r="C257" s="25" t="s">
        <v>69</v>
      </c>
      <c r="D257" s="25">
        <v>15</v>
      </c>
      <c r="E257" s="43"/>
      <c r="F257" s="27">
        <f t="shared" si="15"/>
        <v>0</v>
      </c>
      <c r="G257" s="5"/>
    </row>
    <row r="258" spans="1:8" s="6" customFormat="1" ht="26.4" x14ac:dyDescent="0.25">
      <c r="A258" s="25">
        <v>6.4</v>
      </c>
      <c r="B258" s="25" t="s">
        <v>70</v>
      </c>
      <c r="C258" s="25" t="s">
        <v>69</v>
      </c>
      <c r="D258" s="25">
        <v>1</v>
      </c>
      <c r="E258" s="43"/>
      <c r="F258" s="27">
        <f t="shared" si="15"/>
        <v>0</v>
      </c>
      <c r="G258" s="5"/>
    </row>
    <row r="259" spans="1:8" s="6" customFormat="1" ht="15" x14ac:dyDescent="0.25">
      <c r="A259" s="25">
        <v>6.5</v>
      </c>
      <c r="B259" s="25" t="s">
        <v>71</v>
      </c>
      <c r="C259" s="25" t="s">
        <v>65</v>
      </c>
      <c r="D259" s="25">
        <v>1</v>
      </c>
      <c r="E259" s="43"/>
      <c r="F259" s="27">
        <f t="shared" si="15"/>
        <v>0</v>
      </c>
      <c r="G259" s="5"/>
    </row>
    <row r="260" spans="1:8" s="6" customFormat="1" ht="26.4" x14ac:dyDescent="0.25">
      <c r="A260" s="25">
        <v>6.6</v>
      </c>
      <c r="B260" s="25" t="s">
        <v>72</v>
      </c>
      <c r="C260" s="25" t="s">
        <v>73</v>
      </c>
      <c r="D260" s="25">
        <v>1</v>
      </c>
      <c r="E260" s="43"/>
      <c r="F260" s="27">
        <f t="shared" si="15"/>
        <v>0</v>
      </c>
      <c r="G260" s="5"/>
    </row>
    <row r="261" spans="1:8" s="6" customFormat="1" ht="26.4" x14ac:dyDescent="0.25">
      <c r="A261" s="25">
        <v>6.7</v>
      </c>
      <c r="B261" s="25" t="s">
        <v>74</v>
      </c>
      <c r="C261" s="25" t="s">
        <v>75</v>
      </c>
      <c r="D261" s="25">
        <v>2</v>
      </c>
      <c r="E261" s="43"/>
      <c r="F261" s="27">
        <f t="shared" si="15"/>
        <v>0</v>
      </c>
      <c r="G261" s="5"/>
    </row>
    <row r="262" spans="1:8" s="6" customFormat="1" ht="15" x14ac:dyDescent="0.25">
      <c r="A262" s="25"/>
      <c r="B262" s="18" t="s">
        <v>76</v>
      </c>
      <c r="C262" s="31"/>
      <c r="D262" s="31"/>
      <c r="E262" s="31"/>
      <c r="F262" s="32">
        <f>SUM(F255:F261)</f>
        <v>0</v>
      </c>
      <c r="G262" s="5"/>
    </row>
    <row r="263" spans="1:8" x14ac:dyDescent="0.3">
      <c r="A263" s="109" t="s">
        <v>20</v>
      </c>
      <c r="B263" s="109"/>
      <c r="C263" s="33"/>
      <c r="D263" s="33"/>
      <c r="E263" s="33"/>
      <c r="F263" s="34">
        <f>+F7+F12+F27+F253+F262+F242</f>
        <v>0</v>
      </c>
    </row>
    <row r="264" spans="1:8" s="8" customFormat="1" ht="15" x14ac:dyDescent="0.25">
      <c r="A264" s="37"/>
      <c r="B264" s="38" t="s">
        <v>21</v>
      </c>
      <c r="C264" s="38"/>
      <c r="D264" s="38"/>
      <c r="E264" s="38"/>
      <c r="F264" s="39"/>
      <c r="G264" s="7"/>
    </row>
    <row r="265" spans="1:8" s="8" customFormat="1" ht="15" x14ac:dyDescent="0.25">
      <c r="A265" s="35"/>
      <c r="B265" s="36"/>
      <c r="C265" s="36"/>
      <c r="D265" s="36"/>
      <c r="E265" s="36"/>
      <c r="F265" s="36"/>
      <c r="G265" s="7"/>
      <c r="H265" s="9"/>
    </row>
    <row r="267" spans="1:8" x14ac:dyDescent="0.3">
      <c r="A267" s="54" t="s">
        <v>0</v>
      </c>
      <c r="B267" s="55" t="s">
        <v>58</v>
      </c>
      <c r="C267" s="54" t="s">
        <v>59</v>
      </c>
      <c r="D267" s="54" t="s">
        <v>60</v>
      </c>
    </row>
    <row r="268" spans="1:8" x14ac:dyDescent="0.3">
      <c r="A268" s="57">
        <v>1</v>
      </c>
      <c r="B268" s="58" t="str">
        <f>+B4</f>
        <v>Travaux preliminaires</v>
      </c>
      <c r="C268" s="59">
        <f>+F7</f>
        <v>0</v>
      </c>
      <c r="D268" s="60" t="e">
        <f>+C268/$C$274</f>
        <v>#DIV/0!</v>
      </c>
    </row>
    <row r="269" spans="1:8" x14ac:dyDescent="0.3">
      <c r="A269" s="57">
        <v>2</v>
      </c>
      <c r="B269" s="61" t="str">
        <f>+B8</f>
        <v>Reseau de refoulement</v>
      </c>
      <c r="C269" s="59">
        <f>+F12</f>
        <v>0</v>
      </c>
      <c r="D269" s="60" t="e">
        <f t="shared" ref="D269:D274" si="16">+C269/$C$274</f>
        <v>#DIV/0!</v>
      </c>
    </row>
    <row r="270" spans="1:8" x14ac:dyDescent="0.3">
      <c r="A270" s="57">
        <v>3</v>
      </c>
      <c r="B270" s="61" t="str">
        <f>+B13</f>
        <v>Réseau de distribution</v>
      </c>
      <c r="C270" s="59">
        <f>+F27</f>
        <v>0</v>
      </c>
      <c r="D270" s="60" t="e">
        <f t="shared" si="16"/>
        <v>#DIV/0!</v>
      </c>
    </row>
    <row r="271" spans="1:8" ht="27" x14ac:dyDescent="0.3">
      <c r="A271" s="57">
        <v>4</v>
      </c>
      <c r="B271" s="61" t="str">
        <f>+B28</f>
        <v>Infrastructures d'accompagnement et champs solaire</v>
      </c>
      <c r="C271" s="59">
        <f>+F242</f>
        <v>0</v>
      </c>
      <c r="D271" s="60" t="e">
        <f t="shared" si="16"/>
        <v>#DIV/0!</v>
      </c>
    </row>
    <row r="272" spans="1:8" x14ac:dyDescent="0.3">
      <c r="A272" s="57">
        <v>5</v>
      </c>
      <c r="B272" s="61" t="str">
        <f>+B243</f>
        <v>Clôture et Annexe</v>
      </c>
      <c r="C272" s="59">
        <f>+F253</f>
        <v>0</v>
      </c>
      <c r="D272" s="60" t="e">
        <f t="shared" si="16"/>
        <v>#DIV/0!</v>
      </c>
    </row>
    <row r="273" spans="1:4" x14ac:dyDescent="0.3">
      <c r="A273" s="57">
        <v>6</v>
      </c>
      <c r="B273" s="62" t="str">
        <f>+B254</f>
        <v>Mise en œuvre du PGES</v>
      </c>
      <c r="C273" s="59">
        <f>+F262</f>
        <v>0</v>
      </c>
      <c r="D273" s="60" t="e">
        <f t="shared" si="16"/>
        <v>#DIV/0!</v>
      </c>
    </row>
    <row r="274" spans="1:4" x14ac:dyDescent="0.3">
      <c r="A274" s="57"/>
      <c r="B274" s="63" t="s">
        <v>63</v>
      </c>
      <c r="C274" s="64">
        <f>SUM(C268:C273)</f>
        <v>0</v>
      </c>
      <c r="D274" s="65" t="e">
        <f t="shared" si="16"/>
        <v>#DIV/0!</v>
      </c>
    </row>
  </sheetData>
  <mergeCells count="11">
    <mergeCell ref="A263:B263"/>
    <mergeCell ref="A1:F1"/>
    <mergeCell ref="A2:A3"/>
    <mergeCell ref="B2:B3"/>
    <mergeCell ref="C2:C3"/>
    <mergeCell ref="D2:D3"/>
    <mergeCell ref="B29:F29"/>
    <mergeCell ref="B83:F83"/>
    <mergeCell ref="B137:F137"/>
    <mergeCell ref="B191:F191"/>
    <mergeCell ref="B230:F2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</sheetPr>
  <dimension ref="A1:H274"/>
  <sheetViews>
    <sheetView tabSelected="1" workbookViewId="0">
      <selection activeCell="E287" sqref="E287"/>
    </sheetView>
  </sheetViews>
  <sheetFormatPr baseColWidth="10" defaultColWidth="11.44140625" defaultRowHeight="14.4" x14ac:dyDescent="0.3"/>
  <cols>
    <col min="1" max="1" width="5.44140625" style="35" customWidth="1"/>
    <col min="2" max="2" width="40.5546875" style="40" customWidth="1"/>
    <col min="3" max="3" width="12" style="35" bestFit="1" customWidth="1"/>
    <col min="4" max="4" width="10.44140625" style="35" bestFit="1" customWidth="1"/>
    <col min="5" max="5" width="13.44140625" style="35" customWidth="1"/>
    <col min="6" max="6" width="20" style="35" bestFit="1" customWidth="1"/>
    <col min="7" max="7" width="13.44140625" style="3" bestFit="1" customWidth="1"/>
    <col min="8" max="8" width="12.88671875" bestFit="1" customWidth="1"/>
  </cols>
  <sheetData>
    <row r="1" spans="1:7" s="2" customFormat="1" x14ac:dyDescent="0.3">
      <c r="A1" s="114" t="s">
        <v>54</v>
      </c>
      <c r="B1" s="114"/>
      <c r="C1" s="114"/>
      <c r="D1" s="114"/>
      <c r="E1" s="114"/>
      <c r="F1" s="114"/>
      <c r="G1" s="1"/>
    </row>
    <row r="2" spans="1:7" x14ac:dyDescent="0.3">
      <c r="A2" s="111" t="s">
        <v>0</v>
      </c>
      <c r="B2" s="112" t="s">
        <v>1</v>
      </c>
      <c r="C2" s="111" t="s">
        <v>2</v>
      </c>
      <c r="D2" s="111" t="s">
        <v>3</v>
      </c>
      <c r="E2" s="67" t="s">
        <v>4</v>
      </c>
      <c r="F2" s="67" t="s">
        <v>5</v>
      </c>
    </row>
    <row r="3" spans="1:7" x14ac:dyDescent="0.3">
      <c r="A3" s="111"/>
      <c r="B3" s="112"/>
      <c r="C3" s="111"/>
      <c r="D3" s="111"/>
      <c r="E3" s="67" t="s">
        <v>25</v>
      </c>
      <c r="F3" s="67" t="s">
        <v>25</v>
      </c>
    </row>
    <row r="4" spans="1:7" x14ac:dyDescent="0.3">
      <c r="A4" s="14" t="s">
        <v>6</v>
      </c>
      <c r="B4" s="50" t="s">
        <v>61</v>
      </c>
      <c r="C4" s="14"/>
      <c r="D4" s="14"/>
      <c r="E4" s="14"/>
      <c r="F4" s="14"/>
    </row>
    <row r="5" spans="1:7" x14ac:dyDescent="0.3">
      <c r="A5" s="15">
        <v>1.1000000000000001</v>
      </c>
      <c r="B5" s="51" t="s">
        <v>26</v>
      </c>
      <c r="C5" s="15" t="s">
        <v>7</v>
      </c>
      <c r="D5" s="15">
        <v>1</v>
      </c>
      <c r="E5" s="16"/>
      <c r="F5" s="16">
        <f>+D5*E5</f>
        <v>0</v>
      </c>
      <c r="G5" s="68"/>
    </row>
    <row r="6" spans="1:7" ht="52.8" x14ac:dyDescent="0.3">
      <c r="A6" s="15">
        <v>1.2</v>
      </c>
      <c r="B6" s="52" t="s">
        <v>27</v>
      </c>
      <c r="C6" s="15" t="s">
        <v>28</v>
      </c>
      <c r="D6" s="15">
        <v>2</v>
      </c>
      <c r="E6" s="16"/>
      <c r="F6" s="16">
        <f>+D6*E6</f>
        <v>0</v>
      </c>
      <c r="G6" s="68"/>
    </row>
    <row r="7" spans="1:7" x14ac:dyDescent="0.3">
      <c r="A7" s="17"/>
      <c r="B7" s="18" t="s">
        <v>8</v>
      </c>
      <c r="C7" s="17"/>
      <c r="D7" s="17"/>
      <c r="E7" s="17"/>
      <c r="F7" s="19">
        <f>SUM(F5:F6)</f>
        <v>0</v>
      </c>
    </row>
    <row r="8" spans="1:7" x14ac:dyDescent="0.3">
      <c r="A8" s="14" t="s">
        <v>9</v>
      </c>
      <c r="B8" s="20" t="s">
        <v>244</v>
      </c>
      <c r="C8" s="21"/>
      <c r="D8" s="21"/>
      <c r="E8" s="21"/>
      <c r="F8" s="21"/>
    </row>
    <row r="9" spans="1:7" ht="66" x14ac:dyDescent="0.3">
      <c r="A9" s="22">
        <v>2.1</v>
      </c>
      <c r="B9" s="52" t="s">
        <v>39</v>
      </c>
      <c r="C9" s="22" t="s">
        <v>13</v>
      </c>
      <c r="D9" s="22">
        <f>240+175</f>
        <v>415</v>
      </c>
      <c r="E9" s="24"/>
      <c r="F9" s="16">
        <f t="shared" ref="F9:F11" si="0">+D9*E9</f>
        <v>0</v>
      </c>
    </row>
    <row r="10" spans="1:7" ht="39.6" x14ac:dyDescent="0.3">
      <c r="A10" s="22">
        <v>2.2000000000000002</v>
      </c>
      <c r="B10" s="23" t="s">
        <v>36</v>
      </c>
      <c r="C10" s="22" t="s">
        <v>14</v>
      </c>
      <c r="D10" s="22">
        <f>240+175</f>
        <v>415</v>
      </c>
      <c r="E10" s="24"/>
      <c r="F10" s="16">
        <f t="shared" si="0"/>
        <v>0</v>
      </c>
    </row>
    <row r="11" spans="1:7" s="2" customFormat="1" ht="55.2" x14ac:dyDescent="0.3">
      <c r="A11" s="22">
        <v>2.2999999999999998</v>
      </c>
      <c r="B11" s="25" t="s">
        <v>34</v>
      </c>
      <c r="C11" s="25" t="s">
        <v>23</v>
      </c>
      <c r="D11" s="56">
        <v>1</v>
      </c>
      <c r="E11" s="24"/>
      <c r="F11" s="16">
        <f t="shared" si="0"/>
        <v>0</v>
      </c>
      <c r="G11" s="3"/>
    </row>
    <row r="12" spans="1:7" x14ac:dyDescent="0.3">
      <c r="A12" s="56"/>
      <c r="B12" s="28" t="s">
        <v>10</v>
      </c>
      <c r="C12" s="17"/>
      <c r="D12" s="17"/>
      <c r="E12" s="17"/>
      <c r="F12" s="19">
        <f>SUM(F9:F11)</f>
        <v>0</v>
      </c>
    </row>
    <row r="13" spans="1:7" x14ac:dyDescent="0.3">
      <c r="A13" s="29" t="s">
        <v>11</v>
      </c>
      <c r="B13" s="18" t="s">
        <v>16</v>
      </c>
      <c r="C13" s="30"/>
      <c r="D13" s="30"/>
      <c r="E13" s="30"/>
      <c r="F13" s="21"/>
    </row>
    <row r="14" spans="1:7" s="2" customFormat="1" ht="66" x14ac:dyDescent="0.3">
      <c r="A14" s="25">
        <v>3.1</v>
      </c>
      <c r="B14" s="26" t="s">
        <v>37</v>
      </c>
      <c r="C14" s="41" t="s">
        <v>13</v>
      </c>
      <c r="D14" s="25">
        <f>+D15+D16+D17</f>
        <v>715</v>
      </c>
      <c r="E14" s="25"/>
      <c r="F14" s="27">
        <f t="shared" ref="F14:F20" si="1">+D14*E14</f>
        <v>0</v>
      </c>
      <c r="G14" s="1"/>
    </row>
    <row r="15" spans="1:7" s="2" customFormat="1" ht="66" x14ac:dyDescent="0.3">
      <c r="A15" s="42">
        <v>3.2</v>
      </c>
      <c r="B15" s="26" t="s">
        <v>40</v>
      </c>
      <c r="C15" s="25" t="s">
        <v>13</v>
      </c>
      <c r="D15" s="25">
        <v>105</v>
      </c>
      <c r="E15" s="43"/>
      <c r="F15" s="27">
        <f t="shared" si="1"/>
        <v>0</v>
      </c>
      <c r="G15" s="1"/>
    </row>
    <row r="16" spans="1:7" s="2" customFormat="1" ht="66" x14ac:dyDescent="0.3">
      <c r="A16" s="25">
        <v>3.3</v>
      </c>
      <c r="B16" s="26" t="s">
        <v>38</v>
      </c>
      <c r="C16" s="25" t="s">
        <v>13</v>
      </c>
      <c r="D16" s="25">
        <v>160</v>
      </c>
      <c r="E16" s="43"/>
      <c r="F16" s="27">
        <f t="shared" si="1"/>
        <v>0</v>
      </c>
      <c r="G16" s="1"/>
    </row>
    <row r="17" spans="1:8" s="2" customFormat="1" ht="66" x14ac:dyDescent="0.3">
      <c r="A17" s="42">
        <v>3.4</v>
      </c>
      <c r="B17" s="26" t="s">
        <v>41</v>
      </c>
      <c r="C17" s="25" t="s">
        <v>13</v>
      </c>
      <c r="D17" s="25">
        <v>450</v>
      </c>
      <c r="E17" s="43"/>
      <c r="F17" s="27">
        <f t="shared" si="1"/>
        <v>0</v>
      </c>
      <c r="G17" s="1"/>
    </row>
    <row r="18" spans="1:8" s="2" customFormat="1" ht="26.4" x14ac:dyDescent="0.3">
      <c r="A18" s="25">
        <v>3.5</v>
      </c>
      <c r="B18" s="26" t="s">
        <v>42</v>
      </c>
      <c r="C18" s="25" t="s">
        <v>12</v>
      </c>
      <c r="D18" s="25">
        <v>1</v>
      </c>
      <c r="E18" s="43"/>
      <c r="F18" s="27">
        <f t="shared" si="1"/>
        <v>0</v>
      </c>
      <c r="G18" s="1"/>
    </row>
    <row r="19" spans="1:8" s="2" customFormat="1" ht="26.4" x14ac:dyDescent="0.3">
      <c r="A19" s="42">
        <v>3.6</v>
      </c>
      <c r="B19" s="26" t="s">
        <v>43</v>
      </c>
      <c r="C19" s="25" t="s">
        <v>12</v>
      </c>
      <c r="D19" s="25">
        <v>1</v>
      </c>
      <c r="E19" s="43"/>
      <c r="F19" s="27">
        <f t="shared" si="1"/>
        <v>0</v>
      </c>
      <c r="G19" s="1"/>
    </row>
    <row r="20" spans="1:8" s="2" customFormat="1" ht="26.4" x14ac:dyDescent="0.3">
      <c r="A20" s="25">
        <v>3.7</v>
      </c>
      <c r="B20" s="26" t="s">
        <v>44</v>
      </c>
      <c r="C20" s="25" t="s">
        <v>12</v>
      </c>
      <c r="D20" s="25">
        <v>20</v>
      </c>
      <c r="E20" s="43"/>
      <c r="F20" s="27">
        <f t="shared" si="1"/>
        <v>0</v>
      </c>
      <c r="G20" s="1"/>
    </row>
    <row r="21" spans="1:8" s="2" customFormat="1" ht="39.6" x14ac:dyDescent="0.3">
      <c r="A21" s="42">
        <v>3.8</v>
      </c>
      <c r="B21" s="25" t="s">
        <v>45</v>
      </c>
      <c r="C21" s="25" t="s">
        <v>23</v>
      </c>
      <c r="D21" s="25"/>
      <c r="E21" s="43"/>
      <c r="F21" s="27">
        <f t="shared" ref="F21:F26" si="2">+D21*E21</f>
        <v>0</v>
      </c>
      <c r="G21" s="1"/>
      <c r="H21" s="44"/>
    </row>
    <row r="22" spans="1:8" s="2" customFormat="1" ht="39.6" x14ac:dyDescent="0.3">
      <c r="A22" s="25">
        <v>3.9</v>
      </c>
      <c r="B22" s="25" t="s">
        <v>46</v>
      </c>
      <c r="C22" s="25" t="s">
        <v>23</v>
      </c>
      <c r="D22" s="25">
        <v>0</v>
      </c>
      <c r="E22" s="43"/>
      <c r="F22" s="27">
        <f t="shared" si="2"/>
        <v>0</v>
      </c>
      <c r="G22" s="1"/>
    </row>
    <row r="23" spans="1:8" s="2" customFormat="1" ht="68.400000000000006" x14ac:dyDescent="0.3">
      <c r="A23" s="49">
        <v>3.1</v>
      </c>
      <c r="B23" s="25" t="s">
        <v>47</v>
      </c>
      <c r="C23" s="25" t="s">
        <v>23</v>
      </c>
      <c r="D23" s="25">
        <v>12</v>
      </c>
      <c r="E23" s="43"/>
      <c r="F23" s="27">
        <f t="shared" si="2"/>
        <v>0</v>
      </c>
      <c r="G23" s="1"/>
    </row>
    <row r="24" spans="1:8" s="2" customFormat="1" ht="26.4" x14ac:dyDescent="0.3">
      <c r="A24" s="25">
        <v>3.11</v>
      </c>
      <c r="B24" s="25" t="s">
        <v>52</v>
      </c>
      <c r="C24" s="25" t="s">
        <v>51</v>
      </c>
      <c r="D24" s="25">
        <v>25</v>
      </c>
      <c r="E24" s="43"/>
      <c r="F24" s="27">
        <f t="shared" si="2"/>
        <v>0</v>
      </c>
      <c r="G24" s="1"/>
    </row>
    <row r="25" spans="1:8" s="2" customFormat="1" ht="26.4" x14ac:dyDescent="0.3">
      <c r="A25" s="25">
        <v>3.12</v>
      </c>
      <c r="B25" s="25" t="s">
        <v>49</v>
      </c>
      <c r="C25" s="12" t="s">
        <v>12</v>
      </c>
      <c r="D25" s="12">
        <f>2*D23</f>
        <v>24</v>
      </c>
      <c r="E25" s="43"/>
      <c r="F25" s="27">
        <f t="shared" si="2"/>
        <v>0</v>
      </c>
      <c r="G25" s="1"/>
    </row>
    <row r="26" spans="1:8" s="2" customFormat="1" x14ac:dyDescent="0.3">
      <c r="A26" s="25">
        <v>3.13</v>
      </c>
      <c r="B26" s="25" t="s">
        <v>50</v>
      </c>
      <c r="C26" s="12" t="s">
        <v>12</v>
      </c>
      <c r="D26" s="12">
        <v>10</v>
      </c>
      <c r="E26" s="43"/>
      <c r="F26" s="27">
        <f t="shared" si="2"/>
        <v>0</v>
      </c>
      <c r="G26" s="1"/>
    </row>
    <row r="27" spans="1:8" x14ac:dyDescent="0.3">
      <c r="A27" s="17"/>
      <c r="B27" s="18" t="s">
        <v>56</v>
      </c>
      <c r="C27" s="31"/>
      <c r="D27" s="31"/>
      <c r="E27" s="31"/>
      <c r="F27" s="32">
        <f>SUM(F14:F26)</f>
        <v>0</v>
      </c>
    </row>
    <row r="28" spans="1:8" ht="26.4" x14ac:dyDescent="0.3">
      <c r="A28" s="29" t="s">
        <v>15</v>
      </c>
      <c r="B28" s="18" t="s">
        <v>247</v>
      </c>
      <c r="C28" s="18"/>
      <c r="D28" s="18"/>
      <c r="E28" s="18"/>
      <c r="F28" s="18"/>
      <c r="G28" s="53"/>
    </row>
    <row r="29" spans="1:8" s="35" customFormat="1" ht="13.2" x14ac:dyDescent="0.25">
      <c r="A29" s="75" t="s">
        <v>242</v>
      </c>
      <c r="B29" s="113" t="s">
        <v>78</v>
      </c>
      <c r="C29" s="113"/>
      <c r="D29" s="113"/>
      <c r="E29" s="113"/>
      <c r="F29" s="113"/>
    </row>
    <row r="30" spans="1:8" s="35" customFormat="1" ht="13.2" x14ac:dyDescent="0.25">
      <c r="A30" s="76" t="s">
        <v>79</v>
      </c>
      <c r="B30" s="20" t="s">
        <v>80</v>
      </c>
      <c r="C30" s="76" t="s">
        <v>81</v>
      </c>
      <c r="D30" s="77" t="s">
        <v>82</v>
      </c>
      <c r="E30" s="76" t="s">
        <v>83</v>
      </c>
      <c r="F30" s="76" t="s">
        <v>84</v>
      </c>
    </row>
    <row r="31" spans="1:8" s="35" customFormat="1" ht="13.2" x14ac:dyDescent="0.25">
      <c r="A31" s="76" t="s">
        <v>85</v>
      </c>
      <c r="B31" s="20" t="s">
        <v>86</v>
      </c>
      <c r="C31" s="22" t="s">
        <v>87</v>
      </c>
      <c r="D31" s="78" t="s">
        <v>88</v>
      </c>
      <c r="E31" s="22" t="s">
        <v>87</v>
      </c>
      <c r="F31" s="76" t="s">
        <v>87</v>
      </c>
    </row>
    <row r="32" spans="1:8" s="35" customFormat="1" ht="15.6" x14ac:dyDescent="0.25">
      <c r="A32" s="76" t="s">
        <v>89</v>
      </c>
      <c r="B32" s="23" t="s">
        <v>90</v>
      </c>
      <c r="C32" s="22" t="s">
        <v>248</v>
      </c>
      <c r="D32" s="79">
        <f>(10.3+2)*(7.3+2)</f>
        <v>114.39000000000001</v>
      </c>
      <c r="E32" s="80"/>
      <c r="F32" s="81">
        <f>D32*E32</f>
        <v>0</v>
      </c>
    </row>
    <row r="33" spans="1:6" s="35" customFormat="1" ht="15.6" x14ac:dyDescent="0.25">
      <c r="A33" s="76" t="s">
        <v>91</v>
      </c>
      <c r="B33" s="23" t="s">
        <v>92</v>
      </c>
      <c r="C33" s="22" t="s">
        <v>249</v>
      </c>
      <c r="D33" s="79">
        <f>(34.6*0.4*0.6)*1.1</f>
        <v>9.1344000000000012</v>
      </c>
      <c r="E33" s="80"/>
      <c r="F33" s="81">
        <f>D33*E33</f>
        <v>0</v>
      </c>
    </row>
    <row r="34" spans="1:6" s="35" customFormat="1" ht="15.6" x14ac:dyDescent="0.25">
      <c r="A34" s="76" t="s">
        <v>93</v>
      </c>
      <c r="B34" s="23" t="s">
        <v>94</v>
      </c>
      <c r="C34" s="22" t="s">
        <v>249</v>
      </c>
      <c r="D34" s="79">
        <f>(1.2*1.2*1.2)*12*1.1</f>
        <v>22.809600000000003</v>
      </c>
      <c r="E34" s="80"/>
      <c r="F34" s="81">
        <f>D34*E34</f>
        <v>0</v>
      </c>
    </row>
    <row r="35" spans="1:6" s="35" customFormat="1" ht="15.6" x14ac:dyDescent="0.25">
      <c r="A35" s="76" t="s">
        <v>95</v>
      </c>
      <c r="B35" s="23" t="s">
        <v>96</v>
      </c>
      <c r="C35" s="22" t="s">
        <v>249</v>
      </c>
      <c r="D35" s="79">
        <f>+D34+D33</f>
        <v>31.944000000000003</v>
      </c>
      <c r="E35" s="80"/>
      <c r="F35" s="81">
        <f>D35*E35</f>
        <v>0</v>
      </c>
    </row>
    <row r="36" spans="1:6" s="35" customFormat="1" ht="15.6" x14ac:dyDescent="0.25">
      <c r="A36" s="76" t="s">
        <v>97</v>
      </c>
      <c r="B36" s="23" t="s">
        <v>98</v>
      </c>
      <c r="C36" s="22" t="s">
        <v>249</v>
      </c>
      <c r="D36" s="79">
        <f>((70*0.45)-D35*0.15)*1.1</f>
        <v>29.379240000000003</v>
      </c>
      <c r="E36" s="80"/>
      <c r="F36" s="81">
        <f>D36*E36</f>
        <v>0</v>
      </c>
    </row>
    <row r="37" spans="1:6" s="35" customFormat="1" ht="13.2" x14ac:dyDescent="0.25">
      <c r="A37" s="76" t="s">
        <v>88</v>
      </c>
      <c r="B37" s="76" t="s">
        <v>99</v>
      </c>
      <c r="C37" s="76" t="s">
        <v>88</v>
      </c>
      <c r="D37" s="77" t="s">
        <v>88</v>
      </c>
      <c r="E37" s="76"/>
      <c r="F37" s="82">
        <f>SUM(F32:F36)</f>
        <v>0</v>
      </c>
    </row>
    <row r="38" spans="1:6" s="35" customFormat="1" ht="13.2" x14ac:dyDescent="0.25">
      <c r="A38" s="76" t="s">
        <v>100</v>
      </c>
      <c r="B38" s="20" t="s">
        <v>101</v>
      </c>
      <c r="C38" s="76" t="s">
        <v>88</v>
      </c>
      <c r="D38" s="83" t="s">
        <v>88</v>
      </c>
      <c r="E38" s="76"/>
      <c r="F38" s="22" t="s">
        <v>87</v>
      </c>
    </row>
    <row r="39" spans="1:6" s="35" customFormat="1" ht="15.6" x14ac:dyDescent="0.25">
      <c r="A39" s="76" t="s">
        <v>102</v>
      </c>
      <c r="B39" s="23" t="s">
        <v>103</v>
      </c>
      <c r="C39" s="22" t="s">
        <v>249</v>
      </c>
      <c r="D39" s="79">
        <f>((0.4*0.05*34.6)+(1.2*1.2*0.05)*12)*1.1</f>
        <v>1.7116000000000002</v>
      </c>
      <c r="E39" s="80"/>
      <c r="F39" s="81">
        <f t="shared" ref="F39:F45" si="3">D39*E39</f>
        <v>0</v>
      </c>
    </row>
    <row r="40" spans="1:6" s="35" customFormat="1" ht="15.6" x14ac:dyDescent="0.25">
      <c r="A40" s="76" t="s">
        <v>104</v>
      </c>
      <c r="B40" s="84" t="s">
        <v>105</v>
      </c>
      <c r="C40" s="22" t="s">
        <v>249</v>
      </c>
      <c r="D40" s="79">
        <f>(1.2*1.2*0.25)*12*1.1</f>
        <v>4.7520000000000007</v>
      </c>
      <c r="E40" s="80"/>
      <c r="F40" s="81">
        <f t="shared" si="3"/>
        <v>0</v>
      </c>
    </row>
    <row r="41" spans="1:6" s="35" customFormat="1" ht="15.6" x14ac:dyDescent="0.25">
      <c r="A41" s="76" t="s">
        <v>106</v>
      </c>
      <c r="B41" s="23" t="s">
        <v>107</v>
      </c>
      <c r="C41" s="22" t="s">
        <v>249</v>
      </c>
      <c r="D41" s="79">
        <f>(0.2*0.2*1.5)*12*1</f>
        <v>0.7200000000000002</v>
      </c>
      <c r="E41" s="80"/>
      <c r="F41" s="81">
        <f t="shared" si="3"/>
        <v>0</v>
      </c>
    </row>
    <row r="42" spans="1:6" s="35" customFormat="1" ht="26.4" x14ac:dyDescent="0.25">
      <c r="A42" s="76" t="s">
        <v>108</v>
      </c>
      <c r="B42" s="23" t="s">
        <v>109</v>
      </c>
      <c r="C42" s="22" t="s">
        <v>248</v>
      </c>
      <c r="D42" s="79">
        <f>(34.6*1.05)*1.1</f>
        <v>39.963000000000008</v>
      </c>
      <c r="E42" s="80"/>
      <c r="F42" s="81">
        <f t="shared" si="3"/>
        <v>0</v>
      </c>
    </row>
    <row r="43" spans="1:6" s="35" customFormat="1" ht="15.6" x14ac:dyDescent="0.25">
      <c r="A43" s="76" t="s">
        <v>110</v>
      </c>
      <c r="B43" s="23" t="s">
        <v>111</v>
      </c>
      <c r="C43" s="22" t="s">
        <v>249</v>
      </c>
      <c r="D43" s="79">
        <f>(0.2*0.2*34.6)*1.1</f>
        <v>1.5224000000000004</v>
      </c>
      <c r="E43" s="80"/>
      <c r="F43" s="81">
        <f t="shared" si="3"/>
        <v>0</v>
      </c>
    </row>
    <row r="44" spans="1:6" s="35" customFormat="1" ht="15.6" x14ac:dyDescent="0.25">
      <c r="A44" s="76" t="s">
        <v>112</v>
      </c>
      <c r="B44" s="23" t="s">
        <v>113</v>
      </c>
      <c r="C44" s="22" t="s">
        <v>249</v>
      </c>
      <c r="D44" s="79">
        <f>(0.76*6*0.15)*1.1</f>
        <v>0.75240000000000007</v>
      </c>
      <c r="E44" s="80"/>
      <c r="F44" s="81">
        <f t="shared" si="3"/>
        <v>0</v>
      </c>
    </row>
    <row r="45" spans="1:6" s="35" customFormat="1" ht="26.4" x14ac:dyDescent="0.25">
      <c r="A45" s="76" t="s">
        <v>114</v>
      </c>
      <c r="B45" s="23" t="s">
        <v>115</v>
      </c>
      <c r="C45" s="22" t="s">
        <v>249</v>
      </c>
      <c r="D45" s="79">
        <f>70*0.12*1.1</f>
        <v>9.240000000000002</v>
      </c>
      <c r="E45" s="80"/>
      <c r="F45" s="81">
        <f t="shared" si="3"/>
        <v>0</v>
      </c>
    </row>
    <row r="46" spans="1:6" s="35" customFormat="1" ht="13.2" x14ac:dyDescent="0.25">
      <c r="A46" s="76" t="s">
        <v>88</v>
      </c>
      <c r="B46" s="76" t="s">
        <v>116</v>
      </c>
      <c r="C46" s="76" t="s">
        <v>88</v>
      </c>
      <c r="D46" s="77" t="s">
        <v>88</v>
      </c>
      <c r="E46" s="76"/>
      <c r="F46" s="82">
        <f>SUM(F39:F45)</f>
        <v>0</v>
      </c>
    </row>
    <row r="47" spans="1:6" s="35" customFormat="1" ht="13.2" x14ac:dyDescent="0.25">
      <c r="A47" s="76" t="s">
        <v>117</v>
      </c>
      <c r="B47" s="20" t="s">
        <v>118</v>
      </c>
      <c r="C47" s="22" t="s">
        <v>87</v>
      </c>
      <c r="D47" s="78" t="s">
        <v>88</v>
      </c>
      <c r="E47" s="22"/>
      <c r="F47" s="22" t="s">
        <v>87</v>
      </c>
    </row>
    <row r="48" spans="1:6" s="35" customFormat="1" ht="15.6" x14ac:dyDescent="0.25">
      <c r="A48" s="76" t="s">
        <v>119</v>
      </c>
      <c r="B48" s="23" t="s">
        <v>120</v>
      </c>
      <c r="C48" s="22" t="s">
        <v>248</v>
      </c>
      <c r="D48" s="79">
        <f>(4.4*34.6)*1.1</f>
        <v>167.46400000000003</v>
      </c>
      <c r="E48" s="80"/>
      <c r="F48" s="81">
        <f t="shared" ref="F48:F54" si="4">D48*E48</f>
        <v>0</v>
      </c>
    </row>
    <row r="49" spans="1:6" s="35" customFormat="1" ht="15.6" x14ac:dyDescent="0.25">
      <c r="A49" s="76" t="s">
        <v>121</v>
      </c>
      <c r="B49" s="84" t="s">
        <v>122</v>
      </c>
      <c r="C49" s="22" t="s">
        <v>249</v>
      </c>
      <c r="D49" s="79">
        <f>(0.15*0.15*4)*12*1.1</f>
        <v>1.1880000000000002</v>
      </c>
      <c r="E49" s="80"/>
      <c r="F49" s="81">
        <f t="shared" si="4"/>
        <v>0</v>
      </c>
    </row>
    <row r="50" spans="1:6" s="35" customFormat="1" ht="15.6" x14ac:dyDescent="0.25">
      <c r="A50" s="76" t="s">
        <v>123</v>
      </c>
      <c r="B50" s="23" t="s">
        <v>124</v>
      </c>
      <c r="C50" s="22" t="s">
        <v>249</v>
      </c>
      <c r="D50" s="79">
        <f>(34.6*0.15*0.1)*1.1</f>
        <v>0.57090000000000007</v>
      </c>
      <c r="E50" s="80"/>
      <c r="F50" s="81">
        <f t="shared" si="4"/>
        <v>0</v>
      </c>
    </row>
    <row r="51" spans="1:6" s="35" customFormat="1" ht="15.6" x14ac:dyDescent="0.25">
      <c r="A51" s="76" t="s">
        <v>125</v>
      </c>
      <c r="B51" s="23" t="s">
        <v>126</v>
      </c>
      <c r="C51" s="22" t="s">
        <v>249</v>
      </c>
      <c r="D51" s="79">
        <f>(34.6*0.15*0.2)*1.1</f>
        <v>1.1418000000000001</v>
      </c>
      <c r="E51" s="80"/>
      <c r="F51" s="81">
        <f t="shared" si="4"/>
        <v>0</v>
      </c>
    </row>
    <row r="52" spans="1:6" s="35" customFormat="1" ht="15.6" x14ac:dyDescent="0.25">
      <c r="A52" s="76" t="s">
        <v>127</v>
      </c>
      <c r="B52" s="23" t="s">
        <v>124</v>
      </c>
      <c r="C52" s="22" t="s">
        <v>249</v>
      </c>
      <c r="D52" s="79">
        <f>(34.6*0.15*0.1)*1.1</f>
        <v>0.57090000000000007</v>
      </c>
      <c r="E52" s="80"/>
      <c r="F52" s="81">
        <f t="shared" si="4"/>
        <v>0</v>
      </c>
    </row>
    <row r="53" spans="1:6" s="35" customFormat="1" ht="15.6" x14ac:dyDescent="0.25">
      <c r="A53" s="76" t="s">
        <v>128</v>
      </c>
      <c r="B53" s="23" t="s">
        <v>129</v>
      </c>
      <c r="C53" s="22" t="s">
        <v>249</v>
      </c>
      <c r="D53" s="79">
        <f>(34.6*0.15*0.2)*1.1</f>
        <v>1.1418000000000001</v>
      </c>
      <c r="E53" s="80"/>
      <c r="F53" s="81">
        <f t="shared" si="4"/>
        <v>0</v>
      </c>
    </row>
    <row r="54" spans="1:6" s="35" customFormat="1" ht="15.6" x14ac:dyDescent="0.25">
      <c r="A54" s="76" t="s">
        <v>130</v>
      </c>
      <c r="B54" s="23" t="s">
        <v>131</v>
      </c>
      <c r="C54" s="22" t="s">
        <v>249</v>
      </c>
      <c r="D54" s="79">
        <f>(10.3*0.127)*1.1</f>
        <v>1.4389100000000001</v>
      </c>
      <c r="E54" s="80"/>
      <c r="F54" s="81">
        <f t="shared" si="4"/>
        <v>0</v>
      </c>
    </row>
    <row r="55" spans="1:6" s="35" customFormat="1" ht="13.2" x14ac:dyDescent="0.25">
      <c r="A55" s="76" t="s">
        <v>88</v>
      </c>
      <c r="B55" s="76" t="s">
        <v>132</v>
      </c>
      <c r="C55" s="76" t="s">
        <v>88</v>
      </c>
      <c r="D55" s="77" t="s">
        <v>88</v>
      </c>
      <c r="E55" s="76"/>
      <c r="F55" s="82">
        <f>SUM(F48:F53)</f>
        <v>0</v>
      </c>
    </row>
    <row r="56" spans="1:6" s="35" customFormat="1" ht="13.2" x14ac:dyDescent="0.25">
      <c r="A56" s="76" t="s">
        <v>133</v>
      </c>
      <c r="B56" s="20" t="s">
        <v>134</v>
      </c>
      <c r="C56" s="22" t="s">
        <v>87</v>
      </c>
      <c r="D56" s="78" t="s">
        <v>88</v>
      </c>
      <c r="E56" s="22"/>
      <c r="F56" s="22" t="s">
        <v>87</v>
      </c>
    </row>
    <row r="57" spans="1:6" s="35" customFormat="1" ht="26.4" x14ac:dyDescent="0.25">
      <c r="A57" s="76" t="s">
        <v>135</v>
      </c>
      <c r="B57" s="23" t="s">
        <v>136</v>
      </c>
      <c r="C57" s="22" t="s">
        <v>248</v>
      </c>
      <c r="D57" s="85">
        <f>(7.3*10.3)*1.1</f>
        <v>82.709000000000003</v>
      </c>
      <c r="E57" s="80"/>
      <c r="F57" s="81">
        <f>D57*E57</f>
        <v>0</v>
      </c>
    </row>
    <row r="58" spans="1:6" s="35" customFormat="1" ht="26.4" x14ac:dyDescent="0.25">
      <c r="A58" s="76" t="s">
        <v>137</v>
      </c>
      <c r="B58" s="23" t="s">
        <v>138</v>
      </c>
      <c r="C58" s="22" t="s">
        <v>13</v>
      </c>
      <c r="D58" s="85">
        <f>7.3*3*1.1</f>
        <v>24.09</v>
      </c>
      <c r="E58" s="80"/>
      <c r="F58" s="81">
        <f>D58*E58</f>
        <v>0</v>
      </c>
    </row>
    <row r="59" spans="1:6" s="35" customFormat="1" ht="26.4" x14ac:dyDescent="0.25">
      <c r="A59" s="76" t="s">
        <v>139</v>
      </c>
      <c r="B59" s="23" t="s">
        <v>140</v>
      </c>
      <c r="C59" s="22" t="s">
        <v>13</v>
      </c>
      <c r="D59" s="85">
        <f>10.3*7*1.1</f>
        <v>79.310000000000016</v>
      </c>
      <c r="E59" s="80"/>
      <c r="F59" s="81">
        <f>D59*E59</f>
        <v>0</v>
      </c>
    </row>
    <row r="60" spans="1:6" s="35" customFormat="1" ht="15.6" x14ac:dyDescent="0.25">
      <c r="A60" s="76" t="s">
        <v>141</v>
      </c>
      <c r="B60" s="23" t="s">
        <v>142</v>
      </c>
      <c r="C60" s="22" t="s">
        <v>248</v>
      </c>
      <c r="D60" s="85">
        <f>70*1.1</f>
        <v>77</v>
      </c>
      <c r="E60" s="80"/>
      <c r="F60" s="81">
        <f>D60*E60</f>
        <v>0</v>
      </c>
    </row>
    <row r="61" spans="1:6" s="35" customFormat="1" ht="13.2" x14ac:dyDescent="0.25">
      <c r="A61" s="76" t="s">
        <v>88</v>
      </c>
      <c r="B61" s="76" t="s">
        <v>143</v>
      </c>
      <c r="C61" s="76" t="s">
        <v>88</v>
      </c>
      <c r="D61" s="77" t="s">
        <v>88</v>
      </c>
      <c r="E61" s="76"/>
      <c r="F61" s="82">
        <f>SUM(F57:F60)</f>
        <v>0</v>
      </c>
    </row>
    <row r="62" spans="1:6" s="35" customFormat="1" ht="13.2" x14ac:dyDescent="0.25">
      <c r="A62" s="76" t="s">
        <v>144</v>
      </c>
      <c r="B62" s="20" t="s">
        <v>145</v>
      </c>
      <c r="C62" s="22" t="s">
        <v>87</v>
      </c>
      <c r="D62" s="78" t="s">
        <v>88</v>
      </c>
      <c r="E62" s="22"/>
      <c r="F62" s="22" t="s">
        <v>87</v>
      </c>
    </row>
    <row r="63" spans="1:6" s="35" customFormat="1" ht="26.4" x14ac:dyDescent="0.25">
      <c r="A63" s="76" t="s">
        <v>146</v>
      </c>
      <c r="B63" s="23" t="s">
        <v>147</v>
      </c>
      <c r="C63" s="22" t="s">
        <v>12</v>
      </c>
      <c r="D63" s="85">
        <v>2</v>
      </c>
      <c r="E63" s="80"/>
      <c r="F63" s="81">
        <f>D63*E63</f>
        <v>0</v>
      </c>
    </row>
    <row r="64" spans="1:6" s="35" customFormat="1" ht="26.4" x14ac:dyDescent="0.25">
      <c r="A64" s="76" t="s">
        <v>148</v>
      </c>
      <c r="B64" s="23" t="s">
        <v>149</v>
      </c>
      <c r="C64" s="22" t="s">
        <v>12</v>
      </c>
      <c r="D64" s="85">
        <v>8</v>
      </c>
      <c r="E64" s="80"/>
      <c r="F64" s="81">
        <f>D64*E64</f>
        <v>0</v>
      </c>
    </row>
    <row r="65" spans="1:6" s="35" customFormat="1" ht="13.2" x14ac:dyDescent="0.25">
      <c r="A65" s="76" t="s">
        <v>88</v>
      </c>
      <c r="B65" s="76" t="s">
        <v>150</v>
      </c>
      <c r="C65" s="76" t="s">
        <v>88</v>
      </c>
      <c r="D65" s="77" t="s">
        <v>88</v>
      </c>
      <c r="E65" s="76"/>
      <c r="F65" s="82">
        <f>SUM(F63:F64)</f>
        <v>0</v>
      </c>
    </row>
    <row r="66" spans="1:6" s="35" customFormat="1" ht="13.2" x14ac:dyDescent="0.25">
      <c r="A66" s="76" t="s">
        <v>151</v>
      </c>
      <c r="B66" s="20" t="s">
        <v>152</v>
      </c>
      <c r="C66" s="22" t="s">
        <v>87</v>
      </c>
      <c r="D66" s="79" t="s">
        <v>87</v>
      </c>
      <c r="E66" s="22"/>
      <c r="F66" s="22" t="s">
        <v>87</v>
      </c>
    </row>
    <row r="67" spans="1:6" s="35" customFormat="1" ht="26.4" x14ac:dyDescent="0.25">
      <c r="A67" s="76" t="s">
        <v>153</v>
      </c>
      <c r="B67" s="23" t="s">
        <v>154</v>
      </c>
      <c r="C67" s="22" t="s">
        <v>248</v>
      </c>
      <c r="D67" s="85">
        <f>(34*3.65)*1.1</f>
        <v>136.51</v>
      </c>
      <c r="E67" s="80"/>
      <c r="F67" s="81">
        <f t="shared" ref="F67:F72" si="5">D67*E67</f>
        <v>0</v>
      </c>
    </row>
    <row r="68" spans="1:6" s="35" customFormat="1" ht="26.4" x14ac:dyDescent="0.25">
      <c r="A68" s="76" t="s">
        <v>155</v>
      </c>
      <c r="B68" s="23" t="s">
        <v>156</v>
      </c>
      <c r="C68" s="22" t="s">
        <v>248</v>
      </c>
      <c r="D68" s="85">
        <f>(34.6*4.85)*1.1</f>
        <v>184.59100000000001</v>
      </c>
      <c r="E68" s="80"/>
      <c r="F68" s="81">
        <f t="shared" si="5"/>
        <v>0</v>
      </c>
    </row>
    <row r="69" spans="1:6" s="35" customFormat="1" ht="15.6" x14ac:dyDescent="0.25">
      <c r="A69" s="76" t="s">
        <v>157</v>
      </c>
      <c r="B69" s="23" t="s">
        <v>158</v>
      </c>
      <c r="C69" s="22" t="s">
        <v>248</v>
      </c>
      <c r="D69" s="85">
        <f>+D67</f>
        <v>136.51</v>
      </c>
      <c r="E69" s="80"/>
      <c r="F69" s="81">
        <f t="shared" si="5"/>
        <v>0</v>
      </c>
    </row>
    <row r="70" spans="1:6" s="35" customFormat="1" ht="15.6" x14ac:dyDescent="0.25">
      <c r="A70" s="76" t="s">
        <v>159</v>
      </c>
      <c r="B70" s="23" t="s">
        <v>160</v>
      </c>
      <c r="C70" s="22" t="s">
        <v>248</v>
      </c>
      <c r="D70" s="85">
        <f>+D68</f>
        <v>184.59100000000001</v>
      </c>
      <c r="E70" s="80"/>
      <c r="F70" s="81">
        <f t="shared" si="5"/>
        <v>0</v>
      </c>
    </row>
    <row r="71" spans="1:6" s="35" customFormat="1" ht="15.6" x14ac:dyDescent="0.25">
      <c r="A71" s="76" t="s">
        <v>161</v>
      </c>
      <c r="B71" s="23" t="s">
        <v>162</v>
      </c>
      <c r="C71" s="22" t="s">
        <v>248</v>
      </c>
      <c r="D71" s="85">
        <f>70*1.1</f>
        <v>77</v>
      </c>
      <c r="E71" s="80"/>
      <c r="F71" s="81">
        <f t="shared" si="5"/>
        <v>0</v>
      </c>
    </row>
    <row r="72" spans="1:6" s="35" customFormat="1" ht="26.4" x14ac:dyDescent="0.25">
      <c r="A72" s="76" t="s">
        <v>163</v>
      </c>
      <c r="B72" s="23" t="s">
        <v>164</v>
      </c>
      <c r="C72" s="22" t="s">
        <v>248</v>
      </c>
      <c r="D72" s="85">
        <f>70*1.1</f>
        <v>77</v>
      </c>
      <c r="E72" s="80"/>
      <c r="F72" s="81">
        <f t="shared" si="5"/>
        <v>0</v>
      </c>
    </row>
    <row r="73" spans="1:6" s="35" customFormat="1" ht="13.2" x14ac:dyDescent="0.25">
      <c r="A73" s="76" t="s">
        <v>88</v>
      </c>
      <c r="B73" s="76" t="s">
        <v>165</v>
      </c>
      <c r="C73" s="76" t="s">
        <v>88</v>
      </c>
      <c r="D73" s="77" t="s">
        <v>88</v>
      </c>
      <c r="E73" s="76"/>
      <c r="F73" s="82">
        <f>SUM(F67:F72)</f>
        <v>0</v>
      </c>
    </row>
    <row r="74" spans="1:6" s="35" customFormat="1" ht="13.2" x14ac:dyDescent="0.25">
      <c r="A74" s="76" t="s">
        <v>166</v>
      </c>
      <c r="B74" s="20" t="s">
        <v>167</v>
      </c>
      <c r="C74" s="22" t="s">
        <v>87</v>
      </c>
      <c r="D74" s="79" t="s">
        <v>87</v>
      </c>
      <c r="E74" s="22"/>
      <c r="F74" s="22" t="s">
        <v>87</v>
      </c>
    </row>
    <row r="75" spans="1:6" s="35" customFormat="1" ht="26.4" x14ac:dyDescent="0.25">
      <c r="A75" s="76" t="s">
        <v>168</v>
      </c>
      <c r="B75" s="23" t="s">
        <v>169</v>
      </c>
      <c r="C75" s="22" t="s">
        <v>23</v>
      </c>
      <c r="D75" s="85">
        <v>1</v>
      </c>
      <c r="E75" s="80"/>
      <c r="F75" s="81">
        <f>D75*E75</f>
        <v>0</v>
      </c>
    </row>
    <row r="76" spans="1:6" s="35" customFormat="1" ht="13.2" x14ac:dyDescent="0.25">
      <c r="A76" s="86" t="s">
        <v>170</v>
      </c>
      <c r="B76" s="87" t="s">
        <v>171</v>
      </c>
      <c r="C76" s="88" t="s">
        <v>12</v>
      </c>
      <c r="D76" s="89">
        <v>8</v>
      </c>
      <c r="E76" s="90"/>
      <c r="F76" s="91">
        <f>D76*E76</f>
        <v>0</v>
      </c>
    </row>
    <row r="77" spans="1:6" s="35" customFormat="1" ht="13.2" x14ac:dyDescent="0.25">
      <c r="A77" s="86" t="s">
        <v>172</v>
      </c>
      <c r="B77" s="92" t="s">
        <v>173</v>
      </c>
      <c r="C77" s="88" t="s">
        <v>12</v>
      </c>
      <c r="D77" s="89">
        <v>5</v>
      </c>
      <c r="E77" s="90"/>
      <c r="F77" s="91">
        <f>D77*E77</f>
        <v>0</v>
      </c>
    </row>
    <row r="78" spans="1:6" s="35" customFormat="1" ht="13.2" x14ac:dyDescent="0.25">
      <c r="A78" s="86" t="s">
        <v>174</v>
      </c>
      <c r="B78" s="87" t="s">
        <v>175</v>
      </c>
      <c r="C78" s="88" t="s">
        <v>12</v>
      </c>
      <c r="D78" s="89">
        <v>8</v>
      </c>
      <c r="E78" s="90"/>
      <c r="F78" s="91">
        <f>D78*E78</f>
        <v>0</v>
      </c>
    </row>
    <row r="79" spans="1:6" s="35" customFormat="1" ht="13.2" x14ac:dyDescent="0.25">
      <c r="A79" s="86" t="s">
        <v>176</v>
      </c>
      <c r="B79" s="87" t="s">
        <v>177</v>
      </c>
      <c r="C79" s="88" t="s">
        <v>12</v>
      </c>
      <c r="D79" s="89">
        <v>6</v>
      </c>
      <c r="E79" s="90"/>
      <c r="F79" s="91">
        <f>D79*E79</f>
        <v>0</v>
      </c>
    </row>
    <row r="80" spans="1:6" s="35" customFormat="1" ht="13.2" x14ac:dyDescent="0.25">
      <c r="A80" s="86" t="s">
        <v>88</v>
      </c>
      <c r="B80" s="86" t="s">
        <v>178</v>
      </c>
      <c r="C80" s="86" t="s">
        <v>88</v>
      </c>
      <c r="D80" s="93" t="s">
        <v>88</v>
      </c>
      <c r="E80" s="86"/>
      <c r="F80" s="94">
        <f>SUM(F75:F79)</f>
        <v>0</v>
      </c>
    </row>
    <row r="81" spans="1:6" s="35" customFormat="1" ht="13.2" x14ac:dyDescent="0.25">
      <c r="A81" s="95" t="s">
        <v>88</v>
      </c>
      <c r="B81" s="96" t="s">
        <v>179</v>
      </c>
      <c r="C81" s="97" t="s">
        <v>87</v>
      </c>
      <c r="D81" s="98" t="s">
        <v>87</v>
      </c>
      <c r="E81" s="97" t="s">
        <v>87</v>
      </c>
      <c r="F81" s="99">
        <f>F80+F73+F65+F61+F55+F46+F37</f>
        <v>0</v>
      </c>
    </row>
    <row r="82" spans="1:6" s="35" customFormat="1" ht="13.2" x14ac:dyDescent="0.25">
      <c r="A82" s="100"/>
      <c r="B82" s="100"/>
      <c r="C82" s="100"/>
      <c r="D82" s="100"/>
      <c r="E82" s="100"/>
      <c r="F82" s="100"/>
    </row>
    <row r="83" spans="1:6" s="35" customFormat="1" ht="13.2" x14ac:dyDescent="0.25">
      <c r="A83" s="75" t="s">
        <v>243</v>
      </c>
      <c r="B83" s="113" t="s">
        <v>181</v>
      </c>
      <c r="C83" s="113"/>
      <c r="D83" s="113"/>
      <c r="E83" s="113"/>
      <c r="F83" s="113"/>
    </row>
    <row r="84" spans="1:6" s="35" customFormat="1" ht="13.2" x14ac:dyDescent="0.25">
      <c r="A84" s="76" t="s">
        <v>79</v>
      </c>
      <c r="B84" s="20" t="s">
        <v>80</v>
      </c>
      <c r="C84" s="76" t="s">
        <v>81</v>
      </c>
      <c r="D84" s="77" t="s">
        <v>82</v>
      </c>
      <c r="E84" s="76" t="s">
        <v>83</v>
      </c>
      <c r="F84" s="76" t="s">
        <v>84</v>
      </c>
    </row>
    <row r="85" spans="1:6" s="35" customFormat="1" ht="13.2" x14ac:dyDescent="0.25">
      <c r="A85" s="76" t="s">
        <v>85</v>
      </c>
      <c r="B85" s="20" t="s">
        <v>86</v>
      </c>
      <c r="C85" s="22" t="s">
        <v>87</v>
      </c>
      <c r="D85" s="78" t="s">
        <v>88</v>
      </c>
      <c r="E85" s="22" t="s">
        <v>87</v>
      </c>
      <c r="F85" s="76" t="s">
        <v>87</v>
      </c>
    </row>
    <row r="86" spans="1:6" s="35" customFormat="1" ht="15.6" x14ac:dyDescent="0.25">
      <c r="A86" s="76" t="s">
        <v>89</v>
      </c>
      <c r="B86" s="23" t="s">
        <v>90</v>
      </c>
      <c r="C86" s="22" t="s">
        <v>248</v>
      </c>
      <c r="D86" s="79">
        <f>(10.45+2)*(4.3+2)</f>
        <v>78.434999999999988</v>
      </c>
      <c r="E86" s="80"/>
      <c r="F86" s="81">
        <f>D86*E86</f>
        <v>0</v>
      </c>
    </row>
    <row r="87" spans="1:6" s="35" customFormat="1" ht="15.6" x14ac:dyDescent="0.25">
      <c r="A87" s="76" t="s">
        <v>91</v>
      </c>
      <c r="B87" s="23" t="s">
        <v>92</v>
      </c>
      <c r="C87" s="22" t="s">
        <v>249</v>
      </c>
      <c r="D87" s="79">
        <f>(33.5*0.4*0.6)*1.1</f>
        <v>8.8439999999999994</v>
      </c>
      <c r="E87" s="80"/>
      <c r="F87" s="81">
        <f>D87*E87</f>
        <v>0</v>
      </c>
    </row>
    <row r="88" spans="1:6" s="35" customFormat="1" ht="15.6" x14ac:dyDescent="0.25">
      <c r="A88" s="76" t="s">
        <v>93</v>
      </c>
      <c r="B88" s="23" t="s">
        <v>94</v>
      </c>
      <c r="C88" s="22" t="s">
        <v>249</v>
      </c>
      <c r="D88" s="79">
        <f>(1.2*1.2*1.2)*13*1.1</f>
        <v>24.7104</v>
      </c>
      <c r="E88" s="80"/>
      <c r="F88" s="81">
        <f>D88*E88</f>
        <v>0</v>
      </c>
    </row>
    <row r="89" spans="1:6" s="35" customFormat="1" ht="15.6" x14ac:dyDescent="0.25">
      <c r="A89" s="76" t="s">
        <v>95</v>
      </c>
      <c r="B89" s="23" t="s">
        <v>96</v>
      </c>
      <c r="C89" s="22" t="s">
        <v>249</v>
      </c>
      <c r="D89" s="79">
        <f>+D88+D87</f>
        <v>33.554400000000001</v>
      </c>
      <c r="E89" s="80"/>
      <c r="F89" s="81">
        <f>D89*E89</f>
        <v>0</v>
      </c>
    </row>
    <row r="90" spans="1:6" s="35" customFormat="1" ht="15.6" x14ac:dyDescent="0.25">
      <c r="A90" s="76" t="s">
        <v>97</v>
      </c>
      <c r="B90" s="23" t="s">
        <v>98</v>
      </c>
      <c r="C90" s="22" t="s">
        <v>249</v>
      </c>
      <c r="D90" s="79">
        <f>((44.935*0.45)-D89*0.15)*1.1</f>
        <v>16.706349000000007</v>
      </c>
      <c r="E90" s="80"/>
      <c r="F90" s="81">
        <f>D90*E90</f>
        <v>0</v>
      </c>
    </row>
    <row r="91" spans="1:6" s="35" customFormat="1" ht="13.2" x14ac:dyDescent="0.25">
      <c r="A91" s="76" t="s">
        <v>88</v>
      </c>
      <c r="B91" s="76" t="s">
        <v>99</v>
      </c>
      <c r="C91" s="76" t="s">
        <v>88</v>
      </c>
      <c r="D91" s="77" t="s">
        <v>88</v>
      </c>
      <c r="E91" s="76"/>
      <c r="F91" s="82">
        <f>SUM(F86:F90)</f>
        <v>0</v>
      </c>
    </row>
    <row r="92" spans="1:6" s="35" customFormat="1" ht="13.2" x14ac:dyDescent="0.25">
      <c r="A92" s="76" t="s">
        <v>100</v>
      </c>
      <c r="B92" s="20" t="s">
        <v>101</v>
      </c>
      <c r="C92" s="76" t="s">
        <v>88</v>
      </c>
      <c r="D92" s="83" t="s">
        <v>88</v>
      </c>
      <c r="E92" s="76"/>
      <c r="F92" s="22" t="s">
        <v>87</v>
      </c>
    </row>
    <row r="93" spans="1:6" s="35" customFormat="1" ht="15.6" x14ac:dyDescent="0.25">
      <c r="A93" s="76" t="s">
        <v>102</v>
      </c>
      <c r="B93" s="23" t="s">
        <v>103</v>
      </c>
      <c r="C93" s="22" t="s">
        <v>249</v>
      </c>
      <c r="D93" s="79">
        <f>((0.4*0.05*33.5)+(1.2*1.2*0.05)*13)*1.1</f>
        <v>1.7666000000000002</v>
      </c>
      <c r="E93" s="80"/>
      <c r="F93" s="81">
        <f t="shared" ref="F93:F99" si="6">D93*E93</f>
        <v>0</v>
      </c>
    </row>
    <row r="94" spans="1:6" s="35" customFormat="1" ht="15.6" x14ac:dyDescent="0.25">
      <c r="A94" s="76" t="s">
        <v>104</v>
      </c>
      <c r="B94" s="84" t="s">
        <v>105</v>
      </c>
      <c r="C94" s="22" t="s">
        <v>249</v>
      </c>
      <c r="D94" s="79">
        <f>(1.2*1.2*0.25)*13*1.1</f>
        <v>5.1479999999999997</v>
      </c>
      <c r="E94" s="80"/>
      <c r="F94" s="81">
        <f t="shared" si="6"/>
        <v>0</v>
      </c>
    </row>
    <row r="95" spans="1:6" s="35" customFormat="1" ht="15.6" x14ac:dyDescent="0.25">
      <c r="A95" s="76" t="s">
        <v>106</v>
      </c>
      <c r="B95" s="23" t="s">
        <v>107</v>
      </c>
      <c r="C95" s="22" t="s">
        <v>249</v>
      </c>
      <c r="D95" s="79">
        <f>(0.2*0.2*1.5)*13*1.1</f>
        <v>0.85800000000000021</v>
      </c>
      <c r="E95" s="80"/>
      <c r="F95" s="81">
        <f t="shared" si="6"/>
        <v>0</v>
      </c>
    </row>
    <row r="96" spans="1:6" s="35" customFormat="1" ht="26.4" x14ac:dyDescent="0.25">
      <c r="A96" s="76" t="s">
        <v>108</v>
      </c>
      <c r="B96" s="23" t="s">
        <v>109</v>
      </c>
      <c r="C96" s="22" t="s">
        <v>248</v>
      </c>
      <c r="D96" s="79">
        <f>(33.5*1.05)*1.1</f>
        <v>38.69250000000001</v>
      </c>
      <c r="E96" s="80"/>
      <c r="F96" s="81">
        <f t="shared" si="6"/>
        <v>0</v>
      </c>
    </row>
    <row r="97" spans="1:6" s="35" customFormat="1" ht="15.6" x14ac:dyDescent="0.25">
      <c r="A97" s="76" t="s">
        <v>110</v>
      </c>
      <c r="B97" s="23" t="s">
        <v>111</v>
      </c>
      <c r="C97" s="22" t="s">
        <v>249</v>
      </c>
      <c r="D97" s="79">
        <f>(0.2*0.2*33.5)*1.1</f>
        <v>1.4740000000000004</v>
      </c>
      <c r="E97" s="80"/>
      <c r="F97" s="81">
        <f t="shared" si="6"/>
        <v>0</v>
      </c>
    </row>
    <row r="98" spans="1:6" s="35" customFormat="1" ht="15.6" x14ac:dyDescent="0.25">
      <c r="A98" s="76" t="s">
        <v>112</v>
      </c>
      <c r="B98" s="23" t="s">
        <v>113</v>
      </c>
      <c r="C98" s="22" t="s">
        <v>249</v>
      </c>
      <c r="D98" s="79">
        <f>(0.76*6*0.15)*1.1</f>
        <v>0.75240000000000007</v>
      </c>
      <c r="E98" s="80"/>
      <c r="F98" s="81">
        <f t="shared" si="6"/>
        <v>0</v>
      </c>
    </row>
    <row r="99" spans="1:6" s="35" customFormat="1" ht="26.4" x14ac:dyDescent="0.25">
      <c r="A99" s="76" t="s">
        <v>114</v>
      </c>
      <c r="B99" s="23" t="s">
        <v>182</v>
      </c>
      <c r="C99" s="22" t="s">
        <v>249</v>
      </c>
      <c r="D99" s="79">
        <f>44.935*0.12*1.1</f>
        <v>5.9314200000000001</v>
      </c>
      <c r="E99" s="80"/>
      <c r="F99" s="81">
        <f t="shared" si="6"/>
        <v>0</v>
      </c>
    </row>
    <row r="100" spans="1:6" s="35" customFormat="1" ht="13.2" x14ac:dyDescent="0.25">
      <c r="A100" s="76" t="s">
        <v>88</v>
      </c>
      <c r="B100" s="76" t="s">
        <v>116</v>
      </c>
      <c r="C100" s="76" t="s">
        <v>88</v>
      </c>
      <c r="D100" s="77" t="s">
        <v>88</v>
      </c>
      <c r="E100" s="76"/>
      <c r="F100" s="82">
        <f>SUM(F93:F99)</f>
        <v>0</v>
      </c>
    </row>
    <row r="101" spans="1:6" s="35" customFormat="1" ht="13.2" x14ac:dyDescent="0.25">
      <c r="A101" s="76" t="s">
        <v>117</v>
      </c>
      <c r="B101" s="20" t="s">
        <v>118</v>
      </c>
      <c r="C101" s="22" t="s">
        <v>87</v>
      </c>
      <c r="D101" s="78" t="s">
        <v>88</v>
      </c>
      <c r="E101" s="22"/>
      <c r="F101" s="22" t="s">
        <v>87</v>
      </c>
    </row>
    <row r="102" spans="1:6" s="35" customFormat="1" ht="15.6" x14ac:dyDescent="0.25">
      <c r="A102" s="76" t="s">
        <v>119</v>
      </c>
      <c r="B102" s="23" t="s">
        <v>120</v>
      </c>
      <c r="C102" s="22" t="s">
        <v>248</v>
      </c>
      <c r="D102" s="79">
        <f>(3.65*33.5)*1.1</f>
        <v>134.5025</v>
      </c>
      <c r="E102" s="80"/>
      <c r="F102" s="81">
        <f t="shared" ref="F102:F107" si="7">D102*E102</f>
        <v>0</v>
      </c>
    </row>
    <row r="103" spans="1:6" s="35" customFormat="1" ht="15.6" x14ac:dyDescent="0.25">
      <c r="A103" s="76" t="s">
        <v>121</v>
      </c>
      <c r="B103" s="84" t="s">
        <v>122</v>
      </c>
      <c r="C103" s="22" t="s">
        <v>249</v>
      </c>
      <c r="D103" s="79">
        <f>(0.15*0.15*3.4)*13*1.1</f>
        <v>1.09395</v>
      </c>
      <c r="E103" s="80"/>
      <c r="F103" s="81">
        <f t="shared" si="7"/>
        <v>0</v>
      </c>
    </row>
    <row r="104" spans="1:6" s="35" customFormat="1" ht="15.6" x14ac:dyDescent="0.25">
      <c r="A104" s="76" t="s">
        <v>123</v>
      </c>
      <c r="B104" s="23" t="s">
        <v>124</v>
      </c>
      <c r="C104" s="22" t="s">
        <v>249</v>
      </c>
      <c r="D104" s="79">
        <f>(33.5*0.15*0.1)*1.1</f>
        <v>0.55274999999999996</v>
      </c>
      <c r="E104" s="80"/>
      <c r="F104" s="81">
        <f t="shared" si="7"/>
        <v>0</v>
      </c>
    </row>
    <row r="105" spans="1:6" s="35" customFormat="1" ht="15.6" x14ac:dyDescent="0.25">
      <c r="A105" s="76" t="s">
        <v>125</v>
      </c>
      <c r="B105" s="23" t="s">
        <v>126</v>
      </c>
      <c r="C105" s="22" t="s">
        <v>249</v>
      </c>
      <c r="D105" s="79">
        <f>(33.5*0.15*0.2)*1.1</f>
        <v>1.1054999999999999</v>
      </c>
      <c r="E105" s="80"/>
      <c r="F105" s="81">
        <f t="shared" si="7"/>
        <v>0</v>
      </c>
    </row>
    <row r="106" spans="1:6" s="35" customFormat="1" ht="15.6" x14ac:dyDescent="0.25">
      <c r="A106" s="76" t="s">
        <v>127</v>
      </c>
      <c r="B106" s="23" t="s">
        <v>124</v>
      </c>
      <c r="C106" s="22" t="s">
        <v>249</v>
      </c>
      <c r="D106" s="79">
        <f>(33.5*0.15*0.1)*1.1</f>
        <v>0.55274999999999996</v>
      </c>
      <c r="E106" s="80"/>
      <c r="F106" s="81">
        <f t="shared" si="7"/>
        <v>0</v>
      </c>
    </row>
    <row r="107" spans="1:6" s="35" customFormat="1" ht="15.6" x14ac:dyDescent="0.25">
      <c r="A107" s="76" t="s">
        <v>128</v>
      </c>
      <c r="B107" s="23" t="s">
        <v>129</v>
      </c>
      <c r="C107" s="22" t="s">
        <v>249</v>
      </c>
      <c r="D107" s="79">
        <f>(33.5*0.15*0.4)*1.1</f>
        <v>2.2109999999999999</v>
      </c>
      <c r="E107" s="80"/>
      <c r="F107" s="81">
        <f t="shared" si="7"/>
        <v>0</v>
      </c>
    </row>
    <row r="108" spans="1:6" s="35" customFormat="1" ht="15.6" x14ac:dyDescent="0.25">
      <c r="A108" s="76" t="s">
        <v>130</v>
      </c>
      <c r="B108" s="23" t="s">
        <v>131</v>
      </c>
      <c r="C108" s="22" t="s">
        <v>249</v>
      </c>
      <c r="D108" s="79">
        <f>(10.45*0.127)*1.1</f>
        <v>1.459865</v>
      </c>
      <c r="E108" s="80"/>
      <c r="F108" s="81">
        <f>D108*E108</f>
        <v>0</v>
      </c>
    </row>
    <row r="109" spans="1:6" s="35" customFormat="1" ht="13.2" x14ac:dyDescent="0.25">
      <c r="A109" s="76" t="s">
        <v>88</v>
      </c>
      <c r="B109" s="76" t="s">
        <v>132</v>
      </c>
      <c r="C109" s="76" t="s">
        <v>88</v>
      </c>
      <c r="D109" s="77" t="s">
        <v>88</v>
      </c>
      <c r="E109" s="76"/>
      <c r="F109" s="82">
        <f>SUM(F102:F107)</f>
        <v>0</v>
      </c>
    </row>
    <row r="110" spans="1:6" s="35" customFormat="1" ht="13.2" x14ac:dyDescent="0.25">
      <c r="A110" s="76" t="s">
        <v>133</v>
      </c>
      <c r="B110" s="20" t="s">
        <v>134</v>
      </c>
      <c r="C110" s="22" t="s">
        <v>87</v>
      </c>
      <c r="D110" s="78" t="s">
        <v>88</v>
      </c>
      <c r="E110" s="22"/>
      <c r="F110" s="22" t="s">
        <v>87</v>
      </c>
    </row>
    <row r="111" spans="1:6" s="35" customFormat="1" ht="26.4" x14ac:dyDescent="0.25">
      <c r="A111" s="76" t="s">
        <v>135</v>
      </c>
      <c r="B111" s="23" t="s">
        <v>136</v>
      </c>
      <c r="C111" s="22" t="s">
        <v>183</v>
      </c>
      <c r="D111" s="79">
        <f>(4.65*10.45)*1.1</f>
        <v>53.451750000000004</v>
      </c>
      <c r="E111" s="80"/>
      <c r="F111" s="81">
        <f>D111*E111</f>
        <v>0</v>
      </c>
    </row>
    <row r="112" spans="1:6" s="35" customFormat="1" ht="26.4" x14ac:dyDescent="0.25">
      <c r="A112" s="76" t="s">
        <v>137</v>
      </c>
      <c r="B112" s="23" t="s">
        <v>184</v>
      </c>
      <c r="C112" s="22" t="s">
        <v>13</v>
      </c>
      <c r="D112" s="79">
        <f>4.65*2*1.1</f>
        <v>10.230000000000002</v>
      </c>
      <c r="E112" s="80"/>
      <c r="F112" s="81">
        <f>D112*E112</f>
        <v>0</v>
      </c>
    </row>
    <row r="113" spans="1:6" s="35" customFormat="1" ht="26.4" x14ac:dyDescent="0.25">
      <c r="A113" s="76" t="s">
        <v>139</v>
      </c>
      <c r="B113" s="23" t="s">
        <v>140</v>
      </c>
      <c r="C113" s="22" t="s">
        <v>13</v>
      </c>
      <c r="D113" s="79">
        <f>10.45*4*1.1</f>
        <v>45.980000000000004</v>
      </c>
      <c r="E113" s="80"/>
      <c r="F113" s="81">
        <f>D113*E113</f>
        <v>0</v>
      </c>
    </row>
    <row r="114" spans="1:6" s="35" customFormat="1" ht="13.2" x14ac:dyDescent="0.25">
      <c r="A114" s="76" t="s">
        <v>141</v>
      </c>
      <c r="B114" s="23" t="s">
        <v>185</v>
      </c>
      <c r="C114" s="22" t="s">
        <v>183</v>
      </c>
      <c r="D114" s="79">
        <f>44.935*1.1</f>
        <v>49.428500000000007</v>
      </c>
      <c r="E114" s="80"/>
      <c r="F114" s="81">
        <f>D114*E114</f>
        <v>0</v>
      </c>
    </row>
    <row r="115" spans="1:6" s="35" customFormat="1" ht="13.2" x14ac:dyDescent="0.25">
      <c r="A115" s="76" t="s">
        <v>88</v>
      </c>
      <c r="B115" s="76" t="s">
        <v>143</v>
      </c>
      <c r="C115" s="76" t="s">
        <v>88</v>
      </c>
      <c r="D115" s="77" t="s">
        <v>88</v>
      </c>
      <c r="E115" s="76"/>
      <c r="F115" s="82">
        <f>SUM(F111:F114)</f>
        <v>0</v>
      </c>
    </row>
    <row r="116" spans="1:6" s="35" customFormat="1" ht="13.2" x14ac:dyDescent="0.25">
      <c r="A116" s="76" t="s">
        <v>144</v>
      </c>
      <c r="B116" s="20" t="s">
        <v>145</v>
      </c>
      <c r="C116" s="22" t="s">
        <v>87</v>
      </c>
      <c r="D116" s="78" t="s">
        <v>88</v>
      </c>
      <c r="E116" s="22"/>
      <c r="F116" s="22" t="s">
        <v>87</v>
      </c>
    </row>
    <row r="117" spans="1:6" s="35" customFormat="1" ht="26.4" x14ac:dyDescent="0.25">
      <c r="A117" s="76" t="s">
        <v>146</v>
      </c>
      <c r="B117" s="23" t="s">
        <v>147</v>
      </c>
      <c r="C117" s="22" t="s">
        <v>12</v>
      </c>
      <c r="D117" s="85">
        <v>2</v>
      </c>
      <c r="E117" s="80"/>
      <c r="F117" s="81">
        <f>D117*E117</f>
        <v>0</v>
      </c>
    </row>
    <row r="118" spans="1:6" s="35" customFormat="1" ht="26.4" x14ac:dyDescent="0.25">
      <c r="A118" s="76" t="s">
        <v>148</v>
      </c>
      <c r="B118" s="23" t="s">
        <v>149</v>
      </c>
      <c r="C118" s="22" t="s">
        <v>12</v>
      </c>
      <c r="D118" s="85">
        <v>4</v>
      </c>
      <c r="E118" s="80"/>
      <c r="F118" s="81">
        <f>D118*E118</f>
        <v>0</v>
      </c>
    </row>
    <row r="119" spans="1:6" s="35" customFormat="1" ht="13.2" x14ac:dyDescent="0.25">
      <c r="A119" s="76" t="s">
        <v>88</v>
      </c>
      <c r="B119" s="76" t="s">
        <v>150</v>
      </c>
      <c r="C119" s="76" t="s">
        <v>88</v>
      </c>
      <c r="D119" s="77" t="s">
        <v>88</v>
      </c>
      <c r="E119" s="76"/>
      <c r="F119" s="82">
        <f>SUM(F117:F118)</f>
        <v>0</v>
      </c>
    </row>
    <row r="120" spans="1:6" s="35" customFormat="1" ht="13.2" x14ac:dyDescent="0.25">
      <c r="A120" s="76" t="s">
        <v>151</v>
      </c>
      <c r="B120" s="20" t="s">
        <v>152</v>
      </c>
      <c r="C120" s="22" t="s">
        <v>87</v>
      </c>
      <c r="D120" s="79" t="s">
        <v>87</v>
      </c>
      <c r="E120" s="22"/>
      <c r="F120" s="22" t="s">
        <v>87</v>
      </c>
    </row>
    <row r="121" spans="1:6" s="35" customFormat="1" ht="26.4" x14ac:dyDescent="0.25">
      <c r="A121" s="76" t="s">
        <v>153</v>
      </c>
      <c r="B121" s="23" t="s">
        <v>154</v>
      </c>
      <c r="C121" s="22" t="s">
        <v>248</v>
      </c>
      <c r="D121" s="79">
        <f>(36*3.65)*1.1</f>
        <v>144.54000000000002</v>
      </c>
      <c r="E121" s="80"/>
      <c r="F121" s="81">
        <f t="shared" ref="F121:F126" si="8">D121*E121</f>
        <v>0</v>
      </c>
    </row>
    <row r="122" spans="1:6" s="35" customFormat="1" ht="26.4" x14ac:dyDescent="0.25">
      <c r="A122" s="76" t="s">
        <v>155</v>
      </c>
      <c r="B122" s="23" t="s">
        <v>156</v>
      </c>
      <c r="C122" s="22" t="s">
        <v>248</v>
      </c>
      <c r="D122" s="79">
        <f>(29.5*4.85)*1.1</f>
        <v>157.38249999999999</v>
      </c>
      <c r="E122" s="80"/>
      <c r="F122" s="81">
        <f t="shared" si="8"/>
        <v>0</v>
      </c>
    </row>
    <row r="123" spans="1:6" s="35" customFormat="1" ht="15.6" x14ac:dyDescent="0.25">
      <c r="A123" s="76" t="s">
        <v>157</v>
      </c>
      <c r="B123" s="23" t="s">
        <v>158</v>
      </c>
      <c r="C123" s="22" t="s">
        <v>248</v>
      </c>
      <c r="D123" s="79">
        <f>+D121</f>
        <v>144.54000000000002</v>
      </c>
      <c r="E123" s="80"/>
      <c r="F123" s="81">
        <f t="shared" si="8"/>
        <v>0</v>
      </c>
    </row>
    <row r="124" spans="1:6" s="35" customFormat="1" ht="15.6" x14ac:dyDescent="0.25">
      <c r="A124" s="76" t="s">
        <v>159</v>
      </c>
      <c r="B124" s="23" t="s">
        <v>160</v>
      </c>
      <c r="C124" s="22" t="s">
        <v>248</v>
      </c>
      <c r="D124" s="79">
        <f>+D122</f>
        <v>157.38249999999999</v>
      </c>
      <c r="E124" s="80"/>
      <c r="F124" s="81">
        <f t="shared" si="8"/>
        <v>0</v>
      </c>
    </row>
    <row r="125" spans="1:6" s="35" customFormat="1" ht="15.6" x14ac:dyDescent="0.25">
      <c r="A125" s="76" t="s">
        <v>161</v>
      </c>
      <c r="B125" s="23" t="s">
        <v>162</v>
      </c>
      <c r="C125" s="22" t="s">
        <v>248</v>
      </c>
      <c r="D125" s="79">
        <f>+D114</f>
        <v>49.428500000000007</v>
      </c>
      <c r="E125" s="80"/>
      <c r="F125" s="81">
        <f t="shared" si="8"/>
        <v>0</v>
      </c>
    </row>
    <row r="126" spans="1:6" s="35" customFormat="1" ht="26.4" x14ac:dyDescent="0.25">
      <c r="A126" s="76" t="s">
        <v>163</v>
      </c>
      <c r="B126" s="23" t="s">
        <v>164</v>
      </c>
      <c r="C126" s="22" t="s">
        <v>248</v>
      </c>
      <c r="D126" s="79">
        <f>44.935*1.1</f>
        <v>49.428500000000007</v>
      </c>
      <c r="E126" s="80"/>
      <c r="F126" s="81">
        <f t="shared" si="8"/>
        <v>0</v>
      </c>
    </row>
    <row r="127" spans="1:6" s="35" customFormat="1" ht="13.2" x14ac:dyDescent="0.25">
      <c r="A127" s="76" t="s">
        <v>88</v>
      </c>
      <c r="B127" s="76" t="s">
        <v>165</v>
      </c>
      <c r="C127" s="76" t="s">
        <v>88</v>
      </c>
      <c r="D127" s="77" t="s">
        <v>88</v>
      </c>
      <c r="E127" s="76"/>
      <c r="F127" s="82">
        <f>SUM(F121:F126)</f>
        <v>0</v>
      </c>
    </row>
    <row r="128" spans="1:6" s="35" customFormat="1" ht="13.2" x14ac:dyDescent="0.25">
      <c r="A128" s="76" t="s">
        <v>166</v>
      </c>
      <c r="B128" s="20" t="s">
        <v>167</v>
      </c>
      <c r="C128" s="22" t="s">
        <v>87</v>
      </c>
      <c r="D128" s="79" t="s">
        <v>87</v>
      </c>
      <c r="E128" s="22"/>
      <c r="F128" s="22" t="s">
        <v>87</v>
      </c>
    </row>
    <row r="129" spans="1:6" s="35" customFormat="1" ht="26.4" x14ac:dyDescent="0.25">
      <c r="A129" s="76" t="s">
        <v>168</v>
      </c>
      <c r="B129" s="23" t="s">
        <v>169</v>
      </c>
      <c r="C129" s="22" t="s">
        <v>23</v>
      </c>
      <c r="D129" s="85">
        <v>1</v>
      </c>
      <c r="E129" s="80"/>
      <c r="F129" s="81">
        <f>D129*E129</f>
        <v>0</v>
      </c>
    </row>
    <row r="130" spans="1:6" s="35" customFormat="1" ht="13.2" x14ac:dyDescent="0.25">
      <c r="A130" s="76" t="s">
        <v>170</v>
      </c>
      <c r="B130" s="23" t="s">
        <v>171</v>
      </c>
      <c r="C130" s="22" t="s">
        <v>12</v>
      </c>
      <c r="D130" s="85">
        <v>8</v>
      </c>
      <c r="E130" s="80"/>
      <c r="F130" s="81">
        <f>D130*E130</f>
        <v>0</v>
      </c>
    </row>
    <row r="131" spans="1:6" s="35" customFormat="1" ht="13.2" x14ac:dyDescent="0.25">
      <c r="A131" s="76" t="s">
        <v>172</v>
      </c>
      <c r="B131" s="84" t="s">
        <v>173</v>
      </c>
      <c r="C131" s="22" t="s">
        <v>12</v>
      </c>
      <c r="D131" s="85">
        <v>4</v>
      </c>
      <c r="E131" s="80"/>
      <c r="F131" s="81">
        <f>D131*E131</f>
        <v>0</v>
      </c>
    </row>
    <row r="132" spans="1:6" s="35" customFormat="1" ht="13.2" x14ac:dyDescent="0.25">
      <c r="A132" s="76" t="s">
        <v>174</v>
      </c>
      <c r="B132" s="23" t="s">
        <v>175</v>
      </c>
      <c r="C132" s="22" t="s">
        <v>12</v>
      </c>
      <c r="D132" s="85">
        <v>6</v>
      </c>
      <c r="E132" s="80"/>
      <c r="F132" s="81">
        <f>D132*E132</f>
        <v>0</v>
      </c>
    </row>
    <row r="133" spans="1:6" s="35" customFormat="1" ht="13.2" x14ac:dyDescent="0.25">
      <c r="A133" s="76" t="s">
        <v>176</v>
      </c>
      <c r="B133" s="23" t="s">
        <v>177</v>
      </c>
      <c r="C133" s="22" t="s">
        <v>12</v>
      </c>
      <c r="D133" s="85">
        <v>2</v>
      </c>
      <c r="E133" s="80"/>
      <c r="F133" s="81">
        <f>D133*E133</f>
        <v>0</v>
      </c>
    </row>
    <row r="134" spans="1:6" s="35" customFormat="1" ht="13.2" x14ac:dyDescent="0.25">
      <c r="A134" s="76" t="s">
        <v>88</v>
      </c>
      <c r="B134" s="76" t="s">
        <v>178</v>
      </c>
      <c r="C134" s="76" t="s">
        <v>88</v>
      </c>
      <c r="D134" s="77" t="s">
        <v>88</v>
      </c>
      <c r="E134" s="76" t="s">
        <v>87</v>
      </c>
      <c r="F134" s="82">
        <f>SUM(F129:F133)</f>
        <v>0</v>
      </c>
    </row>
    <row r="135" spans="1:6" s="35" customFormat="1" ht="13.2" x14ac:dyDescent="0.25">
      <c r="A135" s="95" t="s">
        <v>88</v>
      </c>
      <c r="B135" s="96" t="s">
        <v>186</v>
      </c>
      <c r="C135" s="97" t="s">
        <v>87</v>
      </c>
      <c r="D135" s="98" t="s">
        <v>87</v>
      </c>
      <c r="E135" s="97" t="s">
        <v>87</v>
      </c>
      <c r="F135" s="99">
        <f>F134+F127+F119+F115+F109+F100+F91</f>
        <v>0</v>
      </c>
    </row>
    <row r="136" spans="1:6" s="35" customFormat="1" ht="13.2" x14ac:dyDescent="0.25">
      <c r="A136" s="101"/>
      <c r="B136" s="102"/>
      <c r="C136" s="103"/>
      <c r="D136" s="104"/>
      <c r="E136" s="103"/>
      <c r="F136" s="101"/>
    </row>
    <row r="137" spans="1:6" s="35" customFormat="1" ht="13.2" x14ac:dyDescent="0.25">
      <c r="A137" s="75" t="s">
        <v>77</v>
      </c>
      <c r="B137" s="113" t="s">
        <v>188</v>
      </c>
      <c r="C137" s="113"/>
      <c r="D137" s="113"/>
      <c r="E137" s="113"/>
      <c r="F137" s="113"/>
    </row>
    <row r="138" spans="1:6" s="35" customFormat="1" ht="13.2" x14ac:dyDescent="0.25">
      <c r="A138" s="76" t="s">
        <v>79</v>
      </c>
      <c r="B138" s="20" t="s">
        <v>80</v>
      </c>
      <c r="C138" s="76" t="s">
        <v>81</v>
      </c>
      <c r="D138" s="77" t="s">
        <v>82</v>
      </c>
      <c r="E138" s="76" t="s">
        <v>83</v>
      </c>
      <c r="F138" s="76" t="s">
        <v>84</v>
      </c>
    </row>
    <row r="139" spans="1:6" s="35" customFormat="1" ht="13.2" x14ac:dyDescent="0.25">
      <c r="A139" s="76" t="s">
        <v>85</v>
      </c>
      <c r="B139" s="20" t="s">
        <v>86</v>
      </c>
      <c r="C139" s="22" t="s">
        <v>87</v>
      </c>
      <c r="D139" s="78" t="s">
        <v>88</v>
      </c>
      <c r="E139" s="22" t="s">
        <v>87</v>
      </c>
      <c r="F139" s="76" t="s">
        <v>87</v>
      </c>
    </row>
    <row r="140" spans="1:6" s="35" customFormat="1" ht="15.6" x14ac:dyDescent="0.25">
      <c r="A140" s="76" t="s">
        <v>89</v>
      </c>
      <c r="B140" s="23" t="s">
        <v>90</v>
      </c>
      <c r="C140" s="22" t="s">
        <v>248</v>
      </c>
      <c r="D140" s="79">
        <f>(5.3+2)*(4.3+2)</f>
        <v>45.989999999999995</v>
      </c>
      <c r="E140" s="80"/>
      <c r="F140" s="81">
        <f>D140*E140</f>
        <v>0</v>
      </c>
    </row>
    <row r="141" spans="1:6" s="35" customFormat="1" ht="15.6" x14ac:dyDescent="0.25">
      <c r="A141" s="76" t="s">
        <v>91</v>
      </c>
      <c r="B141" s="23" t="s">
        <v>92</v>
      </c>
      <c r="C141" s="22" t="s">
        <v>249</v>
      </c>
      <c r="D141" s="79">
        <f>(18*0.4*0.6)*1.1</f>
        <v>4.7520000000000007</v>
      </c>
      <c r="E141" s="80"/>
      <c r="F141" s="81">
        <f>D141*E141</f>
        <v>0</v>
      </c>
    </row>
    <row r="142" spans="1:6" s="35" customFormat="1" ht="15.6" x14ac:dyDescent="0.25">
      <c r="A142" s="76" t="s">
        <v>93</v>
      </c>
      <c r="B142" s="23" t="s">
        <v>94</v>
      </c>
      <c r="C142" s="22" t="s">
        <v>249</v>
      </c>
      <c r="D142" s="79">
        <f>(1.2*1.2*1.2)*8*1.1</f>
        <v>15.2064</v>
      </c>
      <c r="E142" s="80"/>
      <c r="F142" s="81">
        <f>D142*E142</f>
        <v>0</v>
      </c>
    </row>
    <row r="143" spans="1:6" s="35" customFormat="1" ht="15.6" x14ac:dyDescent="0.25">
      <c r="A143" s="76" t="s">
        <v>95</v>
      </c>
      <c r="B143" s="23" t="s">
        <v>96</v>
      </c>
      <c r="C143" s="22" t="s">
        <v>249</v>
      </c>
      <c r="D143" s="79">
        <f>+D142+D141</f>
        <v>19.958400000000001</v>
      </c>
      <c r="E143" s="80"/>
      <c r="F143" s="81">
        <f>D143*E143</f>
        <v>0</v>
      </c>
    </row>
    <row r="144" spans="1:6" s="35" customFormat="1" ht="15.6" x14ac:dyDescent="0.25">
      <c r="A144" s="76" t="s">
        <v>97</v>
      </c>
      <c r="B144" s="23" t="s">
        <v>98</v>
      </c>
      <c r="C144" s="22" t="s">
        <v>249</v>
      </c>
      <c r="D144" s="79">
        <f>((20*0.45)-D143*0.15)*1.1</f>
        <v>6.6068640000000007</v>
      </c>
      <c r="E144" s="80"/>
      <c r="F144" s="81">
        <f>D144*E144</f>
        <v>0</v>
      </c>
    </row>
    <row r="145" spans="1:6" s="35" customFormat="1" ht="13.2" x14ac:dyDescent="0.25">
      <c r="A145" s="76" t="s">
        <v>88</v>
      </c>
      <c r="B145" s="76" t="s">
        <v>99</v>
      </c>
      <c r="C145" s="76" t="s">
        <v>88</v>
      </c>
      <c r="D145" s="77" t="s">
        <v>88</v>
      </c>
      <c r="E145" s="76"/>
      <c r="F145" s="82">
        <f>SUM(F140:F144)</f>
        <v>0</v>
      </c>
    </row>
    <row r="146" spans="1:6" s="35" customFormat="1" ht="13.2" x14ac:dyDescent="0.25">
      <c r="A146" s="76" t="s">
        <v>100</v>
      </c>
      <c r="B146" s="20" t="s">
        <v>101</v>
      </c>
      <c r="C146" s="76" t="s">
        <v>88</v>
      </c>
      <c r="D146" s="83" t="s">
        <v>88</v>
      </c>
      <c r="E146" s="76"/>
      <c r="F146" s="22" t="s">
        <v>87</v>
      </c>
    </row>
    <row r="147" spans="1:6" s="35" customFormat="1" ht="15.6" x14ac:dyDescent="0.25">
      <c r="A147" s="76" t="s">
        <v>102</v>
      </c>
      <c r="B147" s="23" t="s">
        <v>103</v>
      </c>
      <c r="C147" s="22" t="s">
        <v>249</v>
      </c>
      <c r="D147" s="79">
        <f>((0.4*0.05*18)+(1.2*1.2*0.05)*8)*1.1</f>
        <v>1.0296000000000001</v>
      </c>
      <c r="E147" s="80"/>
      <c r="F147" s="81">
        <f t="shared" ref="F147:F153" si="9">D147*E147</f>
        <v>0</v>
      </c>
    </row>
    <row r="148" spans="1:6" s="35" customFormat="1" ht="15.6" x14ac:dyDescent="0.25">
      <c r="A148" s="76" t="s">
        <v>104</v>
      </c>
      <c r="B148" s="84" t="s">
        <v>105</v>
      </c>
      <c r="C148" s="22" t="s">
        <v>249</v>
      </c>
      <c r="D148" s="79">
        <f>(1.2*1.2*0.25)*8*1.1</f>
        <v>3.1680000000000001</v>
      </c>
      <c r="E148" s="80"/>
      <c r="F148" s="81">
        <f t="shared" si="9"/>
        <v>0</v>
      </c>
    </row>
    <row r="149" spans="1:6" s="35" customFormat="1" ht="15.6" x14ac:dyDescent="0.25">
      <c r="A149" s="76" t="s">
        <v>106</v>
      </c>
      <c r="B149" s="23" t="s">
        <v>107</v>
      </c>
      <c r="C149" s="22" t="s">
        <v>249</v>
      </c>
      <c r="D149" s="79">
        <f>(0.2*0.2*1.5)*8*1.1</f>
        <v>0.52800000000000014</v>
      </c>
      <c r="E149" s="80"/>
      <c r="F149" s="81">
        <f t="shared" si="9"/>
        <v>0</v>
      </c>
    </row>
    <row r="150" spans="1:6" s="35" customFormat="1" ht="26.4" x14ac:dyDescent="0.25">
      <c r="A150" s="76" t="s">
        <v>108</v>
      </c>
      <c r="B150" s="23" t="s">
        <v>109</v>
      </c>
      <c r="C150" s="22" t="s">
        <v>248</v>
      </c>
      <c r="D150" s="79">
        <f>(18*1.05)*1.1</f>
        <v>20.790000000000003</v>
      </c>
      <c r="E150" s="80"/>
      <c r="F150" s="81">
        <f t="shared" si="9"/>
        <v>0</v>
      </c>
    </row>
    <row r="151" spans="1:6" s="35" customFormat="1" ht="15.6" x14ac:dyDescent="0.25">
      <c r="A151" s="76" t="s">
        <v>110</v>
      </c>
      <c r="B151" s="23" t="s">
        <v>111</v>
      </c>
      <c r="C151" s="22" t="s">
        <v>249</v>
      </c>
      <c r="D151" s="79">
        <f>(0.2*0.2*18)*1.1</f>
        <v>0.79200000000000026</v>
      </c>
      <c r="E151" s="80"/>
      <c r="F151" s="81">
        <f t="shared" si="9"/>
        <v>0</v>
      </c>
    </row>
    <row r="152" spans="1:6" s="35" customFormat="1" ht="15.6" x14ac:dyDescent="0.25">
      <c r="A152" s="76" t="s">
        <v>112</v>
      </c>
      <c r="B152" s="23" t="s">
        <v>113</v>
      </c>
      <c r="C152" s="22" t="s">
        <v>249</v>
      </c>
      <c r="D152" s="79">
        <f>(0.76*3*0.15)*1.1</f>
        <v>0.37620000000000003</v>
      </c>
      <c r="E152" s="80"/>
      <c r="F152" s="81">
        <f t="shared" si="9"/>
        <v>0</v>
      </c>
    </row>
    <row r="153" spans="1:6" s="35" customFormat="1" ht="15.6" x14ac:dyDescent="0.25">
      <c r="A153" s="76" t="s">
        <v>114</v>
      </c>
      <c r="B153" s="23" t="s">
        <v>189</v>
      </c>
      <c r="C153" s="22" t="s">
        <v>249</v>
      </c>
      <c r="D153" s="79">
        <f>20*0.08*1.1</f>
        <v>1.7600000000000002</v>
      </c>
      <c r="E153" s="80"/>
      <c r="F153" s="81">
        <f t="shared" si="9"/>
        <v>0</v>
      </c>
    </row>
    <row r="154" spans="1:6" s="35" customFormat="1" ht="13.2" x14ac:dyDescent="0.25">
      <c r="A154" s="76" t="s">
        <v>88</v>
      </c>
      <c r="B154" s="76" t="s">
        <v>116</v>
      </c>
      <c r="C154" s="76" t="s">
        <v>88</v>
      </c>
      <c r="D154" s="77" t="s">
        <v>88</v>
      </c>
      <c r="E154" s="76"/>
      <c r="F154" s="82">
        <f>SUM(F147:F153)</f>
        <v>0</v>
      </c>
    </row>
    <row r="155" spans="1:6" s="35" customFormat="1" ht="13.2" x14ac:dyDescent="0.25">
      <c r="A155" s="76" t="s">
        <v>117</v>
      </c>
      <c r="B155" s="20" t="s">
        <v>118</v>
      </c>
      <c r="C155" s="22" t="s">
        <v>87</v>
      </c>
      <c r="D155" s="78" t="s">
        <v>88</v>
      </c>
      <c r="E155" s="22"/>
      <c r="F155" s="22" t="s">
        <v>87</v>
      </c>
    </row>
    <row r="156" spans="1:6" s="35" customFormat="1" ht="15.6" x14ac:dyDescent="0.25">
      <c r="A156" s="76" t="s">
        <v>119</v>
      </c>
      <c r="B156" s="23" t="s">
        <v>120</v>
      </c>
      <c r="C156" s="22" t="s">
        <v>248</v>
      </c>
      <c r="D156" s="79">
        <f>(3.65*18)*1.1</f>
        <v>72.27000000000001</v>
      </c>
      <c r="E156" s="80"/>
      <c r="F156" s="81">
        <f t="shared" ref="F156:F162" si="10">D156*E156</f>
        <v>0</v>
      </c>
    </row>
    <row r="157" spans="1:6" s="35" customFormat="1" ht="15.6" x14ac:dyDescent="0.25">
      <c r="A157" s="76" t="s">
        <v>121</v>
      </c>
      <c r="B157" s="84" t="s">
        <v>122</v>
      </c>
      <c r="C157" s="22" t="s">
        <v>249</v>
      </c>
      <c r="D157" s="79">
        <f>(0.15*0.15*3.4)*8*1.1</f>
        <v>0.67320000000000002</v>
      </c>
      <c r="E157" s="80"/>
      <c r="F157" s="81">
        <f t="shared" si="10"/>
        <v>0</v>
      </c>
    </row>
    <row r="158" spans="1:6" s="35" customFormat="1" ht="15.6" x14ac:dyDescent="0.25">
      <c r="A158" s="76" t="s">
        <v>123</v>
      </c>
      <c r="B158" s="23" t="s">
        <v>124</v>
      </c>
      <c r="C158" s="22" t="s">
        <v>249</v>
      </c>
      <c r="D158" s="79">
        <f>(18*0.15*0.1)*1.1</f>
        <v>0.29699999999999999</v>
      </c>
      <c r="E158" s="80"/>
      <c r="F158" s="81">
        <f t="shared" si="10"/>
        <v>0</v>
      </c>
    </row>
    <row r="159" spans="1:6" s="35" customFormat="1" ht="15.6" x14ac:dyDescent="0.25">
      <c r="A159" s="76" t="s">
        <v>125</v>
      </c>
      <c r="B159" s="23" t="s">
        <v>126</v>
      </c>
      <c r="C159" s="22" t="s">
        <v>249</v>
      </c>
      <c r="D159" s="79">
        <f>(18*0.15*0.2)*1.1</f>
        <v>0.59399999999999997</v>
      </c>
      <c r="E159" s="80"/>
      <c r="F159" s="81">
        <f t="shared" si="10"/>
        <v>0</v>
      </c>
    </row>
    <row r="160" spans="1:6" s="35" customFormat="1" ht="15.6" x14ac:dyDescent="0.25">
      <c r="A160" s="76" t="s">
        <v>127</v>
      </c>
      <c r="B160" s="23" t="s">
        <v>124</v>
      </c>
      <c r="C160" s="22" t="s">
        <v>249</v>
      </c>
      <c r="D160" s="79">
        <f>(18*0.15*0.1)*1.1</f>
        <v>0.29699999999999999</v>
      </c>
      <c r="E160" s="80"/>
      <c r="F160" s="81">
        <f t="shared" si="10"/>
        <v>0</v>
      </c>
    </row>
    <row r="161" spans="1:6" s="35" customFormat="1" ht="15.6" x14ac:dyDescent="0.25">
      <c r="A161" s="76" t="s">
        <v>128</v>
      </c>
      <c r="B161" s="23" t="s">
        <v>129</v>
      </c>
      <c r="C161" s="22" t="s">
        <v>249</v>
      </c>
      <c r="D161" s="79">
        <f>(18*0.15*0.4)*1.1</f>
        <v>1.1879999999999999</v>
      </c>
      <c r="E161" s="80"/>
      <c r="F161" s="81">
        <f t="shared" si="10"/>
        <v>0</v>
      </c>
    </row>
    <row r="162" spans="1:6" s="35" customFormat="1" ht="15.6" x14ac:dyDescent="0.25">
      <c r="A162" s="76" t="s">
        <v>130</v>
      </c>
      <c r="B162" s="23" t="s">
        <v>131</v>
      </c>
      <c r="C162" s="22" t="s">
        <v>249</v>
      </c>
      <c r="D162" s="79">
        <f>(5.3*0.127)*1.1</f>
        <v>0.74041000000000012</v>
      </c>
      <c r="E162" s="80"/>
      <c r="F162" s="81">
        <f t="shared" si="10"/>
        <v>0</v>
      </c>
    </row>
    <row r="163" spans="1:6" s="35" customFormat="1" ht="13.2" x14ac:dyDescent="0.25">
      <c r="A163" s="76" t="s">
        <v>88</v>
      </c>
      <c r="B163" s="76" t="s">
        <v>132</v>
      </c>
      <c r="C163" s="76" t="s">
        <v>88</v>
      </c>
      <c r="D163" s="77" t="s">
        <v>88</v>
      </c>
      <c r="E163" s="76"/>
      <c r="F163" s="82">
        <f>SUM(F156:F161)</f>
        <v>0</v>
      </c>
    </row>
    <row r="164" spans="1:6" s="35" customFormat="1" ht="13.2" x14ac:dyDescent="0.25">
      <c r="A164" s="76" t="s">
        <v>133</v>
      </c>
      <c r="B164" s="20" t="s">
        <v>134</v>
      </c>
      <c r="C164" s="22" t="s">
        <v>87</v>
      </c>
      <c r="D164" s="78" t="s">
        <v>88</v>
      </c>
      <c r="E164" s="22"/>
      <c r="F164" s="22" t="s">
        <v>87</v>
      </c>
    </row>
    <row r="165" spans="1:6" s="35" customFormat="1" ht="26.4" x14ac:dyDescent="0.25">
      <c r="A165" s="76" t="s">
        <v>135</v>
      </c>
      <c r="B165" s="23" t="s">
        <v>136</v>
      </c>
      <c r="C165" s="22" t="s">
        <v>183</v>
      </c>
      <c r="D165" s="85">
        <f>(4.65*10.45)*1.1</f>
        <v>53.451750000000004</v>
      </c>
      <c r="E165" s="80"/>
      <c r="F165" s="81">
        <f>D165*E165</f>
        <v>0</v>
      </c>
    </row>
    <row r="166" spans="1:6" s="35" customFormat="1" ht="26.4" x14ac:dyDescent="0.25">
      <c r="A166" s="76" t="s">
        <v>137</v>
      </c>
      <c r="B166" s="23" t="s">
        <v>184</v>
      </c>
      <c r="C166" s="22" t="s">
        <v>13</v>
      </c>
      <c r="D166" s="85">
        <f>4.65*1.1</f>
        <v>5.1150000000000011</v>
      </c>
      <c r="E166" s="80"/>
      <c r="F166" s="81">
        <f>D166*E166</f>
        <v>0</v>
      </c>
    </row>
    <row r="167" spans="1:6" s="35" customFormat="1" ht="26.4" x14ac:dyDescent="0.25">
      <c r="A167" s="76" t="s">
        <v>139</v>
      </c>
      <c r="B167" s="23" t="s">
        <v>140</v>
      </c>
      <c r="C167" s="22" t="s">
        <v>13</v>
      </c>
      <c r="D167" s="85">
        <f>5.3*4*1.1</f>
        <v>23.32</v>
      </c>
      <c r="E167" s="80"/>
      <c r="F167" s="81">
        <f>D167*E167</f>
        <v>0</v>
      </c>
    </row>
    <row r="168" spans="1:6" s="35" customFormat="1" ht="13.2" x14ac:dyDescent="0.25">
      <c r="A168" s="76" t="s">
        <v>141</v>
      </c>
      <c r="B168" s="23" t="s">
        <v>185</v>
      </c>
      <c r="C168" s="22" t="s">
        <v>183</v>
      </c>
      <c r="D168" s="85">
        <f>20*1.1</f>
        <v>22</v>
      </c>
      <c r="E168" s="80"/>
      <c r="F168" s="81">
        <f>D168*E168</f>
        <v>0</v>
      </c>
    </row>
    <row r="169" spans="1:6" s="35" customFormat="1" ht="13.2" x14ac:dyDescent="0.25">
      <c r="A169" s="76" t="s">
        <v>88</v>
      </c>
      <c r="B169" s="76" t="s">
        <v>143</v>
      </c>
      <c r="C169" s="76" t="s">
        <v>88</v>
      </c>
      <c r="D169" s="77" t="s">
        <v>88</v>
      </c>
      <c r="E169" s="76"/>
      <c r="F169" s="82">
        <f>SUM(F165:F168)</f>
        <v>0</v>
      </c>
    </row>
    <row r="170" spans="1:6" s="35" customFormat="1" ht="13.2" x14ac:dyDescent="0.25">
      <c r="A170" s="76" t="s">
        <v>144</v>
      </c>
      <c r="B170" s="20" t="s">
        <v>145</v>
      </c>
      <c r="C170" s="22" t="s">
        <v>87</v>
      </c>
      <c r="D170" s="78" t="s">
        <v>88</v>
      </c>
      <c r="E170" s="22"/>
      <c r="F170" s="22" t="s">
        <v>87</v>
      </c>
    </row>
    <row r="171" spans="1:6" s="35" customFormat="1" ht="26.4" x14ac:dyDescent="0.25">
      <c r="A171" s="76" t="s">
        <v>146</v>
      </c>
      <c r="B171" s="23" t="s">
        <v>147</v>
      </c>
      <c r="C171" s="22" t="s">
        <v>12</v>
      </c>
      <c r="D171" s="85">
        <v>1</v>
      </c>
      <c r="E171" s="80"/>
      <c r="F171" s="81">
        <f>D171*E171</f>
        <v>0</v>
      </c>
    </row>
    <row r="172" spans="1:6" s="35" customFormat="1" ht="26.4" x14ac:dyDescent="0.25">
      <c r="A172" s="76" t="s">
        <v>148</v>
      </c>
      <c r="B172" s="23" t="s">
        <v>149</v>
      </c>
      <c r="C172" s="22" t="s">
        <v>12</v>
      </c>
      <c r="D172" s="85">
        <v>2</v>
      </c>
      <c r="E172" s="80"/>
      <c r="F172" s="81">
        <f>D172*E172</f>
        <v>0</v>
      </c>
    </row>
    <row r="173" spans="1:6" s="35" customFormat="1" ht="13.2" x14ac:dyDescent="0.25">
      <c r="A173" s="76" t="s">
        <v>88</v>
      </c>
      <c r="B173" s="76" t="s">
        <v>150</v>
      </c>
      <c r="C173" s="76" t="s">
        <v>88</v>
      </c>
      <c r="D173" s="77" t="s">
        <v>88</v>
      </c>
      <c r="E173" s="76"/>
      <c r="F173" s="82">
        <f>SUM(F171:F172)</f>
        <v>0</v>
      </c>
    </row>
    <row r="174" spans="1:6" s="35" customFormat="1" ht="13.2" x14ac:dyDescent="0.25">
      <c r="A174" s="76" t="s">
        <v>151</v>
      </c>
      <c r="B174" s="20" t="s">
        <v>152</v>
      </c>
      <c r="C174" s="22" t="s">
        <v>87</v>
      </c>
      <c r="D174" s="79" t="s">
        <v>87</v>
      </c>
      <c r="E174" s="22"/>
      <c r="F174" s="22" t="s">
        <v>87</v>
      </c>
    </row>
    <row r="175" spans="1:6" s="35" customFormat="1" ht="26.4" x14ac:dyDescent="0.25">
      <c r="A175" s="76" t="s">
        <v>153</v>
      </c>
      <c r="B175" s="23" t="s">
        <v>154</v>
      </c>
      <c r="C175" s="22" t="s">
        <v>248</v>
      </c>
      <c r="D175" s="85">
        <f>(18*3.65)*1.1</f>
        <v>72.27000000000001</v>
      </c>
      <c r="E175" s="80"/>
      <c r="F175" s="81">
        <f t="shared" ref="F175:F180" si="11">D175*E175</f>
        <v>0</v>
      </c>
    </row>
    <row r="176" spans="1:6" s="35" customFormat="1" ht="26.4" x14ac:dyDescent="0.25">
      <c r="A176" s="76" t="s">
        <v>190</v>
      </c>
      <c r="B176" s="23" t="s">
        <v>156</v>
      </c>
      <c r="C176" s="22" t="s">
        <v>248</v>
      </c>
      <c r="D176" s="85">
        <f>(18*4.5)*1.1</f>
        <v>89.100000000000009</v>
      </c>
      <c r="E176" s="80"/>
      <c r="F176" s="81">
        <f t="shared" si="11"/>
        <v>0</v>
      </c>
    </row>
    <row r="177" spans="1:6" s="35" customFormat="1" ht="15.6" x14ac:dyDescent="0.25">
      <c r="A177" s="76" t="s">
        <v>191</v>
      </c>
      <c r="B177" s="23" t="s">
        <v>158</v>
      </c>
      <c r="C177" s="22" t="s">
        <v>248</v>
      </c>
      <c r="D177" s="85">
        <f>+D175</f>
        <v>72.27000000000001</v>
      </c>
      <c r="E177" s="80"/>
      <c r="F177" s="81">
        <f t="shared" si="11"/>
        <v>0</v>
      </c>
    </row>
    <row r="178" spans="1:6" s="35" customFormat="1" ht="15.6" x14ac:dyDescent="0.25">
      <c r="A178" s="76" t="s">
        <v>159</v>
      </c>
      <c r="B178" s="23" t="s">
        <v>160</v>
      </c>
      <c r="C178" s="22" t="s">
        <v>248</v>
      </c>
      <c r="D178" s="85">
        <f>+D176</f>
        <v>89.100000000000009</v>
      </c>
      <c r="E178" s="80"/>
      <c r="F178" s="81">
        <f t="shared" si="11"/>
        <v>0</v>
      </c>
    </row>
    <row r="179" spans="1:6" s="35" customFormat="1" ht="15.6" x14ac:dyDescent="0.25">
      <c r="A179" s="76" t="s">
        <v>161</v>
      </c>
      <c r="B179" s="23" t="s">
        <v>162</v>
      </c>
      <c r="C179" s="22" t="s">
        <v>248</v>
      </c>
      <c r="D179" s="85">
        <f>+D168</f>
        <v>22</v>
      </c>
      <c r="E179" s="80"/>
      <c r="F179" s="81">
        <f t="shared" si="11"/>
        <v>0</v>
      </c>
    </row>
    <row r="180" spans="1:6" s="35" customFormat="1" ht="26.4" x14ac:dyDescent="0.25">
      <c r="A180" s="76" t="s">
        <v>163</v>
      </c>
      <c r="B180" s="23" t="s">
        <v>192</v>
      </c>
      <c r="C180" s="22" t="s">
        <v>248</v>
      </c>
      <c r="D180" s="85">
        <f>20*1.1</f>
        <v>22</v>
      </c>
      <c r="E180" s="80"/>
      <c r="F180" s="81">
        <f t="shared" si="11"/>
        <v>0</v>
      </c>
    </row>
    <row r="181" spans="1:6" s="35" customFormat="1" ht="13.2" x14ac:dyDescent="0.25">
      <c r="A181" s="76" t="s">
        <v>88</v>
      </c>
      <c r="B181" s="76" t="s">
        <v>165</v>
      </c>
      <c r="C181" s="76" t="s">
        <v>88</v>
      </c>
      <c r="D181" s="77" t="s">
        <v>88</v>
      </c>
      <c r="E181" s="76"/>
      <c r="F181" s="82">
        <f>SUM(F175:F180)</f>
        <v>0</v>
      </c>
    </row>
    <row r="182" spans="1:6" s="35" customFormat="1" ht="13.2" x14ac:dyDescent="0.25">
      <c r="A182" s="76" t="s">
        <v>166</v>
      </c>
      <c r="B182" s="20" t="s">
        <v>167</v>
      </c>
      <c r="C182" s="22" t="s">
        <v>87</v>
      </c>
      <c r="D182" s="79" t="s">
        <v>87</v>
      </c>
      <c r="E182" s="22"/>
      <c r="F182" s="22" t="s">
        <v>87</v>
      </c>
    </row>
    <row r="183" spans="1:6" s="35" customFormat="1" ht="26.4" x14ac:dyDescent="0.25">
      <c r="A183" s="76" t="s">
        <v>168</v>
      </c>
      <c r="B183" s="23" t="s">
        <v>169</v>
      </c>
      <c r="C183" s="22" t="s">
        <v>23</v>
      </c>
      <c r="D183" s="85">
        <v>1</v>
      </c>
      <c r="E183" s="80"/>
      <c r="F183" s="81">
        <f>D183*E183</f>
        <v>0</v>
      </c>
    </row>
    <row r="184" spans="1:6" s="35" customFormat="1" ht="13.2" x14ac:dyDescent="0.25">
      <c r="A184" s="76" t="s">
        <v>170</v>
      </c>
      <c r="B184" s="23" t="s">
        <v>171</v>
      </c>
      <c r="C184" s="22" t="s">
        <v>12</v>
      </c>
      <c r="D184" s="85">
        <v>3</v>
      </c>
      <c r="E184" s="80"/>
      <c r="F184" s="81">
        <f>D184*E184</f>
        <v>0</v>
      </c>
    </row>
    <row r="185" spans="1:6" s="35" customFormat="1" ht="13.2" x14ac:dyDescent="0.25">
      <c r="A185" s="76" t="s">
        <v>172</v>
      </c>
      <c r="B185" s="84" t="s">
        <v>173</v>
      </c>
      <c r="C185" s="22" t="s">
        <v>12</v>
      </c>
      <c r="D185" s="85">
        <v>4</v>
      </c>
      <c r="E185" s="80"/>
      <c r="F185" s="81">
        <f>D185*E185</f>
        <v>0</v>
      </c>
    </row>
    <row r="186" spans="1:6" s="35" customFormat="1" ht="13.2" x14ac:dyDescent="0.25">
      <c r="A186" s="76" t="s">
        <v>174</v>
      </c>
      <c r="B186" s="23" t="s">
        <v>175</v>
      </c>
      <c r="C186" s="22" t="s">
        <v>12</v>
      </c>
      <c r="D186" s="85">
        <v>2</v>
      </c>
      <c r="E186" s="80"/>
      <c r="F186" s="81">
        <f>D186*E186</f>
        <v>0</v>
      </c>
    </row>
    <row r="187" spans="1:6" s="35" customFormat="1" ht="13.2" x14ac:dyDescent="0.25">
      <c r="A187" s="76" t="s">
        <v>176</v>
      </c>
      <c r="B187" s="23" t="s">
        <v>177</v>
      </c>
      <c r="C187" s="22" t="s">
        <v>12</v>
      </c>
      <c r="D187" s="85">
        <v>1</v>
      </c>
      <c r="E187" s="80"/>
      <c r="F187" s="81">
        <f>D187*E187</f>
        <v>0</v>
      </c>
    </row>
    <row r="188" spans="1:6" s="35" customFormat="1" ht="13.2" x14ac:dyDescent="0.25">
      <c r="A188" s="76" t="s">
        <v>88</v>
      </c>
      <c r="B188" s="76" t="s">
        <v>178</v>
      </c>
      <c r="C188" s="76" t="s">
        <v>88</v>
      </c>
      <c r="D188" s="77" t="s">
        <v>88</v>
      </c>
      <c r="E188" s="80"/>
      <c r="F188" s="82">
        <f>SUM(F183:F187)</f>
        <v>0</v>
      </c>
    </row>
    <row r="189" spans="1:6" s="35" customFormat="1" ht="13.2" x14ac:dyDescent="0.25">
      <c r="A189" s="95" t="s">
        <v>88</v>
      </c>
      <c r="B189" s="96" t="s">
        <v>193</v>
      </c>
      <c r="C189" s="97" t="s">
        <v>87</v>
      </c>
      <c r="D189" s="98" t="s">
        <v>87</v>
      </c>
      <c r="E189" s="97" t="s">
        <v>87</v>
      </c>
      <c r="F189" s="99">
        <f>F188+F181+F173+F169+F163+F154+F145</f>
        <v>0</v>
      </c>
    </row>
    <row r="190" spans="1:6" s="35" customFormat="1" ht="13.2" x14ac:dyDescent="0.25">
      <c r="A190" s="105"/>
      <c r="B190" s="106"/>
      <c r="C190" s="106"/>
      <c r="D190" s="106"/>
      <c r="E190" s="106"/>
      <c r="F190" s="106"/>
    </row>
    <row r="191" spans="1:6" s="35" customFormat="1" ht="13.2" x14ac:dyDescent="0.25">
      <c r="A191" s="75" t="s">
        <v>180</v>
      </c>
      <c r="B191" s="113" t="s">
        <v>194</v>
      </c>
      <c r="C191" s="113"/>
      <c r="D191" s="113"/>
      <c r="E191" s="113"/>
      <c r="F191" s="113"/>
    </row>
    <row r="192" spans="1:6" s="35" customFormat="1" ht="13.2" x14ac:dyDescent="0.25">
      <c r="A192" s="76" t="s">
        <v>79</v>
      </c>
      <c r="B192" s="20" t="s">
        <v>80</v>
      </c>
      <c r="C192" s="76" t="s">
        <v>81</v>
      </c>
      <c r="D192" s="77" t="s">
        <v>82</v>
      </c>
      <c r="E192" s="76" t="s">
        <v>83</v>
      </c>
      <c r="F192" s="76" t="s">
        <v>84</v>
      </c>
    </row>
    <row r="193" spans="1:6" s="35" customFormat="1" ht="13.2" x14ac:dyDescent="0.25">
      <c r="A193" s="76" t="s">
        <v>85</v>
      </c>
      <c r="B193" s="20" t="s">
        <v>195</v>
      </c>
      <c r="C193" s="76" t="s">
        <v>88</v>
      </c>
      <c r="D193" s="77" t="s">
        <v>88</v>
      </c>
      <c r="E193" s="76" t="s">
        <v>87</v>
      </c>
      <c r="F193" s="76" t="s">
        <v>87</v>
      </c>
    </row>
    <row r="194" spans="1:6" s="35" customFormat="1" ht="15.6" x14ac:dyDescent="0.25">
      <c r="A194" s="76" t="s">
        <v>89</v>
      </c>
      <c r="B194" s="23" t="s">
        <v>196</v>
      </c>
      <c r="C194" s="22" t="s">
        <v>248</v>
      </c>
      <c r="D194" s="85">
        <f>(4.2+2)*(2.85+2)</f>
        <v>30.07</v>
      </c>
      <c r="E194" s="80"/>
      <c r="F194" s="81">
        <f>D194*E194</f>
        <v>0</v>
      </c>
    </row>
    <row r="195" spans="1:6" s="35" customFormat="1" ht="15.6" x14ac:dyDescent="0.25">
      <c r="A195" s="76" t="s">
        <v>91</v>
      </c>
      <c r="B195" s="23" t="s">
        <v>197</v>
      </c>
      <c r="C195" s="22" t="s">
        <v>249</v>
      </c>
      <c r="D195" s="85">
        <f>(0.4*0.6*8.55)*1.1</f>
        <v>2.2572000000000001</v>
      </c>
      <c r="E195" s="80"/>
      <c r="F195" s="81">
        <f>D195*E195</f>
        <v>0</v>
      </c>
    </row>
    <row r="196" spans="1:6" s="35" customFormat="1" ht="15.6" x14ac:dyDescent="0.25">
      <c r="A196" s="76" t="s">
        <v>93</v>
      </c>
      <c r="B196" s="23" t="s">
        <v>198</v>
      </c>
      <c r="C196" s="22" t="s">
        <v>249</v>
      </c>
      <c r="D196" s="85">
        <f>(6.568*2.2)*1.1</f>
        <v>15.894560000000002</v>
      </c>
      <c r="E196" s="80"/>
      <c r="F196" s="81">
        <f>D196*E196</f>
        <v>0</v>
      </c>
    </row>
    <row r="197" spans="1:6" s="35" customFormat="1" ht="15.6" x14ac:dyDescent="0.25">
      <c r="A197" s="76" t="s">
        <v>95</v>
      </c>
      <c r="B197" s="23" t="s">
        <v>96</v>
      </c>
      <c r="C197" s="22" t="s">
        <v>249</v>
      </c>
      <c r="D197" s="85">
        <f>+D196+D195</f>
        <v>18.151760000000003</v>
      </c>
      <c r="E197" s="80"/>
      <c r="F197" s="81">
        <f>D197*E197</f>
        <v>0</v>
      </c>
    </row>
    <row r="198" spans="1:6" s="35" customFormat="1" ht="13.2" x14ac:dyDescent="0.25">
      <c r="A198" s="76" t="s">
        <v>88</v>
      </c>
      <c r="B198" s="76" t="s">
        <v>99</v>
      </c>
      <c r="C198" s="76" t="s">
        <v>88</v>
      </c>
      <c r="D198" s="77" t="s">
        <v>88</v>
      </c>
      <c r="E198" s="76"/>
      <c r="F198" s="82">
        <f>SUM(F194:F197)</f>
        <v>0</v>
      </c>
    </row>
    <row r="199" spans="1:6" s="35" customFormat="1" ht="13.2" x14ac:dyDescent="0.25">
      <c r="A199" s="76" t="s">
        <v>100</v>
      </c>
      <c r="B199" s="20" t="s">
        <v>199</v>
      </c>
      <c r="C199" s="76" t="s">
        <v>88</v>
      </c>
      <c r="D199" s="77" t="s">
        <v>88</v>
      </c>
      <c r="E199" s="76"/>
      <c r="F199" s="22" t="s">
        <v>87</v>
      </c>
    </row>
    <row r="200" spans="1:6" s="35" customFormat="1" ht="26.4" x14ac:dyDescent="0.25">
      <c r="A200" s="76" t="s">
        <v>102</v>
      </c>
      <c r="B200" s="23" t="s">
        <v>200</v>
      </c>
      <c r="C200" s="22" t="s">
        <v>249</v>
      </c>
      <c r="D200" s="79">
        <f>(8.55*0.4*0.05)*1.1</f>
        <v>0.18810000000000007</v>
      </c>
      <c r="E200" s="80"/>
      <c r="F200" s="81">
        <f t="shared" ref="F200:F207" si="12">D200*E200</f>
        <v>0</v>
      </c>
    </row>
    <row r="201" spans="1:6" s="35" customFormat="1" ht="26.4" x14ac:dyDescent="0.25">
      <c r="A201" s="76" t="s">
        <v>104</v>
      </c>
      <c r="B201" s="23" t="s">
        <v>201</v>
      </c>
      <c r="C201" s="22" t="s">
        <v>248</v>
      </c>
      <c r="D201" s="79">
        <f>(8.55*0.85)*1.1</f>
        <v>7.994250000000001</v>
      </c>
      <c r="E201" s="80"/>
      <c r="F201" s="81">
        <f t="shared" si="12"/>
        <v>0</v>
      </c>
    </row>
    <row r="202" spans="1:6" s="35" customFormat="1" ht="26.4" x14ac:dyDescent="0.25">
      <c r="A202" s="76" t="s">
        <v>106</v>
      </c>
      <c r="B202" s="23" t="s">
        <v>202</v>
      </c>
      <c r="C202" s="22" t="s">
        <v>249</v>
      </c>
      <c r="D202" s="79">
        <f>(4.75*2*0.1)*1.1</f>
        <v>1.0450000000000002</v>
      </c>
      <c r="E202" s="80"/>
      <c r="F202" s="81">
        <f t="shared" si="12"/>
        <v>0</v>
      </c>
    </row>
    <row r="203" spans="1:6" s="35" customFormat="1" ht="26.4" x14ac:dyDescent="0.25">
      <c r="A203" s="76" t="s">
        <v>108</v>
      </c>
      <c r="B203" s="23" t="s">
        <v>203</v>
      </c>
      <c r="C203" s="22" t="s">
        <v>249</v>
      </c>
      <c r="D203" s="79">
        <f>(6.568*0.1)*1.1</f>
        <v>0.72248000000000012</v>
      </c>
      <c r="E203" s="80"/>
      <c r="F203" s="81">
        <f t="shared" si="12"/>
        <v>0</v>
      </c>
    </row>
    <row r="204" spans="1:6" s="35" customFormat="1" ht="15.6" x14ac:dyDescent="0.25">
      <c r="A204" s="76" t="s">
        <v>110</v>
      </c>
      <c r="B204" s="23" t="s">
        <v>204</v>
      </c>
      <c r="C204" s="22" t="s">
        <v>248</v>
      </c>
      <c r="D204" s="85">
        <f>(12.6*2.45)*1.1</f>
        <v>33.957000000000001</v>
      </c>
      <c r="E204" s="80"/>
      <c r="F204" s="81">
        <f t="shared" si="12"/>
        <v>0</v>
      </c>
    </row>
    <row r="205" spans="1:6" s="35" customFormat="1" ht="26.4" x14ac:dyDescent="0.25">
      <c r="A205" s="76" t="s">
        <v>112</v>
      </c>
      <c r="B205" s="23" t="s">
        <v>205</v>
      </c>
      <c r="C205" s="22" t="s">
        <v>249</v>
      </c>
      <c r="D205" s="79">
        <f>((0.15*0.15*2.2)*8+(0.15*0.2*21.15))*1.1</f>
        <v>1.1335500000000001</v>
      </c>
      <c r="E205" s="80"/>
      <c r="F205" s="81">
        <f t="shared" si="12"/>
        <v>0</v>
      </c>
    </row>
    <row r="206" spans="1:6" s="35" customFormat="1" ht="15.6" x14ac:dyDescent="0.25">
      <c r="A206" s="76" t="s">
        <v>114</v>
      </c>
      <c r="B206" s="23" t="s">
        <v>113</v>
      </c>
      <c r="C206" s="22" t="s">
        <v>249</v>
      </c>
      <c r="D206" s="79">
        <f>(0.53*0.15*4)*1.1</f>
        <v>0.34980000000000006</v>
      </c>
      <c r="E206" s="80"/>
      <c r="F206" s="81">
        <f t="shared" si="12"/>
        <v>0</v>
      </c>
    </row>
    <row r="207" spans="1:6" s="35" customFormat="1" ht="15.6" x14ac:dyDescent="0.25">
      <c r="A207" s="76" t="s">
        <v>206</v>
      </c>
      <c r="B207" s="23" t="s">
        <v>207</v>
      </c>
      <c r="C207" s="22" t="s">
        <v>249</v>
      </c>
      <c r="D207" s="79">
        <f>(2.85*2.3*0.15)*1.1</f>
        <v>1.081575</v>
      </c>
      <c r="E207" s="80"/>
      <c r="F207" s="81">
        <f t="shared" si="12"/>
        <v>0</v>
      </c>
    </row>
    <row r="208" spans="1:6" s="35" customFormat="1" ht="13.2" x14ac:dyDescent="0.25">
      <c r="A208" s="76" t="s">
        <v>88</v>
      </c>
      <c r="B208" s="76" t="s">
        <v>116</v>
      </c>
      <c r="C208" s="76" t="s">
        <v>88</v>
      </c>
      <c r="D208" s="77" t="s">
        <v>88</v>
      </c>
      <c r="E208" s="76"/>
      <c r="F208" s="82">
        <f>SUM(F200:F207)</f>
        <v>0</v>
      </c>
    </row>
    <row r="209" spans="1:6" s="35" customFormat="1" ht="13.2" x14ac:dyDescent="0.25">
      <c r="A209" s="76" t="s">
        <v>117</v>
      </c>
      <c r="B209" s="20" t="s">
        <v>208</v>
      </c>
      <c r="C209" s="76" t="s">
        <v>88</v>
      </c>
      <c r="D209" s="77" t="s">
        <v>88</v>
      </c>
      <c r="E209" s="76"/>
      <c r="F209" s="22" t="s">
        <v>87</v>
      </c>
    </row>
    <row r="210" spans="1:6" s="35" customFormat="1" ht="26.4" x14ac:dyDescent="0.25">
      <c r="A210" s="76" t="s">
        <v>119</v>
      </c>
      <c r="B210" s="23" t="s">
        <v>209</v>
      </c>
      <c r="C210" s="22" t="s">
        <v>249</v>
      </c>
      <c r="D210" s="79">
        <f>((0.15*0.15*2.2)*8+(21.15*0.15*0.2))*1.1</f>
        <v>1.1335500000000001</v>
      </c>
      <c r="E210" s="80"/>
      <c r="F210" s="81">
        <f>D210*E210</f>
        <v>0</v>
      </c>
    </row>
    <row r="211" spans="1:6" s="35" customFormat="1" ht="15.6" x14ac:dyDescent="0.25">
      <c r="A211" s="76" t="s">
        <v>210</v>
      </c>
      <c r="B211" s="23" t="s">
        <v>211</v>
      </c>
      <c r="C211" s="22" t="s">
        <v>248</v>
      </c>
      <c r="D211" s="79">
        <f>(21.15*2.2)*1.1</f>
        <v>51.183000000000007</v>
      </c>
      <c r="E211" s="80"/>
      <c r="F211" s="81">
        <f>D211*E211</f>
        <v>0</v>
      </c>
    </row>
    <row r="212" spans="1:6" s="35" customFormat="1" ht="15.6" x14ac:dyDescent="0.25">
      <c r="A212" s="76" t="s">
        <v>212</v>
      </c>
      <c r="B212" s="23" t="s">
        <v>213</v>
      </c>
      <c r="C212" s="22" t="s">
        <v>248</v>
      </c>
      <c r="D212" s="79">
        <f>(0.3*0.3)*2</f>
        <v>0.18</v>
      </c>
      <c r="E212" s="80"/>
      <c r="F212" s="81">
        <f>D212*E212</f>
        <v>0</v>
      </c>
    </row>
    <row r="213" spans="1:6" s="35" customFormat="1" ht="26.4" x14ac:dyDescent="0.25">
      <c r="A213" s="76" t="s">
        <v>214</v>
      </c>
      <c r="B213" s="23" t="s">
        <v>215</v>
      </c>
      <c r="C213" s="22" t="s">
        <v>13</v>
      </c>
      <c r="D213" s="79">
        <f>(1.6*2)</f>
        <v>3.2</v>
      </c>
      <c r="E213" s="80"/>
      <c r="F213" s="81">
        <f>D213*E213</f>
        <v>0</v>
      </c>
    </row>
    <row r="214" spans="1:6" s="35" customFormat="1" ht="13.2" x14ac:dyDescent="0.25">
      <c r="A214" s="76" t="s">
        <v>88</v>
      </c>
      <c r="B214" s="76" t="s">
        <v>216</v>
      </c>
      <c r="C214" s="76" t="s">
        <v>88</v>
      </c>
      <c r="D214" s="77" t="s">
        <v>88</v>
      </c>
      <c r="E214" s="76"/>
      <c r="F214" s="82">
        <f>SUM(F210:F213)</f>
        <v>0</v>
      </c>
    </row>
    <row r="215" spans="1:6" s="35" customFormat="1" ht="13.2" x14ac:dyDescent="0.25">
      <c r="A215" s="76" t="s">
        <v>133</v>
      </c>
      <c r="B215" s="20" t="s">
        <v>134</v>
      </c>
      <c r="C215" s="76" t="s">
        <v>88</v>
      </c>
      <c r="D215" s="77" t="s">
        <v>88</v>
      </c>
      <c r="E215" s="76"/>
      <c r="F215" s="22" t="s">
        <v>87</v>
      </c>
    </row>
    <row r="216" spans="1:6" s="35" customFormat="1" ht="26.4" x14ac:dyDescent="0.25">
      <c r="A216" s="76" t="s">
        <v>217</v>
      </c>
      <c r="B216" s="23" t="s">
        <v>218</v>
      </c>
      <c r="C216" s="22" t="s">
        <v>13</v>
      </c>
      <c r="D216" s="85">
        <f>(2.3*3+0.4*6)*1.1</f>
        <v>10.230000000000002</v>
      </c>
      <c r="E216" s="80"/>
      <c r="F216" s="81">
        <f>D216*E216</f>
        <v>0</v>
      </c>
    </row>
    <row r="217" spans="1:6" s="35" customFormat="1" ht="26.4" x14ac:dyDescent="0.25">
      <c r="A217" s="76" t="s">
        <v>219</v>
      </c>
      <c r="B217" s="23" t="s">
        <v>220</v>
      </c>
      <c r="C217" s="22" t="s">
        <v>13</v>
      </c>
      <c r="D217" s="85">
        <f>2.85*2*1.1</f>
        <v>6.2700000000000005</v>
      </c>
      <c r="E217" s="80"/>
      <c r="F217" s="81">
        <f>D217*E217</f>
        <v>0</v>
      </c>
    </row>
    <row r="218" spans="1:6" s="35" customFormat="1" ht="15.6" x14ac:dyDescent="0.25">
      <c r="A218" s="76" t="s">
        <v>221</v>
      </c>
      <c r="B218" s="23" t="s">
        <v>222</v>
      </c>
      <c r="C218" s="22" t="s">
        <v>248</v>
      </c>
      <c r="D218" s="85">
        <f>(2.5*2.85)*1.1</f>
        <v>7.8375000000000004</v>
      </c>
      <c r="E218" s="80"/>
      <c r="F218" s="81">
        <f>D218*E218</f>
        <v>0</v>
      </c>
    </row>
    <row r="219" spans="1:6" s="35" customFormat="1" ht="13.2" x14ac:dyDescent="0.25">
      <c r="A219" s="76" t="s">
        <v>88</v>
      </c>
      <c r="B219" s="76" t="s">
        <v>143</v>
      </c>
      <c r="C219" s="76" t="s">
        <v>88</v>
      </c>
      <c r="D219" s="107" t="s">
        <v>88</v>
      </c>
      <c r="E219" s="76"/>
      <c r="F219" s="82">
        <f>SUM(F216:F218)</f>
        <v>0</v>
      </c>
    </row>
    <row r="220" spans="1:6" s="35" customFormat="1" ht="13.2" x14ac:dyDescent="0.25">
      <c r="A220" s="76" t="s">
        <v>144</v>
      </c>
      <c r="B220" s="20" t="s">
        <v>223</v>
      </c>
      <c r="C220" s="76" t="s">
        <v>88</v>
      </c>
      <c r="D220" s="107" t="s">
        <v>88</v>
      </c>
      <c r="E220" s="76"/>
      <c r="F220" s="22" t="s">
        <v>87</v>
      </c>
    </row>
    <row r="221" spans="1:6" s="35" customFormat="1" ht="26.4" x14ac:dyDescent="0.25">
      <c r="A221" s="76" t="s">
        <v>146</v>
      </c>
      <c r="B221" s="108" t="s">
        <v>224</v>
      </c>
      <c r="C221" s="22" t="s">
        <v>12</v>
      </c>
      <c r="D221" s="85">
        <v>2</v>
      </c>
      <c r="E221" s="80"/>
      <c r="F221" s="81">
        <f>D221*E221</f>
        <v>0</v>
      </c>
    </row>
    <row r="222" spans="1:6" s="35" customFormat="1" ht="13.2" x14ac:dyDescent="0.25">
      <c r="A222" s="76" t="s">
        <v>88</v>
      </c>
      <c r="B222" s="76" t="s">
        <v>150</v>
      </c>
      <c r="C222" s="76" t="s">
        <v>88</v>
      </c>
      <c r="D222" s="107" t="s">
        <v>88</v>
      </c>
      <c r="E222" s="76"/>
      <c r="F222" s="82">
        <f>F221</f>
        <v>0</v>
      </c>
    </row>
    <row r="223" spans="1:6" s="35" customFormat="1" ht="13.2" x14ac:dyDescent="0.25">
      <c r="A223" s="76" t="s">
        <v>151</v>
      </c>
      <c r="B223" s="20" t="s">
        <v>225</v>
      </c>
      <c r="C223" s="76" t="s">
        <v>88</v>
      </c>
      <c r="D223" s="77" t="s">
        <v>88</v>
      </c>
      <c r="E223" s="76"/>
      <c r="F223" s="22" t="s">
        <v>87</v>
      </c>
    </row>
    <row r="224" spans="1:6" s="35" customFormat="1" ht="26.4" x14ac:dyDescent="0.25">
      <c r="A224" s="76" t="s">
        <v>153</v>
      </c>
      <c r="B224" s="23" t="s">
        <v>226</v>
      </c>
      <c r="C224" s="22" t="s">
        <v>248</v>
      </c>
      <c r="D224" s="79">
        <f>((25.2*2.2)+(14*2.65))*1.1</f>
        <v>101.79400000000001</v>
      </c>
      <c r="E224" s="80"/>
      <c r="F224" s="81">
        <f>D224*E224</f>
        <v>0</v>
      </c>
    </row>
    <row r="225" spans="1:6" s="35" customFormat="1" ht="26.4" x14ac:dyDescent="0.25">
      <c r="A225" s="76" t="s">
        <v>155</v>
      </c>
      <c r="B225" s="23" t="s">
        <v>164</v>
      </c>
      <c r="C225" s="22" t="s">
        <v>248</v>
      </c>
      <c r="D225" s="79">
        <f>(4.05*2.85)*1.1</f>
        <v>12.696750000000002</v>
      </c>
      <c r="E225" s="80"/>
      <c r="F225" s="81">
        <f>D225*E225</f>
        <v>0</v>
      </c>
    </row>
    <row r="226" spans="1:6" s="35" customFormat="1" ht="15.6" x14ac:dyDescent="0.25">
      <c r="A226" s="76" t="s">
        <v>157</v>
      </c>
      <c r="B226" s="23" t="s">
        <v>227</v>
      </c>
      <c r="C226" s="22" t="s">
        <v>248</v>
      </c>
      <c r="D226" s="79">
        <f>+D224</f>
        <v>101.79400000000001</v>
      </c>
      <c r="E226" s="80"/>
      <c r="F226" s="81">
        <f>D226*E226</f>
        <v>0</v>
      </c>
    </row>
    <row r="227" spans="1:6" s="35" customFormat="1" ht="13.2" x14ac:dyDescent="0.25">
      <c r="A227" s="76" t="s">
        <v>88</v>
      </c>
      <c r="B227" s="76" t="s">
        <v>165</v>
      </c>
      <c r="C227" s="76" t="s">
        <v>88</v>
      </c>
      <c r="D227" s="77" t="s">
        <v>88</v>
      </c>
      <c r="E227" s="76"/>
      <c r="F227" s="82">
        <f>SUM(F224:F226)</f>
        <v>0</v>
      </c>
    </row>
    <row r="228" spans="1:6" s="35" customFormat="1" ht="13.2" x14ac:dyDescent="0.25">
      <c r="A228" s="95" t="s">
        <v>88</v>
      </c>
      <c r="B228" s="96" t="s">
        <v>228</v>
      </c>
      <c r="C228" s="97" t="s">
        <v>87</v>
      </c>
      <c r="D228" s="98" t="s">
        <v>87</v>
      </c>
      <c r="E228" s="97" t="s">
        <v>87</v>
      </c>
      <c r="F228" s="99">
        <f>F227+F222+F219+F214+F208+F198</f>
        <v>0</v>
      </c>
    </row>
    <row r="229" spans="1:6" s="35" customFormat="1" ht="13.2" x14ac:dyDescent="0.25">
      <c r="A229" s="101"/>
      <c r="B229" s="102"/>
      <c r="C229" s="103"/>
      <c r="D229" s="104"/>
      <c r="E229" s="103"/>
      <c r="F229" s="101"/>
    </row>
    <row r="230" spans="1:6" s="35" customFormat="1" ht="13.2" x14ac:dyDescent="0.25">
      <c r="A230" s="75" t="s">
        <v>187</v>
      </c>
      <c r="B230" s="113" t="s">
        <v>229</v>
      </c>
      <c r="C230" s="113"/>
      <c r="D230" s="113"/>
      <c r="E230" s="113"/>
      <c r="F230" s="113"/>
    </row>
    <row r="231" spans="1:6" s="35" customFormat="1" ht="13.2" x14ac:dyDescent="0.25">
      <c r="A231" s="76" t="s">
        <v>79</v>
      </c>
      <c r="B231" s="20" t="s">
        <v>80</v>
      </c>
      <c r="C231" s="76" t="s">
        <v>81</v>
      </c>
      <c r="D231" s="77" t="s">
        <v>82</v>
      </c>
      <c r="E231" s="76" t="s">
        <v>83</v>
      </c>
      <c r="F231" s="76" t="s">
        <v>84</v>
      </c>
    </row>
    <row r="232" spans="1:6" s="35" customFormat="1" ht="13.2" x14ac:dyDescent="0.25">
      <c r="A232" s="76" t="s">
        <v>85</v>
      </c>
      <c r="B232" s="20" t="s">
        <v>195</v>
      </c>
      <c r="C232" s="76" t="s">
        <v>88</v>
      </c>
      <c r="D232" s="77" t="s">
        <v>88</v>
      </c>
      <c r="E232" s="76" t="s">
        <v>87</v>
      </c>
      <c r="F232" s="76" t="s">
        <v>87</v>
      </c>
    </row>
    <row r="233" spans="1:6" s="35" customFormat="1" ht="13.2" x14ac:dyDescent="0.25">
      <c r="A233" s="76" t="s">
        <v>89</v>
      </c>
      <c r="B233" s="23" t="s">
        <v>230</v>
      </c>
      <c r="C233" s="22" t="s">
        <v>12</v>
      </c>
      <c r="D233" s="85">
        <v>12</v>
      </c>
      <c r="E233" s="80"/>
      <c r="F233" s="81">
        <f>D233*E233</f>
        <v>0</v>
      </c>
    </row>
    <row r="234" spans="1:6" s="35" customFormat="1" ht="13.2" x14ac:dyDescent="0.25">
      <c r="A234" s="76" t="s">
        <v>231</v>
      </c>
      <c r="B234" s="23" t="s">
        <v>232</v>
      </c>
      <c r="C234" s="22" t="s">
        <v>12</v>
      </c>
      <c r="D234" s="85">
        <v>6</v>
      </c>
      <c r="E234" s="80"/>
      <c r="F234" s="81">
        <f>D234*E234</f>
        <v>0</v>
      </c>
    </row>
    <row r="235" spans="1:6" s="35" customFormat="1" ht="13.2" x14ac:dyDescent="0.25">
      <c r="A235" s="76" t="s">
        <v>233</v>
      </c>
      <c r="B235" s="23" t="s">
        <v>234</v>
      </c>
      <c r="C235" s="22" t="s">
        <v>12</v>
      </c>
      <c r="D235" s="85">
        <v>1</v>
      </c>
      <c r="E235" s="80"/>
      <c r="F235" s="81">
        <f>D235*E235</f>
        <v>0</v>
      </c>
    </row>
    <row r="236" spans="1:6" s="35" customFormat="1" ht="15.6" x14ac:dyDescent="0.25">
      <c r="A236" s="76" t="s">
        <v>235</v>
      </c>
      <c r="B236" s="23" t="s">
        <v>250</v>
      </c>
      <c r="C236" s="22" t="s">
        <v>13</v>
      </c>
      <c r="D236" s="85">
        <v>10</v>
      </c>
      <c r="E236" s="80"/>
      <c r="F236" s="81">
        <f>D236*E236</f>
        <v>0</v>
      </c>
    </row>
    <row r="237" spans="1:6" s="35" customFormat="1" ht="15.6" x14ac:dyDescent="0.25">
      <c r="A237" s="76" t="s">
        <v>236</v>
      </c>
      <c r="B237" s="23" t="s">
        <v>251</v>
      </c>
      <c r="C237" s="22" t="s">
        <v>13</v>
      </c>
      <c r="D237" s="85">
        <v>40</v>
      </c>
      <c r="E237" s="80"/>
      <c r="F237" s="81">
        <f t="shared" ref="F237:F239" si="13">D237*E237</f>
        <v>0</v>
      </c>
    </row>
    <row r="238" spans="1:6" s="35" customFormat="1" ht="13.2" x14ac:dyDescent="0.25">
      <c r="A238" s="76" t="s">
        <v>237</v>
      </c>
      <c r="B238" s="23" t="s">
        <v>238</v>
      </c>
      <c r="C238" s="22" t="s">
        <v>23</v>
      </c>
      <c r="D238" s="85">
        <v>1</v>
      </c>
      <c r="E238" s="80"/>
      <c r="F238" s="81">
        <f t="shared" si="13"/>
        <v>0</v>
      </c>
    </row>
    <row r="239" spans="1:6" s="35" customFormat="1" ht="13.2" x14ac:dyDescent="0.25">
      <c r="A239" s="76" t="s">
        <v>239</v>
      </c>
      <c r="B239" s="23" t="s">
        <v>240</v>
      </c>
      <c r="C239" s="22" t="s">
        <v>23</v>
      </c>
      <c r="D239" s="85">
        <v>1</v>
      </c>
      <c r="E239" s="80"/>
      <c r="F239" s="81">
        <f t="shared" si="13"/>
        <v>0</v>
      </c>
    </row>
    <row r="240" spans="1:6" s="35" customFormat="1" ht="13.2" x14ac:dyDescent="0.25">
      <c r="A240" s="76" t="s">
        <v>88</v>
      </c>
      <c r="B240" s="76" t="s">
        <v>99</v>
      </c>
      <c r="C240" s="76" t="s">
        <v>88</v>
      </c>
      <c r="D240" s="77" t="s">
        <v>88</v>
      </c>
      <c r="E240" s="76"/>
      <c r="F240" s="82">
        <f>SUM(F233:F239)</f>
        <v>0</v>
      </c>
    </row>
    <row r="241" spans="1:7" s="35" customFormat="1" ht="13.2" x14ac:dyDescent="0.25">
      <c r="A241" s="95" t="s">
        <v>88</v>
      </c>
      <c r="B241" s="96" t="s">
        <v>241</v>
      </c>
      <c r="C241" s="97" t="s">
        <v>87</v>
      </c>
      <c r="D241" s="98" t="s">
        <v>87</v>
      </c>
      <c r="E241" s="97"/>
      <c r="F241" s="99">
        <f>+F240</f>
        <v>0</v>
      </c>
    </row>
    <row r="242" spans="1:7" ht="15.6" x14ac:dyDescent="0.3">
      <c r="A242" s="69" t="s">
        <v>88</v>
      </c>
      <c r="B242" s="70" t="s">
        <v>252</v>
      </c>
      <c r="C242" s="69" t="s">
        <v>88</v>
      </c>
      <c r="D242" s="73" t="s">
        <v>88</v>
      </c>
      <c r="E242" s="71"/>
      <c r="F242" s="72">
        <f>+F241+F228+F189+F135+F81</f>
        <v>0</v>
      </c>
      <c r="G242"/>
    </row>
    <row r="243" spans="1:7" x14ac:dyDescent="0.3">
      <c r="A243" s="29" t="s">
        <v>57</v>
      </c>
      <c r="B243" s="18" t="s">
        <v>17</v>
      </c>
      <c r="C243" s="30"/>
      <c r="D243" s="30"/>
      <c r="E243" s="30"/>
      <c r="F243" s="30"/>
    </row>
    <row r="244" spans="1:7" s="46" customFormat="1" ht="48.75" customHeight="1" x14ac:dyDescent="0.3">
      <c r="A244" s="25">
        <v>5.0999999999999996</v>
      </c>
      <c r="B244" s="25" t="s">
        <v>48</v>
      </c>
      <c r="C244" s="25" t="s">
        <v>12</v>
      </c>
      <c r="D244" s="25">
        <f>700/3</f>
        <v>233.33333333333334</v>
      </c>
      <c r="E244" s="25"/>
      <c r="F244" s="27">
        <f>+D244*E244</f>
        <v>0</v>
      </c>
      <c r="G244" s="45"/>
    </row>
    <row r="245" spans="1:7" s="46" customFormat="1" ht="51.75" customHeight="1" x14ac:dyDescent="0.3">
      <c r="A245" s="25">
        <v>5.2</v>
      </c>
      <c r="B245" s="25" t="s">
        <v>245</v>
      </c>
      <c r="C245" s="25" t="s">
        <v>12</v>
      </c>
      <c r="D245" s="25">
        <f>700/20+6</f>
        <v>41</v>
      </c>
      <c r="E245" s="25"/>
      <c r="F245" s="27">
        <f>+D245*E245</f>
        <v>0</v>
      </c>
      <c r="G245" s="45"/>
    </row>
    <row r="246" spans="1:7" s="46" customFormat="1" ht="39.75" customHeight="1" x14ac:dyDescent="0.3">
      <c r="A246" s="25">
        <v>5.3</v>
      </c>
      <c r="B246" s="25" t="s">
        <v>29</v>
      </c>
      <c r="C246" s="25" t="s">
        <v>13</v>
      </c>
      <c r="D246" s="25">
        <v>700</v>
      </c>
      <c r="E246" s="25"/>
      <c r="F246" s="27">
        <f>+D246*E246</f>
        <v>0</v>
      </c>
      <c r="G246" s="45"/>
    </row>
    <row r="247" spans="1:7" s="46" customFormat="1" ht="39.75" customHeight="1" x14ac:dyDescent="0.3">
      <c r="A247" s="25">
        <v>5.4</v>
      </c>
      <c r="B247" s="25" t="s">
        <v>30</v>
      </c>
      <c r="C247" s="25" t="s">
        <v>13</v>
      </c>
      <c r="D247" s="25">
        <v>700</v>
      </c>
      <c r="E247" s="25"/>
      <c r="F247" s="27">
        <f>+D247*E247</f>
        <v>0</v>
      </c>
      <c r="G247" s="45"/>
    </row>
    <row r="248" spans="1:7" s="48" customFormat="1" ht="39.75" customHeight="1" x14ac:dyDescent="0.3">
      <c r="A248" s="25">
        <v>5.5</v>
      </c>
      <c r="B248" s="25" t="s">
        <v>246</v>
      </c>
      <c r="C248" s="25" t="s">
        <v>22</v>
      </c>
      <c r="D248" s="25">
        <f>700*0.3*0.35</f>
        <v>73.5</v>
      </c>
      <c r="E248" s="43"/>
      <c r="F248" s="43">
        <f>+D248*E248</f>
        <v>0</v>
      </c>
      <c r="G248" s="47"/>
    </row>
    <row r="249" spans="1:7" ht="39.6" x14ac:dyDescent="0.3">
      <c r="A249" s="25">
        <v>5.6</v>
      </c>
      <c r="B249" s="25" t="s">
        <v>32</v>
      </c>
      <c r="C249" s="25" t="s">
        <v>12</v>
      </c>
      <c r="D249" s="25">
        <v>1</v>
      </c>
      <c r="E249" s="43"/>
      <c r="F249" s="27">
        <f t="shared" ref="F249:F252" si="14">+D249*E249</f>
        <v>0</v>
      </c>
    </row>
    <row r="250" spans="1:7" ht="39.6" x14ac:dyDescent="0.3">
      <c r="A250" s="25">
        <v>5.7</v>
      </c>
      <c r="B250" s="25" t="s">
        <v>31</v>
      </c>
      <c r="C250" s="25" t="s">
        <v>12</v>
      </c>
      <c r="D250" s="25">
        <v>1</v>
      </c>
      <c r="E250" s="43"/>
      <c r="F250" s="27">
        <f t="shared" si="14"/>
        <v>0</v>
      </c>
    </row>
    <row r="251" spans="1:7" s="11" customFormat="1" ht="39.6" x14ac:dyDescent="0.3">
      <c r="A251" s="25">
        <v>5.8</v>
      </c>
      <c r="B251" s="25" t="s">
        <v>24</v>
      </c>
      <c r="C251" s="25" t="s">
        <v>13</v>
      </c>
      <c r="D251" s="25">
        <v>200</v>
      </c>
      <c r="E251" s="43"/>
      <c r="F251" s="27">
        <f t="shared" si="14"/>
        <v>0</v>
      </c>
      <c r="G251" s="10"/>
    </row>
    <row r="252" spans="1:7" s="11" customFormat="1" ht="26.4" x14ac:dyDescent="0.3">
      <c r="A252" s="25">
        <v>5.9</v>
      </c>
      <c r="B252" s="25" t="s">
        <v>33</v>
      </c>
      <c r="C252" s="25" t="s">
        <v>12</v>
      </c>
      <c r="D252" s="25">
        <v>1</v>
      </c>
      <c r="E252" s="43"/>
      <c r="F252" s="27">
        <f t="shared" si="14"/>
        <v>0</v>
      </c>
      <c r="G252" s="10"/>
    </row>
    <row r="253" spans="1:7" x14ac:dyDescent="0.3">
      <c r="A253" s="17"/>
      <c r="B253" s="18" t="s">
        <v>18</v>
      </c>
      <c r="C253" s="31"/>
      <c r="D253" s="31"/>
      <c r="E253" s="31"/>
      <c r="F253" s="32">
        <f>SUM(F244:F252)</f>
        <v>0</v>
      </c>
    </row>
    <row r="254" spans="1:7" s="6" customFormat="1" ht="15" x14ac:dyDescent="0.25">
      <c r="A254" s="20" t="s">
        <v>62</v>
      </c>
      <c r="B254" s="18" t="s">
        <v>19</v>
      </c>
      <c r="C254" s="16" t="s">
        <v>7</v>
      </c>
      <c r="D254" s="16"/>
      <c r="E254" s="16"/>
      <c r="F254" s="16"/>
      <c r="G254" s="5"/>
    </row>
    <row r="255" spans="1:7" s="6" customFormat="1" ht="15" x14ac:dyDescent="0.25">
      <c r="A255" s="25">
        <v>6.1</v>
      </c>
      <c r="B255" s="25" t="s">
        <v>64</v>
      </c>
      <c r="C255" s="25" t="s">
        <v>65</v>
      </c>
      <c r="D255" s="25">
        <v>1</v>
      </c>
      <c r="E255" s="43"/>
      <c r="F255" s="27">
        <f t="shared" ref="F255:F261" si="15">+D255*E255</f>
        <v>0</v>
      </c>
      <c r="G255" s="5"/>
    </row>
    <row r="256" spans="1:7" s="6" customFormat="1" ht="26.4" x14ac:dyDescent="0.25">
      <c r="A256" s="25">
        <v>6.2</v>
      </c>
      <c r="B256" s="25" t="s">
        <v>66</v>
      </c>
      <c r="C256" s="25" t="s">
        <v>67</v>
      </c>
      <c r="D256" s="25">
        <v>100</v>
      </c>
      <c r="E256" s="43"/>
      <c r="F256" s="27">
        <f t="shared" si="15"/>
        <v>0</v>
      </c>
      <c r="G256" s="5"/>
    </row>
    <row r="257" spans="1:8" s="6" customFormat="1" ht="39.6" x14ac:dyDescent="0.25">
      <c r="A257" s="25">
        <v>6.3</v>
      </c>
      <c r="B257" s="25" t="s">
        <v>68</v>
      </c>
      <c r="C257" s="25" t="s">
        <v>69</v>
      </c>
      <c r="D257" s="25">
        <v>15</v>
      </c>
      <c r="E257" s="43"/>
      <c r="F257" s="27">
        <f t="shared" si="15"/>
        <v>0</v>
      </c>
      <c r="G257" s="5"/>
    </row>
    <row r="258" spans="1:8" s="6" customFormat="1" ht="26.4" x14ac:dyDescent="0.25">
      <c r="A258" s="25">
        <v>6.4</v>
      </c>
      <c r="B258" s="25" t="s">
        <v>70</v>
      </c>
      <c r="C258" s="25" t="s">
        <v>69</v>
      </c>
      <c r="D258" s="25">
        <v>1</v>
      </c>
      <c r="E258" s="43"/>
      <c r="F258" s="27">
        <f t="shared" si="15"/>
        <v>0</v>
      </c>
      <c r="G258" s="5"/>
    </row>
    <row r="259" spans="1:8" s="6" customFormat="1" ht="15" x14ac:dyDescent="0.25">
      <c r="A259" s="25">
        <v>6.5</v>
      </c>
      <c r="B259" s="25" t="s">
        <v>71</v>
      </c>
      <c r="C259" s="25" t="s">
        <v>65</v>
      </c>
      <c r="D259" s="25">
        <v>1</v>
      </c>
      <c r="E259" s="43"/>
      <c r="F259" s="27">
        <f t="shared" si="15"/>
        <v>0</v>
      </c>
      <c r="G259" s="5"/>
    </row>
    <row r="260" spans="1:8" s="6" customFormat="1" ht="26.4" x14ac:dyDescent="0.25">
      <c r="A260" s="25">
        <v>6.6</v>
      </c>
      <c r="B260" s="25" t="s">
        <v>72</v>
      </c>
      <c r="C260" s="25" t="s">
        <v>73</v>
      </c>
      <c r="D260" s="25">
        <v>1</v>
      </c>
      <c r="E260" s="43"/>
      <c r="F260" s="27">
        <f t="shared" si="15"/>
        <v>0</v>
      </c>
      <c r="G260" s="5"/>
    </row>
    <row r="261" spans="1:8" s="6" customFormat="1" ht="26.4" x14ac:dyDescent="0.25">
      <c r="A261" s="25">
        <v>6.7</v>
      </c>
      <c r="B261" s="25" t="s">
        <v>74</v>
      </c>
      <c r="C261" s="25" t="s">
        <v>75</v>
      </c>
      <c r="D261" s="25">
        <v>2</v>
      </c>
      <c r="E261" s="43"/>
      <c r="F261" s="27">
        <f t="shared" si="15"/>
        <v>0</v>
      </c>
      <c r="G261" s="5"/>
    </row>
    <row r="262" spans="1:8" s="6" customFormat="1" ht="15" x14ac:dyDescent="0.25">
      <c r="A262" s="25"/>
      <c r="B262" s="18" t="s">
        <v>76</v>
      </c>
      <c r="C262" s="31"/>
      <c r="D262" s="31"/>
      <c r="E262" s="31"/>
      <c r="F262" s="32">
        <f>SUM(F255:F261)</f>
        <v>0</v>
      </c>
      <c r="G262" s="5"/>
    </row>
    <row r="263" spans="1:8" x14ac:dyDescent="0.3">
      <c r="A263" s="109" t="s">
        <v>20</v>
      </c>
      <c r="B263" s="109"/>
      <c r="C263" s="33"/>
      <c r="D263" s="33"/>
      <c r="E263" s="33"/>
      <c r="F263" s="34">
        <f>+F7+F12+F27+F253+F262+F242</f>
        <v>0</v>
      </c>
    </row>
    <row r="264" spans="1:8" s="8" customFormat="1" ht="15" x14ac:dyDescent="0.25">
      <c r="A264" s="37"/>
      <c r="B264" s="38" t="s">
        <v>21</v>
      </c>
      <c r="C264" s="38"/>
      <c r="D264" s="38"/>
      <c r="E264" s="38"/>
      <c r="F264" s="39"/>
      <c r="G264" s="7"/>
    </row>
    <row r="265" spans="1:8" s="8" customFormat="1" ht="15" x14ac:dyDescent="0.25">
      <c r="A265" s="35"/>
      <c r="B265" s="36"/>
      <c r="C265" s="36"/>
      <c r="D265" s="36"/>
      <c r="E265" s="36"/>
      <c r="F265" s="36"/>
      <c r="G265" s="7"/>
      <c r="H265" s="9"/>
    </row>
    <row r="267" spans="1:8" x14ac:dyDescent="0.3">
      <c r="A267" s="54" t="s">
        <v>0</v>
      </c>
      <c r="B267" s="55" t="s">
        <v>58</v>
      </c>
      <c r="C267" s="54" t="s">
        <v>59</v>
      </c>
      <c r="D267" s="54" t="s">
        <v>60</v>
      </c>
    </row>
    <row r="268" spans="1:8" x14ac:dyDescent="0.3">
      <c r="A268" s="57">
        <v>1</v>
      </c>
      <c r="B268" s="74" t="str">
        <f>+B4</f>
        <v>Travaux preliminaires</v>
      </c>
      <c r="C268" s="59">
        <f>+F7</f>
        <v>0</v>
      </c>
      <c r="D268" s="60" t="e">
        <f>+C268/$C$274</f>
        <v>#DIV/0!</v>
      </c>
    </row>
    <row r="269" spans="1:8" x14ac:dyDescent="0.3">
      <c r="A269" s="57">
        <v>2</v>
      </c>
      <c r="B269" s="61" t="str">
        <f>+B8</f>
        <v>Reseau de refoulement</v>
      </c>
      <c r="C269" s="59">
        <f>+F12</f>
        <v>0</v>
      </c>
      <c r="D269" s="60" t="e">
        <f t="shared" ref="D269:D274" si="16">+C269/$C$274</f>
        <v>#DIV/0!</v>
      </c>
    </row>
    <row r="270" spans="1:8" x14ac:dyDescent="0.3">
      <c r="A270" s="57">
        <v>3</v>
      </c>
      <c r="B270" s="61" t="str">
        <f>+B13</f>
        <v>Réseau de distribution</v>
      </c>
      <c r="C270" s="59">
        <f>+F27</f>
        <v>0</v>
      </c>
      <c r="D270" s="60" t="e">
        <f t="shared" si="16"/>
        <v>#DIV/0!</v>
      </c>
    </row>
    <row r="271" spans="1:8" ht="27" x14ac:dyDescent="0.3">
      <c r="A271" s="57">
        <v>4</v>
      </c>
      <c r="B271" s="61" t="str">
        <f>+B28</f>
        <v>Infrastructures d'accompagnement et champs solaire</v>
      </c>
      <c r="C271" s="59">
        <f>+F242</f>
        <v>0</v>
      </c>
      <c r="D271" s="60" t="e">
        <f t="shared" si="16"/>
        <v>#DIV/0!</v>
      </c>
    </row>
    <row r="272" spans="1:8" x14ac:dyDescent="0.3">
      <c r="A272" s="57">
        <v>5</v>
      </c>
      <c r="B272" s="61" t="str">
        <f>+B243</f>
        <v>Clôture et Annexe</v>
      </c>
      <c r="C272" s="59">
        <f>+F253</f>
        <v>0</v>
      </c>
      <c r="D272" s="60" t="e">
        <f t="shared" si="16"/>
        <v>#DIV/0!</v>
      </c>
    </row>
    <row r="273" spans="1:4" x14ac:dyDescent="0.3">
      <c r="A273" s="57">
        <v>6</v>
      </c>
      <c r="B273" s="62" t="str">
        <f>+B254</f>
        <v>Mise en œuvre du PGES</v>
      </c>
      <c r="C273" s="59">
        <f>+F262</f>
        <v>0</v>
      </c>
      <c r="D273" s="60" t="e">
        <f t="shared" si="16"/>
        <v>#DIV/0!</v>
      </c>
    </row>
    <row r="274" spans="1:4" x14ac:dyDescent="0.3">
      <c r="A274" s="57"/>
      <c r="B274" s="63" t="s">
        <v>63</v>
      </c>
      <c r="C274" s="64">
        <f>SUM(C268:C273)</f>
        <v>0</v>
      </c>
      <c r="D274" s="65" t="e">
        <f t="shared" si="16"/>
        <v>#DIV/0!</v>
      </c>
    </row>
  </sheetData>
  <mergeCells count="11">
    <mergeCell ref="A263:B263"/>
    <mergeCell ref="A1:F1"/>
    <mergeCell ref="A2:A3"/>
    <mergeCell ref="B2:B3"/>
    <mergeCell ref="C2:C3"/>
    <mergeCell ref="D2:D3"/>
    <mergeCell ref="B29:F29"/>
    <mergeCell ref="B83:F83"/>
    <mergeCell ref="B137:F137"/>
    <mergeCell ref="B191:F191"/>
    <mergeCell ref="B230:F2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Lot1-Doumba </vt:lpstr>
      <vt:lpstr>Lot1-Sirakorola </vt:lpstr>
      <vt:lpstr>Lot2-Kekan </vt:lpstr>
      <vt:lpstr>Lot2-KOULA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Hamidou</dc:creator>
  <cp:lastModifiedBy>KONATE, Oumar</cp:lastModifiedBy>
  <dcterms:created xsi:type="dcterms:W3CDTF">2024-12-03T21:55:34Z</dcterms:created>
  <dcterms:modified xsi:type="dcterms:W3CDTF">2025-01-16T09:31:10Z</dcterms:modified>
</cp:coreProperties>
</file>