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ENABEL\PM\"/>
    </mc:Choice>
  </mc:AlternateContent>
  <xr:revisionPtr revIDLastSave="0" documentId="13_ncr:1_{F6A3388B-F912-41E5-9236-1BC1395B70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BOUGOU (1)" sheetId="1" r:id="rId1"/>
    <sheet name="KENEKELE var1" sheetId="3" r:id="rId2"/>
    <sheet name="NIADIOBOUGOU (1)" sheetId="6" r:id="rId3"/>
    <sheet name="MONZONA var1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pas1">#REF!</definedName>
    <definedName name="___pas10">'[1]T-P'!$B$257</definedName>
    <definedName name="___pas11">'[1]T-P'!$B$292</definedName>
    <definedName name="___pas2">'[1]T-P'!$B$55</definedName>
    <definedName name="___pas3">'[1]T-P'!$B$75</definedName>
    <definedName name="___pas4">'[1]T-P'!$B$101</definedName>
    <definedName name="___pas5">'[1]T-P'!$B$123</definedName>
    <definedName name="___pas6">'[1]T-P'!$B$151</definedName>
    <definedName name="___pas7">'[1]T-P'!$B$173</definedName>
    <definedName name="___pas8">'[1]T-P'!$B$203</definedName>
    <definedName name="___pas9">'[1]T-P'!$B$235</definedName>
    <definedName name="___r">#REF!</definedName>
    <definedName name="__Lar1">#REF!</definedName>
    <definedName name="__pas12">'[1]T-P'!$B$314</definedName>
    <definedName name="__pas13">'[1]T-P'!$B$349</definedName>
    <definedName name="__pas14">'[1]T-P'!$B$371</definedName>
    <definedName name="__pas15">'[1]T-P'!$B$409</definedName>
    <definedName name="__pas16">'[1]T-P'!$B$431</definedName>
    <definedName name="__pas17">'[1]T-P'!$B$453</definedName>
    <definedName name="__pas18">'[1]T-P'!$B$491</definedName>
    <definedName name="__pas19">'[1]T-P'!$B$523</definedName>
    <definedName name="__pd1">'[2]Drain-P'!$B$146</definedName>
    <definedName name="__pd10">'[2]Drain-P'!$B$26</definedName>
    <definedName name="__pd11">'[2]Drain-P'!#REF!</definedName>
    <definedName name="__pd12">'[2]Drain-P'!#REF!</definedName>
    <definedName name="__pd2">'[2]Drain-P'!$B$130</definedName>
    <definedName name="__pd3">'[2]Drain-P'!$B$121</definedName>
    <definedName name="__pd4">'[2]Drain-P'!$B$107</definedName>
    <definedName name="__pd5">'[2]Drain-P'!$B$93</definedName>
    <definedName name="__pd6">'[2]Drain-P'!$B$79</definedName>
    <definedName name="__pd7">'[2]Drain-P'!$B$67</definedName>
    <definedName name="__pd8">'[2]Drain-P'!$B$53</definedName>
    <definedName name="__pd9">'[2]Drain-P'!$B$41</definedName>
    <definedName name="__pp1">'[1]canal P'!$C$531</definedName>
    <definedName name="__pp10">'[1]canal P'!$C$297</definedName>
    <definedName name="__pp11">'[1]canal P'!$C$271</definedName>
    <definedName name="__pp12">'[1]canal P'!$C$245</definedName>
    <definedName name="__pp13">'[1]canal P'!$C$219</definedName>
    <definedName name="__pp14">'[1]canal P'!$C$193</definedName>
    <definedName name="__pp15">'[1]canal P'!$C$167</definedName>
    <definedName name="__pp16">'[1]canal P'!$C$141</definedName>
    <definedName name="__pp17">'[1]canal P'!$C$115</definedName>
    <definedName name="__pp18">'[1]canal P'!$C$89</definedName>
    <definedName name="__pp19">'[1]canal P'!$C$63</definedName>
    <definedName name="__pp2">'[1]canal P'!$C$505</definedName>
    <definedName name="__pp20">'[1]canal P'!$C$37</definedName>
    <definedName name="__pp3">'[1]canal P'!$C$479</definedName>
    <definedName name="__pp4">'[1]canal P'!$C$453</definedName>
    <definedName name="__pp5">'[1]canal P'!$C$427</definedName>
    <definedName name="__pp6">'[1]canal P'!$C$401</definedName>
    <definedName name="__pp7">'[1]canal P'!$C$375</definedName>
    <definedName name="__pvc15">'[1]Métré ouv.'!$S$2</definedName>
    <definedName name="__pvc20">'[1]Métré ouv.'!$T$2</definedName>
    <definedName name="_pas1">'[2]T-P'!$B$22</definedName>
    <definedName name="_pas10">'[3]T-P'!$B$167</definedName>
    <definedName name="_pas2">'[2]T-P'!$B$35</definedName>
    <definedName name="_pas20">'[1]T-P'!$B$543</definedName>
    <definedName name="_pas21">'[1]T-P'!$B$568</definedName>
    <definedName name="_pas3">'[2]T-P'!$B$45</definedName>
    <definedName name="_pas4">'[2]T-P'!$B$58</definedName>
    <definedName name="_pas5">'[2]T-P'!$B$71</definedName>
    <definedName name="_pas6">'[2]T-P'!$B$84</definedName>
    <definedName name="_pas7">'[2]T-P'!$B$97</definedName>
    <definedName name="_pas8">'[2]T-P'!$B$110</definedName>
    <definedName name="_pas9">'[2]T-P'!$B$123</definedName>
    <definedName name="_pd1">'[3]Drain-P'!$B$78</definedName>
    <definedName name="_pd2">'[3]Drain-P'!$B$52</definedName>
    <definedName name="_pd3">'[3]Drain-P'!$B$21</definedName>
    <definedName name="_pp18">'[2]canal P'!$C$33</definedName>
    <definedName name="_pp19">'[2]canal P'!$C$17</definedName>
    <definedName name="_pp20">'[3]canal P'!$C$18</definedName>
    <definedName name="_pp3">[2]CS2!$C$73</definedName>
    <definedName name="_pp4">[2]CS2!$C$59</definedName>
    <definedName name="_pp5">[2]CS2!$C$45</definedName>
    <definedName name="_pp6">[2]CS2!$C$31</definedName>
    <definedName name="_pp7">[2]CS2!$C$21</definedName>
    <definedName name="_pp8">'[1]canal P'!$C$349</definedName>
    <definedName name="_pp9">'[1]canal P'!$C$323</definedName>
    <definedName name="_pvc15">'[2]Métré ouv.'!$S$2</definedName>
    <definedName name="_pvc20">'[2]Métré ouv.'!$T$2</definedName>
    <definedName name="Ac">'[2]Métré ouv.'!$J$2</definedName>
    <definedName name="b">[4]hydra!$B$6</definedName>
    <definedName name="Ba">'[2]Métré ouv.'!$A$2</definedName>
    <definedName name="bl">'[2]Métré ouv.'!$B$2</definedName>
    <definedName name="Bo">'[2]Métré ouv.'!$C$2</definedName>
    <definedName name="CC">#REF!</definedName>
    <definedName name="CD">'[2]Drain-P'!#REF!</definedName>
    <definedName name="Cf">'[2]Métré ouv.'!$F$2</definedName>
    <definedName name="cinq">'[2]Métré ouv.'!$M$2</definedName>
    <definedName name="cm">'[2]Métré ouv.'!$L$2</definedName>
    <definedName name="Cr">'[2]Métré ouv.'!$V$2</definedName>
    <definedName name="Db">'[2]Métré ouv.'!$X$2</definedName>
    <definedName name="DETAIL_EQUIP">'[5]détail estim'!#REF!</definedName>
    <definedName name="DETAIL_ESTIMATIF">'[6]détail estim'!$A$1:$F$18,'[6]détail estim'!$A$20:$F$45,'[6]détail estim'!$A$47:$F$91,'[6]détail estim'!$A$93:$F$125,'[6]détail estim'!#REF!,'[6]détail estim'!$A$127:$F$137</definedName>
    <definedName name="e">'[2]canal P'!$R$7</definedName>
    <definedName name="enr">'[2]Métré ouv.'!$P$2</definedName>
    <definedName name="f">'[4]DECHARGE(charge variable)'!$F$18:$Q$18</definedName>
    <definedName name="Fac">'[2]Métré ouv.'!$U$2</definedName>
    <definedName name="gb">'[2]Métré ouv.'!$O$2</definedName>
    <definedName name="h">#REF!</definedName>
    <definedName name="Hd">#REF!</definedName>
    <definedName name="i">[4]hydra!$B$5</definedName>
    <definedName name="Ip">'[2]Métré ouv.'!$E$2</definedName>
    <definedName name="it">#REF!</definedName>
    <definedName name="ITHA">#REF!</definedName>
    <definedName name="k">[4]hydra!$B$4</definedName>
    <definedName name="lam">#REF!</definedName>
    <definedName name="lar">#REF!</definedName>
    <definedName name="lat">#REF!</definedName>
    <definedName name="Ld">#REF!</definedName>
    <definedName name="lon">#REF!</definedName>
    <definedName name="Long_gir_deversante">#REF!</definedName>
    <definedName name="Lpe">[4]hydra!$D$7</definedName>
    <definedName name="m">[4]hydra!$B$7</definedName>
    <definedName name="mb">'[2]Métré ouv.'!$H$2</definedName>
    <definedName name="mil">'[2]Métré ouv.'!$N$2</definedName>
    <definedName name="p">#REF!</definedName>
    <definedName name="Pb">'[1]Métré ouv.'!#REF!</definedName>
    <definedName name="Pc">'[2]Métré ouv.'!$I$2</definedName>
    <definedName name="pxdb">#REF!</definedName>
    <definedName name="pxdc">#REF!</definedName>
    <definedName name="pxrb">#REF!</definedName>
    <definedName name="Q">[4]hydra!$B$3</definedName>
    <definedName name="Rb">'[2]Métré ouv.'!$W$2</definedName>
    <definedName name="Rbv">'[2]Métré ouv.'!$R$2</definedName>
    <definedName name="Rv">[4]hydra!$B$8</definedName>
    <definedName name="S">[4]hydra!$D$3</definedName>
    <definedName name="SOUS_DETAIL">#REF!,#REF!</definedName>
    <definedName name="TETE">#REF!</definedName>
    <definedName name="V">[4]hydra!$D$6</definedName>
    <definedName name="VF">'[2]Métré ouv.'!$Q$2</definedName>
    <definedName name="Vn">'[2]Métré ouv.'!$K$2</definedName>
    <definedName name="ws">'[2]Métré ouv.'!$G$2</definedName>
    <definedName name="XYZ">#REF!</definedName>
    <definedName name="y">[4]hydra!$B$2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7" l="1"/>
  <c r="F99" i="7"/>
  <c r="F98" i="7"/>
  <c r="F97" i="7"/>
  <c r="F96" i="7"/>
  <c r="F101" i="7" s="1"/>
  <c r="D93" i="7"/>
  <c r="F93" i="7" s="1"/>
  <c r="D89" i="7"/>
  <c r="F89" i="7" s="1"/>
  <c r="D88" i="7"/>
  <c r="D90" i="7" s="1"/>
  <c r="F90" i="7" s="1"/>
  <c r="F85" i="7"/>
  <c r="F84" i="7"/>
  <c r="D81" i="7"/>
  <c r="D92" i="7" s="1"/>
  <c r="D80" i="7"/>
  <c r="F80" i="7" s="1"/>
  <c r="D79" i="7"/>
  <c r="F79" i="7" s="1"/>
  <c r="D78" i="7"/>
  <c r="F78" i="7" s="1"/>
  <c r="D75" i="7"/>
  <c r="D74" i="7"/>
  <c r="F74" i="7" s="1"/>
  <c r="D73" i="7"/>
  <c r="D72" i="7"/>
  <c r="F72" i="7" s="1"/>
  <c r="D71" i="7"/>
  <c r="F71" i="7" s="1"/>
  <c r="D70" i="7"/>
  <c r="D69" i="7"/>
  <c r="F69" i="7" s="1"/>
  <c r="D66" i="7"/>
  <c r="F66" i="7" s="1"/>
  <c r="D65" i="7"/>
  <c r="F65" i="7" s="1"/>
  <c r="D64" i="7"/>
  <c r="F64" i="7" s="1"/>
  <c r="D63" i="7"/>
  <c r="F63" i="7" s="1"/>
  <c r="F73" i="7"/>
  <c r="D62" i="7"/>
  <c r="D61" i="7"/>
  <c r="F61" i="7" s="1"/>
  <c r="D60" i="7"/>
  <c r="F60" i="7" s="1"/>
  <c r="D55" i="7"/>
  <c r="D54" i="7"/>
  <c r="F54" i="7" s="1"/>
  <c r="D53" i="7"/>
  <c r="F53" i="7" s="1"/>
  <c r="F98" i="6"/>
  <c r="F97" i="6"/>
  <c r="F96" i="6"/>
  <c r="F95" i="6"/>
  <c r="F94" i="6"/>
  <c r="D91" i="6"/>
  <c r="F91" i="6" s="1"/>
  <c r="D87" i="6"/>
  <c r="F87" i="6" s="1"/>
  <c r="D86" i="6"/>
  <c r="D88" i="6" s="1"/>
  <c r="F88" i="6" s="1"/>
  <c r="F83" i="6"/>
  <c r="F82" i="6"/>
  <c r="D79" i="6"/>
  <c r="D78" i="6"/>
  <c r="D77" i="6"/>
  <c r="D76" i="6"/>
  <c r="F76" i="6" s="1"/>
  <c r="D73" i="6"/>
  <c r="D72" i="6"/>
  <c r="F72" i="6" s="1"/>
  <c r="D71" i="6"/>
  <c r="D70" i="6"/>
  <c r="F70" i="6" s="1"/>
  <c r="D69" i="6"/>
  <c r="D68" i="6"/>
  <c r="D67" i="6"/>
  <c r="F67" i="6" s="1"/>
  <c r="D64" i="6"/>
  <c r="F64" i="6" s="1"/>
  <c r="D63" i="6"/>
  <c r="D62" i="6"/>
  <c r="D61" i="6"/>
  <c r="F61" i="6" s="1"/>
  <c r="D60" i="6"/>
  <c r="D59" i="6"/>
  <c r="F59" i="6" s="1"/>
  <c r="D58" i="6"/>
  <c r="F58" i="6" s="1"/>
  <c r="D53" i="6"/>
  <c r="F53" i="6" s="1"/>
  <c r="D52" i="6"/>
  <c r="F52" i="6" s="1"/>
  <c r="D51" i="6"/>
  <c r="F51" i="6" s="1"/>
  <c r="F99" i="3"/>
  <c r="F98" i="3"/>
  <c r="F97" i="3"/>
  <c r="F96" i="3"/>
  <c r="F95" i="3"/>
  <c r="F100" i="3" s="1"/>
  <c r="D92" i="3"/>
  <c r="F92" i="3" s="1"/>
  <c r="D88" i="3"/>
  <c r="F88" i="3" s="1"/>
  <c r="D87" i="3"/>
  <c r="D89" i="3" s="1"/>
  <c r="F89" i="3" s="1"/>
  <c r="F84" i="3"/>
  <c r="F83" i="3"/>
  <c r="D80" i="3"/>
  <c r="D91" i="3" s="1"/>
  <c r="F91" i="3" s="1"/>
  <c r="D79" i="3"/>
  <c r="D78" i="3"/>
  <c r="F78" i="3" s="1"/>
  <c r="D77" i="3"/>
  <c r="F77" i="3" s="1"/>
  <c r="D74" i="3"/>
  <c r="D73" i="3"/>
  <c r="F73" i="3" s="1"/>
  <c r="D72" i="3"/>
  <c r="D71" i="3"/>
  <c r="D70" i="3"/>
  <c r="F70" i="3" s="1"/>
  <c r="D69" i="3"/>
  <c r="F69" i="3" s="1"/>
  <c r="D68" i="3"/>
  <c r="F68" i="3" s="1"/>
  <c r="D65" i="3"/>
  <c r="F65" i="3" s="1"/>
  <c r="D64" i="3"/>
  <c r="F64" i="3" s="1"/>
  <c r="D63" i="3"/>
  <c r="F63" i="3" s="1"/>
  <c r="D62" i="3"/>
  <c r="F62" i="3" s="1"/>
  <c r="D61" i="3"/>
  <c r="F61" i="3" s="1"/>
  <c r="D60" i="3"/>
  <c r="F60" i="3" s="1"/>
  <c r="D59" i="3"/>
  <c r="F59" i="3" s="1"/>
  <c r="D54" i="3"/>
  <c r="F54" i="3" s="1"/>
  <c r="D53" i="3"/>
  <c r="F53" i="3" s="1"/>
  <c r="D52" i="3"/>
  <c r="F52" i="3" s="1"/>
  <c r="F85" i="3" l="1"/>
  <c r="F62" i="7"/>
  <c r="D56" i="7"/>
  <c r="D91" i="7"/>
  <c r="F91" i="7" s="1"/>
  <c r="F92" i="7"/>
  <c r="F70" i="7"/>
  <c r="F76" i="7" s="1"/>
  <c r="F63" i="6"/>
  <c r="F78" i="6"/>
  <c r="F68" i="6"/>
  <c r="F84" i="6"/>
  <c r="F71" i="6"/>
  <c r="F77" i="6"/>
  <c r="F80" i="6" s="1"/>
  <c r="F79" i="6"/>
  <c r="D89" i="6"/>
  <c r="F89" i="6" s="1"/>
  <c r="F60" i="6"/>
  <c r="F99" i="6"/>
  <c r="F69" i="6"/>
  <c r="F62" i="6"/>
  <c r="F79" i="3"/>
  <c r="F71" i="3"/>
  <c r="D90" i="3"/>
  <c r="F90" i="3" s="1"/>
  <c r="D57" i="7"/>
  <c r="F57" i="7" s="1"/>
  <c r="F56" i="7"/>
  <c r="F75" i="7"/>
  <c r="F86" i="7"/>
  <c r="F67" i="7"/>
  <c r="F81" i="7"/>
  <c r="F82" i="7" s="1"/>
  <c r="F88" i="7"/>
  <c r="F94" i="7" s="1"/>
  <c r="F55" i="7"/>
  <c r="F73" i="6"/>
  <c r="D90" i="6"/>
  <c r="F90" i="6" s="1"/>
  <c r="D54" i="6"/>
  <c r="F86" i="6"/>
  <c r="F72" i="3"/>
  <c r="F75" i="3" s="1"/>
  <c r="F66" i="3"/>
  <c r="F74" i="3"/>
  <c r="F87" i="3"/>
  <c r="F80" i="3"/>
  <c r="D55" i="3"/>
  <c r="F99" i="1"/>
  <c r="F98" i="1"/>
  <c r="F97" i="1"/>
  <c r="F96" i="1"/>
  <c r="F95" i="1"/>
  <c r="D92" i="1"/>
  <c r="F92" i="1" s="1"/>
  <c r="D88" i="1"/>
  <c r="F88" i="1" s="1"/>
  <c r="D87" i="1"/>
  <c r="D89" i="1" s="1"/>
  <c r="F89" i="1" s="1"/>
  <c r="F84" i="1"/>
  <c r="F83" i="1"/>
  <c r="D80" i="1"/>
  <c r="D91" i="1" s="1"/>
  <c r="D79" i="1"/>
  <c r="D78" i="1"/>
  <c r="D77" i="1"/>
  <c r="F77" i="1" s="1"/>
  <c r="D74" i="1"/>
  <c r="D73" i="1"/>
  <c r="D72" i="1"/>
  <c r="D71" i="1"/>
  <c r="D70" i="1"/>
  <c r="D69" i="1"/>
  <c r="D68" i="1"/>
  <c r="F68" i="1" s="1"/>
  <c r="D65" i="1"/>
  <c r="F65" i="1" s="1"/>
  <c r="D64" i="1"/>
  <c r="D63" i="1"/>
  <c r="D62" i="1"/>
  <c r="F62" i="1" s="1"/>
  <c r="D61" i="1"/>
  <c r="D60" i="1"/>
  <c r="F60" i="1" s="1"/>
  <c r="D59" i="1"/>
  <c r="F59" i="1" s="1"/>
  <c r="D54" i="1"/>
  <c r="D53" i="1"/>
  <c r="F53" i="1" s="1"/>
  <c r="D52" i="1"/>
  <c r="F52" i="1" s="1"/>
  <c r="F12" i="7"/>
  <c r="F11" i="7"/>
  <c r="F10" i="7"/>
  <c r="F11" i="6"/>
  <c r="F10" i="6"/>
  <c r="F9" i="6"/>
  <c r="F11" i="3"/>
  <c r="F10" i="3"/>
  <c r="F9" i="3"/>
  <c r="D33" i="7"/>
  <c r="F33" i="7" s="1"/>
  <c r="D33" i="6"/>
  <c r="F33" i="6" s="1"/>
  <c r="D33" i="3"/>
  <c r="F33" i="3" s="1"/>
  <c r="D33" i="1"/>
  <c r="F58" i="7" l="1"/>
  <c r="F93" i="3"/>
  <c r="F102" i="7"/>
  <c r="C114" i="7" s="1"/>
  <c r="F74" i="6"/>
  <c r="F92" i="6"/>
  <c r="F65" i="6"/>
  <c r="F81" i="3"/>
  <c r="D55" i="6"/>
  <c r="F55" i="6" s="1"/>
  <c r="F54" i="6"/>
  <c r="F61" i="1"/>
  <c r="F72" i="1"/>
  <c r="F71" i="1"/>
  <c r="F70" i="1"/>
  <c r="F12" i="3"/>
  <c r="C109" i="3" s="1"/>
  <c r="D56" i="3"/>
  <c r="F56" i="3" s="1"/>
  <c r="F55" i="3"/>
  <c r="F69" i="1"/>
  <c r="F75" i="1" s="1"/>
  <c r="F73" i="1"/>
  <c r="F64" i="1"/>
  <c r="F79" i="1"/>
  <c r="F100" i="1"/>
  <c r="F80" i="1"/>
  <c r="F91" i="1"/>
  <c r="F63" i="1"/>
  <c r="F66" i="1" s="1"/>
  <c r="F78" i="1"/>
  <c r="D55" i="1"/>
  <c r="D56" i="1"/>
  <c r="F56" i="1" s="1"/>
  <c r="F55" i="1"/>
  <c r="F74" i="1"/>
  <c r="F85" i="1"/>
  <c r="F87" i="1"/>
  <c r="F54" i="1"/>
  <c r="D90" i="1"/>
  <c r="F90" i="1" s="1"/>
  <c r="F12" i="6"/>
  <c r="C109" i="6" s="1"/>
  <c r="F13" i="7"/>
  <c r="C110" i="7" s="1"/>
  <c r="F56" i="6" l="1"/>
  <c r="F100" i="6" s="1"/>
  <c r="C113" i="6" s="1"/>
  <c r="F81" i="1"/>
  <c r="F57" i="3"/>
  <c r="F101" i="3" s="1"/>
  <c r="C113" i="3" s="1"/>
  <c r="F57" i="1"/>
  <c r="F93" i="1"/>
  <c r="F101" i="1" s="1"/>
  <c r="C113" i="1" s="1"/>
  <c r="B113" i="7"/>
  <c r="B112" i="7"/>
  <c r="B111" i="7"/>
  <c r="B110" i="7"/>
  <c r="B109" i="7"/>
  <c r="B112" i="6"/>
  <c r="B111" i="6"/>
  <c r="B110" i="6"/>
  <c r="B109" i="6"/>
  <c r="B108" i="6"/>
  <c r="B112" i="3"/>
  <c r="B111" i="3"/>
  <c r="B110" i="3"/>
  <c r="B109" i="3"/>
  <c r="B108" i="3"/>
  <c r="F47" i="7"/>
  <c r="F46" i="7"/>
  <c r="F45" i="7"/>
  <c r="F44" i="7"/>
  <c r="F43" i="7"/>
  <c r="F42" i="7"/>
  <c r="H41" i="7"/>
  <c r="F45" i="6"/>
  <c r="F44" i="6"/>
  <c r="F43" i="6"/>
  <c r="F42" i="6"/>
  <c r="F41" i="6"/>
  <c r="F40" i="6"/>
  <c r="H39" i="6"/>
  <c r="F46" i="3"/>
  <c r="F45" i="3"/>
  <c r="F44" i="3"/>
  <c r="F43" i="3"/>
  <c r="F42" i="3"/>
  <c r="F41" i="3"/>
  <c r="H40" i="3"/>
  <c r="F39" i="7"/>
  <c r="F37" i="6"/>
  <c r="F38" i="3"/>
  <c r="F42" i="1"/>
  <c r="F43" i="1"/>
  <c r="F44" i="1"/>
  <c r="F45" i="1"/>
  <c r="F46" i="1"/>
  <c r="F41" i="1"/>
  <c r="F6" i="7"/>
  <c r="F5" i="6"/>
  <c r="F5" i="3"/>
  <c r="F49" i="7" l="1"/>
  <c r="C113" i="7" s="1"/>
  <c r="F48" i="3"/>
  <c r="C112" i="3" s="1"/>
  <c r="F47" i="6"/>
  <c r="C112" i="6" s="1"/>
  <c r="F48" i="1"/>
  <c r="C112" i="1" s="1"/>
  <c r="F38" i="1" l="1"/>
  <c r="B112" i="1"/>
  <c r="B111" i="1"/>
  <c r="B110" i="1"/>
  <c r="B109" i="1"/>
  <c r="B108" i="1"/>
  <c r="D34" i="7" l="1"/>
  <c r="D31" i="7"/>
  <c r="D30" i="7"/>
  <c r="D29" i="6"/>
  <c r="D14" i="6"/>
  <c r="D30" i="3" l="1"/>
  <c r="D30" i="1"/>
  <c r="D30" i="6" l="1"/>
  <c r="D29" i="3"/>
  <c r="F21" i="3" l="1"/>
  <c r="D29" i="1" l="1"/>
  <c r="H38" i="7" l="1"/>
  <c r="F38" i="7"/>
  <c r="H37" i="7"/>
  <c r="F37" i="7"/>
  <c r="H36" i="7"/>
  <c r="F36" i="7"/>
  <c r="F35" i="7"/>
  <c r="H34" i="7"/>
  <c r="F34" i="7"/>
  <c r="F32" i="7"/>
  <c r="F31" i="7"/>
  <c r="H30" i="7"/>
  <c r="F30" i="7"/>
  <c r="F27" i="7"/>
  <c r="D26" i="7"/>
  <c r="F26" i="7" s="1"/>
  <c r="F25" i="7"/>
  <c r="F24" i="7"/>
  <c r="H23" i="7"/>
  <c r="I22" i="7" s="1"/>
  <c r="F23" i="7"/>
  <c r="F22" i="7"/>
  <c r="F21" i="7"/>
  <c r="F20" i="7"/>
  <c r="F19" i="7"/>
  <c r="F18" i="7"/>
  <c r="F17" i="7"/>
  <c r="F16" i="7"/>
  <c r="D15" i="7"/>
  <c r="F15" i="7" s="1"/>
  <c r="L13" i="7"/>
  <c r="F7" i="7"/>
  <c r="H36" i="6"/>
  <c r="F36" i="6"/>
  <c r="H35" i="6"/>
  <c r="F35" i="6"/>
  <c r="H34" i="6"/>
  <c r="F34" i="6"/>
  <c r="H33" i="6"/>
  <c r="F32" i="6"/>
  <c r="F31" i="6"/>
  <c r="F30" i="6"/>
  <c r="H29" i="6"/>
  <c r="F29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L12" i="6"/>
  <c r="F6" i="6"/>
  <c r="F29" i="3"/>
  <c r="H37" i="3"/>
  <c r="F37" i="3"/>
  <c r="H36" i="3"/>
  <c r="F36" i="3"/>
  <c r="H35" i="3"/>
  <c r="F35" i="3"/>
  <c r="F34" i="3"/>
  <c r="H33" i="3"/>
  <c r="F32" i="3"/>
  <c r="F31" i="3"/>
  <c r="F30" i="3"/>
  <c r="H29" i="3"/>
  <c r="F26" i="3"/>
  <c r="F25" i="3"/>
  <c r="F24" i="3"/>
  <c r="F23" i="3"/>
  <c r="H22" i="3"/>
  <c r="I21" i="3" s="1"/>
  <c r="F22" i="3"/>
  <c r="F20" i="3"/>
  <c r="F19" i="3"/>
  <c r="F18" i="3"/>
  <c r="F17" i="3"/>
  <c r="F16" i="3"/>
  <c r="F15" i="3"/>
  <c r="D14" i="3"/>
  <c r="F14" i="3" s="1"/>
  <c r="L12" i="3"/>
  <c r="F6" i="3"/>
  <c r="F7" i="3" s="1"/>
  <c r="F24" i="1"/>
  <c r="C108" i="3" l="1"/>
  <c r="F38" i="6"/>
  <c r="C111" i="6" s="1"/>
  <c r="F40" i="7"/>
  <c r="C112" i="7" s="1"/>
  <c r="F39" i="3"/>
  <c r="C111" i="3" s="1"/>
  <c r="F8" i="7"/>
  <c r="F7" i="6"/>
  <c r="F28" i="7"/>
  <c r="C111" i="7" s="1"/>
  <c r="F27" i="6"/>
  <c r="C110" i="6" s="1"/>
  <c r="F27" i="3"/>
  <c r="C110" i="3" s="1"/>
  <c r="F26" i="1"/>
  <c r="F25" i="1"/>
  <c r="F37" i="1"/>
  <c r="F36" i="1"/>
  <c r="H36" i="1"/>
  <c r="F35" i="1"/>
  <c r="H37" i="1"/>
  <c r="F32" i="1"/>
  <c r="H40" i="1"/>
  <c r="F31" i="1"/>
  <c r="H35" i="1"/>
  <c r="C114" i="3" l="1"/>
  <c r="D113" i="3" s="1"/>
  <c r="F103" i="7"/>
  <c r="F101" i="6"/>
  <c r="F102" i="3"/>
  <c r="C109" i="7"/>
  <c r="C115" i="7" s="1"/>
  <c r="D114" i="7" s="1"/>
  <c r="D111" i="7"/>
  <c r="C108" i="6"/>
  <c r="H29" i="1"/>
  <c r="F30" i="1"/>
  <c r="F29" i="1"/>
  <c r="D14" i="1"/>
  <c r="F14" i="1" s="1"/>
  <c r="F23" i="1"/>
  <c r="H22" i="1"/>
  <c r="I21" i="1" s="1"/>
  <c r="F22" i="1"/>
  <c r="H9" i="1"/>
  <c r="F9" i="1"/>
  <c r="F11" i="1"/>
  <c r="C114" i="6" l="1"/>
  <c r="D113" i="6" s="1"/>
  <c r="D115" i="7"/>
  <c r="D110" i="7"/>
  <c r="D109" i="7"/>
  <c r="D112" i="7"/>
  <c r="D113" i="7"/>
  <c r="D114" i="3"/>
  <c r="D112" i="3"/>
  <c r="D108" i="3"/>
  <c r="D110" i="3"/>
  <c r="D109" i="3"/>
  <c r="D111" i="3"/>
  <c r="H33" i="1"/>
  <c r="D114" i="6" l="1"/>
  <c r="D108" i="6"/>
  <c r="D112" i="6"/>
  <c r="D110" i="6"/>
  <c r="D111" i="6"/>
  <c r="D109" i="6"/>
  <c r="F19" i="1"/>
  <c r="F16" i="1"/>
  <c r="F5" i="1" l="1"/>
  <c r="F34" i="1"/>
  <c r="F33" i="1"/>
  <c r="F39" i="1" s="1"/>
  <c r="F21" i="1"/>
  <c r="F20" i="1"/>
  <c r="F18" i="1"/>
  <c r="F17" i="1"/>
  <c r="F15" i="1"/>
  <c r="F10" i="1"/>
  <c r="L10" i="1"/>
  <c r="F6" i="1"/>
  <c r="C111" i="1" l="1"/>
  <c r="F27" i="1"/>
  <c r="C110" i="1" s="1"/>
  <c r="F7" i="1"/>
  <c r="F12" i="1"/>
  <c r="F102" i="1" l="1"/>
  <c r="C108" i="1"/>
  <c r="C109" i="1"/>
  <c r="C114" i="1" l="1"/>
  <c r="D113" i="1"/>
  <c r="D114" i="1"/>
  <c r="D112" i="1"/>
  <c r="D110" i="1"/>
  <c r="D111" i="1"/>
  <c r="D109" i="1"/>
  <c r="D108" i="1"/>
</calcChain>
</file>

<file path=xl/sharedStrings.xml><?xml version="1.0" encoding="utf-8"?>
<sst xmlns="http://schemas.openxmlformats.org/spreadsheetml/2006/main" count="1151" uniqueCount="192">
  <si>
    <t>N°</t>
  </si>
  <si>
    <t>DÉSIGNATIONS</t>
  </si>
  <si>
    <t>UNITÉ</t>
  </si>
  <si>
    <t>QTE</t>
  </si>
  <si>
    <t>PRIX UNITAIRE</t>
  </si>
  <si>
    <t>MONTANT</t>
  </si>
  <si>
    <t>I</t>
  </si>
  <si>
    <t>FF</t>
  </si>
  <si>
    <t>Sous total I</t>
  </si>
  <si>
    <t>II</t>
  </si>
  <si>
    <t>Sous total II</t>
  </si>
  <si>
    <t>III</t>
  </si>
  <si>
    <t>U</t>
  </si>
  <si>
    <t>ml</t>
  </si>
  <si>
    <t>Ml</t>
  </si>
  <si>
    <t>100 m</t>
  </si>
  <si>
    <t>IV</t>
  </si>
  <si>
    <t>Réseau de distribution</t>
  </si>
  <si>
    <t>Sous-total IV</t>
  </si>
  <si>
    <t>Clôture et Annexe</t>
  </si>
  <si>
    <t>Sous-total V</t>
  </si>
  <si>
    <t>Mise en œuvre du PGES</t>
  </si>
  <si>
    <t>TOTAL GENERAL HT</t>
  </si>
  <si>
    <t>COUT PAR HA</t>
  </si>
  <si>
    <t>SPECULATION</t>
  </si>
  <si>
    <t>Maraichage</t>
  </si>
  <si>
    <t>m3</t>
  </si>
  <si>
    <t>Ens</t>
  </si>
  <si>
    <t>Reseau de circulation d'emprise 3 m avec revetement lateritique de 20 cm avec fossé des deux cotés y compris toute sujetion</t>
  </si>
  <si>
    <t>(FCFA)</t>
  </si>
  <si>
    <t>Installation et replis du chantier</t>
  </si>
  <si>
    <t>Préparation du terrain et implantation des ouvrages y compris abattage des arbres et débroussaillage et élaboration des plans d'exécutions et de récolements</t>
  </si>
  <si>
    <t>Ha</t>
  </si>
  <si>
    <t>F/P de grillage parck de maille 5cm et de diamètre de fil 2,5 mm, h=2 m y compris toutes sujétions</t>
  </si>
  <si>
    <t>Fouilles en rigole pour maçonnerie de soubassement</t>
  </si>
  <si>
    <t>F/P de portail métallique en grille (tube carré 25) de 3x2,00m avec antirouille et peinture à huile couleur verte pour le PM</t>
  </si>
  <si>
    <t>F/P de portail métallique pleine de 4x2,00 m avec anti-rouille et peinture à huile couleur verte pour le CRR</t>
  </si>
  <si>
    <t>F/P et pose de panneaux d'identité du projet y compris toutes sujétions</t>
  </si>
  <si>
    <t>VARIANTE 1</t>
  </si>
  <si>
    <t>Fourniture et pose de la conduite de refoulement en PE DN63 PN16 y compris lit de pose toutes sujétions de pose</t>
  </si>
  <si>
    <t>Exécution de tranchées de profondeur minimal 60 cm pour pose de tuyau PVC en terrain de toute nature y compris piquetage du tracé, établissement des profils, déblai et nivellement meuble et compactage</t>
  </si>
  <si>
    <t xml:space="preserve">F/P de tuyau PVC90mm - PN6 pour réseau y compris accessoires de pose (tés, coudes, manchons, réducteurs, plaques pleines, bouchons) , lit de pose de 10cm en sable ,grille avertisseur et toutes sujétions </t>
  </si>
  <si>
    <t>Exécution de tranchées de profondeur minimal 50 cm pour pose de tuyau PE 63 en terrain de toute nature y compris piquetage du tracé, établissement des profils, déblai et nivellement meuble et compactage</t>
  </si>
  <si>
    <t xml:space="preserve">F/P de tuyau PVC110mm - PN6 pour réseau y compris accessoires de pose (tés, coudes, manchons, réducteurs, plaques pleines, bouchons) , lit de pose de 10cm en sable ,grille avertisseur et toutes sujétions </t>
  </si>
  <si>
    <t xml:space="preserve">F/P de tuyau PVC63mm - PN6 pour réseau y compris accessoires de pose (tés, coudes, manchons, réducteurs, plaques pleines, bouchons) , lit de pose de 10cm en sable ,grille avertisseur et toutes sujétions </t>
  </si>
  <si>
    <t>F/Vannes papillon DN 110 dans un regard en Béton ordinaire dosé 300 Kg/m3</t>
  </si>
  <si>
    <t>F/Vannes papillon DN 90 dans un regard en Béton ordinaire dosé 300 Kg/m4</t>
  </si>
  <si>
    <t>F/P Vannes papillon DN 63 dans un regard en Béton ordinaire dosé 300 Kg/m3</t>
  </si>
  <si>
    <t xml:space="preserve">F/P de bouche d'irrigation double en PVC PN6 DN40 comprenant :Colonne de 1 m,manchon;bouchon,Té,coude </t>
  </si>
  <si>
    <t xml:space="preserve">F/P de bouche d'irrigation simple en PVC PN6 DN40 comprenant :Colonne de 1 m,manchon;bouchon,Té,coude </t>
  </si>
  <si>
    <r>
      <t>Exécution de sous-bassin de 1,5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en béton armé avec un radier de 10 cm en béton armé dosé à 350 kg/m3 y compris enduit étanche avec ajout de sikhalie, tuyauterie d'alimentation en Galva diam 32 et toutes sujétions </t>
    </r>
  </si>
  <si>
    <t>maçonnerie de soubassement en béton cyclopéen de hauteur 15 cm ,ancré de 15 et de largeur 20 cm</t>
  </si>
  <si>
    <t>F/P de cornière 50x50x5mm de hauteur 2 m avec anti rouille tous les 3m y compris fouille et gros béton de scellement conformément aux indications des plans</t>
  </si>
  <si>
    <t>Fourniture des arrosoirs plastiques de 10 à 15 ml</t>
  </si>
  <si>
    <t>Fourniture de raccord 26 50 ml</t>
  </si>
  <si>
    <t>u</t>
  </si>
  <si>
    <t>Robinet de puisage  de 0,5l/s y compris toutes sujetions de pose et de raccordments</t>
  </si>
  <si>
    <t>Fourniture de raccord 26 à 50 ml</t>
  </si>
  <si>
    <r>
      <t>Fourniture et pose d'un château d'eau de 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de capacité et de 06 m de hauteur (pylone) y compris les raccordements aux forages et au réseau de distribution</t>
    </r>
  </si>
  <si>
    <t>DEVIS QUANTITATIF ET ESTIMATIF DU PM DE BABOUGOU</t>
  </si>
  <si>
    <t>DEVIS QUANTITATIF ET ESTIMATIF DU PM DE KENEKELE</t>
  </si>
  <si>
    <t>DEVIS QUANTITATIF ET ESTIMATIF DU PM DE NADIOBOUGOU</t>
  </si>
  <si>
    <t>DEVIS QUANTITATIF ET ESTIMATIF DU PM DE MONZONA</t>
  </si>
  <si>
    <t>Designation</t>
  </si>
  <si>
    <t>Total</t>
  </si>
  <si>
    <t>Sous-total III</t>
  </si>
  <si>
    <t>V</t>
  </si>
  <si>
    <t>Information sensibilisation des populations</t>
  </si>
  <si>
    <t xml:space="preserve">Unité </t>
  </si>
  <si>
    <t>Plantation d’arbres et de bonification (achat, trouaison et protection des plantes)</t>
  </si>
  <si>
    <t>Plants</t>
  </si>
  <si>
    <t>Dotation des travailleurs en EPI (10 ouvriers x 10 kits +5 kits pour les visiteurs et personnel de transit</t>
  </si>
  <si>
    <t>Unité</t>
  </si>
  <si>
    <t>IEC sur le VIH/MST/IST VBG/EAS/HS (préservatifs, guide, animation)</t>
  </si>
  <si>
    <t>Formation du comité de gestion du PM</t>
  </si>
  <si>
    <t>Dotation petit lot d’équipement (arrosoir, pioches, pels etc..)</t>
  </si>
  <si>
    <t>Forfait</t>
  </si>
  <si>
    <t>Suivi des mesures environnementales services techniques (transports+ perdiems)</t>
  </si>
  <si>
    <t>Visite</t>
  </si>
  <si>
    <t>Construction de magasin de stockage  (voir devis separé)</t>
  </si>
  <si>
    <t xml:space="preserve">Part </t>
  </si>
  <si>
    <t>Cout total</t>
  </si>
  <si>
    <t>Travaux preliminaires</t>
  </si>
  <si>
    <t xml:space="preserve">N°  </t>
  </si>
  <si>
    <t xml:space="preserve">DESIGNATION DES TRAVAUX </t>
  </si>
  <si>
    <t xml:space="preserve">Unités </t>
  </si>
  <si>
    <t xml:space="preserve">Quantités </t>
  </si>
  <si>
    <t xml:space="preserve">PU (F.CFA) </t>
  </si>
  <si>
    <t xml:space="preserve">Montants (F.CFA) </t>
  </si>
  <si>
    <t xml:space="preserve">I </t>
  </si>
  <si>
    <t xml:space="preserve"> TERRASSEMENT </t>
  </si>
  <si>
    <t xml:space="preserve"> </t>
  </si>
  <si>
    <t xml:space="preserve">  </t>
  </si>
  <si>
    <t xml:space="preserve">1.1 </t>
  </si>
  <si>
    <t>Préparation du terrain y compris implantation</t>
  </si>
  <si>
    <t xml:space="preserve">1.2 </t>
  </si>
  <si>
    <t>Fouilles en rigole</t>
  </si>
  <si>
    <t xml:space="preserve">1.3 </t>
  </si>
  <si>
    <t xml:space="preserve">Fouilles sous semelle </t>
  </si>
  <si>
    <t xml:space="preserve">1.4 </t>
  </si>
  <si>
    <t xml:space="preserve">Remblais provenant des fouilles </t>
  </si>
  <si>
    <t xml:space="preserve">1.5 </t>
  </si>
  <si>
    <t>Remblai d'apport compacté</t>
  </si>
  <si>
    <t xml:space="preserve">Sous total I </t>
  </si>
  <si>
    <t xml:space="preserve">II </t>
  </si>
  <si>
    <t xml:space="preserve">BÉTON - MAÇONNERIE EN FONDATION  </t>
  </si>
  <si>
    <t xml:space="preserve">2.1 </t>
  </si>
  <si>
    <t>Béton de propreté ep= 5 cm dosé à 150 kg/m3</t>
  </si>
  <si>
    <t xml:space="preserve">2.2 </t>
  </si>
  <si>
    <t xml:space="preserve">BA pour semelle  dosé à 350kg/m3 </t>
  </si>
  <si>
    <t xml:space="preserve">2.3 </t>
  </si>
  <si>
    <t xml:space="preserve">B.A. pour Poteau en fondation dosé à 350kg/m3 </t>
  </si>
  <si>
    <t xml:space="preserve">2.4 </t>
  </si>
  <si>
    <t>Maçonnerie d'agglos plein de 20 cm pour soubassement</t>
  </si>
  <si>
    <t xml:space="preserve">2.5 </t>
  </si>
  <si>
    <t>B.A. pour Longrine  dosé à 350kg/m3</t>
  </si>
  <si>
    <t xml:space="preserve">2.6 </t>
  </si>
  <si>
    <t>Béton banché pour perron d'accès et rampes</t>
  </si>
  <si>
    <t xml:space="preserve">2.7 </t>
  </si>
  <si>
    <t>Béton de Forme 8 cm dosé à 350kg/m3</t>
  </si>
  <si>
    <t xml:space="preserve">Sous total II </t>
  </si>
  <si>
    <t xml:space="preserve">III </t>
  </si>
  <si>
    <t xml:space="preserve">BÉTON - MAÇONNERIE EN ELEVATION </t>
  </si>
  <si>
    <t xml:space="preserve">3.1 </t>
  </si>
  <si>
    <t xml:space="preserve">Maçonnerie d'agglos creux </t>
  </si>
  <si>
    <t>3.2</t>
  </si>
  <si>
    <t>B.A. pour Poteau dosé à 350kg/m3</t>
  </si>
  <si>
    <t>3.3</t>
  </si>
  <si>
    <t>B.A. pour Chaînage allège dosé à 350kg/m3</t>
  </si>
  <si>
    <t>3.4</t>
  </si>
  <si>
    <t>B.A. pour Chaînage linteau dosé à 350kg/m3</t>
  </si>
  <si>
    <t>3.5</t>
  </si>
  <si>
    <t>3.6</t>
  </si>
  <si>
    <t>B.A. pour Chaînage haut dosé à 350kg/m3</t>
  </si>
  <si>
    <t>3.7</t>
  </si>
  <si>
    <t>B.A. pour revers d'eau dosé à 350kg/m3</t>
  </si>
  <si>
    <t xml:space="preserve">Sous total III </t>
  </si>
  <si>
    <t xml:space="preserve">IV </t>
  </si>
  <si>
    <t xml:space="preserve">COUVERTURE </t>
  </si>
  <si>
    <t xml:space="preserve">4.1 </t>
  </si>
  <si>
    <t xml:space="preserve">F/P de couverture en tôle bac Galva 60/100ème y compris toutes suggestions </t>
  </si>
  <si>
    <t>m2</t>
  </si>
  <si>
    <t xml:space="preserve">4.2 </t>
  </si>
  <si>
    <t>F/P de Traverse en IPN 120 y compris peinture antirouille</t>
  </si>
  <si>
    <t xml:space="preserve">4.3 </t>
  </si>
  <si>
    <t>F/P panne en cornière 60 avec attache panne y compris peinture antirouille</t>
  </si>
  <si>
    <t xml:space="preserve">4.4 </t>
  </si>
  <si>
    <t>F/P de faux plafond</t>
  </si>
  <si>
    <t xml:space="preserve">Sous total IV </t>
  </si>
  <si>
    <t xml:space="preserve">V </t>
  </si>
  <si>
    <t xml:space="preserve">MENUISERIE </t>
  </si>
  <si>
    <t xml:space="preserve">5.1 </t>
  </si>
  <si>
    <t>F/P porte métallique persiennée de 1,50 x 2,20 y compris peinture antirouille</t>
  </si>
  <si>
    <t xml:space="preserve">5.3 </t>
  </si>
  <si>
    <t>F/P fenêtre  métallique persiennée  de 1,20 x 1,20 y compris peinture antirouille</t>
  </si>
  <si>
    <t xml:space="preserve">Sous total V </t>
  </si>
  <si>
    <t xml:space="preserve">VI </t>
  </si>
  <si>
    <t xml:space="preserve"> ENDUIT – PEINTURE </t>
  </si>
  <si>
    <t xml:space="preserve">6.1 </t>
  </si>
  <si>
    <t>Enduit sur mur intérieur y compris raccordement</t>
  </si>
  <si>
    <t>6.2</t>
  </si>
  <si>
    <t xml:space="preserve">Enduit sur mur extérieur y compris raccordement </t>
  </si>
  <si>
    <t>6.3</t>
  </si>
  <si>
    <t>Peinture FOM intérieure</t>
  </si>
  <si>
    <t>6.4</t>
  </si>
  <si>
    <t>Peinture FOM extérieure</t>
  </si>
  <si>
    <t>6.5</t>
  </si>
  <si>
    <t>Peinture FOM sur faux plafond</t>
  </si>
  <si>
    <t>6.6</t>
  </si>
  <si>
    <t>Revêtement du sol en gré seramique de 30x30 cm</t>
  </si>
  <si>
    <t xml:space="preserve">Sous total VI </t>
  </si>
  <si>
    <t xml:space="preserve">VII </t>
  </si>
  <si>
    <t xml:space="preserve">ELECTRICITE </t>
  </si>
  <si>
    <t xml:space="preserve">7.1 </t>
  </si>
  <si>
    <t xml:space="preserve">F/P ensemble gainages, câbles, filerie y compris  toutes suggestions </t>
  </si>
  <si>
    <t xml:space="preserve">7.2 </t>
  </si>
  <si>
    <t xml:space="preserve">F/P de ampoule LED </t>
  </si>
  <si>
    <t xml:space="preserve">7.3 </t>
  </si>
  <si>
    <t xml:space="preserve">F/P d'interrupteur simple allumage  </t>
  </si>
  <si>
    <t xml:space="preserve">7.4 </t>
  </si>
  <si>
    <t>F/P de prise de courant 2P+T</t>
  </si>
  <si>
    <t xml:space="preserve">7.5 </t>
  </si>
  <si>
    <t xml:space="preserve">F/P Brasseur d'air plafonnier standard </t>
  </si>
  <si>
    <t xml:space="preserve">Sous total VII </t>
  </si>
  <si>
    <t xml:space="preserve">TOTAL MAGASIN  </t>
  </si>
  <si>
    <t>F/P de IPN 80 hauteur 2 m avec anti rouille tous les 24 m y compris fouille et gros béton de scellement conformément aux indications des plans</t>
  </si>
  <si>
    <t>Maçonnerie de soubassement en béton cyclopéen de hauteur 20 cm ,ancré de 15 et de largeur 30 cm</t>
  </si>
  <si>
    <t>Reseau de refoulement</t>
  </si>
  <si>
    <t>MAGASIN 5x4 m²</t>
  </si>
  <si>
    <t>Magasin</t>
  </si>
  <si>
    <r>
      <t>m</t>
    </r>
    <r>
      <rPr>
        <vertAlign val="superscript"/>
        <sz val="10"/>
        <color rgb="FF000000"/>
        <rFont val="Arial"/>
        <family val="2"/>
      </rPr>
      <t>2</t>
    </r>
  </si>
  <si>
    <r>
      <t>m</t>
    </r>
    <r>
      <rPr>
        <vertAlign val="superscript"/>
        <sz val="10"/>
        <color rgb="FF00000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</si>
</sst>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0"/>
    <numFmt numFmtId="166" formatCode="_-* #,##0_-;\-* #,##0_-;_-* &quot;-&quot;??_-;_-@_-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9C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43" fontId="2" fillId="0" borderId="0" xfId="1" applyFont="1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 vertical="center"/>
    </xf>
    <xf numFmtId="43" fontId="4" fillId="5" borderId="0" xfId="1" applyFont="1" applyFill="1" applyAlignment="1">
      <alignment vertical="center"/>
    </xf>
    <xf numFmtId="43" fontId="5" fillId="0" borderId="0" xfId="1" applyFont="1"/>
    <xf numFmtId="0" fontId="5" fillId="0" borderId="0" xfId="0" applyFont="1"/>
    <xf numFmtId="3" fontId="4" fillId="5" borderId="0" xfId="2" applyNumberFormat="1" applyFont="1" applyFill="1"/>
    <xf numFmtId="0" fontId="4" fillId="5" borderId="0" xfId="2" applyFont="1" applyFill="1" applyAlignment="1">
      <alignment vertical="center"/>
    </xf>
    <xf numFmtId="164" fontId="4" fillId="5" borderId="0" xfId="2" applyNumberFormat="1" applyFont="1" applyFill="1" applyAlignment="1">
      <alignment vertical="center"/>
    </xf>
    <xf numFmtId="43" fontId="7" fillId="0" borderId="0" xfId="1" applyFont="1"/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/>
    </xf>
    <xf numFmtId="3" fontId="8" fillId="6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43" fontId="10" fillId="0" borderId="0" xfId="1" applyFont="1"/>
    <xf numFmtId="43" fontId="12" fillId="0" borderId="0" xfId="1" applyFont="1"/>
    <xf numFmtId="43" fontId="12" fillId="0" borderId="0" xfId="1" applyFont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43" fontId="7" fillId="0" borderId="0" xfId="1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12" fontId="0" fillId="0" borderId="0" xfId="1" applyNumberFormat="1" applyFont="1" applyAlignment="1">
      <alignment wrapText="1"/>
    </xf>
    <xf numFmtId="2" fontId="6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center" vertical="center"/>
    </xf>
    <xf numFmtId="9" fontId="10" fillId="0" borderId="2" xfId="5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43" fontId="7" fillId="0" borderId="0" xfId="1" applyFont="1" applyFill="1" applyAlignment="1">
      <alignment wrapText="1"/>
    </xf>
    <xf numFmtId="0" fontId="7" fillId="0" borderId="0" xfId="0" applyFont="1" applyFill="1" applyAlignment="1">
      <alignment wrapText="1"/>
    </xf>
    <xf numFmtId="9" fontId="12" fillId="0" borderId="2" xfId="5" applyFont="1" applyBorder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66" fontId="8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165" fontId="9" fillId="8" borderId="2" xfId="0" applyNumberFormat="1" applyFont="1" applyFill="1" applyBorder="1" applyAlignment="1">
      <alignment horizontal="center" vertical="center" wrapText="1"/>
    </xf>
    <xf numFmtId="166" fontId="8" fillId="8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</cellXfs>
  <cellStyles count="6">
    <cellStyle name="Milliers" xfId="1" builtinId="3"/>
    <cellStyle name="Milliers 2" xfId="4" xr:uid="{00000000-0005-0000-0000-000001000000}"/>
    <cellStyle name="Normal" xfId="0" builtinId="0"/>
    <cellStyle name="Normal 2 2" xfId="2" xr:uid="{00000000-0005-0000-0000-000003000000}"/>
    <cellStyle name="Normal 3" xfId="3" xr:uid="{00000000-0005-0000-0000-000004000000}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vail\A09-32%20Interland%20Kinshasa\Technique\Rapports\APD-calcul\Secteur%20A%20-%20Kingabwa\chantier-kingab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fer\Bloc-N1-V3-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vail\AD2-%20Di%20et%20L&#233;ry%20-%20BF\Rapport\Calcul\Variante%201\Bloc-N1-av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Ismael\Documents\DOCUMENTS\MES%20DOCUMENTS\hydra_version%201211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HA-AZ\transfer\Dokumente%20und%20Einstellungen\pieter\Eigene%20Dateien\My%20Documents\AHT\BasseVallee\Rapports\RapportAPD\APDComp2\Annexes\d&#233;tail%20estimatif%20lot%20F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HA-AZ\transfer\transfer\d&#233;tail%20estimatif%20lot%20F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-dalots-irrigation"/>
      <sheetName val="Synthèse-ouvrage-drainage"/>
      <sheetName val="Départ de canal sec."/>
      <sheetName val="modules-masque"/>
      <sheetName val="Déversoir-siphon"/>
      <sheetName val="canal P"/>
      <sheetName val="synthèse-secondaires"/>
      <sheetName val="fin-tertaire"/>
      <sheetName val="T-P"/>
      <sheetName val="Drain-P"/>
      <sheetName val="Drain-garde"/>
      <sheetName val="Récap-débits"/>
      <sheetName val="Métré ouv."/>
      <sheetName val="Feuil2"/>
      <sheetName val="Devis estim.ouv"/>
      <sheetName val="devis.ouv"/>
      <sheetName val="devis.ouv.tot"/>
      <sheetName val="Devis estim.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M7">
            <v>0.1</v>
          </cell>
        </row>
        <row r="37">
          <cell r="C37">
            <v>-16</v>
          </cell>
        </row>
        <row r="63">
          <cell r="C63">
            <v>-6</v>
          </cell>
        </row>
        <row r="89">
          <cell r="C89">
            <v>-13</v>
          </cell>
        </row>
        <row r="115">
          <cell r="C115">
            <v>-10.5</v>
          </cell>
        </row>
        <row r="141">
          <cell r="C141">
            <v>-5</v>
          </cell>
        </row>
        <row r="167">
          <cell r="C167">
            <v>-13</v>
          </cell>
        </row>
        <row r="193">
          <cell r="C193">
            <v>-2</v>
          </cell>
        </row>
        <row r="219">
          <cell r="C219">
            <v>-9.5</v>
          </cell>
        </row>
        <row r="245">
          <cell r="C245">
            <v>-9</v>
          </cell>
        </row>
        <row r="271">
          <cell r="C271">
            <v>-2</v>
          </cell>
        </row>
        <row r="297">
          <cell r="C297">
            <v>-5.5</v>
          </cell>
        </row>
        <row r="323">
          <cell r="C323">
            <v>-6.5</v>
          </cell>
        </row>
        <row r="349">
          <cell r="C349">
            <v>-12.5</v>
          </cell>
        </row>
        <row r="375">
          <cell r="C375">
            <v>-23.5</v>
          </cell>
        </row>
        <row r="401">
          <cell r="C401">
            <v>-7</v>
          </cell>
        </row>
        <row r="427">
          <cell r="C427">
            <v>-13.5</v>
          </cell>
        </row>
        <row r="453">
          <cell r="C453">
            <v>-61.5</v>
          </cell>
        </row>
        <row r="479">
          <cell r="C479">
            <v>-17.5</v>
          </cell>
        </row>
        <row r="505">
          <cell r="C505">
            <v>-42</v>
          </cell>
        </row>
        <row r="531">
          <cell r="C531">
            <v>-1.75</v>
          </cell>
        </row>
      </sheetData>
      <sheetData sheetId="6" refreshError="1"/>
      <sheetData sheetId="7" refreshError="1"/>
      <sheetData sheetId="8">
        <row r="55">
          <cell r="B55">
            <v>60</v>
          </cell>
        </row>
        <row r="75">
          <cell r="B75">
            <v>30</v>
          </cell>
        </row>
        <row r="101">
          <cell r="B101">
            <v>30</v>
          </cell>
        </row>
        <row r="123">
          <cell r="B123">
            <v>30</v>
          </cell>
        </row>
        <row r="151">
          <cell r="B151">
            <v>30</v>
          </cell>
        </row>
        <row r="173">
          <cell r="B173">
            <v>30</v>
          </cell>
        </row>
        <row r="203">
          <cell r="B203">
            <v>30</v>
          </cell>
        </row>
        <row r="235">
          <cell r="B235">
            <v>60</v>
          </cell>
        </row>
        <row r="257">
          <cell r="B257">
            <v>30</v>
          </cell>
        </row>
        <row r="292">
          <cell r="B292">
            <v>30</v>
          </cell>
        </row>
        <row r="314">
          <cell r="B314">
            <v>30</v>
          </cell>
        </row>
        <row r="349">
          <cell r="B349">
            <v>30</v>
          </cell>
        </row>
        <row r="371">
          <cell r="B371">
            <v>30</v>
          </cell>
        </row>
        <row r="409">
          <cell r="B409">
            <v>30</v>
          </cell>
        </row>
        <row r="431">
          <cell r="B431">
            <v>30</v>
          </cell>
        </row>
        <row r="453">
          <cell r="B453">
            <v>30</v>
          </cell>
        </row>
        <row r="491">
          <cell r="B491">
            <v>30</v>
          </cell>
        </row>
        <row r="523">
          <cell r="B523">
            <v>30</v>
          </cell>
        </row>
        <row r="543">
          <cell r="B543">
            <v>60</v>
          </cell>
        </row>
        <row r="568">
          <cell r="B568">
            <v>30</v>
          </cell>
        </row>
      </sheetData>
      <sheetData sheetId="9"/>
      <sheetData sheetId="10" refreshError="1"/>
      <sheetData sheetId="11" refreshError="1"/>
      <sheetData sheetId="12">
        <row r="2">
          <cell r="A2">
            <v>50000</v>
          </cell>
          <cell r="S2">
            <v>5000</v>
          </cell>
          <cell r="T2">
            <v>6800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-dalots-irrigation"/>
      <sheetName val="Synthèse-ouvrage-drainage"/>
      <sheetName val="Départ de canal sec."/>
      <sheetName val="modules-masque"/>
      <sheetName val="Giraudet"/>
      <sheetName val="Déversoir-latéral"/>
      <sheetName val="canal P"/>
      <sheetName val="CS1"/>
      <sheetName val="CS2"/>
      <sheetName val="T-P"/>
      <sheetName val="Récap-débits"/>
      <sheetName val="Récap-débits-périmètre"/>
      <sheetName val="synthèse-secondaires"/>
      <sheetName val="Drain-P"/>
      <sheetName val="Métré ouv."/>
      <sheetName val="Feuil2"/>
      <sheetName val="Devis estim.ouv"/>
      <sheetName val="devis.ouv"/>
      <sheetName val="devis.ouv.tot-I"/>
      <sheetName val="devis.ouv.tot-D"/>
      <sheetName val="Devis estim.V1"/>
      <sheetName val="Devis estim.V1-D"/>
      <sheetName val="DAO-irrigation"/>
      <sheetName val="DAO-drainage"/>
      <sheetName val="Devis estim.Lot nord"/>
      <sheetName val="Devis estim.variante 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R7">
            <v>0.1</v>
          </cell>
        </row>
        <row r="17">
          <cell r="C17">
            <v>-50</v>
          </cell>
        </row>
        <row r="33">
          <cell r="C33">
            <v>-50</v>
          </cell>
        </row>
      </sheetData>
      <sheetData sheetId="7"/>
      <sheetData sheetId="8">
        <row r="21">
          <cell r="C21">
            <v>-50</v>
          </cell>
        </row>
        <row r="31">
          <cell r="C31">
            <v>-50</v>
          </cell>
        </row>
        <row r="45">
          <cell r="C45">
            <v>-50</v>
          </cell>
        </row>
        <row r="59">
          <cell r="C59">
            <v>-50</v>
          </cell>
        </row>
        <row r="73">
          <cell r="C73">
            <v>-50</v>
          </cell>
        </row>
      </sheetData>
      <sheetData sheetId="9">
        <row r="22">
          <cell r="B22">
            <v>55</v>
          </cell>
        </row>
        <row r="35">
          <cell r="B35">
            <v>55</v>
          </cell>
        </row>
        <row r="45">
          <cell r="B45">
            <v>55</v>
          </cell>
        </row>
        <row r="58">
          <cell r="B58">
            <v>55</v>
          </cell>
        </row>
        <row r="71">
          <cell r="B71">
            <v>55</v>
          </cell>
        </row>
        <row r="84">
          <cell r="B84">
            <v>55</v>
          </cell>
        </row>
        <row r="97">
          <cell r="B97">
            <v>55</v>
          </cell>
        </row>
        <row r="110">
          <cell r="B110">
            <v>55</v>
          </cell>
        </row>
        <row r="123">
          <cell r="B123">
            <v>50</v>
          </cell>
        </row>
      </sheetData>
      <sheetData sheetId="10"/>
      <sheetData sheetId="11"/>
      <sheetData sheetId="12"/>
      <sheetData sheetId="13">
        <row r="26">
          <cell r="B26">
            <v>-50</v>
          </cell>
        </row>
        <row r="41">
          <cell r="B41">
            <v>-50</v>
          </cell>
        </row>
        <row r="53">
          <cell r="B53">
            <v>-50</v>
          </cell>
        </row>
        <row r="67">
          <cell r="B67">
            <v>-50</v>
          </cell>
        </row>
        <row r="79">
          <cell r="B79">
            <v>-50</v>
          </cell>
        </row>
        <row r="93">
          <cell r="B93">
            <v>-50</v>
          </cell>
        </row>
        <row r="107">
          <cell r="B107">
            <v>-50</v>
          </cell>
        </row>
        <row r="121">
          <cell r="B121">
            <v>-50</v>
          </cell>
        </row>
        <row r="130">
          <cell r="B130">
            <v>-50</v>
          </cell>
        </row>
        <row r="146">
          <cell r="B146">
            <v>-50</v>
          </cell>
        </row>
      </sheetData>
      <sheetData sheetId="14">
        <row r="2">
          <cell r="A2">
            <v>50000</v>
          </cell>
          <cell r="B2">
            <v>40000</v>
          </cell>
          <cell r="C2">
            <v>35000</v>
          </cell>
          <cell r="E2">
            <v>1500</v>
          </cell>
          <cell r="F2">
            <v>4000</v>
          </cell>
          <cell r="G2">
            <v>1200</v>
          </cell>
          <cell r="H2">
            <v>1000</v>
          </cell>
          <cell r="I2">
            <v>3500</v>
          </cell>
          <cell r="J2">
            <v>300</v>
          </cell>
          <cell r="K2">
            <v>10000</v>
          </cell>
          <cell r="L2">
            <v>750</v>
          </cell>
          <cell r="M2">
            <v>5000</v>
          </cell>
          <cell r="N2">
            <v>18000</v>
          </cell>
          <cell r="O2">
            <v>0</v>
          </cell>
          <cell r="P2">
            <v>10000</v>
          </cell>
          <cell r="Q2">
            <v>25000</v>
          </cell>
          <cell r="R2">
            <v>100000</v>
          </cell>
          <cell r="S2">
            <v>5000</v>
          </cell>
          <cell r="T2">
            <v>6800</v>
          </cell>
          <cell r="U2">
            <v>17500</v>
          </cell>
          <cell r="V2">
            <v>65000</v>
          </cell>
          <cell r="W2">
            <v>2000</v>
          </cell>
          <cell r="X2">
            <v>1000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-dalots-irrigation"/>
      <sheetName val="Synthèse-ouvrage-drainage"/>
      <sheetName val="Départ de canal sec."/>
      <sheetName val="modules-masque"/>
      <sheetName val="Déversoir-siphon"/>
      <sheetName val="canal P"/>
      <sheetName val="CS1"/>
      <sheetName val="CS2"/>
      <sheetName val="CS3"/>
      <sheetName val="synthèse-secondaires"/>
      <sheetName val="fin-tertaire"/>
      <sheetName val="T-P"/>
      <sheetName val="Drain-P"/>
      <sheetName val="Récap-débits-périmètre"/>
      <sheetName val="Récap-débits"/>
      <sheetName val="Métré ouv."/>
      <sheetName val="Feuil2"/>
      <sheetName val="Devis estim.ouv"/>
      <sheetName val="devis.ouv"/>
      <sheetName val="devis.ouv.tot"/>
      <sheetName val="Devis estim.V1"/>
      <sheetName val="Devis estim.Lot nord"/>
      <sheetName val="Devis estim.variante 1"/>
    </sheetNames>
    <sheetDataSet>
      <sheetData sheetId="0"/>
      <sheetData sheetId="1"/>
      <sheetData sheetId="2"/>
      <sheetData sheetId="3"/>
      <sheetData sheetId="4"/>
      <sheetData sheetId="5">
        <row r="18">
          <cell r="C18">
            <v>-50</v>
          </cell>
        </row>
      </sheetData>
      <sheetData sheetId="6"/>
      <sheetData sheetId="7"/>
      <sheetData sheetId="8"/>
      <sheetData sheetId="9"/>
      <sheetData sheetId="10"/>
      <sheetData sheetId="11">
        <row r="167">
          <cell r="B167">
            <v>50</v>
          </cell>
        </row>
      </sheetData>
      <sheetData sheetId="12">
        <row r="21">
          <cell r="B21">
            <v>-50</v>
          </cell>
        </row>
        <row r="52">
          <cell r="B52">
            <v>-50</v>
          </cell>
        </row>
        <row r="78">
          <cell r="B78">
            <v>-50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 Manning et Strickler"/>
      <sheetName val="hydra"/>
      <sheetName val="Section-HF"/>
      <sheetName val="Buse Noyé_DALOT_1"/>
      <sheetName val="Buse Noyé_DALOT_mult"/>
      <sheetName val="Buse Noyé BUSE"/>
      <sheetName val="DECHARGE(Long_dever_variable)"/>
      <sheetName val="DECHARGE(charge variable)"/>
      <sheetName val="CHUTES "/>
      <sheetName val="DEVERSOIR"/>
      <sheetName val="DVRS OB_(chage_variable)"/>
      <sheetName val="DVRS OB_(Long_dever_variable)"/>
      <sheetName val="DVRS gir_(Long_dever_variable"/>
      <sheetName val="DVRS gir_(charge_variable)"/>
      <sheetName val="PLANS"/>
      <sheetName val="Feuil1"/>
      <sheetName val="Feuil2"/>
    </sheetNames>
    <sheetDataSet>
      <sheetData sheetId="0" refreshError="1"/>
      <sheetData sheetId="1">
        <row r="2">
          <cell r="B2">
            <v>0.57402196121741023</v>
          </cell>
        </row>
        <row r="3">
          <cell r="B3">
            <v>1</v>
          </cell>
          <cell r="D3">
            <v>1.8920268090569383</v>
          </cell>
        </row>
        <row r="4">
          <cell r="B4">
            <v>70</v>
          </cell>
        </row>
        <row r="5">
          <cell r="B5">
            <v>2.5000000000000001E-4</v>
          </cell>
        </row>
        <row r="6">
          <cell r="B6">
            <v>1</v>
          </cell>
          <cell r="D6">
            <v>0.52853373705547013</v>
          </cell>
        </row>
        <row r="7">
          <cell r="B7">
            <v>4</v>
          </cell>
          <cell r="D7">
            <v>5.5921756897392818</v>
          </cell>
        </row>
        <row r="8">
          <cell r="B8">
            <v>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F18">
            <v>1.1499999999999999</v>
          </cell>
          <cell r="G18">
            <v>1.1499999999999999</v>
          </cell>
          <cell r="H18">
            <v>1.1499999999999999</v>
          </cell>
          <cell r="I18">
            <v>1.1499999999999999</v>
          </cell>
          <cell r="J18">
            <v>1.1499999999999999</v>
          </cell>
          <cell r="K18">
            <v>1.1499999999999999</v>
          </cell>
          <cell r="L18">
            <v>1.1499999999999999</v>
          </cell>
          <cell r="M18">
            <v>1.1499999999999999</v>
          </cell>
          <cell r="N18">
            <v>1.1499999999999999</v>
          </cell>
          <cell r="O18">
            <v>1.1499999999999999</v>
          </cell>
          <cell r="P18">
            <v>1.1499999999999999</v>
          </cell>
          <cell r="Q18">
            <v>1.1499999999999999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estim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esti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L114"/>
  <sheetViews>
    <sheetView tabSelected="1" workbookViewId="0">
      <selection activeCell="I7" sqref="I7"/>
    </sheetView>
  </sheetViews>
  <sheetFormatPr baseColWidth="10" defaultRowHeight="13.8"/>
  <cols>
    <col min="1" max="1" width="5.3984375" style="37" customWidth="1"/>
    <col min="2" max="2" width="42" style="45" customWidth="1"/>
    <col min="3" max="3" width="12.5" style="37" customWidth="1"/>
    <col min="4" max="4" width="6.3984375" style="37" customWidth="1"/>
    <col min="5" max="5" width="14.69921875" style="37" customWidth="1"/>
    <col min="6" max="6" width="12.19921875" style="37" customWidth="1"/>
    <col min="7" max="8" width="13.3984375" style="3" bestFit="1" customWidth="1"/>
    <col min="9" max="9" width="12.8984375" bestFit="1" customWidth="1"/>
  </cols>
  <sheetData>
    <row r="1" spans="1:12" s="2" customFormat="1">
      <c r="A1" s="101" t="s">
        <v>59</v>
      </c>
      <c r="B1" s="101"/>
      <c r="C1" s="101"/>
      <c r="D1" s="101"/>
      <c r="E1" s="101"/>
      <c r="F1" s="101"/>
      <c r="G1" s="1"/>
      <c r="H1" s="1"/>
    </row>
    <row r="2" spans="1:12">
      <c r="A2" s="102" t="s">
        <v>0</v>
      </c>
      <c r="B2" s="103" t="s">
        <v>1</v>
      </c>
      <c r="C2" s="102" t="s">
        <v>2</v>
      </c>
      <c r="D2" s="102" t="s">
        <v>3</v>
      </c>
      <c r="E2" s="14" t="s">
        <v>4</v>
      </c>
      <c r="F2" s="14" t="s">
        <v>5</v>
      </c>
    </row>
    <row r="3" spans="1:12">
      <c r="A3" s="102"/>
      <c r="B3" s="103"/>
      <c r="C3" s="102"/>
      <c r="D3" s="102"/>
      <c r="E3" s="14" t="s">
        <v>29</v>
      </c>
      <c r="F3" s="14" t="s">
        <v>29</v>
      </c>
    </row>
    <row r="4" spans="1:12" ht="14.4" thickBot="1">
      <c r="A4" s="15" t="s">
        <v>6</v>
      </c>
      <c r="B4" s="36" t="s">
        <v>82</v>
      </c>
      <c r="C4" s="15"/>
      <c r="D4" s="15"/>
      <c r="E4" s="15"/>
      <c r="F4" s="15"/>
    </row>
    <row r="5" spans="1:12">
      <c r="A5" s="16">
        <v>1.1000000000000001</v>
      </c>
      <c r="B5" s="63" t="s">
        <v>30</v>
      </c>
      <c r="C5" s="16" t="s">
        <v>7</v>
      </c>
      <c r="D5" s="16">
        <v>1</v>
      </c>
      <c r="E5" s="17"/>
      <c r="F5" s="17">
        <f>+D5*E5</f>
        <v>0</v>
      </c>
    </row>
    <row r="6" spans="1:12" ht="39.6">
      <c r="A6" s="16">
        <v>1.2</v>
      </c>
      <c r="B6" s="46" t="s">
        <v>31</v>
      </c>
      <c r="C6" s="16" t="s">
        <v>32</v>
      </c>
      <c r="D6" s="16">
        <v>1</v>
      </c>
      <c r="E6" s="17"/>
      <c r="F6" s="17">
        <f>+D6*E6</f>
        <v>0</v>
      </c>
    </row>
    <row r="7" spans="1:12">
      <c r="A7" s="18"/>
      <c r="B7" s="19" t="s">
        <v>8</v>
      </c>
      <c r="C7" s="18"/>
      <c r="D7" s="18"/>
      <c r="E7" s="18"/>
      <c r="F7" s="20">
        <f>SUM(F5:F6)</f>
        <v>0</v>
      </c>
    </row>
    <row r="8" spans="1:12">
      <c r="A8" s="15" t="s">
        <v>9</v>
      </c>
      <c r="B8" s="21" t="s">
        <v>187</v>
      </c>
      <c r="C8" s="22"/>
      <c r="D8" s="22"/>
      <c r="E8" s="22"/>
      <c r="F8" s="22"/>
    </row>
    <row r="9" spans="1:12" ht="52.8">
      <c r="A9" s="23">
        <v>2.1</v>
      </c>
      <c r="B9" s="46" t="s">
        <v>42</v>
      </c>
      <c r="C9" s="23" t="s">
        <v>13</v>
      </c>
      <c r="D9" s="23">
        <v>160</v>
      </c>
      <c r="E9" s="25"/>
      <c r="F9" s="17">
        <f t="shared" ref="F9:F11" si="0">+D9*E9</f>
        <v>0</v>
      </c>
      <c r="H9" s="3">
        <f>0.5*0.5*7500</f>
        <v>1875</v>
      </c>
    </row>
    <row r="10" spans="1:12" ht="39.6">
      <c r="A10" s="23">
        <v>2.2000000000000002</v>
      </c>
      <c r="B10" s="24" t="s">
        <v>39</v>
      </c>
      <c r="C10" s="23" t="s">
        <v>14</v>
      </c>
      <c r="D10" s="23">
        <v>160</v>
      </c>
      <c r="E10" s="25"/>
      <c r="F10" s="17">
        <f t="shared" si="0"/>
        <v>0</v>
      </c>
      <c r="I10" s="4"/>
      <c r="J10" s="4" t="s">
        <v>15</v>
      </c>
      <c r="L10" t="e">
        <f>3*#REF!</f>
        <v>#REF!</v>
      </c>
    </row>
    <row r="11" spans="1:12" ht="42">
      <c r="A11" s="23">
        <v>2.2999999999999998</v>
      </c>
      <c r="B11" s="26" t="s">
        <v>58</v>
      </c>
      <c r="C11" s="26" t="s">
        <v>27</v>
      </c>
      <c r="D11" s="23">
        <v>1</v>
      </c>
      <c r="E11" s="25"/>
      <c r="F11" s="17">
        <f t="shared" si="0"/>
        <v>0</v>
      </c>
      <c r="I11" s="3"/>
    </row>
    <row r="12" spans="1:12">
      <c r="B12" s="29" t="s">
        <v>10</v>
      </c>
      <c r="C12" s="18"/>
      <c r="D12" s="18"/>
      <c r="E12" s="18"/>
      <c r="F12" s="20">
        <f>SUM(F9:F11)</f>
        <v>0</v>
      </c>
    </row>
    <row r="13" spans="1:12">
      <c r="A13" s="30" t="s">
        <v>11</v>
      </c>
      <c r="B13" s="19" t="s">
        <v>17</v>
      </c>
      <c r="C13" s="31"/>
      <c r="D13" s="31"/>
      <c r="E13" s="31"/>
      <c r="F13" s="22"/>
    </row>
    <row r="14" spans="1:12" s="2" customFormat="1" ht="52.8">
      <c r="A14" s="56">
        <v>3.1</v>
      </c>
      <c r="B14" s="47" t="s">
        <v>40</v>
      </c>
      <c r="C14" s="48" t="s">
        <v>13</v>
      </c>
      <c r="D14" s="26">
        <f>+D15+D16+D17</f>
        <v>803</v>
      </c>
      <c r="E14" s="26"/>
      <c r="F14" s="28">
        <f t="shared" ref="F14:F20" si="1">+D14*E14</f>
        <v>0</v>
      </c>
      <c r="G14" s="1"/>
      <c r="H14" s="1"/>
    </row>
    <row r="15" spans="1:12" s="2" customFormat="1" ht="52.8">
      <c r="A15" s="49">
        <v>3.2</v>
      </c>
      <c r="B15" s="47" t="s">
        <v>43</v>
      </c>
      <c r="C15" s="26" t="s">
        <v>13</v>
      </c>
      <c r="D15" s="26">
        <v>90</v>
      </c>
      <c r="E15" s="50"/>
      <c r="F15" s="28">
        <f t="shared" si="1"/>
        <v>0</v>
      </c>
      <c r="G15" s="1"/>
      <c r="H15" s="1"/>
    </row>
    <row r="16" spans="1:12" s="2" customFormat="1" ht="52.8">
      <c r="A16" s="56">
        <v>3.3</v>
      </c>
      <c r="B16" s="47" t="s">
        <v>41</v>
      </c>
      <c r="C16" s="26" t="s">
        <v>13</v>
      </c>
      <c r="D16" s="26">
        <v>0</v>
      </c>
      <c r="E16" s="50"/>
      <c r="F16" s="28">
        <f t="shared" ref="F16" si="2">+D16*E16</f>
        <v>0</v>
      </c>
      <c r="G16" s="1"/>
      <c r="H16" s="1"/>
    </row>
    <row r="17" spans="1:9" s="2" customFormat="1" ht="52.8">
      <c r="A17" s="49">
        <v>3.4</v>
      </c>
      <c r="B17" s="47" t="s">
        <v>44</v>
      </c>
      <c r="C17" s="26" t="s">
        <v>13</v>
      </c>
      <c r="D17" s="26">
        <v>713</v>
      </c>
      <c r="E17" s="50"/>
      <c r="F17" s="28">
        <f t="shared" si="1"/>
        <v>0</v>
      </c>
      <c r="G17" s="1"/>
      <c r="H17" s="1"/>
    </row>
    <row r="18" spans="1:9" s="2" customFormat="1" ht="26.4">
      <c r="A18" s="56">
        <v>3.5</v>
      </c>
      <c r="B18" s="27" t="s">
        <v>45</v>
      </c>
      <c r="C18" s="26" t="s">
        <v>12</v>
      </c>
      <c r="D18" s="26">
        <v>1</v>
      </c>
      <c r="E18" s="50"/>
      <c r="F18" s="28">
        <f t="shared" si="1"/>
        <v>0</v>
      </c>
      <c r="G18" s="1"/>
      <c r="H18" s="1"/>
    </row>
    <row r="19" spans="1:9" s="2" customFormat="1" ht="26.4">
      <c r="A19" s="49">
        <v>3.6</v>
      </c>
      <c r="B19" s="27" t="s">
        <v>46</v>
      </c>
      <c r="C19" s="26" t="s">
        <v>12</v>
      </c>
      <c r="D19" s="26">
        <v>0</v>
      </c>
      <c r="E19" s="50"/>
      <c r="F19" s="28">
        <f t="shared" ref="F19" si="3">+D19*E19</f>
        <v>0</v>
      </c>
      <c r="G19" s="1"/>
      <c r="H19" s="1"/>
    </row>
    <row r="20" spans="1:9" s="2" customFormat="1" ht="26.4">
      <c r="A20" s="56">
        <v>3.7</v>
      </c>
      <c r="B20" s="27" t="s">
        <v>47</v>
      </c>
      <c r="C20" s="26" t="s">
        <v>12</v>
      </c>
      <c r="D20" s="26">
        <v>16</v>
      </c>
      <c r="E20" s="50"/>
      <c r="F20" s="28">
        <f t="shared" si="1"/>
        <v>0</v>
      </c>
      <c r="G20" s="1"/>
      <c r="H20" s="1"/>
    </row>
    <row r="21" spans="1:9" s="2" customFormat="1" ht="39.6">
      <c r="A21" s="49">
        <v>3.8</v>
      </c>
      <c r="B21" s="27" t="s">
        <v>48</v>
      </c>
      <c r="C21" s="26" t="s">
        <v>27</v>
      </c>
      <c r="D21" s="26"/>
      <c r="E21" s="50"/>
      <c r="F21" s="28">
        <f t="shared" ref="F21:F26" si="4">+D21*E21</f>
        <v>0</v>
      </c>
      <c r="G21" s="1"/>
      <c r="H21" s="1"/>
      <c r="I21" s="51">
        <f>175000*H22</f>
        <v>143150</v>
      </c>
    </row>
    <row r="22" spans="1:9" s="2" customFormat="1" ht="39.6">
      <c r="A22" s="56">
        <v>3.9</v>
      </c>
      <c r="B22" s="27" t="s">
        <v>49</v>
      </c>
      <c r="C22" s="26" t="s">
        <v>27</v>
      </c>
      <c r="D22" s="26">
        <v>360</v>
      </c>
      <c r="E22" s="50"/>
      <c r="F22" s="28">
        <f t="shared" si="4"/>
        <v>0</v>
      </c>
      <c r="G22" s="1"/>
      <c r="H22" s="1">
        <f>0.74*0.6+3.74*0.1</f>
        <v>0.81800000000000006</v>
      </c>
    </row>
    <row r="23" spans="1:9" s="2" customFormat="1" ht="68.400000000000006">
      <c r="A23" s="58">
        <v>3.1</v>
      </c>
      <c r="B23" s="27" t="s">
        <v>50</v>
      </c>
      <c r="C23" s="26" t="s">
        <v>27</v>
      </c>
      <c r="D23" s="26">
        <v>0</v>
      </c>
      <c r="E23" s="50"/>
      <c r="F23" s="28">
        <f t="shared" si="4"/>
        <v>0</v>
      </c>
      <c r="G23" s="1"/>
      <c r="H23" s="1"/>
    </row>
    <row r="24" spans="1:9" s="2" customFormat="1" ht="26.4">
      <c r="A24" s="56">
        <v>3.11</v>
      </c>
      <c r="B24" s="27" t="s">
        <v>56</v>
      </c>
      <c r="C24" s="26" t="s">
        <v>55</v>
      </c>
      <c r="D24" s="27">
        <v>0</v>
      </c>
      <c r="E24" s="50"/>
      <c r="F24" s="28">
        <f t="shared" si="4"/>
        <v>0</v>
      </c>
      <c r="G24" s="1"/>
      <c r="H24" s="1"/>
    </row>
    <row r="25" spans="1:9" s="2" customFormat="1">
      <c r="A25" s="56">
        <v>3.12</v>
      </c>
      <c r="B25" s="27" t="s">
        <v>53</v>
      </c>
      <c r="C25" s="13" t="s">
        <v>12</v>
      </c>
      <c r="D25" s="13">
        <v>0</v>
      </c>
      <c r="E25" s="50"/>
      <c r="F25" s="28">
        <f t="shared" si="4"/>
        <v>0</v>
      </c>
      <c r="G25" s="1"/>
      <c r="H25" s="1"/>
    </row>
    <row r="26" spans="1:9" s="2" customFormat="1">
      <c r="A26" s="56">
        <v>3.13</v>
      </c>
      <c r="B26" s="27" t="s">
        <v>57</v>
      </c>
      <c r="C26" s="13" t="s">
        <v>12</v>
      </c>
      <c r="D26" s="13">
        <v>0</v>
      </c>
      <c r="E26" s="50"/>
      <c r="F26" s="28">
        <f t="shared" si="4"/>
        <v>0</v>
      </c>
      <c r="G26" s="1"/>
      <c r="H26" s="1"/>
    </row>
    <row r="27" spans="1:9">
      <c r="A27" s="18"/>
      <c r="B27" s="19" t="s">
        <v>65</v>
      </c>
      <c r="C27" s="32"/>
      <c r="D27" s="32"/>
      <c r="E27" s="32"/>
      <c r="F27" s="33">
        <f>SUM(F14:F26)</f>
        <v>0</v>
      </c>
    </row>
    <row r="28" spans="1:9">
      <c r="A28" s="30" t="s">
        <v>16</v>
      </c>
      <c r="B28" s="19" t="s">
        <v>19</v>
      </c>
      <c r="C28" s="31"/>
      <c r="D28" s="31"/>
      <c r="E28" s="31"/>
      <c r="F28" s="31"/>
    </row>
    <row r="29" spans="1:9" s="53" customFormat="1" ht="48.75" customHeight="1">
      <c r="A29" s="26">
        <v>4.0999999999999996</v>
      </c>
      <c r="B29" s="26" t="s">
        <v>52</v>
      </c>
      <c r="C29" s="62" t="s">
        <v>12</v>
      </c>
      <c r="D29" s="62">
        <f>424/3</f>
        <v>141.33333333333334</v>
      </c>
      <c r="E29" s="26"/>
      <c r="F29" s="28">
        <f>+D29*E29</f>
        <v>0</v>
      </c>
      <c r="G29" s="52"/>
      <c r="H29" s="52">
        <f>0.3*0.3*0.5*50000</f>
        <v>2250</v>
      </c>
    </row>
    <row r="30" spans="1:9" s="53" customFormat="1" ht="51.75" customHeight="1">
      <c r="A30" s="26">
        <v>4.2</v>
      </c>
      <c r="B30" s="26" t="s">
        <v>185</v>
      </c>
      <c r="C30" s="26" t="s">
        <v>12</v>
      </c>
      <c r="D30" s="26">
        <f>424/20+6</f>
        <v>27.2</v>
      </c>
      <c r="E30" s="26"/>
      <c r="F30" s="28">
        <f>+D30*E30</f>
        <v>0</v>
      </c>
      <c r="G30" s="52"/>
      <c r="H30" s="57">
        <v>4.1666666666666696</v>
      </c>
    </row>
    <row r="31" spans="1:9" s="53" customFormat="1" ht="39.75" customHeight="1">
      <c r="A31" s="26">
        <v>4.3</v>
      </c>
      <c r="B31" s="26" t="s">
        <v>33</v>
      </c>
      <c r="C31" s="26" t="s">
        <v>13</v>
      </c>
      <c r="D31" s="26">
        <v>424</v>
      </c>
      <c r="E31" s="26"/>
      <c r="F31" s="28">
        <f>+D31*E31</f>
        <v>0</v>
      </c>
      <c r="G31" s="52"/>
      <c r="H31" s="57">
        <v>7500</v>
      </c>
    </row>
    <row r="32" spans="1:9" s="53" customFormat="1" ht="39.75" customHeight="1">
      <c r="A32" s="26">
        <v>4.4000000000000004</v>
      </c>
      <c r="B32" s="26" t="s">
        <v>34</v>
      </c>
      <c r="C32" s="26" t="s">
        <v>13</v>
      </c>
      <c r="D32" s="26">
        <v>424</v>
      </c>
      <c r="E32" s="26"/>
      <c r="F32" s="28">
        <f>+D32*E32</f>
        <v>0</v>
      </c>
      <c r="G32" s="52"/>
      <c r="H32" s="52"/>
    </row>
    <row r="33" spans="1:9" s="81" customFormat="1" ht="39.75" customHeight="1">
      <c r="A33" s="78">
        <v>4.5</v>
      </c>
      <c r="B33" s="78" t="s">
        <v>186</v>
      </c>
      <c r="C33" s="78" t="s">
        <v>26</v>
      </c>
      <c r="D33" s="78">
        <f>424*0.3*0.35</f>
        <v>44.519999999999996</v>
      </c>
      <c r="E33" s="79"/>
      <c r="F33" s="79">
        <f>+D33*E33</f>
        <v>0</v>
      </c>
      <c r="G33" s="80"/>
      <c r="H33" s="80">
        <f>2*1.8*0.6</f>
        <v>2.16</v>
      </c>
    </row>
    <row r="34" spans="1:9" ht="26.4">
      <c r="A34" s="26">
        <v>4.5999999999999996</v>
      </c>
      <c r="B34" s="26" t="s">
        <v>36</v>
      </c>
      <c r="C34" s="26" t="s">
        <v>12</v>
      </c>
      <c r="D34" s="26">
        <v>0</v>
      </c>
      <c r="E34" s="50"/>
      <c r="F34" s="28">
        <f t="shared" ref="F34:F38" si="5">+D34*E34</f>
        <v>0</v>
      </c>
    </row>
    <row r="35" spans="1:9" ht="39.6">
      <c r="A35" s="26">
        <v>4.7</v>
      </c>
      <c r="B35" s="26" t="s">
        <v>35</v>
      </c>
      <c r="C35" s="26" t="s">
        <v>12</v>
      </c>
      <c r="D35" s="26">
        <v>1</v>
      </c>
      <c r="E35" s="50"/>
      <c r="F35" s="28">
        <f t="shared" si="5"/>
        <v>0</v>
      </c>
      <c r="H35" s="3">
        <f>60000/18</f>
        <v>3333.3333333333335</v>
      </c>
    </row>
    <row r="36" spans="1:9" s="12" customFormat="1" ht="39.6">
      <c r="A36" s="26">
        <v>4.8</v>
      </c>
      <c r="B36" s="26" t="s">
        <v>28</v>
      </c>
      <c r="C36" s="26" t="s">
        <v>13</v>
      </c>
      <c r="D36" s="26">
        <v>200</v>
      </c>
      <c r="E36" s="50"/>
      <c r="F36" s="28">
        <f t="shared" si="5"/>
        <v>0</v>
      </c>
      <c r="G36" s="11"/>
      <c r="H36" s="11">
        <f>0.5*3*1</f>
        <v>1.5</v>
      </c>
      <c r="I36" s="12">
        <v>5</v>
      </c>
    </row>
    <row r="37" spans="1:9" s="12" customFormat="1" ht="26.4">
      <c r="A37" s="26">
        <v>4.9000000000000004</v>
      </c>
      <c r="B37" s="26" t="s">
        <v>37</v>
      </c>
      <c r="C37" s="26" t="s">
        <v>12</v>
      </c>
      <c r="D37" s="26">
        <v>1</v>
      </c>
      <c r="E37" s="50"/>
      <c r="F37" s="28">
        <f t="shared" si="5"/>
        <v>0</v>
      </c>
      <c r="G37" s="11"/>
      <c r="H37" s="50">
        <f>7300000/700</f>
        <v>10428.571428571429</v>
      </c>
    </row>
    <row r="38" spans="1:9" s="12" customFormat="1" ht="26.4">
      <c r="A38" s="77">
        <v>4.0999999999999996</v>
      </c>
      <c r="B38" s="26" t="s">
        <v>79</v>
      </c>
      <c r="C38" s="26" t="s">
        <v>27</v>
      </c>
      <c r="D38" s="26">
        <v>1</v>
      </c>
      <c r="E38" s="50"/>
      <c r="F38" s="28">
        <f t="shared" si="5"/>
        <v>0</v>
      </c>
      <c r="G38" s="11"/>
      <c r="H38" s="71"/>
    </row>
    <row r="39" spans="1:9">
      <c r="A39" s="18"/>
      <c r="B39" s="19" t="s">
        <v>18</v>
      </c>
      <c r="C39" s="32"/>
      <c r="D39" s="32"/>
      <c r="E39" s="32"/>
      <c r="F39" s="33">
        <f>SUM(F29:F38)</f>
        <v>0</v>
      </c>
    </row>
    <row r="40" spans="1:9" s="7" customFormat="1" ht="15">
      <c r="A40" s="73" t="s">
        <v>66</v>
      </c>
      <c r="B40" s="74" t="s">
        <v>21</v>
      </c>
      <c r="C40" s="75" t="s">
        <v>7</v>
      </c>
      <c r="D40" s="75"/>
      <c r="E40" s="75"/>
      <c r="F40" s="75"/>
      <c r="G40" s="5"/>
      <c r="H40" s="6">
        <f>4000*20</f>
        <v>80000</v>
      </c>
    </row>
    <row r="41" spans="1:9" s="7" customFormat="1" ht="15">
      <c r="A41" s="26">
        <v>5.0999999999999996</v>
      </c>
      <c r="B41" s="26" t="s">
        <v>67</v>
      </c>
      <c r="C41" s="26" t="s">
        <v>68</v>
      </c>
      <c r="D41" s="26">
        <v>1</v>
      </c>
      <c r="E41" s="50"/>
      <c r="F41" s="28">
        <f t="shared" ref="F41:F46" si="6">+D41*E41</f>
        <v>0</v>
      </c>
      <c r="G41" s="5"/>
      <c r="H41" s="6"/>
    </row>
    <row r="42" spans="1:9" s="7" customFormat="1" ht="26.4">
      <c r="A42" s="26">
        <v>5.2</v>
      </c>
      <c r="B42" s="26" t="s">
        <v>69</v>
      </c>
      <c r="C42" s="26" t="s">
        <v>70</v>
      </c>
      <c r="D42" s="26">
        <v>100</v>
      </c>
      <c r="E42" s="50"/>
      <c r="F42" s="28">
        <f t="shared" si="6"/>
        <v>0</v>
      </c>
      <c r="G42" s="5"/>
      <c r="H42" s="6"/>
    </row>
    <row r="43" spans="1:9" s="7" customFormat="1" ht="26.4">
      <c r="A43" s="26">
        <v>5.3</v>
      </c>
      <c r="B43" s="26" t="s">
        <v>71</v>
      </c>
      <c r="C43" s="26" t="s">
        <v>72</v>
      </c>
      <c r="D43" s="26">
        <v>15</v>
      </c>
      <c r="E43" s="50"/>
      <c r="F43" s="28">
        <f t="shared" si="6"/>
        <v>0</v>
      </c>
      <c r="G43" s="5"/>
      <c r="H43" s="6"/>
    </row>
    <row r="44" spans="1:9" s="7" customFormat="1" ht="26.4">
      <c r="A44" s="26">
        <v>5.4</v>
      </c>
      <c r="B44" s="26" t="s">
        <v>73</v>
      </c>
      <c r="C44" s="26" t="s">
        <v>72</v>
      </c>
      <c r="D44" s="26">
        <v>1</v>
      </c>
      <c r="E44" s="50"/>
      <c r="F44" s="28">
        <f t="shared" si="6"/>
        <v>0</v>
      </c>
      <c r="G44" s="5"/>
      <c r="H44" s="6"/>
    </row>
    <row r="45" spans="1:9" s="7" customFormat="1" ht="15">
      <c r="A45" s="26">
        <v>5.5</v>
      </c>
      <c r="B45" s="26" t="s">
        <v>74</v>
      </c>
      <c r="C45" s="26" t="s">
        <v>68</v>
      </c>
      <c r="D45" s="26">
        <v>1</v>
      </c>
      <c r="E45" s="50"/>
      <c r="F45" s="28">
        <f t="shared" si="6"/>
        <v>0</v>
      </c>
      <c r="G45" s="5"/>
      <c r="H45" s="6"/>
    </row>
    <row r="46" spans="1:9" s="7" customFormat="1" ht="26.4">
      <c r="A46" s="26">
        <v>5.6</v>
      </c>
      <c r="B46" s="26" t="s">
        <v>75</v>
      </c>
      <c r="C46" s="26" t="s">
        <v>76</v>
      </c>
      <c r="D46" s="26">
        <v>1</v>
      </c>
      <c r="E46" s="50"/>
      <c r="F46" s="28">
        <f t="shared" si="6"/>
        <v>0</v>
      </c>
      <c r="G46" s="5"/>
      <c r="H46" s="6"/>
    </row>
    <row r="47" spans="1:9" s="7" customFormat="1" ht="26.4">
      <c r="A47" s="26">
        <v>5.7</v>
      </c>
      <c r="B47" s="26" t="s">
        <v>77</v>
      </c>
      <c r="C47" s="26" t="s">
        <v>78</v>
      </c>
      <c r="D47" s="26">
        <v>2</v>
      </c>
      <c r="E47" s="50"/>
      <c r="F47" s="28">
        <v>500000</v>
      </c>
      <c r="G47" s="5"/>
      <c r="H47" s="6"/>
    </row>
    <row r="48" spans="1:9" s="7" customFormat="1" ht="15">
      <c r="A48" s="26"/>
      <c r="B48" s="19" t="s">
        <v>20</v>
      </c>
      <c r="C48" s="32"/>
      <c r="D48" s="32"/>
      <c r="E48" s="32"/>
      <c r="F48" s="33">
        <f>SUM(F41:F47)</f>
        <v>500000</v>
      </c>
      <c r="G48" s="5"/>
      <c r="H48" s="6"/>
    </row>
    <row r="49" spans="1:6">
      <c r="A49" s="83"/>
      <c r="B49" s="100" t="s">
        <v>188</v>
      </c>
      <c r="C49" s="100"/>
      <c r="D49" s="100"/>
      <c r="E49" s="100"/>
      <c r="F49" s="100"/>
    </row>
    <row r="50" spans="1:6" s="37" customFormat="1" ht="26.4">
      <c r="A50" s="84" t="s">
        <v>83</v>
      </c>
      <c r="B50" s="21" t="s">
        <v>84</v>
      </c>
      <c r="C50" s="84" t="s">
        <v>85</v>
      </c>
      <c r="D50" s="85" t="s">
        <v>86</v>
      </c>
      <c r="E50" s="84" t="s">
        <v>87</v>
      </c>
      <c r="F50" s="84" t="s">
        <v>88</v>
      </c>
    </row>
    <row r="51" spans="1:6" s="37" customFormat="1" ht="13.2">
      <c r="A51" s="84" t="s">
        <v>89</v>
      </c>
      <c r="B51" s="21" t="s">
        <v>90</v>
      </c>
      <c r="C51" s="23" t="s">
        <v>91</v>
      </c>
      <c r="D51" s="86" t="s">
        <v>92</v>
      </c>
      <c r="E51" s="23" t="s">
        <v>91</v>
      </c>
      <c r="F51" s="84" t="s">
        <v>91</v>
      </c>
    </row>
    <row r="52" spans="1:6" s="37" customFormat="1" ht="15.6">
      <c r="A52" s="84" t="s">
        <v>93</v>
      </c>
      <c r="B52" s="24" t="s">
        <v>94</v>
      </c>
      <c r="C52" s="23" t="s">
        <v>190</v>
      </c>
      <c r="D52" s="87">
        <f>(5.3+2)*(4.3+2)</f>
        <v>45.989999999999995</v>
      </c>
      <c r="E52" s="88"/>
      <c r="F52" s="89">
        <f>D52*E52</f>
        <v>0</v>
      </c>
    </row>
    <row r="53" spans="1:6" s="90" customFormat="1" ht="15.6">
      <c r="A53" s="84" t="s">
        <v>95</v>
      </c>
      <c r="B53" s="24" t="s">
        <v>96</v>
      </c>
      <c r="C53" s="23" t="s">
        <v>191</v>
      </c>
      <c r="D53" s="87">
        <f>(18*0.4*0.6)*1.2</f>
        <v>5.1840000000000002</v>
      </c>
      <c r="E53" s="88"/>
      <c r="F53" s="89">
        <f>D53*E53</f>
        <v>0</v>
      </c>
    </row>
    <row r="54" spans="1:6" s="90" customFormat="1" ht="15.6">
      <c r="A54" s="84" t="s">
        <v>97</v>
      </c>
      <c r="B54" s="24" t="s">
        <v>98</v>
      </c>
      <c r="C54" s="23" t="s">
        <v>191</v>
      </c>
      <c r="D54" s="87">
        <f>(1.2*1.2*1.2)*8*1.2</f>
        <v>16.588799999999999</v>
      </c>
      <c r="E54" s="88"/>
      <c r="F54" s="89">
        <f>D54*E54</f>
        <v>0</v>
      </c>
    </row>
    <row r="55" spans="1:6" s="90" customFormat="1" ht="15.6">
      <c r="A55" s="84" t="s">
        <v>99</v>
      </c>
      <c r="B55" s="24" t="s">
        <v>100</v>
      </c>
      <c r="C55" s="23" t="s">
        <v>191</v>
      </c>
      <c r="D55" s="87">
        <f>+D54+D53</f>
        <v>21.7728</v>
      </c>
      <c r="E55" s="88"/>
      <c r="F55" s="89">
        <f>D55*E55</f>
        <v>0</v>
      </c>
    </row>
    <row r="56" spans="1:6" s="90" customFormat="1" ht="15.6">
      <c r="A56" s="84" t="s">
        <v>101</v>
      </c>
      <c r="B56" s="24" t="s">
        <v>102</v>
      </c>
      <c r="C56" s="23" t="s">
        <v>191</v>
      </c>
      <c r="D56" s="87">
        <f>((20*0.45)-D55*0.15)*1.2</f>
        <v>6.8808960000000008</v>
      </c>
      <c r="E56" s="88"/>
      <c r="F56" s="89">
        <f>D56*E56</f>
        <v>0</v>
      </c>
    </row>
    <row r="57" spans="1:6" s="90" customFormat="1" ht="13.2">
      <c r="A57" s="84" t="s">
        <v>92</v>
      </c>
      <c r="B57" s="84" t="s">
        <v>103</v>
      </c>
      <c r="C57" s="84" t="s">
        <v>92</v>
      </c>
      <c r="D57" s="85" t="s">
        <v>92</v>
      </c>
      <c r="E57" s="84"/>
      <c r="F57" s="91">
        <f>SUM(F52:F56)</f>
        <v>0</v>
      </c>
    </row>
    <row r="58" spans="1:6" s="90" customFormat="1" ht="13.2">
      <c r="A58" s="84" t="s">
        <v>104</v>
      </c>
      <c r="B58" s="21" t="s">
        <v>105</v>
      </c>
      <c r="C58" s="84" t="s">
        <v>92</v>
      </c>
      <c r="D58" s="92" t="s">
        <v>92</v>
      </c>
      <c r="E58" s="84"/>
      <c r="F58" s="23" t="s">
        <v>91</v>
      </c>
    </row>
    <row r="59" spans="1:6" s="90" customFormat="1" ht="15.6">
      <c r="A59" s="84" t="s">
        <v>106</v>
      </c>
      <c r="B59" s="24" t="s">
        <v>107</v>
      </c>
      <c r="C59" s="23" t="s">
        <v>191</v>
      </c>
      <c r="D59" s="87">
        <f>((0.4*0.05*18)+(1.2*1.2*0.05)*8)*1.2</f>
        <v>1.1232</v>
      </c>
      <c r="E59" s="88"/>
      <c r="F59" s="89">
        <f t="shared" ref="F59:F65" si="7">D59*E59</f>
        <v>0</v>
      </c>
    </row>
    <row r="60" spans="1:6" s="90" customFormat="1" ht="15.6">
      <c r="A60" s="84" t="s">
        <v>108</v>
      </c>
      <c r="B60" s="93" t="s">
        <v>109</v>
      </c>
      <c r="C60" s="23" t="s">
        <v>191</v>
      </c>
      <c r="D60" s="87">
        <f>(1.2*1.2*0.25)*8*1.2</f>
        <v>3.456</v>
      </c>
      <c r="E60" s="88"/>
      <c r="F60" s="89">
        <f t="shared" si="7"/>
        <v>0</v>
      </c>
    </row>
    <row r="61" spans="1:6" s="90" customFormat="1" ht="15.6">
      <c r="A61" s="84" t="s">
        <v>110</v>
      </c>
      <c r="B61" s="24" t="s">
        <v>111</v>
      </c>
      <c r="C61" s="23" t="s">
        <v>191</v>
      </c>
      <c r="D61" s="87">
        <f>(0.2*0.2*1.5)*8*1.2</f>
        <v>0.57600000000000007</v>
      </c>
      <c r="E61" s="88"/>
      <c r="F61" s="89">
        <f t="shared" si="7"/>
        <v>0</v>
      </c>
    </row>
    <row r="62" spans="1:6" s="90" customFormat="1" ht="26.4">
      <c r="A62" s="84" t="s">
        <v>112</v>
      </c>
      <c r="B62" s="24" t="s">
        <v>113</v>
      </c>
      <c r="C62" s="23" t="s">
        <v>190</v>
      </c>
      <c r="D62" s="87">
        <f>(18*1.05)*1.2</f>
        <v>22.680000000000003</v>
      </c>
      <c r="E62" s="88"/>
      <c r="F62" s="89">
        <f t="shared" si="7"/>
        <v>0</v>
      </c>
    </row>
    <row r="63" spans="1:6" s="90" customFormat="1" ht="15.6">
      <c r="A63" s="84" t="s">
        <v>114</v>
      </c>
      <c r="B63" s="24" t="s">
        <v>115</v>
      </c>
      <c r="C63" s="23" t="s">
        <v>191</v>
      </c>
      <c r="D63" s="87">
        <f>(0.2*0.2*18)*1.2</f>
        <v>0.86400000000000021</v>
      </c>
      <c r="E63" s="88"/>
      <c r="F63" s="89">
        <f t="shared" si="7"/>
        <v>0</v>
      </c>
    </row>
    <row r="64" spans="1:6" s="90" customFormat="1" ht="15.6">
      <c r="A64" s="84" t="s">
        <v>116</v>
      </c>
      <c r="B64" s="24" t="s">
        <v>117</v>
      </c>
      <c r="C64" s="23" t="s">
        <v>191</v>
      </c>
      <c r="D64" s="87">
        <f>(0.76*3*0.15)*1.2</f>
        <v>0.41040000000000004</v>
      </c>
      <c r="E64" s="88"/>
      <c r="F64" s="89">
        <f t="shared" si="7"/>
        <v>0</v>
      </c>
    </row>
    <row r="65" spans="1:6" s="90" customFormat="1" ht="15.6">
      <c r="A65" s="84" t="s">
        <v>118</v>
      </c>
      <c r="B65" s="24" t="s">
        <v>119</v>
      </c>
      <c r="C65" s="23" t="s">
        <v>191</v>
      </c>
      <c r="D65" s="87">
        <f>20*0.08*1.2</f>
        <v>1.92</v>
      </c>
      <c r="E65" s="88"/>
      <c r="F65" s="89">
        <f t="shared" si="7"/>
        <v>0</v>
      </c>
    </row>
    <row r="66" spans="1:6" s="90" customFormat="1" ht="13.2">
      <c r="A66" s="84" t="s">
        <v>92</v>
      </c>
      <c r="B66" s="84" t="s">
        <v>120</v>
      </c>
      <c r="C66" s="84" t="s">
        <v>92</v>
      </c>
      <c r="D66" s="85" t="s">
        <v>92</v>
      </c>
      <c r="E66" s="84"/>
      <c r="F66" s="91">
        <f>SUM(F59:F65)</f>
        <v>0</v>
      </c>
    </row>
    <row r="67" spans="1:6" s="90" customFormat="1" ht="13.2">
      <c r="A67" s="84" t="s">
        <v>121</v>
      </c>
      <c r="B67" s="21" t="s">
        <v>122</v>
      </c>
      <c r="C67" s="23" t="s">
        <v>91</v>
      </c>
      <c r="D67" s="86" t="s">
        <v>92</v>
      </c>
      <c r="E67" s="23"/>
      <c r="F67" s="23" t="s">
        <v>91</v>
      </c>
    </row>
    <row r="68" spans="1:6" s="90" customFormat="1" ht="15.6">
      <c r="A68" s="84" t="s">
        <v>123</v>
      </c>
      <c r="B68" s="24" t="s">
        <v>124</v>
      </c>
      <c r="C68" s="23" t="s">
        <v>190</v>
      </c>
      <c r="D68" s="87">
        <f>(3.65*18)*1.2</f>
        <v>78.84</v>
      </c>
      <c r="E68" s="88"/>
      <c r="F68" s="89">
        <f t="shared" ref="F68:F74" si="8">D68*E68</f>
        <v>0</v>
      </c>
    </row>
    <row r="69" spans="1:6" s="90" customFormat="1" ht="15.6">
      <c r="A69" s="84" t="s">
        <v>125</v>
      </c>
      <c r="B69" s="93" t="s">
        <v>126</v>
      </c>
      <c r="C69" s="23" t="s">
        <v>191</v>
      </c>
      <c r="D69" s="87">
        <f>(0.15*0.15*3.4)*8*1.2</f>
        <v>0.73439999999999994</v>
      </c>
      <c r="E69" s="88"/>
      <c r="F69" s="89">
        <f t="shared" si="8"/>
        <v>0</v>
      </c>
    </row>
    <row r="70" spans="1:6" s="90" customFormat="1" ht="15.6">
      <c r="A70" s="84" t="s">
        <v>127</v>
      </c>
      <c r="B70" s="24" t="s">
        <v>128</v>
      </c>
      <c r="C70" s="23" t="s">
        <v>191</v>
      </c>
      <c r="D70" s="87">
        <f>(18*0.15*0.1)*1.2</f>
        <v>0.32399999999999995</v>
      </c>
      <c r="E70" s="88"/>
      <c r="F70" s="89">
        <f t="shared" si="8"/>
        <v>0</v>
      </c>
    </row>
    <row r="71" spans="1:6" s="90" customFormat="1" ht="15.6">
      <c r="A71" s="84" t="s">
        <v>129</v>
      </c>
      <c r="B71" s="24" t="s">
        <v>130</v>
      </c>
      <c r="C71" s="23" t="s">
        <v>191</v>
      </c>
      <c r="D71" s="87">
        <f>(18*0.15*0.2)*1.2</f>
        <v>0.64799999999999991</v>
      </c>
      <c r="E71" s="88"/>
      <c r="F71" s="89">
        <f t="shared" si="8"/>
        <v>0</v>
      </c>
    </row>
    <row r="72" spans="1:6" s="90" customFormat="1" ht="15.6">
      <c r="A72" s="84" t="s">
        <v>131</v>
      </c>
      <c r="B72" s="24" t="s">
        <v>128</v>
      </c>
      <c r="C72" s="23" t="s">
        <v>191</v>
      </c>
      <c r="D72" s="87">
        <f>(18*0.15*0.1)*1.2</f>
        <v>0.32399999999999995</v>
      </c>
      <c r="E72" s="88"/>
      <c r="F72" s="89">
        <f t="shared" si="8"/>
        <v>0</v>
      </c>
    </row>
    <row r="73" spans="1:6" s="90" customFormat="1" ht="15.6">
      <c r="A73" s="84" t="s">
        <v>132</v>
      </c>
      <c r="B73" s="24" t="s">
        <v>133</v>
      </c>
      <c r="C73" s="23" t="s">
        <v>191</v>
      </c>
      <c r="D73" s="87">
        <f>(18*0.15*0.4)*1.2</f>
        <v>1.2959999999999998</v>
      </c>
      <c r="E73" s="88"/>
      <c r="F73" s="89">
        <f t="shared" si="8"/>
        <v>0</v>
      </c>
    </row>
    <row r="74" spans="1:6" s="90" customFormat="1" ht="15.6">
      <c r="A74" s="84" t="s">
        <v>134</v>
      </c>
      <c r="B74" s="24" t="s">
        <v>135</v>
      </c>
      <c r="C74" s="23" t="s">
        <v>191</v>
      </c>
      <c r="D74" s="87">
        <f>(5.3*0.127)*1.2</f>
        <v>0.80771999999999999</v>
      </c>
      <c r="E74" s="88"/>
      <c r="F74" s="89">
        <f t="shared" si="8"/>
        <v>0</v>
      </c>
    </row>
    <row r="75" spans="1:6" s="90" customFormat="1" ht="13.2">
      <c r="A75" s="84" t="s">
        <v>92</v>
      </c>
      <c r="B75" s="84" t="s">
        <v>136</v>
      </c>
      <c r="C75" s="84" t="s">
        <v>92</v>
      </c>
      <c r="D75" s="85" t="s">
        <v>92</v>
      </c>
      <c r="E75" s="84"/>
      <c r="F75" s="91">
        <f>SUM(F68:F73)</f>
        <v>0</v>
      </c>
    </row>
    <row r="76" spans="1:6" s="90" customFormat="1" ht="13.2">
      <c r="A76" s="84" t="s">
        <v>137</v>
      </c>
      <c r="B76" s="21" t="s">
        <v>138</v>
      </c>
      <c r="C76" s="23" t="s">
        <v>91</v>
      </c>
      <c r="D76" s="86" t="s">
        <v>92</v>
      </c>
      <c r="E76" s="23"/>
      <c r="F76" s="23" t="s">
        <v>91</v>
      </c>
    </row>
    <row r="77" spans="1:6" s="90" customFormat="1" ht="26.4">
      <c r="A77" s="84" t="s">
        <v>139</v>
      </c>
      <c r="B77" s="24" t="s">
        <v>140</v>
      </c>
      <c r="C77" s="23" t="s">
        <v>141</v>
      </c>
      <c r="D77" s="94">
        <f>(4.65*10.45)*1.2</f>
        <v>58.311</v>
      </c>
      <c r="E77" s="88"/>
      <c r="F77" s="89">
        <f>D77*E77</f>
        <v>0</v>
      </c>
    </row>
    <row r="78" spans="1:6" s="90" customFormat="1" ht="26.4">
      <c r="A78" s="84" t="s">
        <v>142</v>
      </c>
      <c r="B78" s="24" t="s">
        <v>143</v>
      </c>
      <c r="C78" s="23" t="s">
        <v>13</v>
      </c>
      <c r="D78" s="94">
        <f>4.65*1.2</f>
        <v>5.58</v>
      </c>
      <c r="E78" s="88"/>
      <c r="F78" s="89">
        <f>D78*E78</f>
        <v>0</v>
      </c>
    </row>
    <row r="79" spans="1:6" s="90" customFormat="1" ht="26.4">
      <c r="A79" s="84" t="s">
        <v>144</v>
      </c>
      <c r="B79" s="24" t="s">
        <v>145</v>
      </c>
      <c r="C79" s="23" t="s">
        <v>13</v>
      </c>
      <c r="D79" s="94">
        <f>5.3*4*1.2</f>
        <v>25.439999999999998</v>
      </c>
      <c r="E79" s="88"/>
      <c r="F79" s="89">
        <f>D79*E79</f>
        <v>0</v>
      </c>
    </row>
    <row r="80" spans="1:6" s="90" customFormat="1" ht="13.2">
      <c r="A80" s="84" t="s">
        <v>146</v>
      </c>
      <c r="B80" s="24" t="s">
        <v>147</v>
      </c>
      <c r="C80" s="23" t="s">
        <v>141</v>
      </c>
      <c r="D80" s="94">
        <f>20*1.2</f>
        <v>24</v>
      </c>
      <c r="E80" s="88"/>
      <c r="F80" s="89">
        <f>D80*E80</f>
        <v>0</v>
      </c>
    </row>
    <row r="81" spans="1:6" s="90" customFormat="1" ht="13.2">
      <c r="A81" s="84" t="s">
        <v>92</v>
      </c>
      <c r="B81" s="84" t="s">
        <v>148</v>
      </c>
      <c r="C81" s="84" t="s">
        <v>92</v>
      </c>
      <c r="D81" s="85" t="s">
        <v>92</v>
      </c>
      <c r="E81" s="84"/>
      <c r="F81" s="91">
        <f>SUM(F77:F80)</f>
        <v>0</v>
      </c>
    </row>
    <row r="82" spans="1:6" s="90" customFormat="1" ht="13.2">
      <c r="A82" s="84" t="s">
        <v>149</v>
      </c>
      <c r="B82" s="21" t="s">
        <v>150</v>
      </c>
      <c r="C82" s="23" t="s">
        <v>91</v>
      </c>
      <c r="D82" s="86" t="s">
        <v>92</v>
      </c>
      <c r="E82" s="23"/>
      <c r="F82" s="23" t="s">
        <v>91</v>
      </c>
    </row>
    <row r="83" spans="1:6" s="90" customFormat="1" ht="26.4">
      <c r="A83" s="84" t="s">
        <v>151</v>
      </c>
      <c r="B83" s="24" t="s">
        <v>152</v>
      </c>
      <c r="C83" s="23" t="s">
        <v>12</v>
      </c>
      <c r="D83" s="94">
        <v>1</v>
      </c>
      <c r="E83" s="88"/>
      <c r="F83" s="89">
        <f>D83*E83</f>
        <v>0</v>
      </c>
    </row>
    <row r="84" spans="1:6" s="90" customFormat="1" ht="26.4">
      <c r="A84" s="84" t="s">
        <v>153</v>
      </c>
      <c r="B84" s="24" t="s">
        <v>154</v>
      </c>
      <c r="C84" s="23" t="s">
        <v>12</v>
      </c>
      <c r="D84" s="94">
        <v>2</v>
      </c>
      <c r="E84" s="88"/>
      <c r="F84" s="89">
        <f>D84*E84</f>
        <v>0</v>
      </c>
    </row>
    <row r="85" spans="1:6" s="90" customFormat="1" ht="13.2">
      <c r="A85" s="84" t="s">
        <v>92</v>
      </c>
      <c r="B85" s="84" t="s">
        <v>155</v>
      </c>
      <c r="C85" s="84" t="s">
        <v>92</v>
      </c>
      <c r="D85" s="85" t="s">
        <v>92</v>
      </c>
      <c r="E85" s="84"/>
      <c r="F85" s="91">
        <f>SUM(F83:F84)</f>
        <v>0</v>
      </c>
    </row>
    <row r="86" spans="1:6" s="90" customFormat="1" ht="13.2">
      <c r="A86" s="84" t="s">
        <v>156</v>
      </c>
      <c r="B86" s="21" t="s">
        <v>157</v>
      </c>
      <c r="C86" s="23" t="s">
        <v>91</v>
      </c>
      <c r="D86" s="87" t="s">
        <v>91</v>
      </c>
      <c r="E86" s="23"/>
      <c r="F86" s="23" t="s">
        <v>91</v>
      </c>
    </row>
    <row r="87" spans="1:6" s="90" customFormat="1" ht="15.6">
      <c r="A87" s="84" t="s">
        <v>158</v>
      </c>
      <c r="B87" s="24" t="s">
        <v>159</v>
      </c>
      <c r="C87" s="23" t="s">
        <v>190</v>
      </c>
      <c r="D87" s="94">
        <f>(18*3.65)*1.2</f>
        <v>78.84</v>
      </c>
      <c r="E87" s="88"/>
      <c r="F87" s="89">
        <f t="shared" ref="F87:F92" si="9">D87*E87</f>
        <v>0</v>
      </c>
    </row>
    <row r="88" spans="1:6" s="90" customFormat="1" ht="15.6">
      <c r="A88" s="84" t="s">
        <v>160</v>
      </c>
      <c r="B88" s="24" t="s">
        <v>161</v>
      </c>
      <c r="C88" s="23" t="s">
        <v>190</v>
      </c>
      <c r="D88" s="94">
        <f>(18*4.5)*1.2</f>
        <v>97.2</v>
      </c>
      <c r="E88" s="88"/>
      <c r="F88" s="89">
        <f t="shared" si="9"/>
        <v>0</v>
      </c>
    </row>
    <row r="89" spans="1:6" s="90" customFormat="1" ht="15.6">
      <c r="A89" s="84" t="s">
        <v>162</v>
      </c>
      <c r="B89" s="24" t="s">
        <v>163</v>
      </c>
      <c r="C89" s="23" t="s">
        <v>190</v>
      </c>
      <c r="D89" s="94">
        <f>+D87</f>
        <v>78.84</v>
      </c>
      <c r="E89" s="88"/>
      <c r="F89" s="89">
        <f t="shared" si="9"/>
        <v>0</v>
      </c>
    </row>
    <row r="90" spans="1:6" s="90" customFormat="1" ht="15.6">
      <c r="A90" s="84" t="s">
        <v>164</v>
      </c>
      <c r="B90" s="24" t="s">
        <v>165</v>
      </c>
      <c r="C90" s="23" t="s">
        <v>190</v>
      </c>
      <c r="D90" s="94">
        <f>+D88</f>
        <v>97.2</v>
      </c>
      <c r="E90" s="88"/>
      <c r="F90" s="89">
        <f t="shared" si="9"/>
        <v>0</v>
      </c>
    </row>
    <row r="91" spans="1:6" s="90" customFormat="1" ht="15.6">
      <c r="A91" s="84" t="s">
        <v>166</v>
      </c>
      <c r="B91" s="24" t="s">
        <v>167</v>
      </c>
      <c r="C91" s="23" t="s">
        <v>190</v>
      </c>
      <c r="D91" s="94">
        <f>+D80</f>
        <v>24</v>
      </c>
      <c r="E91" s="88"/>
      <c r="F91" s="89">
        <f t="shared" si="9"/>
        <v>0</v>
      </c>
    </row>
    <row r="92" spans="1:6" s="90" customFormat="1" ht="15.6">
      <c r="A92" s="84" t="s">
        <v>168</v>
      </c>
      <c r="B92" s="24" t="s">
        <v>169</v>
      </c>
      <c r="C92" s="23" t="s">
        <v>190</v>
      </c>
      <c r="D92" s="94">
        <f>20*1.2</f>
        <v>24</v>
      </c>
      <c r="E92" s="88"/>
      <c r="F92" s="89">
        <f t="shared" si="9"/>
        <v>0</v>
      </c>
    </row>
    <row r="93" spans="1:6" s="90" customFormat="1" ht="13.2">
      <c r="A93" s="84" t="s">
        <v>92</v>
      </c>
      <c r="B93" s="84" t="s">
        <v>170</v>
      </c>
      <c r="C93" s="84" t="s">
        <v>92</v>
      </c>
      <c r="D93" s="85" t="s">
        <v>92</v>
      </c>
      <c r="E93" s="84"/>
      <c r="F93" s="91">
        <f>SUM(F87:F92)</f>
        <v>0</v>
      </c>
    </row>
    <row r="94" spans="1:6" s="90" customFormat="1" ht="13.2">
      <c r="A94" s="84" t="s">
        <v>171</v>
      </c>
      <c r="B94" s="21" t="s">
        <v>172</v>
      </c>
      <c r="C94" s="23" t="s">
        <v>91</v>
      </c>
      <c r="D94" s="87" t="s">
        <v>91</v>
      </c>
      <c r="E94" s="23"/>
      <c r="F94" s="23" t="s">
        <v>91</v>
      </c>
    </row>
    <row r="95" spans="1:6" s="90" customFormat="1" ht="26.4">
      <c r="A95" s="84" t="s">
        <v>173</v>
      </c>
      <c r="B95" s="24" t="s">
        <v>174</v>
      </c>
      <c r="C95" s="23" t="s">
        <v>27</v>
      </c>
      <c r="D95" s="94">
        <v>1</v>
      </c>
      <c r="E95" s="88"/>
      <c r="F95" s="89">
        <f>D95*E95</f>
        <v>0</v>
      </c>
    </row>
    <row r="96" spans="1:6" s="90" customFormat="1" ht="13.2">
      <c r="A96" s="84" t="s">
        <v>175</v>
      </c>
      <c r="B96" s="24" t="s">
        <v>176</v>
      </c>
      <c r="C96" s="23" t="s">
        <v>12</v>
      </c>
      <c r="D96" s="94">
        <v>3</v>
      </c>
      <c r="E96" s="88"/>
      <c r="F96" s="89">
        <f>D96*E96</f>
        <v>0</v>
      </c>
    </row>
    <row r="97" spans="1:9" s="90" customFormat="1" ht="13.2">
      <c r="A97" s="84" t="s">
        <v>177</v>
      </c>
      <c r="B97" s="93" t="s">
        <v>178</v>
      </c>
      <c r="C97" s="23" t="s">
        <v>12</v>
      </c>
      <c r="D97" s="94">
        <v>4</v>
      </c>
      <c r="E97" s="88"/>
      <c r="F97" s="89">
        <f>D97*E97</f>
        <v>0</v>
      </c>
    </row>
    <row r="98" spans="1:9" s="90" customFormat="1" ht="13.2">
      <c r="A98" s="84" t="s">
        <v>179</v>
      </c>
      <c r="B98" s="24" t="s">
        <v>180</v>
      </c>
      <c r="C98" s="23" t="s">
        <v>12</v>
      </c>
      <c r="D98" s="94">
        <v>2</v>
      </c>
      <c r="E98" s="88"/>
      <c r="F98" s="89">
        <f>D98*E98</f>
        <v>0</v>
      </c>
    </row>
    <row r="99" spans="1:9" s="90" customFormat="1" ht="13.2">
      <c r="A99" s="84" t="s">
        <v>181</v>
      </c>
      <c r="B99" s="24" t="s">
        <v>182</v>
      </c>
      <c r="C99" s="23" t="s">
        <v>12</v>
      </c>
      <c r="D99" s="94">
        <v>1</v>
      </c>
      <c r="E99" s="88"/>
      <c r="F99" s="89">
        <f>D99*E99</f>
        <v>0</v>
      </c>
    </row>
    <row r="100" spans="1:9" s="90" customFormat="1" ht="13.2">
      <c r="A100" s="84" t="s">
        <v>92</v>
      </c>
      <c r="B100" s="84" t="s">
        <v>183</v>
      </c>
      <c r="C100" s="84" t="s">
        <v>92</v>
      </c>
      <c r="D100" s="85" t="s">
        <v>92</v>
      </c>
      <c r="E100" s="84"/>
      <c r="F100" s="91">
        <f>SUM(F95:F99)</f>
        <v>0</v>
      </c>
    </row>
    <row r="101" spans="1:9" s="90" customFormat="1" ht="13.2">
      <c r="A101" s="95" t="s">
        <v>92</v>
      </c>
      <c r="B101" s="96" t="s">
        <v>184</v>
      </c>
      <c r="C101" s="97" t="s">
        <v>91</v>
      </c>
      <c r="D101" s="98" t="s">
        <v>91</v>
      </c>
      <c r="E101" s="97"/>
      <c r="F101" s="99">
        <f>F100+F93+F85+F81+F75+F66+F57</f>
        <v>0</v>
      </c>
    </row>
    <row r="102" spans="1:9" s="90" customFormat="1" ht="13.2">
      <c r="A102" s="106" t="s">
        <v>22</v>
      </c>
      <c r="B102" s="106"/>
      <c r="C102" s="34"/>
      <c r="D102" s="34"/>
      <c r="E102" s="34"/>
      <c r="F102" s="35">
        <f>+F7+F12+F27+F39+F48+F101</f>
        <v>500000</v>
      </c>
    </row>
    <row r="103" spans="1:9" s="9" customFormat="1" ht="15">
      <c r="A103" s="39"/>
      <c r="B103" s="40" t="s">
        <v>23</v>
      </c>
      <c r="C103" s="40"/>
      <c r="D103" s="40"/>
      <c r="E103" s="40"/>
      <c r="F103" s="41"/>
      <c r="G103" s="8"/>
    </row>
    <row r="104" spans="1:9" s="9" customFormat="1" ht="15">
      <c r="A104" s="37"/>
      <c r="B104" s="38"/>
      <c r="C104" s="38"/>
      <c r="D104" s="38"/>
      <c r="E104" s="38"/>
      <c r="F104" s="38"/>
      <c r="G104" s="8"/>
      <c r="I104" s="10"/>
    </row>
    <row r="105" spans="1:9" s="9" customFormat="1" ht="15">
      <c r="A105" s="42"/>
      <c r="B105" s="43" t="s">
        <v>24</v>
      </c>
      <c r="C105" s="43"/>
      <c r="D105" s="43"/>
      <c r="E105" s="43"/>
      <c r="F105" s="44" t="s">
        <v>25</v>
      </c>
      <c r="G105" s="8"/>
      <c r="I105" s="10"/>
    </row>
    <row r="106" spans="1:9">
      <c r="A106" s="104" t="s">
        <v>0</v>
      </c>
      <c r="B106" s="105" t="s">
        <v>63</v>
      </c>
      <c r="C106" s="104" t="s">
        <v>81</v>
      </c>
      <c r="D106" s="104" t="s">
        <v>80</v>
      </c>
    </row>
    <row r="107" spans="1:9">
      <c r="A107" s="104"/>
      <c r="B107" s="105"/>
      <c r="C107" s="104"/>
      <c r="D107" s="104"/>
    </row>
    <row r="108" spans="1:9">
      <c r="A108" s="65">
        <v>1</v>
      </c>
      <c r="B108" s="64" t="str">
        <f>+B4</f>
        <v>Travaux preliminaires</v>
      </c>
      <c r="C108" s="66">
        <f>F7</f>
        <v>0</v>
      </c>
      <c r="D108" s="76">
        <f>+C108/$C$114</f>
        <v>0</v>
      </c>
    </row>
    <row r="109" spans="1:9">
      <c r="A109" s="65">
        <v>2</v>
      </c>
      <c r="B109" s="67" t="str">
        <f>B8</f>
        <v>Reseau de refoulement</v>
      </c>
      <c r="C109" s="66">
        <f>+F12</f>
        <v>0</v>
      </c>
      <c r="D109" s="76">
        <f t="shared" ref="D109:D114" si="10">+C109/$C$114</f>
        <v>0</v>
      </c>
    </row>
    <row r="110" spans="1:9">
      <c r="A110" s="65">
        <v>3</v>
      </c>
      <c r="B110" s="67" t="str">
        <f>B13</f>
        <v>Réseau de distribution</v>
      </c>
      <c r="C110" s="66">
        <f>+F27</f>
        <v>0</v>
      </c>
      <c r="D110" s="76">
        <f t="shared" si="10"/>
        <v>0</v>
      </c>
    </row>
    <row r="111" spans="1:9">
      <c r="A111" s="65">
        <v>4</v>
      </c>
      <c r="B111" s="67" t="str">
        <f>B28</f>
        <v>Clôture et Annexe</v>
      </c>
      <c r="C111" s="66">
        <f>+F39</f>
        <v>0</v>
      </c>
      <c r="D111" s="76">
        <f t="shared" si="10"/>
        <v>0</v>
      </c>
    </row>
    <row r="112" spans="1:9">
      <c r="A112" s="65">
        <v>5</v>
      </c>
      <c r="B112" s="68" t="str">
        <f>B40</f>
        <v>Mise en œuvre du PGES</v>
      </c>
      <c r="C112" s="66">
        <f>+F48</f>
        <v>500000</v>
      </c>
      <c r="D112" s="76">
        <f t="shared" si="10"/>
        <v>1</v>
      </c>
    </row>
    <row r="113" spans="1:4">
      <c r="A113" s="65">
        <v>6</v>
      </c>
      <c r="B113" s="68" t="s">
        <v>189</v>
      </c>
      <c r="C113" s="66">
        <f>F101</f>
        <v>0</v>
      </c>
      <c r="D113" s="76">
        <f t="shared" si="10"/>
        <v>0</v>
      </c>
    </row>
    <row r="114" spans="1:4">
      <c r="A114" s="65"/>
      <c r="B114" s="69" t="s">
        <v>64</v>
      </c>
      <c r="C114" s="70">
        <f>SUM(C108:C113)</f>
        <v>500000</v>
      </c>
      <c r="D114" s="76">
        <f t="shared" si="10"/>
        <v>1</v>
      </c>
    </row>
  </sheetData>
  <mergeCells count="11">
    <mergeCell ref="A106:A107"/>
    <mergeCell ref="B106:B107"/>
    <mergeCell ref="C106:C107"/>
    <mergeCell ref="D106:D107"/>
    <mergeCell ref="A102:B102"/>
    <mergeCell ref="B49:F49"/>
    <mergeCell ref="A1:F1"/>
    <mergeCell ref="A2:A3"/>
    <mergeCell ref="B2:B3"/>
    <mergeCell ref="C2:C3"/>
    <mergeCell ref="D2:D3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L114"/>
  <sheetViews>
    <sheetView workbookViewId="0">
      <selection activeCell="J54" sqref="J54"/>
    </sheetView>
  </sheetViews>
  <sheetFormatPr baseColWidth="10" defaultColWidth="11.3984375" defaultRowHeight="13.8"/>
  <cols>
    <col min="1" max="1" width="5.3984375" style="37" customWidth="1"/>
    <col min="2" max="2" width="40.59765625" style="45" customWidth="1"/>
    <col min="3" max="3" width="10.59765625" style="37" customWidth="1"/>
    <col min="4" max="4" width="7.09765625" style="37" customWidth="1"/>
    <col min="5" max="5" width="12.8984375" style="37" customWidth="1"/>
    <col min="6" max="6" width="12.69921875" style="37" customWidth="1"/>
    <col min="7" max="8" width="13.3984375" style="3" bestFit="1" customWidth="1"/>
    <col min="9" max="9" width="12.8984375" bestFit="1" customWidth="1"/>
  </cols>
  <sheetData>
    <row r="1" spans="1:12" s="2" customFormat="1">
      <c r="A1" s="107" t="s">
        <v>60</v>
      </c>
      <c r="B1" s="107"/>
      <c r="C1" s="107"/>
      <c r="D1" s="107"/>
      <c r="E1" s="107"/>
      <c r="F1" s="107"/>
      <c r="G1" s="1"/>
      <c r="H1" s="1"/>
    </row>
    <row r="2" spans="1:12">
      <c r="A2" s="102" t="s">
        <v>0</v>
      </c>
      <c r="B2" s="103" t="s">
        <v>1</v>
      </c>
      <c r="C2" s="102" t="s">
        <v>2</v>
      </c>
      <c r="D2" s="102" t="s">
        <v>3</v>
      </c>
      <c r="E2" s="14" t="s">
        <v>4</v>
      </c>
      <c r="F2" s="14" t="s">
        <v>5</v>
      </c>
    </row>
    <row r="3" spans="1:12">
      <c r="A3" s="102"/>
      <c r="B3" s="103"/>
      <c r="C3" s="102"/>
      <c r="D3" s="102"/>
      <c r="E3" s="14" t="s">
        <v>29</v>
      </c>
      <c r="F3" s="14" t="s">
        <v>29</v>
      </c>
    </row>
    <row r="4" spans="1:12" ht="14.4" thickBot="1">
      <c r="A4" s="15" t="s">
        <v>6</v>
      </c>
      <c r="B4" s="36" t="s">
        <v>82</v>
      </c>
      <c r="C4" s="15"/>
      <c r="D4" s="15"/>
      <c r="E4" s="15"/>
      <c r="F4" s="15"/>
    </row>
    <row r="5" spans="1:12">
      <c r="A5" s="16">
        <v>1.1000000000000001</v>
      </c>
      <c r="B5" s="60" t="s">
        <v>30</v>
      </c>
      <c r="C5" s="16" t="s">
        <v>7</v>
      </c>
      <c r="D5" s="16">
        <v>1</v>
      </c>
      <c r="E5" s="17"/>
      <c r="F5" s="17">
        <f>+D5*E5</f>
        <v>0</v>
      </c>
    </row>
    <row r="6" spans="1:12" ht="39.6">
      <c r="A6" s="16">
        <v>1.2</v>
      </c>
      <c r="B6" s="61" t="s">
        <v>31</v>
      </c>
      <c r="C6" s="16" t="s">
        <v>32</v>
      </c>
      <c r="D6" s="16">
        <v>1</v>
      </c>
      <c r="E6" s="17"/>
      <c r="F6" s="17">
        <f>+D6*E6</f>
        <v>0</v>
      </c>
    </row>
    <row r="7" spans="1:12">
      <c r="A7" s="18"/>
      <c r="B7" s="19" t="s">
        <v>8</v>
      </c>
      <c r="C7" s="18"/>
      <c r="D7" s="18"/>
      <c r="E7" s="18"/>
      <c r="F7" s="20">
        <f>SUM(F5:F6)</f>
        <v>0</v>
      </c>
    </row>
    <row r="8" spans="1:12">
      <c r="A8" s="15" t="s">
        <v>9</v>
      </c>
      <c r="B8" s="21" t="s">
        <v>187</v>
      </c>
      <c r="C8" s="22"/>
      <c r="D8" s="22"/>
      <c r="E8" s="22"/>
      <c r="F8" s="22"/>
    </row>
    <row r="9" spans="1:12" ht="52.8">
      <c r="A9" s="23">
        <v>2.1</v>
      </c>
      <c r="B9" s="46" t="s">
        <v>42</v>
      </c>
      <c r="C9" s="23" t="s">
        <v>13</v>
      </c>
      <c r="D9" s="23">
        <v>160</v>
      </c>
      <c r="E9" s="25"/>
      <c r="F9" s="17">
        <f t="shared" ref="F9:F11" si="0">+D9*E9</f>
        <v>0</v>
      </c>
    </row>
    <row r="10" spans="1:12" ht="39.6">
      <c r="A10" s="23">
        <v>2.2000000000000002</v>
      </c>
      <c r="B10" s="24" t="s">
        <v>39</v>
      </c>
      <c r="C10" s="23" t="s">
        <v>14</v>
      </c>
      <c r="D10" s="23">
        <v>160</v>
      </c>
      <c r="E10" s="25"/>
      <c r="F10" s="17">
        <f t="shared" si="0"/>
        <v>0</v>
      </c>
    </row>
    <row r="11" spans="1:12" s="2" customFormat="1" ht="55.2">
      <c r="A11" s="23">
        <v>2.2999999999999998</v>
      </c>
      <c r="B11" s="26" t="s">
        <v>58</v>
      </c>
      <c r="C11" s="26" t="s">
        <v>27</v>
      </c>
      <c r="D11" s="23">
        <v>1</v>
      </c>
      <c r="E11" s="25"/>
      <c r="F11" s="17">
        <f t="shared" si="0"/>
        <v>0</v>
      </c>
      <c r="G11" s="3"/>
      <c r="H11" s="1"/>
    </row>
    <row r="12" spans="1:12">
      <c r="B12" s="29" t="s">
        <v>10</v>
      </c>
      <c r="C12" s="18"/>
      <c r="D12" s="18"/>
      <c r="E12" s="18"/>
      <c r="F12" s="20">
        <f>SUM(F9:F11)</f>
        <v>0</v>
      </c>
      <c r="L12">
        <f>3.14*3.5*3.5/4</f>
        <v>9.6162500000000009</v>
      </c>
    </row>
    <row r="13" spans="1:12">
      <c r="A13" s="30" t="s">
        <v>11</v>
      </c>
      <c r="B13" s="19" t="s">
        <v>17</v>
      </c>
      <c r="C13" s="31"/>
      <c r="D13" s="31"/>
      <c r="E13" s="31"/>
      <c r="F13" s="22"/>
    </row>
    <row r="14" spans="1:12" s="2" customFormat="1" ht="52.8">
      <c r="A14" s="26">
        <v>3.1</v>
      </c>
      <c r="B14" s="27" t="s">
        <v>40</v>
      </c>
      <c r="C14" s="48" t="s">
        <v>13</v>
      </c>
      <c r="D14" s="26">
        <f>+D15+D16+D17</f>
        <v>845</v>
      </c>
      <c r="E14" s="26"/>
      <c r="F14" s="28">
        <f t="shared" ref="F14:F21" si="1">+D14*E14</f>
        <v>0</v>
      </c>
      <c r="G14" s="1"/>
      <c r="H14" s="1"/>
    </row>
    <row r="15" spans="1:12" s="2" customFormat="1" ht="66">
      <c r="A15" s="49">
        <v>3.2</v>
      </c>
      <c r="B15" s="27" t="s">
        <v>43</v>
      </c>
      <c r="C15" s="26" t="s">
        <v>13</v>
      </c>
      <c r="D15" s="26">
        <v>95</v>
      </c>
      <c r="E15" s="50"/>
      <c r="F15" s="28">
        <f t="shared" si="1"/>
        <v>0</v>
      </c>
      <c r="G15" s="1"/>
      <c r="H15" s="1"/>
    </row>
    <row r="16" spans="1:12" s="2" customFormat="1" ht="66">
      <c r="A16" s="26">
        <v>3.3</v>
      </c>
      <c r="B16" s="27" t="s">
        <v>41</v>
      </c>
      <c r="C16" s="26" t="s">
        <v>13</v>
      </c>
      <c r="D16" s="26">
        <v>0</v>
      </c>
      <c r="E16" s="50"/>
      <c r="F16" s="28">
        <f t="shared" si="1"/>
        <v>0</v>
      </c>
      <c r="G16" s="1"/>
      <c r="H16" s="1"/>
    </row>
    <row r="17" spans="1:9" s="2" customFormat="1" ht="66">
      <c r="A17" s="49">
        <v>3.4</v>
      </c>
      <c r="B17" s="27" t="s">
        <v>44</v>
      </c>
      <c r="C17" s="26" t="s">
        <v>13</v>
      </c>
      <c r="D17" s="26">
        <v>750</v>
      </c>
      <c r="E17" s="50"/>
      <c r="F17" s="28">
        <f t="shared" si="1"/>
        <v>0</v>
      </c>
      <c r="G17" s="1"/>
      <c r="H17" s="1"/>
    </row>
    <row r="18" spans="1:9" s="2" customFormat="1" ht="26.4">
      <c r="A18" s="26">
        <v>3.5</v>
      </c>
      <c r="B18" s="27" t="s">
        <v>45</v>
      </c>
      <c r="C18" s="26" t="s">
        <v>12</v>
      </c>
      <c r="D18" s="26">
        <v>1</v>
      </c>
      <c r="E18" s="50"/>
      <c r="F18" s="28">
        <f t="shared" si="1"/>
        <v>0</v>
      </c>
      <c r="G18" s="1"/>
      <c r="H18" s="1"/>
    </row>
    <row r="19" spans="1:9" s="2" customFormat="1" ht="26.4">
      <c r="A19" s="49">
        <v>3.6</v>
      </c>
      <c r="B19" s="27" t="s">
        <v>46</v>
      </c>
      <c r="C19" s="26" t="s">
        <v>12</v>
      </c>
      <c r="D19" s="26">
        <v>0</v>
      </c>
      <c r="E19" s="50"/>
      <c r="F19" s="28">
        <f t="shared" si="1"/>
        <v>0</v>
      </c>
      <c r="G19" s="1"/>
      <c r="H19" s="1"/>
    </row>
    <row r="20" spans="1:9" s="2" customFormat="1" ht="26.4">
      <c r="A20" s="26">
        <v>3.7</v>
      </c>
      <c r="B20" s="27" t="s">
        <v>47</v>
      </c>
      <c r="C20" s="26" t="s">
        <v>12</v>
      </c>
      <c r="D20" s="26">
        <v>13</v>
      </c>
      <c r="E20" s="50"/>
      <c r="F20" s="28">
        <f t="shared" si="1"/>
        <v>0</v>
      </c>
      <c r="G20" s="1"/>
      <c r="H20" s="1"/>
    </row>
    <row r="21" spans="1:9" s="2" customFormat="1" ht="39.6">
      <c r="A21" s="49">
        <v>3.8</v>
      </c>
      <c r="B21" s="27" t="s">
        <v>48</v>
      </c>
      <c r="C21" s="26" t="s">
        <v>27</v>
      </c>
      <c r="D21" s="26">
        <v>190</v>
      </c>
      <c r="E21" s="50"/>
      <c r="F21" s="28">
        <f t="shared" si="1"/>
        <v>0</v>
      </c>
      <c r="G21" s="1"/>
      <c r="H21" s="1"/>
      <c r="I21" s="51">
        <f>175000*H22</f>
        <v>143150</v>
      </c>
    </row>
    <row r="22" spans="1:9" s="2" customFormat="1" ht="39.6">
      <c r="A22" s="26">
        <v>3.9</v>
      </c>
      <c r="B22" s="27" t="s">
        <v>49</v>
      </c>
      <c r="C22" s="26" t="s">
        <v>27</v>
      </c>
      <c r="D22" s="26">
        <v>30</v>
      </c>
      <c r="E22" s="50"/>
      <c r="F22" s="28">
        <f>+D22*E21</f>
        <v>0</v>
      </c>
      <c r="G22" s="1"/>
      <c r="H22" s="1">
        <f>0.74*0.6+3.74*0.1</f>
        <v>0.81800000000000006</v>
      </c>
    </row>
    <row r="23" spans="1:9" s="2" customFormat="1" ht="68.400000000000006">
      <c r="A23" s="58">
        <v>3.1</v>
      </c>
      <c r="B23" s="27" t="s">
        <v>50</v>
      </c>
      <c r="C23" s="26" t="s">
        <v>27</v>
      </c>
      <c r="D23" s="26">
        <v>0</v>
      </c>
      <c r="E23" s="50"/>
      <c r="F23" s="28">
        <f t="shared" ref="F23:F26" si="2">+D23*E23</f>
        <v>0</v>
      </c>
      <c r="G23" s="1"/>
      <c r="H23" s="1"/>
    </row>
    <row r="24" spans="1:9" s="2" customFormat="1" ht="26.4">
      <c r="A24" s="26">
        <v>3.11</v>
      </c>
      <c r="B24" s="27" t="s">
        <v>56</v>
      </c>
      <c r="C24" s="26" t="s">
        <v>55</v>
      </c>
      <c r="D24" s="26">
        <v>0</v>
      </c>
      <c r="E24" s="50"/>
      <c r="F24" s="28">
        <f t="shared" si="2"/>
        <v>0</v>
      </c>
      <c r="G24" s="1">
        <v>187.5</v>
      </c>
      <c r="H24" s="1"/>
    </row>
    <row r="25" spans="1:9" s="2" customFormat="1">
      <c r="A25" s="26">
        <v>3.12</v>
      </c>
      <c r="B25" s="27" t="s">
        <v>53</v>
      </c>
      <c r="C25" s="13" t="s">
        <v>12</v>
      </c>
      <c r="D25" s="26">
        <v>0</v>
      </c>
      <c r="E25" s="50"/>
      <c r="F25" s="28">
        <f t="shared" si="2"/>
        <v>0</v>
      </c>
      <c r="G25" s="1"/>
      <c r="H25" s="1"/>
    </row>
    <row r="26" spans="1:9" s="2" customFormat="1">
      <c r="A26" s="26">
        <v>3.13</v>
      </c>
      <c r="B26" s="27" t="s">
        <v>54</v>
      </c>
      <c r="C26" s="13" t="s">
        <v>12</v>
      </c>
      <c r="D26" s="26">
        <v>0</v>
      </c>
      <c r="E26" s="50"/>
      <c r="F26" s="28">
        <f t="shared" si="2"/>
        <v>0</v>
      </c>
      <c r="G26" s="1"/>
      <c r="H26" s="1"/>
    </row>
    <row r="27" spans="1:9">
      <c r="A27" s="18"/>
      <c r="B27" s="19" t="s">
        <v>65</v>
      </c>
      <c r="C27" s="32"/>
      <c r="D27" s="32"/>
      <c r="E27" s="32"/>
      <c r="F27" s="33">
        <f>SUM(F14:F26)</f>
        <v>0</v>
      </c>
    </row>
    <row r="28" spans="1:9">
      <c r="A28" s="30" t="s">
        <v>16</v>
      </c>
      <c r="B28" s="19" t="s">
        <v>19</v>
      </c>
      <c r="C28" s="31"/>
      <c r="D28" s="31"/>
      <c r="E28" s="31"/>
      <c r="F28" s="31"/>
    </row>
    <row r="29" spans="1:9" s="53" customFormat="1" ht="48.75" customHeight="1">
      <c r="A29" s="26">
        <v>4.0999999999999996</v>
      </c>
      <c r="B29" s="26" t="s">
        <v>52</v>
      </c>
      <c r="C29" s="26" t="s">
        <v>12</v>
      </c>
      <c r="D29" s="26">
        <f>426/3</f>
        <v>142</v>
      </c>
      <c r="E29" s="26"/>
      <c r="F29" s="28">
        <f>+D29*E29</f>
        <v>0</v>
      </c>
      <c r="G29" s="52">
        <v>141.33333333333334</v>
      </c>
      <c r="H29" s="52">
        <f>0.3*0.3*0.5*50000</f>
        <v>2250</v>
      </c>
    </row>
    <row r="30" spans="1:9" s="53" customFormat="1" ht="51.75" customHeight="1">
      <c r="A30" s="26">
        <v>4.2</v>
      </c>
      <c r="B30" s="26" t="s">
        <v>185</v>
      </c>
      <c r="C30" s="26" t="s">
        <v>12</v>
      </c>
      <c r="D30" s="26">
        <f>425/20+6</f>
        <v>27.25</v>
      </c>
      <c r="E30" s="26"/>
      <c r="F30" s="28">
        <f>+D30*E30</f>
        <v>0</v>
      </c>
      <c r="G30" s="52">
        <v>27.2</v>
      </c>
      <c r="H30" s="57">
        <v>4.1666666666666696</v>
      </c>
    </row>
    <row r="31" spans="1:9" s="53" customFormat="1" ht="39.75" customHeight="1">
      <c r="A31" s="26">
        <v>4.3</v>
      </c>
      <c r="B31" s="26" t="s">
        <v>33</v>
      </c>
      <c r="C31" s="26" t="s">
        <v>13</v>
      </c>
      <c r="D31" s="26">
        <v>426</v>
      </c>
      <c r="E31" s="26"/>
      <c r="F31" s="28">
        <f>+D31*E31</f>
        <v>0</v>
      </c>
      <c r="G31" s="52">
        <v>424</v>
      </c>
      <c r="H31" s="57">
        <v>7500</v>
      </c>
    </row>
    <row r="32" spans="1:9" s="53" customFormat="1" ht="39.75" customHeight="1">
      <c r="A32" s="26">
        <v>4.4000000000000004</v>
      </c>
      <c r="B32" s="26" t="s">
        <v>34</v>
      </c>
      <c r="C32" s="26" t="s">
        <v>13</v>
      </c>
      <c r="D32" s="26">
        <v>426</v>
      </c>
      <c r="E32" s="26"/>
      <c r="F32" s="28">
        <f>+D32*E32</f>
        <v>0</v>
      </c>
      <c r="G32" s="52">
        <v>424</v>
      </c>
      <c r="H32" s="52"/>
    </row>
    <row r="33" spans="1:9" s="55" customFormat="1" ht="39.75" customHeight="1">
      <c r="A33" s="78">
        <v>4.5</v>
      </c>
      <c r="B33" s="78" t="s">
        <v>186</v>
      </c>
      <c r="C33" s="78" t="s">
        <v>26</v>
      </c>
      <c r="D33" s="78">
        <f>424*0.3*0.35</f>
        <v>44.519999999999996</v>
      </c>
      <c r="E33" s="79"/>
      <c r="F33" s="79">
        <f>+D33*E33</f>
        <v>0</v>
      </c>
      <c r="G33" s="54">
        <v>25.44</v>
      </c>
      <c r="H33" s="54">
        <f>2*1.8*0.6</f>
        <v>2.16</v>
      </c>
    </row>
    <row r="34" spans="1:9" ht="26.4">
      <c r="A34" s="26">
        <v>4.5999999999999996</v>
      </c>
      <c r="B34" s="26" t="s">
        <v>36</v>
      </c>
      <c r="C34" s="26" t="s">
        <v>12</v>
      </c>
      <c r="D34" s="26">
        <v>1</v>
      </c>
      <c r="E34" s="50"/>
      <c r="F34" s="28">
        <f t="shared" ref="F34:F38" si="3">+D34*E34</f>
        <v>0</v>
      </c>
      <c r="G34" s="3">
        <v>0</v>
      </c>
    </row>
    <row r="35" spans="1:9" ht="39.6">
      <c r="A35" s="26">
        <v>4.7</v>
      </c>
      <c r="B35" s="26" t="s">
        <v>35</v>
      </c>
      <c r="C35" s="26" t="s">
        <v>12</v>
      </c>
      <c r="D35" s="26">
        <v>1</v>
      </c>
      <c r="E35" s="50"/>
      <c r="F35" s="28">
        <f t="shared" si="3"/>
        <v>0</v>
      </c>
      <c r="G35" s="3">
        <v>1</v>
      </c>
      <c r="H35" s="3">
        <f>60000/18</f>
        <v>3333.3333333333335</v>
      </c>
    </row>
    <row r="36" spans="1:9" s="12" customFormat="1" ht="39.6">
      <c r="A36" s="26">
        <v>4.8</v>
      </c>
      <c r="B36" s="26" t="s">
        <v>28</v>
      </c>
      <c r="C36" s="26" t="s">
        <v>13</v>
      </c>
      <c r="D36" s="26">
        <v>200</v>
      </c>
      <c r="E36" s="50"/>
      <c r="F36" s="28">
        <f t="shared" si="3"/>
        <v>0</v>
      </c>
      <c r="G36" s="11">
        <v>200</v>
      </c>
      <c r="H36" s="11">
        <f>0.5*3*1</f>
        <v>1.5</v>
      </c>
      <c r="I36" s="12">
        <v>5</v>
      </c>
    </row>
    <row r="37" spans="1:9" s="12" customFormat="1" ht="26.4">
      <c r="A37" s="26">
        <v>4.9000000000000004</v>
      </c>
      <c r="B37" s="26" t="s">
        <v>37</v>
      </c>
      <c r="C37" s="26" t="s">
        <v>12</v>
      </c>
      <c r="D37" s="26">
        <v>1</v>
      </c>
      <c r="E37" s="50"/>
      <c r="F37" s="28">
        <f t="shared" si="3"/>
        <v>0</v>
      </c>
      <c r="G37" s="11">
        <v>1</v>
      </c>
      <c r="H37" s="50">
        <f>7300000/700</f>
        <v>10428.571428571429</v>
      </c>
    </row>
    <row r="38" spans="1:9" s="12" customFormat="1" ht="26.4">
      <c r="A38" s="77">
        <v>4.0999999999999996</v>
      </c>
      <c r="B38" s="26" t="s">
        <v>79</v>
      </c>
      <c r="C38" s="26" t="s">
        <v>27</v>
      </c>
      <c r="D38" s="26">
        <v>1</v>
      </c>
      <c r="E38" s="50"/>
      <c r="F38" s="28">
        <f t="shared" si="3"/>
        <v>0</v>
      </c>
      <c r="G38" s="11"/>
      <c r="H38" s="71"/>
    </row>
    <row r="39" spans="1:9">
      <c r="A39" s="18"/>
      <c r="B39" s="19" t="s">
        <v>18</v>
      </c>
      <c r="C39" s="32"/>
      <c r="D39" s="32"/>
      <c r="E39" s="32"/>
      <c r="F39" s="33">
        <f>SUM(F29:F38)</f>
        <v>0</v>
      </c>
    </row>
    <row r="40" spans="1:9" s="7" customFormat="1" ht="15">
      <c r="A40" s="73" t="s">
        <v>66</v>
      </c>
      <c r="B40" s="74" t="s">
        <v>21</v>
      </c>
      <c r="C40" s="75"/>
      <c r="D40" s="75"/>
      <c r="E40" s="75"/>
      <c r="F40" s="75"/>
      <c r="G40" s="5"/>
      <c r="H40" s="6">
        <f>4000*20</f>
        <v>80000</v>
      </c>
    </row>
    <row r="41" spans="1:9" s="7" customFormat="1" ht="15">
      <c r="A41" s="26">
        <v>5.0999999999999996</v>
      </c>
      <c r="B41" s="26" t="s">
        <v>67</v>
      </c>
      <c r="C41" s="26" t="s">
        <v>68</v>
      </c>
      <c r="D41" s="26">
        <v>1</v>
      </c>
      <c r="E41" s="50"/>
      <c r="F41" s="28">
        <f t="shared" ref="F41:F46" si="4">+D41*E41</f>
        <v>0</v>
      </c>
      <c r="G41" s="5"/>
      <c r="H41" s="6"/>
    </row>
    <row r="42" spans="1:9" s="7" customFormat="1" ht="26.4">
      <c r="A42" s="26">
        <v>5.2</v>
      </c>
      <c r="B42" s="26" t="s">
        <v>69</v>
      </c>
      <c r="C42" s="26" t="s">
        <v>70</v>
      </c>
      <c r="D42" s="26">
        <v>100</v>
      </c>
      <c r="E42" s="50"/>
      <c r="F42" s="28">
        <f t="shared" si="4"/>
        <v>0</v>
      </c>
      <c r="G42" s="5"/>
      <c r="H42" s="6"/>
    </row>
    <row r="43" spans="1:9" s="7" customFormat="1" ht="26.4">
      <c r="A43" s="26">
        <v>5.3</v>
      </c>
      <c r="B43" s="26" t="s">
        <v>71</v>
      </c>
      <c r="C43" s="26" t="s">
        <v>72</v>
      </c>
      <c r="D43" s="26">
        <v>15</v>
      </c>
      <c r="E43" s="50"/>
      <c r="F43" s="28">
        <f t="shared" si="4"/>
        <v>0</v>
      </c>
      <c r="G43" s="5"/>
      <c r="H43" s="6"/>
    </row>
    <row r="44" spans="1:9" s="7" customFormat="1" ht="26.4">
      <c r="A44" s="26">
        <v>5.4</v>
      </c>
      <c r="B44" s="26" t="s">
        <v>73</v>
      </c>
      <c r="C44" s="26" t="s">
        <v>72</v>
      </c>
      <c r="D44" s="26">
        <v>1</v>
      </c>
      <c r="E44" s="50"/>
      <c r="F44" s="28">
        <f t="shared" si="4"/>
        <v>0</v>
      </c>
      <c r="G44" s="5"/>
      <c r="H44" s="6"/>
    </row>
    <row r="45" spans="1:9" s="7" customFormat="1" ht="15">
      <c r="A45" s="26">
        <v>5.5</v>
      </c>
      <c r="B45" s="26" t="s">
        <v>74</v>
      </c>
      <c r="C45" s="26" t="s">
        <v>68</v>
      </c>
      <c r="D45" s="26">
        <v>1</v>
      </c>
      <c r="E45" s="50"/>
      <c r="F45" s="28">
        <f t="shared" si="4"/>
        <v>0</v>
      </c>
      <c r="G45" s="5"/>
      <c r="H45" s="6"/>
    </row>
    <row r="46" spans="1:9" s="7" customFormat="1" ht="26.4">
      <c r="A46" s="26">
        <v>5.6</v>
      </c>
      <c r="B46" s="26" t="s">
        <v>75</v>
      </c>
      <c r="C46" s="26" t="s">
        <v>76</v>
      </c>
      <c r="D46" s="26">
        <v>1</v>
      </c>
      <c r="E46" s="50"/>
      <c r="F46" s="28">
        <f t="shared" si="4"/>
        <v>0</v>
      </c>
      <c r="G46" s="5"/>
      <c r="H46" s="6"/>
    </row>
    <row r="47" spans="1:9" s="7" customFormat="1" ht="26.4">
      <c r="A47" s="26">
        <v>5.7</v>
      </c>
      <c r="B47" s="26" t="s">
        <v>77</v>
      </c>
      <c r="C47" s="26" t="s">
        <v>78</v>
      </c>
      <c r="D47" s="26">
        <v>2</v>
      </c>
      <c r="E47" s="50"/>
      <c r="F47" s="28">
        <v>500000</v>
      </c>
      <c r="G47" s="5"/>
      <c r="H47" s="6"/>
    </row>
    <row r="48" spans="1:9" s="7" customFormat="1" ht="15">
      <c r="A48" s="26"/>
      <c r="B48" s="19" t="s">
        <v>20</v>
      </c>
      <c r="C48" s="32"/>
      <c r="D48" s="32"/>
      <c r="E48" s="32"/>
      <c r="F48" s="33">
        <f>SUM(F41:F47)</f>
        <v>500000</v>
      </c>
      <c r="G48" s="5"/>
      <c r="H48" s="6"/>
    </row>
    <row r="49" spans="1:6">
      <c r="A49" s="83"/>
      <c r="B49" s="100" t="s">
        <v>188</v>
      </c>
      <c r="C49" s="100"/>
      <c r="D49" s="100"/>
      <c r="E49" s="100"/>
      <c r="F49" s="100"/>
    </row>
    <row r="50" spans="1:6" s="37" customFormat="1" ht="26.4">
      <c r="A50" s="84" t="s">
        <v>83</v>
      </c>
      <c r="B50" s="21" t="s">
        <v>84</v>
      </c>
      <c r="C50" s="84" t="s">
        <v>85</v>
      </c>
      <c r="D50" s="85" t="s">
        <v>86</v>
      </c>
      <c r="E50" s="84" t="s">
        <v>87</v>
      </c>
      <c r="F50" s="84" t="s">
        <v>88</v>
      </c>
    </row>
    <row r="51" spans="1:6" s="37" customFormat="1" ht="13.2">
      <c r="A51" s="84" t="s">
        <v>89</v>
      </c>
      <c r="B51" s="21" t="s">
        <v>90</v>
      </c>
      <c r="C51" s="23" t="s">
        <v>91</v>
      </c>
      <c r="D51" s="86" t="s">
        <v>92</v>
      </c>
      <c r="E51" s="23"/>
      <c r="F51" s="84" t="s">
        <v>91</v>
      </c>
    </row>
    <row r="52" spans="1:6" s="37" customFormat="1" ht="15.6">
      <c r="A52" s="84" t="s">
        <v>93</v>
      </c>
      <c r="B52" s="24" t="s">
        <v>94</v>
      </c>
      <c r="C52" s="23" t="s">
        <v>190</v>
      </c>
      <c r="D52" s="87">
        <f>(5.3+2)*(4.3+2)</f>
        <v>45.989999999999995</v>
      </c>
      <c r="E52" s="88"/>
      <c r="F52" s="89">
        <f>D52*E52</f>
        <v>0</v>
      </c>
    </row>
    <row r="53" spans="1:6" s="90" customFormat="1" ht="15.6">
      <c r="A53" s="84" t="s">
        <v>95</v>
      </c>
      <c r="B53" s="24" t="s">
        <v>96</v>
      </c>
      <c r="C53" s="23" t="s">
        <v>191</v>
      </c>
      <c r="D53" s="87">
        <f>(18*0.4*0.6)*1.2</f>
        <v>5.1840000000000002</v>
      </c>
      <c r="E53" s="88"/>
      <c r="F53" s="89">
        <f>D53*E53</f>
        <v>0</v>
      </c>
    </row>
    <row r="54" spans="1:6" s="90" customFormat="1" ht="15.6">
      <c r="A54" s="84" t="s">
        <v>97</v>
      </c>
      <c r="B54" s="24" t="s">
        <v>98</v>
      </c>
      <c r="C54" s="23" t="s">
        <v>191</v>
      </c>
      <c r="D54" s="87">
        <f>(1.2*1.2*1.2)*8*1.2</f>
        <v>16.588799999999999</v>
      </c>
      <c r="E54" s="88"/>
      <c r="F54" s="89">
        <f>D54*E54</f>
        <v>0</v>
      </c>
    </row>
    <row r="55" spans="1:6" s="90" customFormat="1" ht="15.6">
      <c r="A55" s="84" t="s">
        <v>99</v>
      </c>
      <c r="B55" s="24" t="s">
        <v>100</v>
      </c>
      <c r="C55" s="23" t="s">
        <v>191</v>
      </c>
      <c r="D55" s="87">
        <f>+D54+D53</f>
        <v>21.7728</v>
      </c>
      <c r="E55" s="88"/>
      <c r="F55" s="89">
        <f>D55*E55</f>
        <v>0</v>
      </c>
    </row>
    <row r="56" spans="1:6" s="90" customFormat="1" ht="15.6">
      <c r="A56" s="84" t="s">
        <v>101</v>
      </c>
      <c r="B56" s="24" t="s">
        <v>102</v>
      </c>
      <c r="C56" s="23" t="s">
        <v>191</v>
      </c>
      <c r="D56" s="87">
        <f>((20*0.45)-D55*0.15)*1.2</f>
        <v>6.8808960000000008</v>
      </c>
      <c r="E56" s="88"/>
      <c r="F56" s="89">
        <f>D56*E56</f>
        <v>0</v>
      </c>
    </row>
    <row r="57" spans="1:6" s="90" customFormat="1" ht="13.2">
      <c r="A57" s="84" t="s">
        <v>92</v>
      </c>
      <c r="B57" s="84" t="s">
        <v>103</v>
      </c>
      <c r="C57" s="84" t="s">
        <v>92</v>
      </c>
      <c r="D57" s="85" t="s">
        <v>92</v>
      </c>
      <c r="E57" s="84"/>
      <c r="F57" s="91">
        <f>SUM(F52:F56)</f>
        <v>0</v>
      </c>
    </row>
    <row r="58" spans="1:6" s="90" customFormat="1" ht="13.2">
      <c r="A58" s="84" t="s">
        <v>104</v>
      </c>
      <c r="B58" s="21" t="s">
        <v>105</v>
      </c>
      <c r="C58" s="84" t="s">
        <v>92</v>
      </c>
      <c r="D58" s="92" t="s">
        <v>92</v>
      </c>
      <c r="E58" s="84"/>
      <c r="F58" s="23" t="s">
        <v>91</v>
      </c>
    </row>
    <row r="59" spans="1:6" s="90" customFormat="1" ht="15.6">
      <c r="A59" s="84" t="s">
        <v>106</v>
      </c>
      <c r="B59" s="24" t="s">
        <v>107</v>
      </c>
      <c r="C59" s="23" t="s">
        <v>191</v>
      </c>
      <c r="D59" s="87">
        <f>((0.4*0.05*18)+(1.2*1.2*0.05)*8)*1.2</f>
        <v>1.1232</v>
      </c>
      <c r="E59" s="88"/>
      <c r="F59" s="89">
        <f t="shared" ref="F59:F65" si="5">D59*E59</f>
        <v>0</v>
      </c>
    </row>
    <row r="60" spans="1:6" s="90" customFormat="1" ht="15.6">
      <c r="A60" s="84" t="s">
        <v>108</v>
      </c>
      <c r="B60" s="93" t="s">
        <v>109</v>
      </c>
      <c r="C60" s="23" t="s">
        <v>191</v>
      </c>
      <c r="D60" s="87">
        <f>(1.2*1.2*0.25)*8*1.2</f>
        <v>3.456</v>
      </c>
      <c r="E60" s="88"/>
      <c r="F60" s="89">
        <f t="shared" si="5"/>
        <v>0</v>
      </c>
    </row>
    <row r="61" spans="1:6" s="90" customFormat="1" ht="15.6">
      <c r="A61" s="84" t="s">
        <v>110</v>
      </c>
      <c r="B61" s="24" t="s">
        <v>111</v>
      </c>
      <c r="C61" s="23" t="s">
        <v>191</v>
      </c>
      <c r="D61" s="87">
        <f>(0.2*0.2*1.5)*8*1.2</f>
        <v>0.57600000000000007</v>
      </c>
      <c r="E61" s="88"/>
      <c r="F61" s="89">
        <f t="shared" si="5"/>
        <v>0</v>
      </c>
    </row>
    <row r="62" spans="1:6" s="90" customFormat="1" ht="26.4">
      <c r="A62" s="84" t="s">
        <v>112</v>
      </c>
      <c r="B62" s="24" t="s">
        <v>113</v>
      </c>
      <c r="C62" s="23" t="s">
        <v>190</v>
      </c>
      <c r="D62" s="87">
        <f>(18*1.05)*1.2</f>
        <v>22.680000000000003</v>
      </c>
      <c r="E62" s="88"/>
      <c r="F62" s="89">
        <f t="shared" si="5"/>
        <v>0</v>
      </c>
    </row>
    <row r="63" spans="1:6" s="90" customFormat="1" ht="15.6">
      <c r="A63" s="84" t="s">
        <v>114</v>
      </c>
      <c r="B63" s="24" t="s">
        <v>115</v>
      </c>
      <c r="C63" s="23" t="s">
        <v>191</v>
      </c>
      <c r="D63" s="87">
        <f>(0.2*0.2*18)*1.2</f>
        <v>0.86400000000000021</v>
      </c>
      <c r="E63" s="88"/>
      <c r="F63" s="89">
        <f t="shared" si="5"/>
        <v>0</v>
      </c>
    </row>
    <row r="64" spans="1:6" s="90" customFormat="1" ht="15.6">
      <c r="A64" s="84" t="s">
        <v>116</v>
      </c>
      <c r="B64" s="24" t="s">
        <v>117</v>
      </c>
      <c r="C64" s="23" t="s">
        <v>191</v>
      </c>
      <c r="D64" s="87">
        <f>(0.76*3*0.15)*1.2</f>
        <v>0.41040000000000004</v>
      </c>
      <c r="E64" s="88"/>
      <c r="F64" s="89">
        <f t="shared" si="5"/>
        <v>0</v>
      </c>
    </row>
    <row r="65" spans="1:6" s="90" customFormat="1" ht="15.6">
      <c r="A65" s="84" t="s">
        <v>118</v>
      </c>
      <c r="B65" s="24" t="s">
        <v>119</v>
      </c>
      <c r="C65" s="23" t="s">
        <v>191</v>
      </c>
      <c r="D65" s="87">
        <f>20*0.08*1.2</f>
        <v>1.92</v>
      </c>
      <c r="E65" s="88"/>
      <c r="F65" s="89">
        <f t="shared" si="5"/>
        <v>0</v>
      </c>
    </row>
    <row r="66" spans="1:6" s="90" customFormat="1" ht="13.2">
      <c r="A66" s="84" t="s">
        <v>92</v>
      </c>
      <c r="B66" s="84" t="s">
        <v>120</v>
      </c>
      <c r="C66" s="84" t="s">
        <v>92</v>
      </c>
      <c r="D66" s="85" t="s">
        <v>92</v>
      </c>
      <c r="E66" s="84"/>
      <c r="F66" s="91">
        <f>SUM(F59:F65)</f>
        <v>0</v>
      </c>
    </row>
    <row r="67" spans="1:6" s="90" customFormat="1" ht="13.2">
      <c r="A67" s="84" t="s">
        <v>121</v>
      </c>
      <c r="B67" s="21" t="s">
        <v>122</v>
      </c>
      <c r="C67" s="23" t="s">
        <v>91</v>
      </c>
      <c r="D67" s="86" t="s">
        <v>92</v>
      </c>
      <c r="E67" s="23"/>
      <c r="F67" s="23" t="s">
        <v>91</v>
      </c>
    </row>
    <row r="68" spans="1:6" s="90" customFormat="1" ht="15.6">
      <c r="A68" s="84" t="s">
        <v>123</v>
      </c>
      <c r="B68" s="24" t="s">
        <v>124</v>
      </c>
      <c r="C68" s="23" t="s">
        <v>190</v>
      </c>
      <c r="D68" s="87">
        <f>(3.65*18)*1.2</f>
        <v>78.84</v>
      </c>
      <c r="E68" s="88"/>
      <c r="F68" s="89">
        <f t="shared" ref="F68:F74" si="6">D68*E68</f>
        <v>0</v>
      </c>
    </row>
    <row r="69" spans="1:6" s="90" customFormat="1" ht="15.6">
      <c r="A69" s="84" t="s">
        <v>125</v>
      </c>
      <c r="B69" s="93" t="s">
        <v>126</v>
      </c>
      <c r="C69" s="23" t="s">
        <v>191</v>
      </c>
      <c r="D69" s="87">
        <f>(0.15*0.15*3.4)*8*1.2</f>
        <v>0.73439999999999994</v>
      </c>
      <c r="E69" s="88"/>
      <c r="F69" s="89">
        <f t="shared" si="6"/>
        <v>0</v>
      </c>
    </row>
    <row r="70" spans="1:6" s="90" customFormat="1" ht="15.6">
      <c r="A70" s="84" t="s">
        <v>127</v>
      </c>
      <c r="B70" s="24" t="s">
        <v>128</v>
      </c>
      <c r="C70" s="23" t="s">
        <v>191</v>
      </c>
      <c r="D70" s="87">
        <f>(18*0.15*0.1)*1.2</f>
        <v>0.32399999999999995</v>
      </c>
      <c r="E70" s="88"/>
      <c r="F70" s="89">
        <f t="shared" si="6"/>
        <v>0</v>
      </c>
    </row>
    <row r="71" spans="1:6" s="90" customFormat="1" ht="15.6">
      <c r="A71" s="84" t="s">
        <v>129</v>
      </c>
      <c r="B71" s="24" t="s">
        <v>130</v>
      </c>
      <c r="C71" s="23" t="s">
        <v>191</v>
      </c>
      <c r="D71" s="87">
        <f>(18*0.15*0.2)*1.2</f>
        <v>0.64799999999999991</v>
      </c>
      <c r="E71" s="88"/>
      <c r="F71" s="89">
        <f t="shared" si="6"/>
        <v>0</v>
      </c>
    </row>
    <row r="72" spans="1:6" s="90" customFormat="1" ht="15.6">
      <c r="A72" s="84" t="s">
        <v>131</v>
      </c>
      <c r="B72" s="24" t="s">
        <v>128</v>
      </c>
      <c r="C72" s="23" t="s">
        <v>191</v>
      </c>
      <c r="D72" s="87">
        <f>(18*0.15*0.1)*1.2</f>
        <v>0.32399999999999995</v>
      </c>
      <c r="E72" s="88"/>
      <c r="F72" s="89">
        <f t="shared" si="6"/>
        <v>0</v>
      </c>
    </row>
    <row r="73" spans="1:6" s="90" customFormat="1" ht="15.6">
      <c r="A73" s="84" t="s">
        <v>132</v>
      </c>
      <c r="B73" s="24" t="s">
        <v>133</v>
      </c>
      <c r="C73" s="23" t="s">
        <v>191</v>
      </c>
      <c r="D73" s="87">
        <f>(18*0.15*0.4)*1.2</f>
        <v>1.2959999999999998</v>
      </c>
      <c r="E73" s="88"/>
      <c r="F73" s="89">
        <f t="shared" si="6"/>
        <v>0</v>
      </c>
    </row>
    <row r="74" spans="1:6" s="90" customFormat="1" ht="15.6">
      <c r="A74" s="84" t="s">
        <v>134</v>
      </c>
      <c r="B74" s="24" t="s">
        <v>135</v>
      </c>
      <c r="C74" s="23" t="s">
        <v>191</v>
      </c>
      <c r="D74" s="87">
        <f>(5.3*0.127)*1.2</f>
        <v>0.80771999999999999</v>
      </c>
      <c r="E74" s="88"/>
      <c r="F74" s="89">
        <f t="shared" si="6"/>
        <v>0</v>
      </c>
    </row>
    <row r="75" spans="1:6" s="90" customFormat="1" ht="13.2">
      <c r="A75" s="84" t="s">
        <v>92</v>
      </c>
      <c r="B75" s="84" t="s">
        <v>136</v>
      </c>
      <c r="C75" s="84" t="s">
        <v>92</v>
      </c>
      <c r="D75" s="85" t="s">
        <v>92</v>
      </c>
      <c r="E75" s="84"/>
      <c r="F75" s="91">
        <f>SUM(F68:F73)</f>
        <v>0</v>
      </c>
    </row>
    <row r="76" spans="1:6" s="90" customFormat="1" ht="13.2">
      <c r="A76" s="84" t="s">
        <v>137</v>
      </c>
      <c r="B76" s="21" t="s">
        <v>138</v>
      </c>
      <c r="C76" s="23" t="s">
        <v>91</v>
      </c>
      <c r="D76" s="86" t="s">
        <v>92</v>
      </c>
      <c r="E76" s="23"/>
      <c r="F76" s="23" t="s">
        <v>91</v>
      </c>
    </row>
    <row r="77" spans="1:6" s="90" customFormat="1" ht="26.4">
      <c r="A77" s="84" t="s">
        <v>139</v>
      </c>
      <c r="B77" s="24" t="s">
        <v>140</v>
      </c>
      <c r="C77" s="23" t="s">
        <v>141</v>
      </c>
      <c r="D77" s="94">
        <f>(4.65*10.45)*1.2</f>
        <v>58.311</v>
      </c>
      <c r="E77" s="88"/>
      <c r="F77" s="89">
        <f>D77*E77</f>
        <v>0</v>
      </c>
    </row>
    <row r="78" spans="1:6" s="90" customFormat="1" ht="26.4">
      <c r="A78" s="84" t="s">
        <v>142</v>
      </c>
      <c r="B78" s="24" t="s">
        <v>143</v>
      </c>
      <c r="C78" s="23" t="s">
        <v>13</v>
      </c>
      <c r="D78" s="94">
        <f>4.65*1.2</f>
        <v>5.58</v>
      </c>
      <c r="E78" s="88"/>
      <c r="F78" s="89">
        <f>D78*E78</f>
        <v>0</v>
      </c>
    </row>
    <row r="79" spans="1:6" s="90" customFormat="1" ht="26.4">
      <c r="A79" s="84" t="s">
        <v>144</v>
      </c>
      <c r="B79" s="24" t="s">
        <v>145</v>
      </c>
      <c r="C79" s="23" t="s">
        <v>13</v>
      </c>
      <c r="D79" s="94">
        <f>5.3*4*1.2</f>
        <v>25.439999999999998</v>
      </c>
      <c r="E79" s="88"/>
      <c r="F79" s="89">
        <f>D79*E79</f>
        <v>0</v>
      </c>
    </row>
    <row r="80" spans="1:6" s="90" customFormat="1" ht="13.2">
      <c r="A80" s="84" t="s">
        <v>146</v>
      </c>
      <c r="B80" s="24" t="s">
        <v>147</v>
      </c>
      <c r="C80" s="23" t="s">
        <v>141</v>
      </c>
      <c r="D80" s="94">
        <f>20*1.2</f>
        <v>24</v>
      </c>
      <c r="E80" s="88"/>
      <c r="F80" s="89">
        <f>D80*E80</f>
        <v>0</v>
      </c>
    </row>
    <row r="81" spans="1:6" s="90" customFormat="1" ht="13.2">
      <c r="A81" s="84" t="s">
        <v>92</v>
      </c>
      <c r="B81" s="84" t="s">
        <v>148</v>
      </c>
      <c r="C81" s="84" t="s">
        <v>92</v>
      </c>
      <c r="D81" s="85" t="s">
        <v>92</v>
      </c>
      <c r="E81" s="84"/>
      <c r="F81" s="91">
        <f>SUM(F77:F80)</f>
        <v>0</v>
      </c>
    </row>
    <row r="82" spans="1:6" s="90" customFormat="1" ht="13.2">
      <c r="A82" s="84" t="s">
        <v>149</v>
      </c>
      <c r="B82" s="21" t="s">
        <v>150</v>
      </c>
      <c r="C82" s="23" t="s">
        <v>91</v>
      </c>
      <c r="D82" s="86" t="s">
        <v>92</v>
      </c>
      <c r="E82" s="23"/>
      <c r="F82" s="23" t="s">
        <v>91</v>
      </c>
    </row>
    <row r="83" spans="1:6" s="90" customFormat="1" ht="26.4">
      <c r="A83" s="84" t="s">
        <v>151</v>
      </c>
      <c r="B83" s="24" t="s">
        <v>152</v>
      </c>
      <c r="C83" s="23" t="s">
        <v>12</v>
      </c>
      <c r="D83" s="94">
        <v>1</v>
      </c>
      <c r="E83" s="88"/>
      <c r="F83" s="89">
        <f>D83*E83</f>
        <v>0</v>
      </c>
    </row>
    <row r="84" spans="1:6" s="90" customFormat="1" ht="26.4">
      <c r="A84" s="84" t="s">
        <v>153</v>
      </c>
      <c r="B84" s="24" t="s">
        <v>154</v>
      </c>
      <c r="C84" s="23" t="s">
        <v>12</v>
      </c>
      <c r="D84" s="94">
        <v>2</v>
      </c>
      <c r="E84" s="88"/>
      <c r="F84" s="89">
        <f>D84*E84</f>
        <v>0</v>
      </c>
    </row>
    <row r="85" spans="1:6" s="90" customFormat="1" ht="13.2">
      <c r="A85" s="84" t="s">
        <v>92</v>
      </c>
      <c r="B85" s="84" t="s">
        <v>155</v>
      </c>
      <c r="C85" s="84" t="s">
        <v>92</v>
      </c>
      <c r="D85" s="85" t="s">
        <v>92</v>
      </c>
      <c r="E85" s="84"/>
      <c r="F85" s="91">
        <f>SUM(F83:F84)</f>
        <v>0</v>
      </c>
    </row>
    <row r="86" spans="1:6" s="90" customFormat="1" ht="13.2">
      <c r="A86" s="84" t="s">
        <v>156</v>
      </c>
      <c r="B86" s="21" t="s">
        <v>157</v>
      </c>
      <c r="C86" s="23" t="s">
        <v>91</v>
      </c>
      <c r="D86" s="87" t="s">
        <v>91</v>
      </c>
      <c r="E86" s="23"/>
      <c r="F86" s="23" t="s">
        <v>91</v>
      </c>
    </row>
    <row r="87" spans="1:6" s="90" customFormat="1" ht="15.6">
      <c r="A87" s="84" t="s">
        <v>158</v>
      </c>
      <c r="B87" s="24" t="s">
        <v>159</v>
      </c>
      <c r="C87" s="23" t="s">
        <v>190</v>
      </c>
      <c r="D87" s="94">
        <f>(18*3.65)*1.2</f>
        <v>78.84</v>
      </c>
      <c r="E87" s="88"/>
      <c r="F87" s="89">
        <f t="shared" ref="F87:F92" si="7">D87*E87</f>
        <v>0</v>
      </c>
    </row>
    <row r="88" spans="1:6" s="90" customFormat="1" ht="15.6">
      <c r="A88" s="84" t="s">
        <v>160</v>
      </c>
      <c r="B88" s="24" t="s">
        <v>161</v>
      </c>
      <c r="C88" s="23" t="s">
        <v>190</v>
      </c>
      <c r="D88" s="94">
        <f>(18*4.5)*1.2</f>
        <v>97.2</v>
      </c>
      <c r="E88" s="88"/>
      <c r="F88" s="89">
        <f t="shared" si="7"/>
        <v>0</v>
      </c>
    </row>
    <row r="89" spans="1:6" s="90" customFormat="1" ht="15.6">
      <c r="A89" s="84" t="s">
        <v>162</v>
      </c>
      <c r="B89" s="24" t="s">
        <v>163</v>
      </c>
      <c r="C89" s="23" t="s">
        <v>190</v>
      </c>
      <c r="D89" s="94">
        <f>+D87</f>
        <v>78.84</v>
      </c>
      <c r="E89" s="88"/>
      <c r="F89" s="89">
        <f t="shared" si="7"/>
        <v>0</v>
      </c>
    </row>
    <row r="90" spans="1:6" s="90" customFormat="1" ht="15.6">
      <c r="A90" s="84" t="s">
        <v>164</v>
      </c>
      <c r="B90" s="24" t="s">
        <v>165</v>
      </c>
      <c r="C90" s="23" t="s">
        <v>190</v>
      </c>
      <c r="D90" s="94">
        <f>+D88</f>
        <v>97.2</v>
      </c>
      <c r="E90" s="88"/>
      <c r="F90" s="89">
        <f t="shared" si="7"/>
        <v>0</v>
      </c>
    </row>
    <row r="91" spans="1:6" s="90" customFormat="1" ht="15.6">
      <c r="A91" s="84" t="s">
        <v>166</v>
      </c>
      <c r="B91" s="24" t="s">
        <v>167</v>
      </c>
      <c r="C91" s="23" t="s">
        <v>190</v>
      </c>
      <c r="D91" s="94">
        <f>+D80</f>
        <v>24</v>
      </c>
      <c r="E91" s="88"/>
      <c r="F91" s="89">
        <f t="shared" si="7"/>
        <v>0</v>
      </c>
    </row>
    <row r="92" spans="1:6" s="90" customFormat="1" ht="15.6">
      <c r="A92" s="84" t="s">
        <v>168</v>
      </c>
      <c r="B92" s="24" t="s">
        <v>169</v>
      </c>
      <c r="C92" s="23" t="s">
        <v>190</v>
      </c>
      <c r="D92" s="94">
        <f>20*1.2</f>
        <v>24</v>
      </c>
      <c r="E92" s="88"/>
      <c r="F92" s="89">
        <f t="shared" si="7"/>
        <v>0</v>
      </c>
    </row>
    <row r="93" spans="1:6" s="90" customFormat="1" ht="13.2">
      <c r="A93" s="84" t="s">
        <v>92</v>
      </c>
      <c r="B93" s="84" t="s">
        <v>170</v>
      </c>
      <c r="C93" s="84" t="s">
        <v>92</v>
      </c>
      <c r="D93" s="85" t="s">
        <v>92</v>
      </c>
      <c r="E93" s="84"/>
      <c r="F93" s="91">
        <f>SUM(F87:F92)</f>
        <v>0</v>
      </c>
    </row>
    <row r="94" spans="1:6" s="90" customFormat="1" ht="13.2">
      <c r="A94" s="84" t="s">
        <v>171</v>
      </c>
      <c r="B94" s="21" t="s">
        <v>172</v>
      </c>
      <c r="C94" s="23" t="s">
        <v>91</v>
      </c>
      <c r="D94" s="87" t="s">
        <v>91</v>
      </c>
      <c r="E94" s="23"/>
      <c r="F94" s="23" t="s">
        <v>91</v>
      </c>
    </row>
    <row r="95" spans="1:6" s="90" customFormat="1" ht="26.4">
      <c r="A95" s="84" t="s">
        <v>173</v>
      </c>
      <c r="B95" s="24" t="s">
        <v>174</v>
      </c>
      <c r="C95" s="23" t="s">
        <v>27</v>
      </c>
      <c r="D95" s="94">
        <v>1</v>
      </c>
      <c r="E95" s="88"/>
      <c r="F95" s="89">
        <f>D95*E95</f>
        <v>0</v>
      </c>
    </row>
    <row r="96" spans="1:6" s="90" customFormat="1" ht="13.2">
      <c r="A96" s="84" t="s">
        <v>175</v>
      </c>
      <c r="B96" s="24" t="s">
        <v>176</v>
      </c>
      <c r="C96" s="23" t="s">
        <v>12</v>
      </c>
      <c r="D96" s="94">
        <v>3</v>
      </c>
      <c r="E96" s="88"/>
      <c r="F96" s="89">
        <f>D96*E96</f>
        <v>0</v>
      </c>
    </row>
    <row r="97" spans="1:9" s="90" customFormat="1" ht="13.2">
      <c r="A97" s="84" t="s">
        <v>177</v>
      </c>
      <c r="B97" s="93" t="s">
        <v>178</v>
      </c>
      <c r="C97" s="23" t="s">
        <v>12</v>
      </c>
      <c r="D97" s="94">
        <v>4</v>
      </c>
      <c r="E97" s="88"/>
      <c r="F97" s="89">
        <f>D97*E97</f>
        <v>0</v>
      </c>
    </row>
    <row r="98" spans="1:9" s="90" customFormat="1" ht="13.2">
      <c r="A98" s="84" t="s">
        <v>179</v>
      </c>
      <c r="B98" s="24" t="s">
        <v>180</v>
      </c>
      <c r="C98" s="23" t="s">
        <v>12</v>
      </c>
      <c r="D98" s="94">
        <v>2</v>
      </c>
      <c r="E98" s="88"/>
      <c r="F98" s="89">
        <f>D98*E98</f>
        <v>0</v>
      </c>
    </row>
    <row r="99" spans="1:9" s="90" customFormat="1" ht="13.2">
      <c r="A99" s="84" t="s">
        <v>181</v>
      </c>
      <c r="B99" s="24" t="s">
        <v>182</v>
      </c>
      <c r="C99" s="23" t="s">
        <v>12</v>
      </c>
      <c r="D99" s="94">
        <v>1</v>
      </c>
      <c r="E99" s="88"/>
      <c r="F99" s="89">
        <f>D99*E99</f>
        <v>0</v>
      </c>
    </row>
    <row r="100" spans="1:9" s="90" customFormat="1" ht="13.2">
      <c r="A100" s="84" t="s">
        <v>92</v>
      </c>
      <c r="B100" s="84" t="s">
        <v>183</v>
      </c>
      <c r="C100" s="84" t="s">
        <v>92</v>
      </c>
      <c r="D100" s="85" t="s">
        <v>92</v>
      </c>
      <c r="E100" s="84"/>
      <c r="F100" s="91">
        <f>SUM(F95:F99)</f>
        <v>0</v>
      </c>
    </row>
    <row r="101" spans="1:9" s="90" customFormat="1" ht="13.2">
      <c r="A101" s="95" t="s">
        <v>92</v>
      </c>
      <c r="B101" s="96" t="s">
        <v>184</v>
      </c>
      <c r="C101" s="97" t="s">
        <v>91</v>
      </c>
      <c r="D101" s="98" t="s">
        <v>91</v>
      </c>
      <c r="E101" s="97"/>
      <c r="F101" s="99">
        <f>F100+F93+F85+F81+F75+F66+F57</f>
        <v>0</v>
      </c>
    </row>
    <row r="102" spans="1:9" s="90" customFormat="1" ht="13.2">
      <c r="A102" s="106" t="s">
        <v>22</v>
      </c>
      <c r="B102" s="106"/>
      <c r="C102" s="34"/>
      <c r="D102" s="34"/>
      <c r="E102" s="34"/>
      <c r="F102" s="35">
        <f>+F7+F12+F27+F39+F48+F101</f>
        <v>500000</v>
      </c>
    </row>
    <row r="103" spans="1:9" s="9" customFormat="1" ht="15">
      <c r="A103" s="39"/>
      <c r="B103" s="40" t="s">
        <v>23</v>
      </c>
      <c r="C103" s="40"/>
      <c r="D103" s="40"/>
      <c r="E103" s="40"/>
      <c r="F103" s="41"/>
      <c r="G103" s="8"/>
    </row>
    <row r="104" spans="1:9" s="9" customFormat="1" ht="15">
      <c r="A104" s="37"/>
      <c r="B104" s="38"/>
      <c r="C104" s="38"/>
      <c r="D104" s="38"/>
      <c r="E104" s="38"/>
      <c r="F104" s="38"/>
      <c r="G104" s="8"/>
      <c r="I104" s="10"/>
    </row>
    <row r="105" spans="1:9" s="9" customFormat="1" ht="15">
      <c r="A105" s="42"/>
      <c r="B105" s="43" t="s">
        <v>24</v>
      </c>
      <c r="C105" s="43"/>
      <c r="D105" s="43"/>
      <c r="E105" s="43"/>
      <c r="F105" s="44" t="s">
        <v>25</v>
      </c>
      <c r="G105" s="8"/>
      <c r="I105" s="10"/>
    </row>
    <row r="106" spans="1:9">
      <c r="A106" s="104" t="s">
        <v>0</v>
      </c>
      <c r="B106" s="105" t="s">
        <v>63</v>
      </c>
      <c r="C106" s="104" t="s">
        <v>81</v>
      </c>
      <c r="D106" s="104" t="s">
        <v>80</v>
      </c>
    </row>
    <row r="107" spans="1:9">
      <c r="A107" s="104"/>
      <c r="B107" s="105"/>
      <c r="C107" s="104"/>
      <c r="D107" s="104"/>
    </row>
    <row r="108" spans="1:9">
      <c r="A108" s="65">
        <v>1</v>
      </c>
      <c r="B108" s="64" t="str">
        <f>+B4</f>
        <v>Travaux preliminaires</v>
      </c>
      <c r="C108" s="66">
        <f>F7</f>
        <v>0</v>
      </c>
      <c r="D108" s="76">
        <f>+C108/$C$114</f>
        <v>0</v>
      </c>
    </row>
    <row r="109" spans="1:9">
      <c r="A109" s="65">
        <v>2</v>
      </c>
      <c r="B109" s="67" t="str">
        <f>B8</f>
        <v>Reseau de refoulement</v>
      </c>
      <c r="C109" s="66">
        <f>F12</f>
        <v>0</v>
      </c>
      <c r="D109" s="76">
        <f t="shared" ref="D109:D114" si="8">+C109/$C$114</f>
        <v>0</v>
      </c>
    </row>
    <row r="110" spans="1:9">
      <c r="A110" s="65">
        <v>3</v>
      </c>
      <c r="B110" s="67" t="str">
        <f>B13</f>
        <v>Réseau de distribution</v>
      </c>
      <c r="C110" s="66">
        <f>+F27</f>
        <v>0</v>
      </c>
      <c r="D110" s="76">
        <f t="shared" si="8"/>
        <v>0</v>
      </c>
    </row>
    <row r="111" spans="1:9">
      <c r="A111" s="65">
        <v>4</v>
      </c>
      <c r="B111" s="67" t="str">
        <f>B28</f>
        <v>Clôture et Annexe</v>
      </c>
      <c r="C111" s="66">
        <f>+F39</f>
        <v>0</v>
      </c>
      <c r="D111" s="76">
        <f t="shared" si="8"/>
        <v>0</v>
      </c>
    </row>
    <row r="112" spans="1:9">
      <c r="A112" s="65">
        <v>5</v>
      </c>
      <c r="B112" s="68" t="str">
        <f>B40</f>
        <v>Mise en œuvre du PGES</v>
      </c>
      <c r="C112" s="66">
        <f>+F48</f>
        <v>500000</v>
      </c>
      <c r="D112" s="76">
        <f t="shared" si="8"/>
        <v>1</v>
      </c>
    </row>
    <row r="113" spans="1:4">
      <c r="A113" s="65">
        <v>6</v>
      </c>
      <c r="B113" s="68" t="s">
        <v>189</v>
      </c>
      <c r="C113" s="66">
        <f>+F101</f>
        <v>0</v>
      </c>
      <c r="D113" s="76">
        <f t="shared" si="8"/>
        <v>0</v>
      </c>
    </row>
    <row r="114" spans="1:4">
      <c r="A114" s="65"/>
      <c r="B114" s="69" t="s">
        <v>64</v>
      </c>
      <c r="C114" s="70">
        <f>SUM(C108:C113)</f>
        <v>500000</v>
      </c>
      <c r="D114" s="76">
        <f t="shared" si="8"/>
        <v>1</v>
      </c>
    </row>
  </sheetData>
  <mergeCells count="11">
    <mergeCell ref="A106:A107"/>
    <mergeCell ref="B106:B107"/>
    <mergeCell ref="C106:C107"/>
    <mergeCell ref="D106:D107"/>
    <mergeCell ref="A102:B102"/>
    <mergeCell ref="B49:F49"/>
    <mergeCell ref="A1:F1"/>
    <mergeCell ref="A2:A3"/>
    <mergeCell ref="B2:B3"/>
    <mergeCell ref="C2:C3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L114"/>
  <sheetViews>
    <sheetView workbookViewId="0">
      <selection activeCell="H58" sqref="H58"/>
    </sheetView>
  </sheetViews>
  <sheetFormatPr baseColWidth="10" defaultColWidth="11.3984375" defaultRowHeight="13.8"/>
  <cols>
    <col min="1" max="1" width="5.3984375" style="37" customWidth="1"/>
    <col min="2" max="2" width="40.59765625" style="45" customWidth="1"/>
    <col min="3" max="3" width="10.19921875" style="37" customWidth="1"/>
    <col min="4" max="4" width="6.19921875" style="37" customWidth="1"/>
    <col min="5" max="5" width="12.59765625" style="37" customWidth="1"/>
    <col min="6" max="6" width="10.5" style="37" customWidth="1"/>
    <col min="7" max="8" width="13.3984375" style="3" bestFit="1" customWidth="1"/>
    <col min="9" max="9" width="12.8984375" bestFit="1" customWidth="1"/>
  </cols>
  <sheetData>
    <row r="1" spans="1:12" s="2" customFormat="1">
      <c r="A1" s="107" t="s">
        <v>61</v>
      </c>
      <c r="B1" s="107"/>
      <c r="C1" s="107"/>
      <c r="D1" s="107"/>
      <c r="E1" s="107"/>
      <c r="F1" s="107"/>
      <c r="G1" s="1"/>
      <c r="H1" s="1"/>
    </row>
    <row r="2" spans="1:12">
      <c r="A2" s="102" t="s">
        <v>0</v>
      </c>
      <c r="B2" s="103" t="s">
        <v>1</v>
      </c>
      <c r="C2" s="102" t="s">
        <v>2</v>
      </c>
      <c r="D2" s="102" t="s">
        <v>3</v>
      </c>
      <c r="E2" s="72" t="s">
        <v>4</v>
      </c>
      <c r="F2" s="72" t="s">
        <v>5</v>
      </c>
    </row>
    <row r="3" spans="1:12">
      <c r="A3" s="102"/>
      <c r="B3" s="103"/>
      <c r="C3" s="102"/>
      <c r="D3" s="102"/>
      <c r="E3" s="72" t="s">
        <v>29</v>
      </c>
      <c r="F3" s="72" t="s">
        <v>29</v>
      </c>
    </row>
    <row r="4" spans="1:12">
      <c r="A4" s="15" t="s">
        <v>6</v>
      </c>
      <c r="B4" s="59" t="s">
        <v>82</v>
      </c>
      <c r="C4" s="15"/>
      <c r="D4" s="15"/>
      <c r="E4" s="15"/>
      <c r="F4" s="15"/>
    </row>
    <row r="5" spans="1:12">
      <c r="A5" s="16">
        <v>1.1000000000000001</v>
      </c>
      <c r="B5" s="60" t="s">
        <v>30</v>
      </c>
      <c r="C5" s="16" t="s">
        <v>7</v>
      </c>
      <c r="D5" s="16">
        <v>1</v>
      </c>
      <c r="E5" s="17"/>
      <c r="F5" s="17">
        <f>+D5*E5</f>
        <v>0</v>
      </c>
    </row>
    <row r="6" spans="1:12" ht="39.6">
      <c r="A6" s="16">
        <v>1.2</v>
      </c>
      <c r="B6" s="61" t="s">
        <v>31</v>
      </c>
      <c r="C6" s="16" t="s">
        <v>32</v>
      </c>
      <c r="D6" s="16">
        <v>1</v>
      </c>
      <c r="E6" s="17"/>
      <c r="F6" s="17">
        <f>+D6*E6</f>
        <v>0</v>
      </c>
    </row>
    <row r="7" spans="1:12">
      <c r="A7" s="18"/>
      <c r="B7" s="19" t="s">
        <v>8</v>
      </c>
      <c r="C7" s="18"/>
      <c r="D7" s="18"/>
      <c r="E7" s="18"/>
      <c r="F7" s="20">
        <f>SUM(F5:F6)</f>
        <v>0</v>
      </c>
    </row>
    <row r="8" spans="1:12">
      <c r="A8" s="15" t="s">
        <v>9</v>
      </c>
      <c r="B8" s="21" t="s">
        <v>187</v>
      </c>
      <c r="C8" s="22"/>
      <c r="D8" s="22"/>
      <c r="E8" s="22"/>
      <c r="F8" s="22"/>
    </row>
    <row r="9" spans="1:12" ht="52.8">
      <c r="A9" s="23">
        <v>2.1</v>
      </c>
      <c r="B9" s="46" t="s">
        <v>42</v>
      </c>
      <c r="C9" s="23" t="s">
        <v>13</v>
      </c>
      <c r="D9" s="23">
        <v>160</v>
      </c>
      <c r="E9" s="25"/>
      <c r="F9" s="17">
        <f t="shared" ref="F9:F11" si="0">+D9*E9</f>
        <v>0</v>
      </c>
    </row>
    <row r="10" spans="1:12" ht="39.6">
      <c r="A10" s="23">
        <v>2.2000000000000002</v>
      </c>
      <c r="B10" s="24" t="s">
        <v>39</v>
      </c>
      <c r="C10" s="23" t="s">
        <v>14</v>
      </c>
      <c r="D10" s="23">
        <v>160</v>
      </c>
      <c r="E10" s="25"/>
      <c r="F10" s="17">
        <f t="shared" si="0"/>
        <v>0</v>
      </c>
    </row>
    <row r="11" spans="1:12" s="2" customFormat="1" ht="55.2">
      <c r="A11" s="23">
        <v>2.2999999999999998</v>
      </c>
      <c r="B11" s="26" t="s">
        <v>58</v>
      </c>
      <c r="C11" s="26" t="s">
        <v>27</v>
      </c>
      <c r="D11" s="23">
        <v>1</v>
      </c>
      <c r="E11" s="25"/>
      <c r="F11" s="17">
        <f t="shared" si="0"/>
        <v>0</v>
      </c>
      <c r="G11" s="3"/>
      <c r="H11" s="1"/>
    </row>
    <row r="12" spans="1:12">
      <c r="B12" s="29" t="s">
        <v>10</v>
      </c>
      <c r="C12" s="18"/>
      <c r="D12" s="18"/>
      <c r="E12" s="18"/>
      <c r="F12" s="20">
        <f>SUM(F9:F11)</f>
        <v>0</v>
      </c>
      <c r="L12">
        <f>3.14*3.5*3.5/4</f>
        <v>9.6162500000000009</v>
      </c>
    </row>
    <row r="13" spans="1:12">
      <c r="A13" s="30" t="s">
        <v>11</v>
      </c>
      <c r="B13" s="19" t="s">
        <v>17</v>
      </c>
      <c r="C13" s="31"/>
      <c r="D13" s="31"/>
      <c r="E13" s="31"/>
      <c r="F13" s="22"/>
    </row>
    <row r="14" spans="1:12" s="2" customFormat="1" ht="52.8">
      <c r="A14" s="26">
        <v>3.1</v>
      </c>
      <c r="B14" s="27" t="s">
        <v>40</v>
      </c>
      <c r="C14" s="26" t="s">
        <v>13</v>
      </c>
      <c r="D14" s="26">
        <f>+D15+D16+D17</f>
        <v>887</v>
      </c>
      <c r="E14" s="26"/>
      <c r="F14" s="28">
        <f t="shared" ref="F14:F20" si="1">+D14*E14</f>
        <v>0</v>
      </c>
      <c r="G14" s="1">
        <v>602250</v>
      </c>
      <c r="H14" s="1">
        <v>803</v>
      </c>
    </row>
    <row r="15" spans="1:12" s="2" customFormat="1" ht="66">
      <c r="A15" s="49">
        <v>3.2</v>
      </c>
      <c r="B15" s="27" t="s">
        <v>43</v>
      </c>
      <c r="C15" s="26" t="s">
        <v>13</v>
      </c>
      <c r="D15" s="26">
        <v>97</v>
      </c>
      <c r="E15" s="50"/>
      <c r="F15" s="28">
        <f t="shared" si="1"/>
        <v>0</v>
      </c>
      <c r="G15" s="1">
        <v>360000</v>
      </c>
      <c r="H15" s="1">
        <v>90</v>
      </c>
    </row>
    <row r="16" spans="1:12" s="2" customFormat="1" ht="66">
      <c r="A16" s="26">
        <v>3.3</v>
      </c>
      <c r="B16" s="27" t="s">
        <v>41</v>
      </c>
      <c r="C16" s="26" t="s">
        <v>13</v>
      </c>
      <c r="D16" s="26">
        <v>0</v>
      </c>
      <c r="E16" s="50"/>
      <c r="F16" s="28">
        <f t="shared" si="1"/>
        <v>0</v>
      </c>
      <c r="G16" s="1">
        <v>0</v>
      </c>
      <c r="H16" s="1">
        <v>0</v>
      </c>
    </row>
    <row r="17" spans="1:9" s="2" customFormat="1" ht="66">
      <c r="A17" s="49">
        <v>3.4</v>
      </c>
      <c r="B17" s="27" t="s">
        <v>44</v>
      </c>
      <c r="C17" s="26" t="s">
        <v>13</v>
      </c>
      <c r="D17" s="26">
        <v>790</v>
      </c>
      <c r="E17" s="50"/>
      <c r="F17" s="28">
        <f t="shared" si="1"/>
        <v>0</v>
      </c>
      <c r="G17" s="1">
        <v>2139000</v>
      </c>
      <c r="H17" s="1">
        <v>713</v>
      </c>
    </row>
    <row r="18" spans="1:9" s="2" customFormat="1" ht="26.4">
      <c r="A18" s="26">
        <v>3.5</v>
      </c>
      <c r="B18" s="27" t="s">
        <v>45</v>
      </c>
      <c r="C18" s="26" t="s">
        <v>12</v>
      </c>
      <c r="D18" s="26">
        <v>1</v>
      </c>
      <c r="E18" s="50"/>
      <c r="F18" s="28">
        <f t="shared" si="1"/>
        <v>0</v>
      </c>
      <c r="G18" s="1">
        <v>150000</v>
      </c>
      <c r="H18" s="1">
        <v>1</v>
      </c>
    </row>
    <row r="19" spans="1:9" s="2" customFormat="1" ht="26.4">
      <c r="A19" s="49">
        <v>3.6</v>
      </c>
      <c r="B19" s="27" t="s">
        <v>46</v>
      </c>
      <c r="C19" s="26" t="s">
        <v>12</v>
      </c>
      <c r="D19" s="26">
        <v>0</v>
      </c>
      <c r="E19" s="50"/>
      <c r="F19" s="28">
        <f t="shared" si="1"/>
        <v>0</v>
      </c>
      <c r="G19" s="1">
        <v>0</v>
      </c>
      <c r="H19" s="1">
        <v>0</v>
      </c>
    </row>
    <row r="20" spans="1:9" s="2" customFormat="1" ht="26.4">
      <c r="A20" s="26">
        <v>3.7</v>
      </c>
      <c r="B20" s="27" t="s">
        <v>47</v>
      </c>
      <c r="C20" s="26" t="s">
        <v>12</v>
      </c>
      <c r="D20" s="26">
        <v>16</v>
      </c>
      <c r="E20" s="50"/>
      <c r="F20" s="28">
        <f t="shared" si="1"/>
        <v>0</v>
      </c>
      <c r="G20" s="1">
        <v>1840000</v>
      </c>
      <c r="H20" s="1">
        <v>16</v>
      </c>
    </row>
    <row r="21" spans="1:9" s="2" customFormat="1" ht="39.6">
      <c r="A21" s="49">
        <v>3.8</v>
      </c>
      <c r="B21" s="27" t="s">
        <v>48</v>
      </c>
      <c r="C21" s="26" t="s">
        <v>27</v>
      </c>
      <c r="D21" s="26">
        <v>0</v>
      </c>
      <c r="E21" s="50"/>
      <c r="F21" s="28">
        <f t="shared" ref="F21:F26" si="2">+D21*E21</f>
        <v>0</v>
      </c>
      <c r="G21" s="1">
        <v>0</v>
      </c>
      <c r="H21" s="1"/>
      <c r="I21" s="51"/>
    </row>
    <row r="22" spans="1:9" s="2" customFormat="1" ht="39.6">
      <c r="A22" s="26">
        <v>3.9</v>
      </c>
      <c r="B22" s="27" t="s">
        <v>49</v>
      </c>
      <c r="C22" s="26" t="s">
        <v>27</v>
      </c>
      <c r="D22" s="26">
        <v>390</v>
      </c>
      <c r="E22" s="50"/>
      <c r="F22" s="28">
        <f t="shared" si="2"/>
        <v>0</v>
      </c>
      <c r="G22" s="1">
        <v>3600000</v>
      </c>
      <c r="H22" s="1">
        <v>360</v>
      </c>
    </row>
    <row r="23" spans="1:9" s="2" customFormat="1" ht="68.400000000000006">
      <c r="A23" s="58">
        <v>3.1</v>
      </c>
      <c r="B23" s="27" t="s">
        <v>50</v>
      </c>
      <c r="C23" s="26" t="s">
        <v>27</v>
      </c>
      <c r="D23" s="26">
        <v>0</v>
      </c>
      <c r="E23" s="50"/>
      <c r="F23" s="28">
        <f t="shared" si="2"/>
        <v>0</v>
      </c>
      <c r="G23" s="1">
        <v>0</v>
      </c>
      <c r="H23" s="1">
        <v>0</v>
      </c>
    </row>
    <row r="24" spans="1:9" s="2" customFormat="1" ht="26.4">
      <c r="A24" s="26">
        <v>3.11</v>
      </c>
      <c r="B24" s="27" t="s">
        <v>56</v>
      </c>
      <c r="C24" s="26" t="s">
        <v>55</v>
      </c>
      <c r="D24" s="26">
        <v>0</v>
      </c>
      <c r="E24" s="50"/>
      <c r="F24" s="28">
        <f t="shared" si="2"/>
        <v>0</v>
      </c>
      <c r="G24" s="1">
        <v>0</v>
      </c>
      <c r="H24" s="1">
        <v>0</v>
      </c>
    </row>
    <row r="25" spans="1:9" s="2" customFormat="1">
      <c r="A25" s="26">
        <v>3.12</v>
      </c>
      <c r="B25" s="27" t="s">
        <v>53</v>
      </c>
      <c r="C25" s="13" t="s">
        <v>12</v>
      </c>
      <c r="D25" s="26">
        <v>0</v>
      </c>
      <c r="E25" s="50"/>
      <c r="F25" s="28">
        <f t="shared" si="2"/>
        <v>0</v>
      </c>
      <c r="G25" s="1">
        <v>0</v>
      </c>
      <c r="H25" s="1">
        <v>0</v>
      </c>
    </row>
    <row r="26" spans="1:9" s="2" customFormat="1">
      <c r="A26" s="26">
        <v>3.13</v>
      </c>
      <c r="B26" s="27" t="s">
        <v>57</v>
      </c>
      <c r="C26" s="13" t="s">
        <v>12</v>
      </c>
      <c r="D26" s="26">
        <v>0</v>
      </c>
      <c r="E26" s="50"/>
      <c r="F26" s="28">
        <f t="shared" si="2"/>
        <v>0</v>
      </c>
      <c r="G26" s="1">
        <v>0</v>
      </c>
      <c r="H26" s="1">
        <v>0</v>
      </c>
    </row>
    <row r="27" spans="1:9">
      <c r="A27" s="18"/>
      <c r="B27" s="19" t="s">
        <v>18</v>
      </c>
      <c r="C27" s="32"/>
      <c r="D27" s="32"/>
      <c r="E27" s="32"/>
      <c r="F27" s="33">
        <f>SUM(F14:F26)</f>
        <v>0</v>
      </c>
      <c r="G27" s="3">
        <v>8691250</v>
      </c>
    </row>
    <row r="28" spans="1:9">
      <c r="A28" s="30" t="s">
        <v>16</v>
      </c>
      <c r="B28" s="19" t="s">
        <v>19</v>
      </c>
      <c r="C28" s="31"/>
      <c r="D28" s="31"/>
      <c r="E28" s="31"/>
      <c r="F28" s="31"/>
    </row>
    <row r="29" spans="1:9" s="53" customFormat="1" ht="48.75" customHeight="1">
      <c r="A29" s="26">
        <v>4.0999999999999996</v>
      </c>
      <c r="B29" s="26" t="s">
        <v>52</v>
      </c>
      <c r="C29" s="26" t="s">
        <v>12</v>
      </c>
      <c r="D29" s="26">
        <f>402/3</f>
        <v>134</v>
      </c>
      <c r="E29" s="26"/>
      <c r="F29" s="28">
        <f>+D29*E29</f>
        <v>0</v>
      </c>
      <c r="G29" s="52"/>
      <c r="H29" s="52">
        <f>0.3*0.3*0.5*50000</f>
        <v>2250</v>
      </c>
    </row>
    <row r="30" spans="1:9" s="53" customFormat="1" ht="51.75" customHeight="1">
      <c r="A30" s="26">
        <v>4.2</v>
      </c>
      <c r="B30" s="26" t="s">
        <v>185</v>
      </c>
      <c r="C30" s="26" t="s">
        <v>12</v>
      </c>
      <c r="D30" s="26">
        <f>402/20+6</f>
        <v>26.1</v>
      </c>
      <c r="E30" s="26"/>
      <c r="F30" s="28">
        <f>+D30*E30</f>
        <v>0</v>
      </c>
      <c r="G30" s="52"/>
      <c r="H30" s="57">
        <v>4.1666666666666696</v>
      </c>
    </row>
    <row r="31" spans="1:9" s="53" customFormat="1" ht="39.75" customHeight="1">
      <c r="A31" s="26">
        <v>4.3</v>
      </c>
      <c r="B31" s="26" t="s">
        <v>33</v>
      </c>
      <c r="C31" s="26" t="s">
        <v>13</v>
      </c>
      <c r="D31" s="26">
        <v>402</v>
      </c>
      <c r="E31" s="26"/>
      <c r="F31" s="28">
        <f>+D31*E31</f>
        <v>0</v>
      </c>
      <c r="G31" s="52"/>
      <c r="H31" s="57">
        <v>7500</v>
      </c>
    </row>
    <row r="32" spans="1:9" s="53" customFormat="1" ht="39.75" customHeight="1">
      <c r="A32" s="26">
        <v>4.4000000000000004</v>
      </c>
      <c r="B32" s="26" t="s">
        <v>34</v>
      </c>
      <c r="C32" s="26" t="s">
        <v>13</v>
      </c>
      <c r="D32" s="26">
        <v>402</v>
      </c>
      <c r="E32" s="26"/>
      <c r="F32" s="28">
        <f>+D32*E32</f>
        <v>0</v>
      </c>
      <c r="G32" s="52"/>
      <c r="H32" s="52"/>
    </row>
    <row r="33" spans="1:9" s="55" customFormat="1" ht="39.75" customHeight="1">
      <c r="A33" s="78">
        <v>4.5</v>
      </c>
      <c r="B33" s="78" t="s">
        <v>186</v>
      </c>
      <c r="C33" s="78" t="s">
        <v>26</v>
      </c>
      <c r="D33" s="78">
        <f>424*0.3*0.35</f>
        <v>44.519999999999996</v>
      </c>
      <c r="E33" s="79"/>
      <c r="F33" s="79">
        <f>+D33*E33</f>
        <v>0</v>
      </c>
      <c r="G33" s="54"/>
      <c r="H33" s="54">
        <f>2*1.8*0.6</f>
        <v>2.16</v>
      </c>
    </row>
    <row r="34" spans="1:9" ht="39.6">
      <c r="A34" s="26">
        <v>4.7</v>
      </c>
      <c r="B34" s="26" t="s">
        <v>35</v>
      </c>
      <c r="C34" s="26" t="s">
        <v>12</v>
      </c>
      <c r="D34" s="26">
        <v>1</v>
      </c>
      <c r="E34" s="50"/>
      <c r="F34" s="28">
        <f t="shared" ref="F34:F37" si="3">+D34*E34</f>
        <v>0</v>
      </c>
      <c r="H34" s="3">
        <f>60000/18</f>
        <v>3333.3333333333335</v>
      </c>
    </row>
    <row r="35" spans="1:9" s="12" customFormat="1" ht="39.6">
      <c r="A35" s="26">
        <v>4.8</v>
      </c>
      <c r="B35" s="26" t="s">
        <v>28</v>
      </c>
      <c r="C35" s="26" t="s">
        <v>13</v>
      </c>
      <c r="D35" s="26">
        <v>200</v>
      </c>
      <c r="E35" s="50"/>
      <c r="F35" s="28">
        <f t="shared" si="3"/>
        <v>0</v>
      </c>
      <c r="G35" s="11"/>
      <c r="H35" s="11">
        <f>0.5*3*1</f>
        <v>1.5</v>
      </c>
      <c r="I35" s="12">
        <v>5</v>
      </c>
    </row>
    <row r="36" spans="1:9" s="12" customFormat="1" ht="26.4">
      <c r="A36" s="26">
        <v>4.9000000000000004</v>
      </c>
      <c r="B36" s="26" t="s">
        <v>37</v>
      </c>
      <c r="C36" s="26" t="s">
        <v>12</v>
      </c>
      <c r="D36" s="26">
        <v>1</v>
      </c>
      <c r="E36" s="50"/>
      <c r="F36" s="28">
        <f t="shared" si="3"/>
        <v>0</v>
      </c>
      <c r="G36" s="11"/>
      <c r="H36" s="50">
        <f>7300000/700</f>
        <v>10428.571428571429</v>
      </c>
    </row>
    <row r="37" spans="1:9" s="12" customFormat="1" ht="26.4">
      <c r="A37" s="77">
        <v>4.0999999999999996</v>
      </c>
      <c r="B37" s="26" t="s">
        <v>79</v>
      </c>
      <c r="C37" s="26" t="s">
        <v>27</v>
      </c>
      <c r="D37" s="26">
        <v>1</v>
      </c>
      <c r="E37" s="50"/>
      <c r="F37" s="28">
        <f t="shared" si="3"/>
        <v>0</v>
      </c>
      <c r="G37" s="11"/>
      <c r="H37" s="71"/>
    </row>
    <row r="38" spans="1:9">
      <c r="A38" s="18"/>
      <c r="B38" s="19" t="s">
        <v>20</v>
      </c>
      <c r="C38" s="32"/>
      <c r="D38" s="32"/>
      <c r="E38" s="32"/>
      <c r="F38" s="33">
        <f>SUM(F29:F37)</f>
        <v>0</v>
      </c>
    </row>
    <row r="39" spans="1:9" s="7" customFormat="1" ht="15">
      <c r="A39" s="30" t="s">
        <v>66</v>
      </c>
      <c r="B39" s="19" t="s">
        <v>21</v>
      </c>
      <c r="C39" s="17" t="s">
        <v>7</v>
      </c>
      <c r="D39" s="17"/>
      <c r="E39" s="17"/>
      <c r="F39" s="17"/>
      <c r="G39" s="5"/>
      <c r="H39" s="6">
        <f>4000*20</f>
        <v>80000</v>
      </c>
    </row>
    <row r="40" spans="1:9" s="7" customFormat="1" ht="15">
      <c r="A40" s="26">
        <v>5.0999999999999996</v>
      </c>
      <c r="B40" s="26" t="s">
        <v>67</v>
      </c>
      <c r="C40" s="26" t="s">
        <v>68</v>
      </c>
      <c r="D40" s="26">
        <v>1</v>
      </c>
      <c r="E40" s="50"/>
      <c r="F40" s="28">
        <f t="shared" ref="F40:F45" si="4">+D40*E40</f>
        <v>0</v>
      </c>
      <c r="G40" s="5"/>
      <c r="H40" s="6"/>
    </row>
    <row r="41" spans="1:9" s="7" customFormat="1" ht="26.4">
      <c r="A41" s="26">
        <v>5.2</v>
      </c>
      <c r="B41" s="26" t="s">
        <v>69</v>
      </c>
      <c r="C41" s="26" t="s">
        <v>70</v>
      </c>
      <c r="D41" s="26">
        <v>100</v>
      </c>
      <c r="E41" s="50"/>
      <c r="F41" s="28">
        <f t="shared" si="4"/>
        <v>0</v>
      </c>
      <c r="G41" s="5"/>
      <c r="H41" s="6"/>
    </row>
    <row r="42" spans="1:9" s="7" customFormat="1" ht="26.4">
      <c r="A42" s="26">
        <v>5.3</v>
      </c>
      <c r="B42" s="26" t="s">
        <v>71</v>
      </c>
      <c r="C42" s="26" t="s">
        <v>72</v>
      </c>
      <c r="D42" s="26">
        <v>15</v>
      </c>
      <c r="E42" s="50"/>
      <c r="F42" s="28">
        <f t="shared" si="4"/>
        <v>0</v>
      </c>
      <c r="G42" s="5"/>
      <c r="H42" s="6"/>
    </row>
    <row r="43" spans="1:9" s="7" customFormat="1" ht="26.4">
      <c r="A43" s="26">
        <v>5.4</v>
      </c>
      <c r="B43" s="26" t="s">
        <v>73</v>
      </c>
      <c r="C43" s="26" t="s">
        <v>72</v>
      </c>
      <c r="D43" s="26">
        <v>1</v>
      </c>
      <c r="E43" s="50"/>
      <c r="F43" s="28">
        <f t="shared" si="4"/>
        <v>0</v>
      </c>
      <c r="G43" s="5"/>
      <c r="H43" s="6"/>
    </row>
    <row r="44" spans="1:9" s="7" customFormat="1" ht="15">
      <c r="A44" s="26">
        <v>5.5</v>
      </c>
      <c r="B44" s="26" t="s">
        <v>74</v>
      </c>
      <c r="C44" s="26" t="s">
        <v>68</v>
      </c>
      <c r="D44" s="26">
        <v>1</v>
      </c>
      <c r="E44" s="50"/>
      <c r="F44" s="28">
        <f t="shared" si="4"/>
        <v>0</v>
      </c>
      <c r="G44" s="5"/>
      <c r="H44" s="6"/>
    </row>
    <row r="45" spans="1:9" s="7" customFormat="1" ht="26.4">
      <c r="A45" s="26">
        <v>5.6</v>
      </c>
      <c r="B45" s="26" t="s">
        <v>75</v>
      </c>
      <c r="C45" s="26" t="s">
        <v>76</v>
      </c>
      <c r="D45" s="26">
        <v>1</v>
      </c>
      <c r="E45" s="50"/>
      <c r="F45" s="28">
        <f t="shared" si="4"/>
        <v>0</v>
      </c>
      <c r="G45" s="5"/>
      <c r="H45" s="6"/>
    </row>
    <row r="46" spans="1:9" s="7" customFormat="1" ht="26.4">
      <c r="A46" s="26">
        <v>5.7</v>
      </c>
      <c r="B46" s="26" t="s">
        <v>77</v>
      </c>
      <c r="C46" s="26" t="s">
        <v>78</v>
      </c>
      <c r="D46" s="26">
        <v>2</v>
      </c>
      <c r="E46" s="50"/>
      <c r="F46" s="28">
        <v>500000</v>
      </c>
      <c r="G46" s="5"/>
      <c r="H46" s="6"/>
    </row>
    <row r="47" spans="1:9" s="7" customFormat="1" ht="15">
      <c r="A47" s="26"/>
      <c r="B47" s="19" t="s">
        <v>18</v>
      </c>
      <c r="C47" s="32"/>
      <c r="D47" s="32"/>
      <c r="E47" s="32"/>
      <c r="F47" s="33">
        <f>SUM(F40:F46)</f>
        <v>500000</v>
      </c>
      <c r="G47" s="5"/>
      <c r="H47" s="6"/>
    </row>
    <row r="48" spans="1:9">
      <c r="A48" s="83"/>
      <c r="B48" s="100" t="s">
        <v>188</v>
      </c>
      <c r="C48" s="100"/>
      <c r="D48" s="100"/>
      <c r="E48" s="100"/>
      <c r="F48" s="100"/>
    </row>
    <row r="49" spans="1:6" s="37" customFormat="1" ht="26.4">
      <c r="A49" s="84" t="s">
        <v>83</v>
      </c>
      <c r="B49" s="21" t="s">
        <v>84</v>
      </c>
      <c r="C49" s="84" t="s">
        <v>85</v>
      </c>
      <c r="D49" s="85" t="s">
        <v>86</v>
      </c>
      <c r="E49" s="84" t="s">
        <v>87</v>
      </c>
      <c r="F49" s="84" t="s">
        <v>88</v>
      </c>
    </row>
    <row r="50" spans="1:6" s="37" customFormat="1" ht="13.2">
      <c r="A50" s="84" t="s">
        <v>89</v>
      </c>
      <c r="B50" s="21" t="s">
        <v>90</v>
      </c>
      <c r="C50" s="23" t="s">
        <v>91</v>
      </c>
      <c r="D50" s="86" t="s">
        <v>92</v>
      </c>
      <c r="E50" s="23" t="s">
        <v>91</v>
      </c>
      <c r="F50" s="84" t="s">
        <v>91</v>
      </c>
    </row>
    <row r="51" spans="1:6" s="37" customFormat="1" ht="15.6">
      <c r="A51" s="84" t="s">
        <v>93</v>
      </c>
      <c r="B51" s="24" t="s">
        <v>94</v>
      </c>
      <c r="C51" s="23" t="s">
        <v>190</v>
      </c>
      <c r="D51" s="87">
        <f>(5.3+2)*(4.3+2)</f>
        <v>45.989999999999995</v>
      </c>
      <c r="E51" s="88"/>
      <c r="F51" s="89">
        <f>D51*E51</f>
        <v>0</v>
      </c>
    </row>
    <row r="52" spans="1:6" s="90" customFormat="1" ht="15.6">
      <c r="A52" s="84" t="s">
        <v>95</v>
      </c>
      <c r="B52" s="24" t="s">
        <v>96</v>
      </c>
      <c r="C52" s="23" t="s">
        <v>191</v>
      </c>
      <c r="D52" s="87">
        <f>(18*0.4*0.6)*1.2</f>
        <v>5.1840000000000002</v>
      </c>
      <c r="E52" s="88"/>
      <c r="F52" s="89">
        <f>D52*E52</f>
        <v>0</v>
      </c>
    </row>
    <row r="53" spans="1:6" s="90" customFormat="1" ht="15.6">
      <c r="A53" s="84" t="s">
        <v>97</v>
      </c>
      <c r="B53" s="24" t="s">
        <v>98</v>
      </c>
      <c r="C53" s="23" t="s">
        <v>191</v>
      </c>
      <c r="D53" s="87">
        <f>(1.2*1.2*1.2)*8*1.2</f>
        <v>16.588799999999999</v>
      </c>
      <c r="E53" s="88"/>
      <c r="F53" s="89">
        <f>D53*E53</f>
        <v>0</v>
      </c>
    </row>
    <row r="54" spans="1:6" s="90" customFormat="1" ht="15.6">
      <c r="A54" s="84" t="s">
        <v>99</v>
      </c>
      <c r="B54" s="24" t="s">
        <v>100</v>
      </c>
      <c r="C54" s="23" t="s">
        <v>191</v>
      </c>
      <c r="D54" s="87">
        <f>+D53+D52</f>
        <v>21.7728</v>
      </c>
      <c r="E54" s="88"/>
      <c r="F54" s="89">
        <f>D54*E54</f>
        <v>0</v>
      </c>
    </row>
    <row r="55" spans="1:6" s="90" customFormat="1" ht="15.6">
      <c r="A55" s="84" t="s">
        <v>101</v>
      </c>
      <c r="B55" s="24" t="s">
        <v>102</v>
      </c>
      <c r="C55" s="23" t="s">
        <v>191</v>
      </c>
      <c r="D55" s="87">
        <f>((20*0.45)-D54*0.15)*1.2</f>
        <v>6.8808960000000008</v>
      </c>
      <c r="E55" s="88"/>
      <c r="F55" s="89">
        <f>D55*E55</f>
        <v>0</v>
      </c>
    </row>
    <row r="56" spans="1:6" s="90" customFormat="1" ht="13.2">
      <c r="A56" s="84" t="s">
        <v>92</v>
      </c>
      <c r="B56" s="84" t="s">
        <v>103</v>
      </c>
      <c r="C56" s="84" t="s">
        <v>92</v>
      </c>
      <c r="D56" s="85" t="s">
        <v>92</v>
      </c>
      <c r="E56" s="84"/>
      <c r="F56" s="91">
        <f>SUM(F51:F55)</f>
        <v>0</v>
      </c>
    </row>
    <row r="57" spans="1:6" s="90" customFormat="1" ht="13.2">
      <c r="A57" s="84" t="s">
        <v>104</v>
      </c>
      <c r="B57" s="21" t="s">
        <v>105</v>
      </c>
      <c r="C57" s="84" t="s">
        <v>92</v>
      </c>
      <c r="D57" s="92" t="s">
        <v>92</v>
      </c>
      <c r="E57" s="84"/>
      <c r="F57" s="23" t="s">
        <v>91</v>
      </c>
    </row>
    <row r="58" spans="1:6" s="90" customFormat="1" ht="15.6">
      <c r="A58" s="84" t="s">
        <v>106</v>
      </c>
      <c r="B58" s="24" t="s">
        <v>107</v>
      </c>
      <c r="C58" s="23" t="s">
        <v>191</v>
      </c>
      <c r="D58" s="87">
        <f>((0.4*0.05*18)+(1.2*1.2*0.05)*8)*1.2</f>
        <v>1.1232</v>
      </c>
      <c r="E58" s="88"/>
      <c r="F58" s="89">
        <f t="shared" ref="F58:F64" si="5">D58*E58</f>
        <v>0</v>
      </c>
    </row>
    <row r="59" spans="1:6" s="90" customFormat="1" ht="15.6">
      <c r="A59" s="84" t="s">
        <v>108</v>
      </c>
      <c r="B59" s="93" t="s">
        <v>109</v>
      </c>
      <c r="C59" s="23" t="s">
        <v>191</v>
      </c>
      <c r="D59" s="87">
        <f>(1.2*1.2*0.25)*8*1.2</f>
        <v>3.456</v>
      </c>
      <c r="E59" s="88"/>
      <c r="F59" s="89">
        <f t="shared" si="5"/>
        <v>0</v>
      </c>
    </row>
    <row r="60" spans="1:6" s="90" customFormat="1" ht="15.6">
      <c r="A60" s="84" t="s">
        <v>110</v>
      </c>
      <c r="B60" s="24" t="s">
        <v>111</v>
      </c>
      <c r="C60" s="23" t="s">
        <v>191</v>
      </c>
      <c r="D60" s="87">
        <f>(0.2*0.2*1.5)*8*1.2</f>
        <v>0.57600000000000007</v>
      </c>
      <c r="E60" s="88"/>
      <c r="F60" s="89">
        <f t="shared" si="5"/>
        <v>0</v>
      </c>
    </row>
    <row r="61" spans="1:6" s="90" customFormat="1" ht="26.4">
      <c r="A61" s="84" t="s">
        <v>112</v>
      </c>
      <c r="B61" s="24" t="s">
        <v>113</v>
      </c>
      <c r="C61" s="23" t="s">
        <v>190</v>
      </c>
      <c r="D61" s="87">
        <f>(18*1.05)*1.2</f>
        <v>22.680000000000003</v>
      </c>
      <c r="E61" s="88"/>
      <c r="F61" s="89">
        <f t="shared" si="5"/>
        <v>0</v>
      </c>
    </row>
    <row r="62" spans="1:6" s="90" customFormat="1" ht="15.6">
      <c r="A62" s="84" t="s">
        <v>114</v>
      </c>
      <c r="B62" s="24" t="s">
        <v>115</v>
      </c>
      <c r="C62" s="23" t="s">
        <v>191</v>
      </c>
      <c r="D62" s="87">
        <f>(0.2*0.2*18)*1.2</f>
        <v>0.86400000000000021</v>
      </c>
      <c r="E62" s="88"/>
      <c r="F62" s="89">
        <f t="shared" si="5"/>
        <v>0</v>
      </c>
    </row>
    <row r="63" spans="1:6" s="90" customFormat="1" ht="15.6">
      <c r="A63" s="84" t="s">
        <v>116</v>
      </c>
      <c r="B63" s="24" t="s">
        <v>117</v>
      </c>
      <c r="C63" s="23" t="s">
        <v>191</v>
      </c>
      <c r="D63" s="87">
        <f>(0.76*3*0.15)*1.2</f>
        <v>0.41040000000000004</v>
      </c>
      <c r="E63" s="88"/>
      <c r="F63" s="89">
        <f t="shared" si="5"/>
        <v>0</v>
      </c>
    </row>
    <row r="64" spans="1:6" s="90" customFormat="1" ht="15.6">
      <c r="A64" s="84" t="s">
        <v>118</v>
      </c>
      <c r="B64" s="24" t="s">
        <v>119</v>
      </c>
      <c r="C64" s="23" t="s">
        <v>191</v>
      </c>
      <c r="D64" s="87">
        <f>20*0.08*1.2</f>
        <v>1.92</v>
      </c>
      <c r="E64" s="88"/>
      <c r="F64" s="89">
        <f t="shared" si="5"/>
        <v>0</v>
      </c>
    </row>
    <row r="65" spans="1:6" s="90" customFormat="1" ht="13.2">
      <c r="A65" s="84" t="s">
        <v>92</v>
      </c>
      <c r="B65" s="84" t="s">
        <v>120</v>
      </c>
      <c r="C65" s="84" t="s">
        <v>92</v>
      </c>
      <c r="D65" s="85" t="s">
        <v>92</v>
      </c>
      <c r="E65" s="84"/>
      <c r="F65" s="91">
        <f>SUM(F58:F64)</f>
        <v>0</v>
      </c>
    </row>
    <row r="66" spans="1:6" s="90" customFormat="1" ht="13.2">
      <c r="A66" s="84" t="s">
        <v>121</v>
      </c>
      <c r="B66" s="21" t="s">
        <v>122</v>
      </c>
      <c r="C66" s="23" t="s">
        <v>91</v>
      </c>
      <c r="D66" s="86" t="s">
        <v>92</v>
      </c>
      <c r="E66" s="23"/>
      <c r="F66" s="23" t="s">
        <v>91</v>
      </c>
    </row>
    <row r="67" spans="1:6" s="90" customFormat="1" ht="15.6">
      <c r="A67" s="84" t="s">
        <v>123</v>
      </c>
      <c r="B67" s="24" t="s">
        <v>124</v>
      </c>
      <c r="C67" s="23" t="s">
        <v>190</v>
      </c>
      <c r="D67" s="87">
        <f>(3.65*18)*1.2</f>
        <v>78.84</v>
      </c>
      <c r="E67" s="88"/>
      <c r="F67" s="89">
        <f t="shared" ref="F67:F73" si="6">D67*E67</f>
        <v>0</v>
      </c>
    </row>
    <row r="68" spans="1:6" s="90" customFormat="1" ht="15.6">
      <c r="A68" s="84" t="s">
        <v>125</v>
      </c>
      <c r="B68" s="93" t="s">
        <v>126</v>
      </c>
      <c r="C68" s="23" t="s">
        <v>191</v>
      </c>
      <c r="D68" s="87">
        <f>(0.15*0.15*3.4)*8*1.2</f>
        <v>0.73439999999999994</v>
      </c>
      <c r="E68" s="88"/>
      <c r="F68" s="89">
        <f t="shared" si="6"/>
        <v>0</v>
      </c>
    </row>
    <row r="69" spans="1:6" s="90" customFormat="1" ht="15.6">
      <c r="A69" s="84" t="s">
        <v>127</v>
      </c>
      <c r="B69" s="24" t="s">
        <v>128</v>
      </c>
      <c r="C69" s="23" t="s">
        <v>191</v>
      </c>
      <c r="D69" s="87">
        <f>(18*0.15*0.1)*1.2</f>
        <v>0.32399999999999995</v>
      </c>
      <c r="E69" s="88"/>
      <c r="F69" s="89">
        <f t="shared" si="6"/>
        <v>0</v>
      </c>
    </row>
    <row r="70" spans="1:6" s="90" customFormat="1" ht="15.6">
      <c r="A70" s="84" t="s">
        <v>129</v>
      </c>
      <c r="B70" s="24" t="s">
        <v>130</v>
      </c>
      <c r="C70" s="23" t="s">
        <v>191</v>
      </c>
      <c r="D70" s="87">
        <f>(18*0.15*0.2)*1.2</f>
        <v>0.64799999999999991</v>
      </c>
      <c r="E70" s="88"/>
      <c r="F70" s="89">
        <f t="shared" si="6"/>
        <v>0</v>
      </c>
    </row>
    <row r="71" spans="1:6" s="90" customFormat="1" ht="15.6">
      <c r="A71" s="84" t="s">
        <v>131</v>
      </c>
      <c r="B71" s="24" t="s">
        <v>128</v>
      </c>
      <c r="C71" s="23" t="s">
        <v>191</v>
      </c>
      <c r="D71" s="87">
        <f>(18*0.15*0.1)*1.2</f>
        <v>0.32399999999999995</v>
      </c>
      <c r="E71" s="88"/>
      <c r="F71" s="89">
        <f t="shared" si="6"/>
        <v>0</v>
      </c>
    </row>
    <row r="72" spans="1:6" s="90" customFormat="1" ht="15.6">
      <c r="A72" s="84" t="s">
        <v>132</v>
      </c>
      <c r="B72" s="24" t="s">
        <v>133</v>
      </c>
      <c r="C72" s="23" t="s">
        <v>191</v>
      </c>
      <c r="D72" s="87">
        <f>(18*0.15*0.4)*1.2</f>
        <v>1.2959999999999998</v>
      </c>
      <c r="E72" s="88"/>
      <c r="F72" s="89">
        <f t="shared" si="6"/>
        <v>0</v>
      </c>
    </row>
    <row r="73" spans="1:6" s="90" customFormat="1" ht="15.6">
      <c r="A73" s="84" t="s">
        <v>134</v>
      </c>
      <c r="B73" s="24" t="s">
        <v>135</v>
      </c>
      <c r="C73" s="23" t="s">
        <v>191</v>
      </c>
      <c r="D73" s="87">
        <f>(5.3*0.127)*1.2</f>
        <v>0.80771999999999999</v>
      </c>
      <c r="E73" s="88"/>
      <c r="F73" s="89">
        <f t="shared" si="6"/>
        <v>0</v>
      </c>
    </row>
    <row r="74" spans="1:6" s="90" customFormat="1" ht="13.2">
      <c r="A74" s="84" t="s">
        <v>92</v>
      </c>
      <c r="B74" s="84" t="s">
        <v>136</v>
      </c>
      <c r="C74" s="84" t="s">
        <v>92</v>
      </c>
      <c r="D74" s="85" t="s">
        <v>92</v>
      </c>
      <c r="E74" s="84"/>
      <c r="F74" s="91">
        <f>SUM(F67:F72)</f>
        <v>0</v>
      </c>
    </row>
    <row r="75" spans="1:6" s="90" customFormat="1" ht="13.2">
      <c r="A75" s="84" t="s">
        <v>137</v>
      </c>
      <c r="B75" s="21" t="s">
        <v>138</v>
      </c>
      <c r="C75" s="23" t="s">
        <v>91</v>
      </c>
      <c r="D75" s="86" t="s">
        <v>92</v>
      </c>
      <c r="E75" s="23"/>
      <c r="F75" s="23" t="s">
        <v>91</v>
      </c>
    </row>
    <row r="76" spans="1:6" s="90" customFormat="1" ht="26.4">
      <c r="A76" s="84" t="s">
        <v>139</v>
      </c>
      <c r="B76" s="24" t="s">
        <v>140</v>
      </c>
      <c r="C76" s="23" t="s">
        <v>141</v>
      </c>
      <c r="D76" s="94">
        <f>(4.65*10.45)*1.2</f>
        <v>58.311</v>
      </c>
      <c r="E76" s="88"/>
      <c r="F76" s="89">
        <f>D76*E76</f>
        <v>0</v>
      </c>
    </row>
    <row r="77" spans="1:6" s="90" customFormat="1" ht="26.4">
      <c r="A77" s="84" t="s">
        <v>142</v>
      </c>
      <c r="B77" s="24" t="s">
        <v>143</v>
      </c>
      <c r="C77" s="23" t="s">
        <v>13</v>
      </c>
      <c r="D77" s="94">
        <f>4.65*1.2</f>
        <v>5.58</v>
      </c>
      <c r="E77" s="88"/>
      <c r="F77" s="89">
        <f>D77*E77</f>
        <v>0</v>
      </c>
    </row>
    <row r="78" spans="1:6" s="90" customFormat="1" ht="26.4">
      <c r="A78" s="84" t="s">
        <v>144</v>
      </c>
      <c r="B78" s="24" t="s">
        <v>145</v>
      </c>
      <c r="C78" s="23" t="s">
        <v>13</v>
      </c>
      <c r="D78" s="94">
        <f>5.3*4*1.2</f>
        <v>25.439999999999998</v>
      </c>
      <c r="E78" s="88"/>
      <c r="F78" s="89">
        <f>D78*E78</f>
        <v>0</v>
      </c>
    </row>
    <row r="79" spans="1:6" s="90" customFormat="1" ht="13.2">
      <c r="A79" s="84" t="s">
        <v>146</v>
      </c>
      <c r="B79" s="24" t="s">
        <v>147</v>
      </c>
      <c r="C79" s="23" t="s">
        <v>141</v>
      </c>
      <c r="D79" s="94">
        <f>20*1.2</f>
        <v>24</v>
      </c>
      <c r="E79" s="88"/>
      <c r="F79" s="89">
        <f>D79*E79</f>
        <v>0</v>
      </c>
    </row>
    <row r="80" spans="1:6" s="90" customFormat="1" ht="13.2">
      <c r="A80" s="84" t="s">
        <v>92</v>
      </c>
      <c r="B80" s="84" t="s">
        <v>148</v>
      </c>
      <c r="C80" s="84" t="s">
        <v>92</v>
      </c>
      <c r="D80" s="85" t="s">
        <v>92</v>
      </c>
      <c r="E80" s="84"/>
      <c r="F80" s="91">
        <f>SUM(F76:F79)</f>
        <v>0</v>
      </c>
    </row>
    <row r="81" spans="1:6" s="90" customFormat="1" ht="13.2">
      <c r="A81" s="84" t="s">
        <v>149</v>
      </c>
      <c r="B81" s="21" t="s">
        <v>150</v>
      </c>
      <c r="C81" s="23" t="s">
        <v>91</v>
      </c>
      <c r="D81" s="86" t="s">
        <v>92</v>
      </c>
      <c r="E81" s="23"/>
      <c r="F81" s="23" t="s">
        <v>91</v>
      </c>
    </row>
    <row r="82" spans="1:6" s="90" customFormat="1" ht="26.4">
      <c r="A82" s="84" t="s">
        <v>151</v>
      </c>
      <c r="B82" s="24" t="s">
        <v>152</v>
      </c>
      <c r="C82" s="23" t="s">
        <v>12</v>
      </c>
      <c r="D82" s="94">
        <v>1</v>
      </c>
      <c r="E82" s="88"/>
      <c r="F82" s="89">
        <f>D82*E82</f>
        <v>0</v>
      </c>
    </row>
    <row r="83" spans="1:6" s="90" customFormat="1" ht="26.4">
      <c r="A83" s="84" t="s">
        <v>153</v>
      </c>
      <c r="B83" s="24" t="s">
        <v>154</v>
      </c>
      <c r="C83" s="23" t="s">
        <v>12</v>
      </c>
      <c r="D83" s="94">
        <v>2</v>
      </c>
      <c r="E83" s="88"/>
      <c r="F83" s="89">
        <f>D83*E83</f>
        <v>0</v>
      </c>
    </row>
    <row r="84" spans="1:6" s="90" customFormat="1" ht="13.2">
      <c r="A84" s="84" t="s">
        <v>92</v>
      </c>
      <c r="B84" s="84" t="s">
        <v>155</v>
      </c>
      <c r="C84" s="84" t="s">
        <v>92</v>
      </c>
      <c r="D84" s="85" t="s">
        <v>92</v>
      </c>
      <c r="E84" s="84"/>
      <c r="F84" s="91">
        <f>SUM(F82:F83)</f>
        <v>0</v>
      </c>
    </row>
    <row r="85" spans="1:6" s="90" customFormat="1" ht="13.2">
      <c r="A85" s="84" t="s">
        <v>156</v>
      </c>
      <c r="B85" s="21" t="s">
        <v>157</v>
      </c>
      <c r="C85" s="23" t="s">
        <v>91</v>
      </c>
      <c r="D85" s="87" t="s">
        <v>91</v>
      </c>
      <c r="E85" s="23"/>
      <c r="F85" s="23" t="s">
        <v>91</v>
      </c>
    </row>
    <row r="86" spans="1:6" s="90" customFormat="1" ht="15.6">
      <c r="A86" s="84" t="s">
        <v>158</v>
      </c>
      <c r="B86" s="24" t="s">
        <v>159</v>
      </c>
      <c r="C86" s="23" t="s">
        <v>190</v>
      </c>
      <c r="D86" s="94">
        <f>(18*3.65)*1.2</f>
        <v>78.84</v>
      </c>
      <c r="E86" s="88"/>
      <c r="F86" s="89">
        <f t="shared" ref="F86:F91" si="7">D86*E86</f>
        <v>0</v>
      </c>
    </row>
    <row r="87" spans="1:6" s="90" customFormat="1" ht="15.6">
      <c r="A87" s="84" t="s">
        <v>160</v>
      </c>
      <c r="B87" s="24" t="s">
        <v>161</v>
      </c>
      <c r="C87" s="23" t="s">
        <v>190</v>
      </c>
      <c r="D87" s="94">
        <f>(18*4.5)*1.2</f>
        <v>97.2</v>
      </c>
      <c r="E87" s="88"/>
      <c r="F87" s="89">
        <f t="shared" si="7"/>
        <v>0</v>
      </c>
    </row>
    <row r="88" spans="1:6" s="90" customFormat="1" ht="15.6">
      <c r="A88" s="84" t="s">
        <v>162</v>
      </c>
      <c r="B88" s="24" t="s">
        <v>163</v>
      </c>
      <c r="C88" s="23" t="s">
        <v>190</v>
      </c>
      <c r="D88" s="94">
        <f>+D86</f>
        <v>78.84</v>
      </c>
      <c r="E88" s="88"/>
      <c r="F88" s="89">
        <f t="shared" si="7"/>
        <v>0</v>
      </c>
    </row>
    <row r="89" spans="1:6" s="90" customFormat="1" ht="15.6">
      <c r="A89" s="84" t="s">
        <v>164</v>
      </c>
      <c r="B89" s="24" t="s">
        <v>165</v>
      </c>
      <c r="C89" s="23" t="s">
        <v>190</v>
      </c>
      <c r="D89" s="94">
        <f>+D87</f>
        <v>97.2</v>
      </c>
      <c r="E89" s="88"/>
      <c r="F89" s="89">
        <f t="shared" si="7"/>
        <v>0</v>
      </c>
    </row>
    <row r="90" spans="1:6" s="90" customFormat="1" ht="15.6">
      <c r="A90" s="84" t="s">
        <v>166</v>
      </c>
      <c r="B90" s="24" t="s">
        <v>167</v>
      </c>
      <c r="C90" s="23" t="s">
        <v>190</v>
      </c>
      <c r="D90" s="94">
        <f>+D79</f>
        <v>24</v>
      </c>
      <c r="E90" s="88"/>
      <c r="F90" s="89">
        <f t="shared" si="7"/>
        <v>0</v>
      </c>
    </row>
    <row r="91" spans="1:6" s="90" customFormat="1" ht="15.6">
      <c r="A91" s="84" t="s">
        <v>168</v>
      </c>
      <c r="B91" s="24" t="s">
        <v>169</v>
      </c>
      <c r="C91" s="23" t="s">
        <v>190</v>
      </c>
      <c r="D91" s="94">
        <f>20*1.2</f>
        <v>24</v>
      </c>
      <c r="E91" s="88"/>
      <c r="F91" s="89">
        <f t="shared" si="7"/>
        <v>0</v>
      </c>
    </row>
    <row r="92" spans="1:6" s="90" customFormat="1" ht="13.2">
      <c r="A92" s="84" t="s">
        <v>92</v>
      </c>
      <c r="B92" s="84" t="s">
        <v>170</v>
      </c>
      <c r="C92" s="84" t="s">
        <v>92</v>
      </c>
      <c r="D92" s="85" t="s">
        <v>92</v>
      </c>
      <c r="E92" s="84"/>
      <c r="F92" s="91">
        <f>SUM(F86:F91)</f>
        <v>0</v>
      </c>
    </row>
    <row r="93" spans="1:6" s="90" customFormat="1" ht="13.2">
      <c r="A93" s="84" t="s">
        <v>171</v>
      </c>
      <c r="B93" s="21" t="s">
        <v>172</v>
      </c>
      <c r="C93" s="23" t="s">
        <v>91</v>
      </c>
      <c r="D93" s="87" t="s">
        <v>91</v>
      </c>
      <c r="E93" s="23"/>
      <c r="F93" s="23" t="s">
        <v>91</v>
      </c>
    </row>
    <row r="94" spans="1:6" s="90" customFormat="1" ht="26.4">
      <c r="A94" s="84" t="s">
        <v>173</v>
      </c>
      <c r="B94" s="24" t="s">
        <v>174</v>
      </c>
      <c r="C94" s="23" t="s">
        <v>27</v>
      </c>
      <c r="D94" s="94">
        <v>1</v>
      </c>
      <c r="E94" s="88"/>
      <c r="F94" s="89">
        <f>D94*E94</f>
        <v>0</v>
      </c>
    </row>
    <row r="95" spans="1:6" s="90" customFormat="1" ht="13.2">
      <c r="A95" s="84" t="s">
        <v>175</v>
      </c>
      <c r="B95" s="24" t="s">
        <v>176</v>
      </c>
      <c r="C95" s="23" t="s">
        <v>12</v>
      </c>
      <c r="D95" s="94">
        <v>3</v>
      </c>
      <c r="E95" s="88"/>
      <c r="F95" s="89">
        <f>D95*E95</f>
        <v>0</v>
      </c>
    </row>
    <row r="96" spans="1:6" s="90" customFormat="1" ht="13.2">
      <c r="A96" s="84" t="s">
        <v>177</v>
      </c>
      <c r="B96" s="93" t="s">
        <v>178</v>
      </c>
      <c r="C96" s="23" t="s">
        <v>12</v>
      </c>
      <c r="D96" s="94">
        <v>4</v>
      </c>
      <c r="E96" s="88"/>
      <c r="F96" s="89">
        <f>D96*E96</f>
        <v>0</v>
      </c>
    </row>
    <row r="97" spans="1:9" s="90" customFormat="1" ht="13.2">
      <c r="A97" s="84" t="s">
        <v>179</v>
      </c>
      <c r="B97" s="24" t="s">
        <v>180</v>
      </c>
      <c r="C97" s="23" t="s">
        <v>12</v>
      </c>
      <c r="D97" s="94">
        <v>2</v>
      </c>
      <c r="E97" s="88"/>
      <c r="F97" s="89">
        <f>D97*E97</f>
        <v>0</v>
      </c>
    </row>
    <row r="98" spans="1:9" s="90" customFormat="1" ht="13.2">
      <c r="A98" s="84" t="s">
        <v>181</v>
      </c>
      <c r="B98" s="24" t="s">
        <v>182</v>
      </c>
      <c r="C98" s="23" t="s">
        <v>12</v>
      </c>
      <c r="D98" s="94">
        <v>1</v>
      </c>
      <c r="E98" s="88"/>
      <c r="F98" s="89">
        <f>D98*E98</f>
        <v>0</v>
      </c>
    </row>
    <row r="99" spans="1:9" s="90" customFormat="1" ht="13.2">
      <c r="A99" s="84" t="s">
        <v>92</v>
      </c>
      <c r="B99" s="84" t="s">
        <v>183</v>
      </c>
      <c r="C99" s="84" t="s">
        <v>92</v>
      </c>
      <c r="D99" s="85" t="s">
        <v>92</v>
      </c>
      <c r="E99" s="84"/>
      <c r="F99" s="91">
        <f>SUM(F94:F98)</f>
        <v>0</v>
      </c>
    </row>
    <row r="100" spans="1:9" s="90" customFormat="1" ht="13.2">
      <c r="A100" s="95" t="s">
        <v>92</v>
      </c>
      <c r="B100" s="96" t="s">
        <v>184</v>
      </c>
      <c r="C100" s="97" t="s">
        <v>91</v>
      </c>
      <c r="D100" s="98" t="s">
        <v>91</v>
      </c>
      <c r="E100" s="97" t="s">
        <v>91</v>
      </c>
      <c r="F100" s="99">
        <f>F99+F92+F84+F80+F74+F65+F56</f>
        <v>0</v>
      </c>
    </row>
    <row r="101" spans="1:9">
      <c r="A101" s="106" t="s">
        <v>22</v>
      </c>
      <c r="B101" s="106"/>
      <c r="C101" s="34"/>
      <c r="D101" s="34"/>
      <c r="E101" s="34"/>
      <c r="F101" s="35">
        <f>+F7+F12+F27+F38+F47+F100</f>
        <v>500000</v>
      </c>
    </row>
    <row r="102" spans="1:9" s="9" customFormat="1" ht="15">
      <c r="A102" s="39"/>
      <c r="B102" s="40" t="s">
        <v>23</v>
      </c>
      <c r="C102" s="40"/>
      <c r="D102" s="40"/>
      <c r="E102" s="40"/>
      <c r="F102" s="41"/>
      <c r="G102" s="8"/>
    </row>
    <row r="103" spans="1:9" s="9" customFormat="1" ht="15">
      <c r="A103" s="37"/>
      <c r="B103" s="38"/>
      <c r="C103" s="38"/>
      <c r="D103" s="38"/>
      <c r="E103" s="38"/>
      <c r="F103" s="38"/>
      <c r="G103" s="8"/>
      <c r="I103" s="10"/>
    </row>
    <row r="104" spans="1:9" s="9" customFormat="1" ht="15">
      <c r="A104" s="42"/>
      <c r="B104" s="43" t="s">
        <v>24</v>
      </c>
      <c r="C104" s="43"/>
      <c r="D104" s="43"/>
      <c r="E104" s="43"/>
      <c r="F104" s="44" t="s">
        <v>25</v>
      </c>
      <c r="G104" s="8"/>
      <c r="I104" s="10"/>
    </row>
    <row r="105" spans="1:9" s="9" customFormat="1" ht="15">
      <c r="A105" s="42"/>
      <c r="B105" s="43"/>
      <c r="C105" s="43"/>
      <c r="D105" s="43"/>
      <c r="E105" s="43"/>
      <c r="F105" s="44"/>
      <c r="G105" s="8"/>
      <c r="I105" s="10"/>
    </row>
    <row r="106" spans="1:9">
      <c r="A106" s="104" t="s">
        <v>0</v>
      </c>
      <c r="B106" s="105" t="s">
        <v>63</v>
      </c>
      <c r="C106" s="104" t="s">
        <v>81</v>
      </c>
      <c r="D106" s="104" t="s">
        <v>80</v>
      </c>
    </row>
    <row r="107" spans="1:9">
      <c r="A107" s="104"/>
      <c r="B107" s="105"/>
      <c r="C107" s="104"/>
      <c r="D107" s="104"/>
    </row>
    <row r="108" spans="1:9">
      <c r="A108" s="65">
        <v>1</v>
      </c>
      <c r="B108" s="64" t="str">
        <f>+B4</f>
        <v>Travaux preliminaires</v>
      </c>
      <c r="C108" s="66">
        <f>F7</f>
        <v>0</v>
      </c>
      <c r="D108" s="76">
        <f t="shared" ref="D108:D114" si="8">+C108/$C$114</f>
        <v>0</v>
      </c>
    </row>
    <row r="109" spans="1:9">
      <c r="A109" s="65">
        <v>2</v>
      </c>
      <c r="B109" s="67" t="str">
        <f>B8</f>
        <v>Reseau de refoulement</v>
      </c>
      <c r="C109" s="66">
        <f>+F12</f>
        <v>0</v>
      </c>
      <c r="D109" s="76">
        <f t="shared" si="8"/>
        <v>0</v>
      </c>
    </row>
    <row r="110" spans="1:9">
      <c r="A110" s="65">
        <v>3</v>
      </c>
      <c r="B110" s="67" t="str">
        <f>B13</f>
        <v>Réseau de distribution</v>
      </c>
      <c r="C110" s="66">
        <f>+F27</f>
        <v>0</v>
      </c>
      <c r="D110" s="76">
        <f t="shared" si="8"/>
        <v>0</v>
      </c>
    </row>
    <row r="111" spans="1:9">
      <c r="A111" s="65">
        <v>4</v>
      </c>
      <c r="B111" s="67" t="str">
        <f>B28</f>
        <v>Clôture et Annexe</v>
      </c>
      <c r="C111" s="66">
        <f>+F38</f>
        <v>0</v>
      </c>
      <c r="D111" s="76">
        <f t="shared" si="8"/>
        <v>0</v>
      </c>
    </row>
    <row r="112" spans="1:9">
      <c r="A112" s="65">
        <v>5</v>
      </c>
      <c r="B112" s="68" t="str">
        <f>+B39</f>
        <v>Mise en œuvre du PGES</v>
      </c>
      <c r="C112" s="66">
        <f>+F47</f>
        <v>500000</v>
      </c>
      <c r="D112" s="76">
        <f t="shared" si="8"/>
        <v>1</v>
      </c>
    </row>
    <row r="113" spans="1:4">
      <c r="A113" s="65">
        <v>6</v>
      </c>
      <c r="B113" s="68" t="s">
        <v>189</v>
      </c>
      <c r="C113" s="66">
        <f>+F100</f>
        <v>0</v>
      </c>
      <c r="D113" s="76">
        <f t="shared" si="8"/>
        <v>0</v>
      </c>
    </row>
    <row r="114" spans="1:4">
      <c r="A114" s="65"/>
      <c r="B114" s="69" t="s">
        <v>64</v>
      </c>
      <c r="C114" s="70">
        <f>SUM(C108:C113)</f>
        <v>500000</v>
      </c>
      <c r="D114" s="82">
        <f t="shared" si="8"/>
        <v>1</v>
      </c>
    </row>
  </sheetData>
  <mergeCells count="11">
    <mergeCell ref="B48:F48"/>
    <mergeCell ref="A106:A107"/>
    <mergeCell ref="B106:B107"/>
    <mergeCell ref="C106:C107"/>
    <mergeCell ref="D106:D107"/>
    <mergeCell ref="A101:B101"/>
    <mergeCell ref="A1:F1"/>
    <mergeCell ref="A2:A3"/>
    <mergeCell ref="B2:B3"/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L130"/>
  <sheetViews>
    <sheetView workbookViewId="0">
      <selection activeCell="H53" sqref="H52:H53"/>
    </sheetView>
  </sheetViews>
  <sheetFormatPr baseColWidth="10" defaultColWidth="11.3984375" defaultRowHeight="13.8"/>
  <cols>
    <col min="1" max="1" width="5.3984375" style="37" customWidth="1"/>
    <col min="2" max="2" width="40.59765625" style="45" customWidth="1"/>
    <col min="3" max="3" width="11.09765625" style="37" customWidth="1"/>
    <col min="4" max="4" width="6.59765625" style="37" customWidth="1"/>
    <col min="5" max="5" width="13" style="37" customWidth="1"/>
    <col min="6" max="6" width="10.3984375" style="37" customWidth="1"/>
    <col min="7" max="8" width="13.3984375" style="3" bestFit="1" customWidth="1"/>
    <col min="9" max="9" width="12.8984375" bestFit="1" customWidth="1"/>
  </cols>
  <sheetData>
    <row r="1" spans="1:12" s="2" customFormat="1">
      <c r="A1" s="108" t="s">
        <v>62</v>
      </c>
      <c r="B1" s="108"/>
      <c r="C1" s="108"/>
      <c r="D1" s="108"/>
      <c r="E1" s="108"/>
      <c r="F1" s="108"/>
      <c r="G1" s="1"/>
      <c r="H1" s="1"/>
    </row>
    <row r="2" spans="1:12">
      <c r="A2" s="109" t="s">
        <v>38</v>
      </c>
      <c r="B2" s="109"/>
      <c r="C2" s="109"/>
      <c r="D2" s="109"/>
      <c r="E2" s="109"/>
      <c r="F2" s="109"/>
    </row>
    <row r="3" spans="1:12">
      <c r="A3" s="102" t="s">
        <v>0</v>
      </c>
      <c r="B3" s="103" t="s">
        <v>1</v>
      </c>
      <c r="C3" s="102" t="s">
        <v>2</v>
      </c>
      <c r="D3" s="102" t="s">
        <v>3</v>
      </c>
      <c r="E3" s="72" t="s">
        <v>4</v>
      </c>
      <c r="F3" s="72" t="s">
        <v>5</v>
      </c>
    </row>
    <row r="4" spans="1:12">
      <c r="A4" s="102"/>
      <c r="B4" s="103"/>
      <c r="C4" s="102"/>
      <c r="D4" s="102"/>
      <c r="E4" s="72" t="s">
        <v>29</v>
      </c>
      <c r="F4" s="72" t="s">
        <v>29</v>
      </c>
    </row>
    <row r="5" spans="1:12">
      <c r="A5" s="15" t="s">
        <v>6</v>
      </c>
      <c r="B5" s="59" t="s">
        <v>82</v>
      </c>
      <c r="C5" s="15"/>
      <c r="D5" s="15"/>
      <c r="E5" s="15"/>
      <c r="F5" s="15"/>
    </row>
    <row r="6" spans="1:12">
      <c r="A6" s="16">
        <v>1.1000000000000001</v>
      </c>
      <c r="B6" s="60" t="s">
        <v>30</v>
      </c>
      <c r="C6" s="16" t="s">
        <v>7</v>
      </c>
      <c r="D6" s="16">
        <v>1</v>
      </c>
      <c r="E6" s="17"/>
      <c r="F6" s="17">
        <f>+D6*E6</f>
        <v>0</v>
      </c>
    </row>
    <row r="7" spans="1:12" ht="39.6">
      <c r="A7" s="16">
        <v>1.2</v>
      </c>
      <c r="B7" s="61" t="s">
        <v>31</v>
      </c>
      <c r="C7" s="16" t="s">
        <v>32</v>
      </c>
      <c r="D7" s="16">
        <v>1</v>
      </c>
      <c r="E7" s="17"/>
      <c r="F7" s="17">
        <f>+D7*E7</f>
        <v>0</v>
      </c>
    </row>
    <row r="8" spans="1:12">
      <c r="A8" s="18"/>
      <c r="B8" s="19" t="s">
        <v>8</v>
      </c>
      <c r="C8" s="18"/>
      <c r="D8" s="18"/>
      <c r="E8" s="18"/>
      <c r="F8" s="20">
        <f>SUM(F6:F7)</f>
        <v>0</v>
      </c>
    </row>
    <row r="9" spans="1:12">
      <c r="A9" s="15" t="s">
        <v>9</v>
      </c>
      <c r="B9" s="21" t="s">
        <v>187</v>
      </c>
      <c r="C9" s="22"/>
      <c r="D9" s="22"/>
      <c r="E9" s="22"/>
      <c r="F9" s="22"/>
    </row>
    <row r="10" spans="1:12" ht="52.8">
      <c r="A10" s="23">
        <v>2.1</v>
      </c>
      <c r="B10" s="46" t="s">
        <v>42</v>
      </c>
      <c r="C10" s="23" t="s">
        <v>13</v>
      </c>
      <c r="D10" s="23">
        <v>160</v>
      </c>
      <c r="E10" s="25"/>
      <c r="F10" s="17">
        <f t="shared" ref="F10:F12" si="0">+D10*E10</f>
        <v>0</v>
      </c>
    </row>
    <row r="11" spans="1:12" ht="39.6">
      <c r="A11" s="23">
        <v>2.2000000000000002</v>
      </c>
      <c r="B11" s="24" t="s">
        <v>39</v>
      </c>
      <c r="C11" s="23" t="s">
        <v>14</v>
      </c>
      <c r="D11" s="23">
        <v>160</v>
      </c>
      <c r="E11" s="25"/>
      <c r="F11" s="17">
        <f t="shared" si="0"/>
        <v>0</v>
      </c>
    </row>
    <row r="12" spans="1:12" s="2" customFormat="1" ht="55.2">
      <c r="A12" s="23">
        <v>2.2999999999999998</v>
      </c>
      <c r="B12" s="26" t="s">
        <v>58</v>
      </c>
      <c r="C12" s="26" t="s">
        <v>27</v>
      </c>
      <c r="D12" s="23">
        <v>1</v>
      </c>
      <c r="E12" s="25"/>
      <c r="F12" s="17">
        <f t="shared" si="0"/>
        <v>0</v>
      </c>
      <c r="G12" s="3"/>
      <c r="H12" s="1"/>
    </row>
    <row r="13" spans="1:12">
      <c r="B13" s="29" t="s">
        <v>10</v>
      </c>
      <c r="C13" s="18"/>
      <c r="D13" s="18"/>
      <c r="E13" s="18"/>
      <c r="F13" s="20">
        <f>SUM(F10:F12)</f>
        <v>0</v>
      </c>
      <c r="L13">
        <f>3.14*3.5*3.5/4</f>
        <v>9.6162500000000009</v>
      </c>
    </row>
    <row r="14" spans="1:12">
      <c r="A14" s="30" t="s">
        <v>11</v>
      </c>
      <c r="B14" s="19" t="s">
        <v>17</v>
      </c>
      <c r="C14" s="31"/>
      <c r="D14" s="31"/>
      <c r="E14" s="31"/>
      <c r="F14" s="22"/>
    </row>
    <row r="15" spans="1:12" s="2" customFormat="1" ht="52.8">
      <c r="A15" s="26">
        <v>3.1</v>
      </c>
      <c r="B15" s="27" t="s">
        <v>40</v>
      </c>
      <c r="C15" s="48" t="s">
        <v>13</v>
      </c>
      <c r="D15" s="26">
        <f>+D16+D17+D18</f>
        <v>786</v>
      </c>
      <c r="E15" s="26"/>
      <c r="F15" s="28">
        <f t="shared" ref="F15:F21" si="1">+D15*E15</f>
        <v>0</v>
      </c>
      <c r="G15" s="1"/>
      <c r="H15" s="1"/>
    </row>
    <row r="16" spans="1:12" s="2" customFormat="1" ht="66">
      <c r="A16" s="49">
        <v>3.2</v>
      </c>
      <c r="B16" s="27" t="s">
        <v>43</v>
      </c>
      <c r="C16" s="26" t="s">
        <v>13</v>
      </c>
      <c r="D16" s="26">
        <v>86</v>
      </c>
      <c r="E16" s="50"/>
      <c r="F16" s="28">
        <f t="shared" si="1"/>
        <v>0</v>
      </c>
      <c r="G16" s="1"/>
      <c r="H16" s="1"/>
    </row>
    <row r="17" spans="1:9" s="2" customFormat="1" ht="66">
      <c r="A17" s="26">
        <v>3.3</v>
      </c>
      <c r="B17" s="27" t="s">
        <v>41</v>
      </c>
      <c r="C17" s="26" t="s">
        <v>13</v>
      </c>
      <c r="D17" s="26">
        <v>0</v>
      </c>
      <c r="E17" s="50"/>
      <c r="F17" s="28">
        <f t="shared" si="1"/>
        <v>0</v>
      </c>
      <c r="G17" s="1"/>
      <c r="H17" s="1"/>
    </row>
    <row r="18" spans="1:9" s="2" customFormat="1" ht="66">
      <c r="A18" s="49">
        <v>3.4</v>
      </c>
      <c r="B18" s="27" t="s">
        <v>44</v>
      </c>
      <c r="C18" s="26" t="s">
        <v>13</v>
      </c>
      <c r="D18" s="26">
        <v>700</v>
      </c>
      <c r="E18" s="50"/>
      <c r="F18" s="28">
        <f t="shared" si="1"/>
        <v>0</v>
      </c>
      <c r="G18" s="1"/>
      <c r="H18" s="1"/>
    </row>
    <row r="19" spans="1:9" s="2" customFormat="1" ht="26.4">
      <c r="A19" s="26">
        <v>3.5</v>
      </c>
      <c r="B19" s="27" t="s">
        <v>45</v>
      </c>
      <c r="C19" s="26" t="s">
        <v>12</v>
      </c>
      <c r="D19" s="26">
        <v>1</v>
      </c>
      <c r="E19" s="50"/>
      <c r="F19" s="28">
        <f t="shared" si="1"/>
        <v>0</v>
      </c>
      <c r="G19" s="1"/>
      <c r="H19" s="1"/>
    </row>
    <row r="20" spans="1:9" s="2" customFormat="1" ht="26.4">
      <c r="A20" s="49">
        <v>3.6</v>
      </c>
      <c r="B20" s="27" t="s">
        <v>46</v>
      </c>
      <c r="C20" s="26" t="s">
        <v>12</v>
      </c>
      <c r="D20" s="26">
        <v>0</v>
      </c>
      <c r="E20" s="50"/>
      <c r="F20" s="28">
        <f t="shared" si="1"/>
        <v>0</v>
      </c>
      <c r="G20" s="1"/>
      <c r="H20" s="1"/>
    </row>
    <row r="21" spans="1:9" s="2" customFormat="1" ht="26.4">
      <c r="A21" s="26">
        <v>3.7</v>
      </c>
      <c r="B21" s="27" t="s">
        <v>47</v>
      </c>
      <c r="C21" s="26" t="s">
        <v>12</v>
      </c>
      <c r="D21" s="26">
        <v>14</v>
      </c>
      <c r="E21" s="50"/>
      <c r="F21" s="28">
        <f t="shared" si="1"/>
        <v>0</v>
      </c>
      <c r="G21" s="1"/>
      <c r="H21" s="1"/>
    </row>
    <row r="22" spans="1:9" s="2" customFormat="1" ht="39.6">
      <c r="A22" s="49">
        <v>3.8</v>
      </c>
      <c r="B22" s="27" t="s">
        <v>48</v>
      </c>
      <c r="C22" s="26" t="s">
        <v>27</v>
      </c>
      <c r="D22" s="26"/>
      <c r="E22" s="50"/>
      <c r="F22" s="28">
        <f t="shared" ref="F22:F27" si="2">+D22*E22</f>
        <v>0</v>
      </c>
      <c r="G22" s="1"/>
      <c r="H22" s="1"/>
      <c r="I22" s="51">
        <f>175000*H23</f>
        <v>143150</v>
      </c>
    </row>
    <row r="23" spans="1:9" s="2" customFormat="1" ht="39.6">
      <c r="A23" s="26">
        <v>3.9</v>
      </c>
      <c r="B23" s="27" t="s">
        <v>49</v>
      </c>
      <c r="C23" s="26" t="s">
        <v>27</v>
      </c>
      <c r="D23" s="26">
        <v>338</v>
      </c>
      <c r="E23" s="50"/>
      <c r="F23" s="28">
        <f t="shared" si="2"/>
        <v>0</v>
      </c>
      <c r="G23" s="1"/>
      <c r="H23" s="1">
        <f>0.74*0.6+3.74*0.1</f>
        <v>0.81800000000000006</v>
      </c>
    </row>
    <row r="24" spans="1:9" s="2" customFormat="1" ht="68.400000000000006">
      <c r="A24" s="58">
        <v>3.1</v>
      </c>
      <c r="B24" s="27" t="s">
        <v>50</v>
      </c>
      <c r="C24" s="26" t="s">
        <v>27</v>
      </c>
      <c r="D24" s="26">
        <v>0</v>
      </c>
      <c r="E24" s="50"/>
      <c r="F24" s="28">
        <f t="shared" si="2"/>
        <v>0</v>
      </c>
      <c r="G24" s="1"/>
      <c r="H24" s="1"/>
    </row>
    <row r="25" spans="1:9" s="2" customFormat="1" ht="26.4">
      <c r="A25" s="26">
        <v>3.11</v>
      </c>
      <c r="B25" s="27" t="s">
        <v>56</v>
      </c>
      <c r="C25" s="26" t="s">
        <v>55</v>
      </c>
      <c r="D25" s="26">
        <v>0</v>
      </c>
      <c r="E25" s="50"/>
      <c r="F25" s="28">
        <f t="shared" si="2"/>
        <v>0</v>
      </c>
      <c r="G25" s="1"/>
      <c r="H25" s="1"/>
    </row>
    <row r="26" spans="1:9" s="2" customFormat="1">
      <c r="A26" s="26">
        <v>3.12</v>
      </c>
      <c r="B26" s="27" t="s">
        <v>53</v>
      </c>
      <c r="C26" s="13" t="s">
        <v>12</v>
      </c>
      <c r="D26" s="26">
        <f>2*D24</f>
        <v>0</v>
      </c>
      <c r="E26" s="50"/>
      <c r="F26" s="28">
        <f t="shared" si="2"/>
        <v>0</v>
      </c>
      <c r="G26" s="1"/>
      <c r="H26" s="1"/>
    </row>
    <row r="27" spans="1:9" s="2" customFormat="1">
      <c r="A27" s="26">
        <v>3.13</v>
      </c>
      <c r="B27" s="27" t="s">
        <v>54</v>
      </c>
      <c r="C27" s="13" t="s">
        <v>12</v>
      </c>
      <c r="D27" s="26">
        <v>0</v>
      </c>
      <c r="E27" s="50"/>
      <c r="F27" s="28">
        <f t="shared" si="2"/>
        <v>0</v>
      </c>
      <c r="G27" s="1"/>
      <c r="H27" s="1"/>
    </row>
    <row r="28" spans="1:9">
      <c r="A28" s="18"/>
      <c r="B28" s="19" t="s">
        <v>65</v>
      </c>
      <c r="C28" s="32"/>
      <c r="D28" s="32"/>
      <c r="E28" s="32"/>
      <c r="F28" s="33">
        <f>SUM(F15:F27)</f>
        <v>0</v>
      </c>
    </row>
    <row r="29" spans="1:9">
      <c r="A29" s="30" t="s">
        <v>16</v>
      </c>
      <c r="B29" s="19" t="s">
        <v>19</v>
      </c>
      <c r="C29" s="31"/>
      <c r="D29" s="31"/>
      <c r="E29" s="31"/>
      <c r="F29" s="31"/>
    </row>
    <row r="30" spans="1:9" s="53" customFormat="1" ht="48.75" customHeight="1">
      <c r="A30" s="26">
        <v>4.0999999999999996</v>
      </c>
      <c r="B30" s="26" t="s">
        <v>52</v>
      </c>
      <c r="C30" s="26" t="s">
        <v>12</v>
      </c>
      <c r="D30" s="26">
        <f>400/3</f>
        <v>133.33333333333334</v>
      </c>
      <c r="E30" s="26"/>
      <c r="F30" s="28">
        <f>+D30*E30</f>
        <v>0</v>
      </c>
      <c r="G30" s="52"/>
      <c r="H30" s="52">
        <f>0.3*0.3*0.5*50000</f>
        <v>2250</v>
      </c>
    </row>
    <row r="31" spans="1:9" s="53" customFormat="1" ht="51.75" customHeight="1">
      <c r="A31" s="26">
        <v>4.2</v>
      </c>
      <c r="B31" s="26" t="s">
        <v>185</v>
      </c>
      <c r="C31" s="26" t="s">
        <v>12</v>
      </c>
      <c r="D31" s="26">
        <f>400/20+6</f>
        <v>26</v>
      </c>
      <c r="E31" s="26"/>
      <c r="F31" s="28">
        <f>+D31*E31</f>
        <v>0</v>
      </c>
      <c r="G31" s="52"/>
      <c r="H31" s="57">
        <v>4.1666666666666696</v>
      </c>
    </row>
    <row r="32" spans="1:9" s="53" customFormat="1" ht="39.75" customHeight="1">
      <c r="A32" s="26">
        <v>4.3</v>
      </c>
      <c r="B32" s="26" t="s">
        <v>33</v>
      </c>
      <c r="C32" s="26" t="s">
        <v>13</v>
      </c>
      <c r="D32" s="26">
        <v>400</v>
      </c>
      <c r="E32" s="26"/>
      <c r="F32" s="28">
        <f>+D32*E32</f>
        <v>0</v>
      </c>
      <c r="G32" s="52"/>
      <c r="H32" s="57">
        <v>7500</v>
      </c>
    </row>
    <row r="33" spans="1:9" s="53" customFormat="1" ht="39.75" customHeight="1">
      <c r="A33" s="78">
        <v>4.5</v>
      </c>
      <c r="B33" s="78" t="s">
        <v>186</v>
      </c>
      <c r="C33" s="78" t="s">
        <v>26</v>
      </c>
      <c r="D33" s="78">
        <f>424*0.3*0.35</f>
        <v>44.519999999999996</v>
      </c>
      <c r="E33" s="79"/>
      <c r="F33" s="79">
        <f>+D33*E33</f>
        <v>0</v>
      </c>
      <c r="G33" s="52"/>
      <c r="H33" s="52"/>
    </row>
    <row r="34" spans="1:9" s="55" customFormat="1" ht="39.75" customHeight="1">
      <c r="A34" s="26">
        <v>4.5</v>
      </c>
      <c r="B34" s="26" t="s">
        <v>51</v>
      </c>
      <c r="C34" s="26" t="s">
        <v>26</v>
      </c>
      <c r="D34" s="26">
        <f>400*0.2*0.3</f>
        <v>24</v>
      </c>
      <c r="E34" s="50"/>
      <c r="F34" s="50">
        <f>+D34*E34</f>
        <v>0</v>
      </c>
      <c r="G34" s="54"/>
      <c r="H34" s="54">
        <f>2*1.8*0.6</f>
        <v>2.16</v>
      </c>
    </row>
    <row r="35" spans="1:9" ht="26.4">
      <c r="A35" s="26">
        <v>4.5999999999999996</v>
      </c>
      <c r="B35" s="26" t="s">
        <v>36</v>
      </c>
      <c r="C35" s="26" t="s">
        <v>12</v>
      </c>
      <c r="D35" s="26">
        <v>0</v>
      </c>
      <c r="E35" s="50"/>
      <c r="F35" s="28">
        <f t="shared" ref="F35:F39" si="3">+D35*E35</f>
        <v>0</v>
      </c>
    </row>
    <row r="36" spans="1:9" ht="39.6">
      <c r="A36" s="26">
        <v>4.7</v>
      </c>
      <c r="B36" s="26" t="s">
        <v>35</v>
      </c>
      <c r="C36" s="26" t="s">
        <v>12</v>
      </c>
      <c r="D36" s="26">
        <v>1</v>
      </c>
      <c r="E36" s="50"/>
      <c r="F36" s="28">
        <f t="shared" si="3"/>
        <v>0</v>
      </c>
      <c r="H36" s="3">
        <f>60000/18</f>
        <v>3333.3333333333335</v>
      </c>
    </row>
    <row r="37" spans="1:9" s="12" customFormat="1" ht="39.6">
      <c r="A37" s="26">
        <v>4.8</v>
      </c>
      <c r="B37" s="26" t="s">
        <v>28</v>
      </c>
      <c r="C37" s="26" t="s">
        <v>13</v>
      </c>
      <c r="D37" s="26">
        <v>200</v>
      </c>
      <c r="E37" s="50"/>
      <c r="F37" s="28">
        <f t="shared" si="3"/>
        <v>0</v>
      </c>
      <c r="G37" s="11"/>
      <c r="H37" s="11">
        <f>0.5*3*1</f>
        <v>1.5</v>
      </c>
      <c r="I37" s="12">
        <v>5</v>
      </c>
    </row>
    <row r="38" spans="1:9" s="12" customFormat="1" ht="26.4">
      <c r="A38" s="26">
        <v>4.9000000000000004</v>
      </c>
      <c r="B38" s="26" t="s">
        <v>37</v>
      </c>
      <c r="C38" s="26" t="s">
        <v>12</v>
      </c>
      <c r="D38" s="26">
        <v>1</v>
      </c>
      <c r="E38" s="50"/>
      <c r="F38" s="28">
        <f t="shared" si="3"/>
        <v>0</v>
      </c>
      <c r="G38" s="11"/>
      <c r="H38" s="50">
        <f>7300000/700</f>
        <v>10428.571428571429</v>
      </c>
    </row>
    <row r="39" spans="1:9" s="12" customFormat="1" ht="26.4">
      <c r="A39" s="77">
        <v>4.0999999999999996</v>
      </c>
      <c r="B39" s="26" t="s">
        <v>79</v>
      </c>
      <c r="C39" s="26" t="s">
        <v>27</v>
      </c>
      <c r="D39" s="26">
        <v>1</v>
      </c>
      <c r="E39" s="50"/>
      <c r="F39" s="28">
        <f t="shared" si="3"/>
        <v>0</v>
      </c>
      <c r="G39" s="11"/>
      <c r="H39" s="71"/>
    </row>
    <row r="40" spans="1:9">
      <c r="A40" s="18"/>
      <c r="B40" s="19" t="s">
        <v>18</v>
      </c>
      <c r="C40" s="32"/>
      <c r="D40" s="32"/>
      <c r="E40" s="32"/>
      <c r="F40" s="33">
        <f>SUM(F30:F39)</f>
        <v>0</v>
      </c>
    </row>
    <row r="41" spans="1:9" s="7" customFormat="1" ht="15">
      <c r="A41" s="30" t="s">
        <v>66</v>
      </c>
      <c r="B41" s="19" t="s">
        <v>21</v>
      </c>
      <c r="C41" s="17"/>
      <c r="D41" s="17"/>
      <c r="E41" s="17"/>
      <c r="F41" s="17"/>
      <c r="G41" s="5"/>
      <c r="H41" s="6">
        <f>4000*20</f>
        <v>80000</v>
      </c>
    </row>
    <row r="42" spans="1:9" s="7" customFormat="1" ht="15">
      <c r="A42" s="26">
        <v>5.0999999999999996</v>
      </c>
      <c r="B42" s="26" t="s">
        <v>67</v>
      </c>
      <c r="C42" s="26" t="s">
        <v>68</v>
      </c>
      <c r="D42" s="26">
        <v>1</v>
      </c>
      <c r="E42" s="50"/>
      <c r="F42" s="28">
        <f t="shared" ref="F42:F47" si="4">+D42*E42</f>
        <v>0</v>
      </c>
      <c r="G42" s="5"/>
      <c r="H42" s="6"/>
    </row>
    <row r="43" spans="1:9" s="7" customFormat="1" ht="26.4">
      <c r="A43" s="26">
        <v>5.2</v>
      </c>
      <c r="B43" s="26" t="s">
        <v>69</v>
      </c>
      <c r="C43" s="26" t="s">
        <v>70</v>
      </c>
      <c r="D43" s="26">
        <v>100</v>
      </c>
      <c r="E43" s="50"/>
      <c r="F43" s="28">
        <f t="shared" si="4"/>
        <v>0</v>
      </c>
      <c r="G43" s="5"/>
      <c r="H43" s="6"/>
    </row>
    <row r="44" spans="1:9" s="7" customFormat="1" ht="26.4">
      <c r="A44" s="26">
        <v>5.3</v>
      </c>
      <c r="B44" s="26" t="s">
        <v>71</v>
      </c>
      <c r="C44" s="26" t="s">
        <v>72</v>
      </c>
      <c r="D44" s="26">
        <v>15</v>
      </c>
      <c r="E44" s="50"/>
      <c r="F44" s="28">
        <f t="shared" si="4"/>
        <v>0</v>
      </c>
      <c r="G44" s="5"/>
      <c r="H44" s="6"/>
    </row>
    <row r="45" spans="1:9" s="7" customFormat="1" ht="26.4">
      <c r="A45" s="26">
        <v>5.4</v>
      </c>
      <c r="B45" s="26" t="s">
        <v>73</v>
      </c>
      <c r="C45" s="26" t="s">
        <v>72</v>
      </c>
      <c r="D45" s="26">
        <v>1</v>
      </c>
      <c r="E45" s="50"/>
      <c r="F45" s="28">
        <f t="shared" si="4"/>
        <v>0</v>
      </c>
      <c r="G45" s="5"/>
      <c r="H45" s="6"/>
    </row>
    <row r="46" spans="1:9" s="7" customFormat="1" ht="15">
      <c r="A46" s="26">
        <v>5.5</v>
      </c>
      <c r="B46" s="26" t="s">
        <v>74</v>
      </c>
      <c r="C46" s="26" t="s">
        <v>68</v>
      </c>
      <c r="D46" s="26">
        <v>1</v>
      </c>
      <c r="E46" s="50"/>
      <c r="F46" s="28">
        <f t="shared" si="4"/>
        <v>0</v>
      </c>
      <c r="G46" s="5"/>
      <c r="H46" s="6"/>
    </row>
    <row r="47" spans="1:9" s="7" customFormat="1" ht="26.4">
      <c r="A47" s="26">
        <v>5.6</v>
      </c>
      <c r="B47" s="26" t="s">
        <v>75</v>
      </c>
      <c r="C47" s="26" t="s">
        <v>76</v>
      </c>
      <c r="D47" s="26">
        <v>1</v>
      </c>
      <c r="E47" s="50"/>
      <c r="F47" s="28">
        <f t="shared" si="4"/>
        <v>0</v>
      </c>
      <c r="G47" s="5"/>
      <c r="H47" s="6"/>
    </row>
    <row r="48" spans="1:9" s="7" customFormat="1" ht="26.4">
      <c r="A48" s="26">
        <v>5.7</v>
      </c>
      <c r="B48" s="26" t="s">
        <v>77</v>
      </c>
      <c r="C48" s="26" t="s">
        <v>78</v>
      </c>
      <c r="D48" s="26">
        <v>2</v>
      </c>
      <c r="E48" s="50"/>
      <c r="F48" s="28">
        <v>500000</v>
      </c>
      <c r="G48" s="5"/>
      <c r="H48" s="6"/>
    </row>
    <row r="49" spans="1:8" s="7" customFormat="1" ht="15">
      <c r="A49" s="26"/>
      <c r="B49" s="19" t="s">
        <v>18</v>
      </c>
      <c r="C49" s="32"/>
      <c r="D49" s="32"/>
      <c r="E49" s="32"/>
      <c r="F49" s="33">
        <f>SUM(F42:F48)</f>
        <v>500000</v>
      </c>
      <c r="G49" s="5"/>
      <c r="H49" s="6"/>
    </row>
    <row r="50" spans="1:8">
      <c r="A50" s="83"/>
      <c r="B50" s="100" t="s">
        <v>188</v>
      </c>
      <c r="C50" s="100"/>
      <c r="D50" s="100"/>
      <c r="E50" s="100"/>
      <c r="F50" s="100"/>
    </row>
    <row r="51" spans="1:8" s="37" customFormat="1" ht="26.4">
      <c r="A51" s="84" t="s">
        <v>83</v>
      </c>
      <c r="B51" s="21" t="s">
        <v>84</v>
      </c>
      <c r="C51" s="84" t="s">
        <v>85</v>
      </c>
      <c r="D51" s="85" t="s">
        <v>86</v>
      </c>
      <c r="E51" s="84" t="s">
        <v>87</v>
      </c>
      <c r="F51" s="84" t="s">
        <v>88</v>
      </c>
    </row>
    <row r="52" spans="1:8" s="37" customFormat="1" ht="13.2">
      <c r="A52" s="84" t="s">
        <v>89</v>
      </c>
      <c r="B52" s="21" t="s">
        <v>90</v>
      </c>
      <c r="C52" s="23" t="s">
        <v>91</v>
      </c>
      <c r="D52" s="86" t="s">
        <v>92</v>
      </c>
      <c r="E52" s="23"/>
      <c r="F52" s="84" t="s">
        <v>91</v>
      </c>
    </row>
    <row r="53" spans="1:8" s="37" customFormat="1" ht="15.6">
      <c r="A53" s="84" t="s">
        <v>93</v>
      </c>
      <c r="B53" s="24" t="s">
        <v>94</v>
      </c>
      <c r="C53" s="23" t="s">
        <v>190</v>
      </c>
      <c r="D53" s="87">
        <f>(5.3+2)*(4.3+2)</f>
        <v>45.989999999999995</v>
      </c>
      <c r="E53" s="88"/>
      <c r="F53" s="89">
        <f>D53*E53</f>
        <v>0</v>
      </c>
    </row>
    <row r="54" spans="1:8" s="90" customFormat="1" ht="15.6">
      <c r="A54" s="84" t="s">
        <v>95</v>
      </c>
      <c r="B54" s="24" t="s">
        <v>96</v>
      </c>
      <c r="C54" s="23" t="s">
        <v>191</v>
      </c>
      <c r="D54" s="87">
        <f>(18*0.4*0.6)*1.2</f>
        <v>5.1840000000000002</v>
      </c>
      <c r="E54" s="88"/>
      <c r="F54" s="89">
        <f>D54*E54</f>
        <v>0</v>
      </c>
    </row>
    <row r="55" spans="1:8" s="90" customFormat="1" ht="15.6">
      <c r="A55" s="84" t="s">
        <v>97</v>
      </c>
      <c r="B55" s="24" t="s">
        <v>98</v>
      </c>
      <c r="C55" s="23" t="s">
        <v>191</v>
      </c>
      <c r="D55" s="87">
        <f>(1.2*1.2*1.2)*8*1.2</f>
        <v>16.588799999999999</v>
      </c>
      <c r="E55" s="88"/>
      <c r="F55" s="89">
        <f>D55*E55</f>
        <v>0</v>
      </c>
    </row>
    <row r="56" spans="1:8" s="90" customFormat="1" ht="15.6">
      <c r="A56" s="84" t="s">
        <v>99</v>
      </c>
      <c r="B56" s="24" t="s">
        <v>100</v>
      </c>
      <c r="C56" s="23" t="s">
        <v>191</v>
      </c>
      <c r="D56" s="87">
        <f>+D55+D54</f>
        <v>21.7728</v>
      </c>
      <c r="E56" s="88"/>
      <c r="F56" s="89">
        <f>D56*E56</f>
        <v>0</v>
      </c>
    </row>
    <row r="57" spans="1:8" s="90" customFormat="1" ht="15.6">
      <c r="A57" s="84" t="s">
        <v>101</v>
      </c>
      <c r="B57" s="24" t="s">
        <v>102</v>
      </c>
      <c r="C57" s="23" t="s">
        <v>191</v>
      </c>
      <c r="D57" s="87">
        <f>((20*0.45)-D56*0.15)*1.2</f>
        <v>6.8808960000000008</v>
      </c>
      <c r="E57" s="88"/>
      <c r="F57" s="89">
        <f>D57*E57</f>
        <v>0</v>
      </c>
    </row>
    <row r="58" spans="1:8" s="90" customFormat="1" ht="13.2">
      <c r="A58" s="84" t="s">
        <v>92</v>
      </c>
      <c r="B58" s="84" t="s">
        <v>103</v>
      </c>
      <c r="C58" s="84" t="s">
        <v>92</v>
      </c>
      <c r="D58" s="85" t="s">
        <v>92</v>
      </c>
      <c r="E58" s="84"/>
      <c r="F58" s="91">
        <f>SUM(F53:F57)</f>
        <v>0</v>
      </c>
    </row>
    <row r="59" spans="1:8" s="90" customFormat="1" ht="13.2">
      <c r="A59" s="84" t="s">
        <v>104</v>
      </c>
      <c r="B59" s="21" t="s">
        <v>105</v>
      </c>
      <c r="C59" s="84" t="s">
        <v>92</v>
      </c>
      <c r="D59" s="92" t="s">
        <v>92</v>
      </c>
      <c r="E59" s="84"/>
      <c r="F59" s="23" t="s">
        <v>91</v>
      </c>
    </row>
    <row r="60" spans="1:8" s="90" customFormat="1" ht="15.6">
      <c r="A60" s="84" t="s">
        <v>106</v>
      </c>
      <c r="B60" s="24" t="s">
        <v>107</v>
      </c>
      <c r="C60" s="23" t="s">
        <v>191</v>
      </c>
      <c r="D60" s="87">
        <f>((0.4*0.05*18)+(1.2*1.2*0.05)*8)*1.2</f>
        <v>1.1232</v>
      </c>
      <c r="E60" s="88"/>
      <c r="F60" s="89">
        <f t="shared" ref="F60:F66" si="5">D60*E60</f>
        <v>0</v>
      </c>
    </row>
    <row r="61" spans="1:8" s="90" customFormat="1" ht="15.6">
      <c r="A61" s="84" t="s">
        <v>108</v>
      </c>
      <c r="B61" s="93" t="s">
        <v>109</v>
      </c>
      <c r="C61" s="23" t="s">
        <v>191</v>
      </c>
      <c r="D61" s="87">
        <f>(1.2*1.2*0.25)*8*1.2</f>
        <v>3.456</v>
      </c>
      <c r="E61" s="88"/>
      <c r="F61" s="89">
        <f t="shared" si="5"/>
        <v>0</v>
      </c>
    </row>
    <row r="62" spans="1:8" s="90" customFormat="1" ht="15.6">
      <c r="A62" s="84" t="s">
        <v>110</v>
      </c>
      <c r="B62" s="24" t="s">
        <v>111</v>
      </c>
      <c r="C62" s="23" t="s">
        <v>191</v>
      </c>
      <c r="D62" s="87">
        <f>(0.2*0.2*1.5)*8*1.2</f>
        <v>0.57600000000000007</v>
      </c>
      <c r="E62" s="88"/>
      <c r="F62" s="89">
        <f t="shared" si="5"/>
        <v>0</v>
      </c>
    </row>
    <row r="63" spans="1:8" s="90" customFormat="1" ht="26.4">
      <c r="A63" s="84" t="s">
        <v>112</v>
      </c>
      <c r="B63" s="24" t="s">
        <v>113</v>
      </c>
      <c r="C63" s="23" t="s">
        <v>190</v>
      </c>
      <c r="D63" s="87">
        <f>(18*1.05)*1.2</f>
        <v>22.680000000000003</v>
      </c>
      <c r="E63" s="88"/>
      <c r="F63" s="89">
        <f t="shared" si="5"/>
        <v>0</v>
      </c>
    </row>
    <row r="64" spans="1:8" s="90" customFormat="1" ht="15.6">
      <c r="A64" s="84" t="s">
        <v>114</v>
      </c>
      <c r="B64" s="24" t="s">
        <v>115</v>
      </c>
      <c r="C64" s="23" t="s">
        <v>191</v>
      </c>
      <c r="D64" s="87">
        <f>(0.2*0.2*18)*1.2</f>
        <v>0.86400000000000021</v>
      </c>
      <c r="E64" s="88"/>
      <c r="F64" s="89">
        <f t="shared" si="5"/>
        <v>0</v>
      </c>
    </row>
    <row r="65" spans="1:6" s="90" customFormat="1" ht="15.6">
      <c r="A65" s="84" t="s">
        <v>116</v>
      </c>
      <c r="B65" s="24" t="s">
        <v>117</v>
      </c>
      <c r="C65" s="23" t="s">
        <v>191</v>
      </c>
      <c r="D65" s="87">
        <f>(0.76*3*0.15)*1.2</f>
        <v>0.41040000000000004</v>
      </c>
      <c r="E65" s="88"/>
      <c r="F65" s="89">
        <f t="shared" si="5"/>
        <v>0</v>
      </c>
    </row>
    <row r="66" spans="1:6" s="90" customFormat="1" ht="15.6">
      <c r="A66" s="84" t="s">
        <v>118</v>
      </c>
      <c r="B66" s="24" t="s">
        <v>119</v>
      </c>
      <c r="C66" s="23" t="s">
        <v>191</v>
      </c>
      <c r="D66" s="87">
        <f>20*0.08*1.2</f>
        <v>1.92</v>
      </c>
      <c r="E66" s="88"/>
      <c r="F66" s="89">
        <f t="shared" si="5"/>
        <v>0</v>
      </c>
    </row>
    <row r="67" spans="1:6" s="90" customFormat="1" ht="13.2">
      <c r="A67" s="84" t="s">
        <v>92</v>
      </c>
      <c r="B67" s="84" t="s">
        <v>120</v>
      </c>
      <c r="C67" s="84" t="s">
        <v>92</v>
      </c>
      <c r="D67" s="85" t="s">
        <v>92</v>
      </c>
      <c r="E67" s="84"/>
      <c r="F67" s="91">
        <f>SUM(F60:F66)</f>
        <v>0</v>
      </c>
    </row>
    <row r="68" spans="1:6" s="90" customFormat="1" ht="13.2">
      <c r="A68" s="84" t="s">
        <v>121</v>
      </c>
      <c r="B68" s="21" t="s">
        <v>122</v>
      </c>
      <c r="C68" s="23" t="s">
        <v>91</v>
      </c>
      <c r="D68" s="86" t="s">
        <v>92</v>
      </c>
      <c r="E68" s="23"/>
      <c r="F68" s="23" t="s">
        <v>91</v>
      </c>
    </row>
    <row r="69" spans="1:6" s="90" customFormat="1" ht="15.6">
      <c r="A69" s="84" t="s">
        <v>123</v>
      </c>
      <c r="B69" s="24" t="s">
        <v>124</v>
      </c>
      <c r="C69" s="23" t="s">
        <v>190</v>
      </c>
      <c r="D69" s="87">
        <f>(3.65*18)*1.2</f>
        <v>78.84</v>
      </c>
      <c r="E69" s="88"/>
      <c r="F69" s="89">
        <f t="shared" ref="F69:F75" si="6">D69*E69</f>
        <v>0</v>
      </c>
    </row>
    <row r="70" spans="1:6" s="90" customFormat="1" ht="15.6">
      <c r="A70" s="84" t="s">
        <v>125</v>
      </c>
      <c r="B70" s="93" t="s">
        <v>126</v>
      </c>
      <c r="C70" s="23" t="s">
        <v>191</v>
      </c>
      <c r="D70" s="87">
        <f>(0.15*0.15*3.4)*8*1.2</f>
        <v>0.73439999999999994</v>
      </c>
      <c r="E70" s="88"/>
      <c r="F70" s="89">
        <f t="shared" si="6"/>
        <v>0</v>
      </c>
    </row>
    <row r="71" spans="1:6" s="90" customFormat="1" ht="15.6">
      <c r="A71" s="84" t="s">
        <v>127</v>
      </c>
      <c r="B71" s="24" t="s">
        <v>128</v>
      </c>
      <c r="C71" s="23" t="s">
        <v>191</v>
      </c>
      <c r="D71" s="87">
        <f>(18*0.15*0.1)*1.2</f>
        <v>0.32399999999999995</v>
      </c>
      <c r="E71" s="88"/>
      <c r="F71" s="89">
        <f t="shared" si="6"/>
        <v>0</v>
      </c>
    </row>
    <row r="72" spans="1:6" s="90" customFormat="1" ht="15.6">
      <c r="A72" s="84" t="s">
        <v>129</v>
      </c>
      <c r="B72" s="24" t="s">
        <v>130</v>
      </c>
      <c r="C72" s="23" t="s">
        <v>191</v>
      </c>
      <c r="D72" s="87">
        <f>(18*0.15*0.2)*1.2</f>
        <v>0.64799999999999991</v>
      </c>
      <c r="E72" s="88"/>
      <c r="F72" s="89">
        <f t="shared" si="6"/>
        <v>0</v>
      </c>
    </row>
    <row r="73" spans="1:6" s="90" customFormat="1" ht="15.6">
      <c r="A73" s="84" t="s">
        <v>131</v>
      </c>
      <c r="B73" s="24" t="s">
        <v>128</v>
      </c>
      <c r="C73" s="23" t="s">
        <v>191</v>
      </c>
      <c r="D73" s="87">
        <f>(18*0.15*0.1)*1.2</f>
        <v>0.32399999999999995</v>
      </c>
      <c r="E73" s="88"/>
      <c r="F73" s="89">
        <f t="shared" si="6"/>
        <v>0</v>
      </c>
    </row>
    <row r="74" spans="1:6" s="90" customFormat="1" ht="15.6">
      <c r="A74" s="84" t="s">
        <v>132</v>
      </c>
      <c r="B74" s="24" t="s">
        <v>133</v>
      </c>
      <c r="C74" s="23" t="s">
        <v>191</v>
      </c>
      <c r="D74" s="87">
        <f>(18*0.15*0.4)*1.2</f>
        <v>1.2959999999999998</v>
      </c>
      <c r="E74" s="88"/>
      <c r="F74" s="89">
        <f t="shared" si="6"/>
        <v>0</v>
      </c>
    </row>
    <row r="75" spans="1:6" s="90" customFormat="1" ht="15.6">
      <c r="A75" s="84" t="s">
        <v>134</v>
      </c>
      <c r="B75" s="24" t="s">
        <v>135</v>
      </c>
      <c r="C75" s="23" t="s">
        <v>191</v>
      </c>
      <c r="D75" s="87">
        <f>(5.3*0.127)*1.2</f>
        <v>0.80771999999999999</v>
      </c>
      <c r="E75" s="88"/>
      <c r="F75" s="89">
        <f t="shared" si="6"/>
        <v>0</v>
      </c>
    </row>
    <row r="76" spans="1:6" s="90" customFormat="1" ht="13.2">
      <c r="A76" s="84" t="s">
        <v>92</v>
      </c>
      <c r="B76" s="84" t="s">
        <v>136</v>
      </c>
      <c r="C76" s="84" t="s">
        <v>92</v>
      </c>
      <c r="D76" s="85" t="s">
        <v>92</v>
      </c>
      <c r="E76" s="84"/>
      <c r="F76" s="91">
        <f>SUM(F69:F74)</f>
        <v>0</v>
      </c>
    </row>
    <row r="77" spans="1:6" s="90" customFormat="1" ht="13.2">
      <c r="A77" s="84" t="s">
        <v>137</v>
      </c>
      <c r="B77" s="21" t="s">
        <v>138</v>
      </c>
      <c r="C77" s="23" t="s">
        <v>91</v>
      </c>
      <c r="D77" s="86" t="s">
        <v>92</v>
      </c>
      <c r="E77" s="23"/>
      <c r="F77" s="23" t="s">
        <v>91</v>
      </c>
    </row>
    <row r="78" spans="1:6" s="90" customFormat="1" ht="26.4">
      <c r="A78" s="84" t="s">
        <v>139</v>
      </c>
      <c r="B78" s="24" t="s">
        <v>140</v>
      </c>
      <c r="C78" s="23" t="s">
        <v>141</v>
      </c>
      <c r="D78" s="94">
        <f>(4.65*10.45)*1.2</f>
        <v>58.311</v>
      </c>
      <c r="E78" s="88"/>
      <c r="F78" s="89">
        <f>D78*E78</f>
        <v>0</v>
      </c>
    </row>
    <row r="79" spans="1:6" s="90" customFormat="1" ht="26.4">
      <c r="A79" s="84" t="s">
        <v>142</v>
      </c>
      <c r="B79" s="24" t="s">
        <v>143</v>
      </c>
      <c r="C79" s="23" t="s">
        <v>13</v>
      </c>
      <c r="D79" s="94">
        <f>4.65*1.2</f>
        <v>5.58</v>
      </c>
      <c r="E79" s="88"/>
      <c r="F79" s="89">
        <f>D79*E79</f>
        <v>0</v>
      </c>
    </row>
    <row r="80" spans="1:6" s="90" customFormat="1" ht="26.4">
      <c r="A80" s="84" t="s">
        <v>144</v>
      </c>
      <c r="B80" s="24" t="s">
        <v>145</v>
      </c>
      <c r="C80" s="23" t="s">
        <v>13</v>
      </c>
      <c r="D80" s="94">
        <f>5.3*4*1.2</f>
        <v>25.439999999999998</v>
      </c>
      <c r="E80" s="88"/>
      <c r="F80" s="89">
        <f>D80*E80</f>
        <v>0</v>
      </c>
    </row>
    <row r="81" spans="1:6" s="90" customFormat="1" ht="13.2">
      <c r="A81" s="84" t="s">
        <v>146</v>
      </c>
      <c r="B81" s="24" t="s">
        <v>147</v>
      </c>
      <c r="C81" s="23" t="s">
        <v>141</v>
      </c>
      <c r="D81" s="94">
        <f>20*1.2</f>
        <v>24</v>
      </c>
      <c r="E81" s="88"/>
      <c r="F81" s="89">
        <f>D81*E81</f>
        <v>0</v>
      </c>
    </row>
    <row r="82" spans="1:6" s="90" customFormat="1" ht="13.2">
      <c r="A82" s="84" t="s">
        <v>92</v>
      </c>
      <c r="B82" s="84" t="s">
        <v>148</v>
      </c>
      <c r="C82" s="84" t="s">
        <v>92</v>
      </c>
      <c r="D82" s="85" t="s">
        <v>92</v>
      </c>
      <c r="E82" s="84"/>
      <c r="F82" s="91">
        <f>SUM(F78:F81)</f>
        <v>0</v>
      </c>
    </row>
    <row r="83" spans="1:6" s="90" customFormat="1" ht="13.2">
      <c r="A83" s="84" t="s">
        <v>149</v>
      </c>
      <c r="B83" s="21" t="s">
        <v>150</v>
      </c>
      <c r="C83" s="23" t="s">
        <v>91</v>
      </c>
      <c r="D83" s="86" t="s">
        <v>92</v>
      </c>
      <c r="E83" s="23"/>
      <c r="F83" s="23" t="s">
        <v>91</v>
      </c>
    </row>
    <row r="84" spans="1:6" s="90" customFormat="1" ht="26.4">
      <c r="A84" s="84" t="s">
        <v>151</v>
      </c>
      <c r="B84" s="24" t="s">
        <v>152</v>
      </c>
      <c r="C84" s="23" t="s">
        <v>12</v>
      </c>
      <c r="D84" s="94">
        <v>1</v>
      </c>
      <c r="E84" s="88"/>
      <c r="F84" s="89">
        <f>D84*E84</f>
        <v>0</v>
      </c>
    </row>
    <row r="85" spans="1:6" s="90" customFormat="1" ht="26.4">
      <c r="A85" s="84" t="s">
        <v>153</v>
      </c>
      <c r="B85" s="24" t="s">
        <v>154</v>
      </c>
      <c r="C85" s="23" t="s">
        <v>12</v>
      </c>
      <c r="D85" s="94">
        <v>2</v>
      </c>
      <c r="E85" s="88"/>
      <c r="F85" s="89">
        <f>D85*E85</f>
        <v>0</v>
      </c>
    </row>
    <row r="86" spans="1:6" s="90" customFormat="1" ht="13.2">
      <c r="A86" s="84" t="s">
        <v>92</v>
      </c>
      <c r="B86" s="84" t="s">
        <v>155</v>
      </c>
      <c r="C86" s="84" t="s">
        <v>92</v>
      </c>
      <c r="D86" s="85" t="s">
        <v>92</v>
      </c>
      <c r="E86" s="84"/>
      <c r="F86" s="91">
        <f>SUM(F84:F85)</f>
        <v>0</v>
      </c>
    </row>
    <row r="87" spans="1:6" s="90" customFormat="1" ht="13.2">
      <c r="A87" s="84" t="s">
        <v>156</v>
      </c>
      <c r="B87" s="21" t="s">
        <v>157</v>
      </c>
      <c r="C87" s="23" t="s">
        <v>91</v>
      </c>
      <c r="D87" s="87" t="s">
        <v>91</v>
      </c>
      <c r="E87" s="23"/>
      <c r="F87" s="23" t="s">
        <v>91</v>
      </c>
    </row>
    <row r="88" spans="1:6" s="90" customFormat="1" ht="15.6">
      <c r="A88" s="84" t="s">
        <v>158</v>
      </c>
      <c r="B88" s="24" t="s">
        <v>159</v>
      </c>
      <c r="C88" s="23" t="s">
        <v>190</v>
      </c>
      <c r="D88" s="94">
        <f>(18*3.65)*1.2</f>
        <v>78.84</v>
      </c>
      <c r="E88" s="88"/>
      <c r="F88" s="89">
        <f t="shared" ref="F88:F93" si="7">D88*E88</f>
        <v>0</v>
      </c>
    </row>
    <row r="89" spans="1:6" s="90" customFormat="1" ht="15.6">
      <c r="A89" s="84" t="s">
        <v>160</v>
      </c>
      <c r="B89" s="24" t="s">
        <v>161</v>
      </c>
      <c r="C89" s="23" t="s">
        <v>190</v>
      </c>
      <c r="D89" s="94">
        <f>(18*4.5)*1.2</f>
        <v>97.2</v>
      </c>
      <c r="E89" s="88"/>
      <c r="F89" s="89">
        <f t="shared" si="7"/>
        <v>0</v>
      </c>
    </row>
    <row r="90" spans="1:6" s="90" customFormat="1" ht="15.6">
      <c r="A90" s="84" t="s">
        <v>162</v>
      </c>
      <c r="B90" s="24" t="s">
        <v>163</v>
      </c>
      <c r="C90" s="23" t="s">
        <v>190</v>
      </c>
      <c r="D90" s="94">
        <f>+D88</f>
        <v>78.84</v>
      </c>
      <c r="E90" s="88"/>
      <c r="F90" s="89">
        <f t="shared" si="7"/>
        <v>0</v>
      </c>
    </row>
    <row r="91" spans="1:6" s="90" customFormat="1" ht="15.6">
      <c r="A91" s="84" t="s">
        <v>164</v>
      </c>
      <c r="B91" s="24" t="s">
        <v>165</v>
      </c>
      <c r="C91" s="23" t="s">
        <v>190</v>
      </c>
      <c r="D91" s="94">
        <f>+D89</f>
        <v>97.2</v>
      </c>
      <c r="E91" s="88"/>
      <c r="F91" s="89">
        <f t="shared" si="7"/>
        <v>0</v>
      </c>
    </row>
    <row r="92" spans="1:6" s="90" customFormat="1" ht="15.6">
      <c r="A92" s="84" t="s">
        <v>166</v>
      </c>
      <c r="B92" s="24" t="s">
        <v>167</v>
      </c>
      <c r="C92" s="23" t="s">
        <v>190</v>
      </c>
      <c r="D92" s="94">
        <f>+D81</f>
        <v>24</v>
      </c>
      <c r="E92" s="88"/>
      <c r="F92" s="89">
        <f t="shared" si="7"/>
        <v>0</v>
      </c>
    </row>
    <row r="93" spans="1:6" s="90" customFormat="1" ht="15.6">
      <c r="A93" s="84" t="s">
        <v>168</v>
      </c>
      <c r="B93" s="24" t="s">
        <v>169</v>
      </c>
      <c r="C93" s="23" t="s">
        <v>190</v>
      </c>
      <c r="D93" s="94">
        <f>20*1.2</f>
        <v>24</v>
      </c>
      <c r="E93" s="88"/>
      <c r="F93" s="89">
        <f t="shared" si="7"/>
        <v>0</v>
      </c>
    </row>
    <row r="94" spans="1:6" s="90" customFormat="1" ht="13.2">
      <c r="A94" s="84" t="s">
        <v>92</v>
      </c>
      <c r="B94" s="84" t="s">
        <v>170</v>
      </c>
      <c r="C94" s="84" t="s">
        <v>92</v>
      </c>
      <c r="D94" s="85" t="s">
        <v>92</v>
      </c>
      <c r="E94" s="84"/>
      <c r="F94" s="91">
        <f>SUM(F88:F93)</f>
        <v>0</v>
      </c>
    </row>
    <row r="95" spans="1:6" s="90" customFormat="1" ht="13.2">
      <c r="A95" s="84" t="s">
        <v>171</v>
      </c>
      <c r="B95" s="21" t="s">
        <v>172</v>
      </c>
      <c r="C95" s="23" t="s">
        <v>91</v>
      </c>
      <c r="D95" s="87" t="s">
        <v>91</v>
      </c>
      <c r="E95" s="23"/>
      <c r="F95" s="23" t="s">
        <v>91</v>
      </c>
    </row>
    <row r="96" spans="1:6" s="90" customFormat="1" ht="26.4">
      <c r="A96" s="84" t="s">
        <v>173</v>
      </c>
      <c r="B96" s="24" t="s">
        <v>174</v>
      </c>
      <c r="C96" s="23" t="s">
        <v>27</v>
      </c>
      <c r="D96" s="94">
        <v>1</v>
      </c>
      <c r="E96" s="88"/>
      <c r="F96" s="89">
        <f>D96*E96</f>
        <v>0</v>
      </c>
    </row>
    <row r="97" spans="1:9" s="90" customFormat="1" ht="13.2">
      <c r="A97" s="84" t="s">
        <v>175</v>
      </c>
      <c r="B97" s="24" t="s">
        <v>176</v>
      </c>
      <c r="C97" s="23" t="s">
        <v>12</v>
      </c>
      <c r="D97" s="94">
        <v>3</v>
      </c>
      <c r="E97" s="88"/>
      <c r="F97" s="89">
        <f>D97*E97</f>
        <v>0</v>
      </c>
    </row>
    <row r="98" spans="1:9" s="90" customFormat="1" ht="13.2">
      <c r="A98" s="84" t="s">
        <v>177</v>
      </c>
      <c r="B98" s="93" t="s">
        <v>178</v>
      </c>
      <c r="C98" s="23" t="s">
        <v>12</v>
      </c>
      <c r="D98" s="94">
        <v>4</v>
      </c>
      <c r="E98" s="88"/>
      <c r="F98" s="89">
        <f>D98*E98</f>
        <v>0</v>
      </c>
    </row>
    <row r="99" spans="1:9" s="90" customFormat="1" ht="13.2">
      <c r="A99" s="84" t="s">
        <v>179</v>
      </c>
      <c r="B99" s="24" t="s">
        <v>180</v>
      </c>
      <c r="C99" s="23" t="s">
        <v>12</v>
      </c>
      <c r="D99" s="94">
        <v>2</v>
      </c>
      <c r="E99" s="88"/>
      <c r="F99" s="89">
        <f>D99*E99</f>
        <v>0</v>
      </c>
    </row>
    <row r="100" spans="1:9" s="90" customFormat="1" ht="13.2">
      <c r="A100" s="84" t="s">
        <v>181</v>
      </c>
      <c r="B100" s="24" t="s">
        <v>182</v>
      </c>
      <c r="C100" s="23" t="s">
        <v>12</v>
      </c>
      <c r="D100" s="94">
        <v>1</v>
      </c>
      <c r="E100" s="88"/>
      <c r="F100" s="89">
        <f>D100*E100</f>
        <v>0</v>
      </c>
    </row>
    <row r="101" spans="1:9" s="90" customFormat="1" ht="13.2">
      <c r="A101" s="84" t="s">
        <v>92</v>
      </c>
      <c r="B101" s="84" t="s">
        <v>183</v>
      </c>
      <c r="C101" s="84" t="s">
        <v>92</v>
      </c>
      <c r="D101" s="85" t="s">
        <v>92</v>
      </c>
      <c r="E101" s="84" t="s">
        <v>91</v>
      </c>
      <c r="F101" s="91">
        <f>SUM(F96:F100)</f>
        <v>0</v>
      </c>
    </row>
    <row r="102" spans="1:9" s="90" customFormat="1" ht="13.2">
      <c r="A102" s="95" t="s">
        <v>92</v>
      </c>
      <c r="B102" s="96" t="s">
        <v>184</v>
      </c>
      <c r="C102" s="97" t="s">
        <v>91</v>
      </c>
      <c r="D102" s="98" t="s">
        <v>91</v>
      </c>
      <c r="E102" s="97" t="s">
        <v>91</v>
      </c>
      <c r="F102" s="99">
        <f>F101+F94+F86+F82+F76+F67+F58</f>
        <v>0</v>
      </c>
    </row>
    <row r="103" spans="1:9">
      <c r="A103" s="106" t="s">
        <v>22</v>
      </c>
      <c r="B103" s="106"/>
      <c r="C103" s="34"/>
      <c r="D103" s="34"/>
      <c r="E103" s="34"/>
      <c r="F103" s="35">
        <f>+F8+F13+F28+F40+F49+F102</f>
        <v>500000</v>
      </c>
    </row>
    <row r="104" spans="1:9" s="9" customFormat="1" ht="15">
      <c r="A104" s="39"/>
      <c r="B104" s="40" t="s">
        <v>23</v>
      </c>
      <c r="C104" s="40"/>
      <c r="D104" s="40"/>
      <c r="E104" s="40"/>
      <c r="F104" s="41"/>
      <c r="G104" s="8"/>
    </row>
    <row r="105" spans="1:9" s="9" customFormat="1" ht="15">
      <c r="A105" s="37"/>
      <c r="B105" s="38"/>
      <c r="C105" s="38"/>
      <c r="D105" s="38"/>
      <c r="E105" s="38"/>
      <c r="F105" s="38"/>
      <c r="G105" s="8"/>
      <c r="I105" s="10"/>
    </row>
    <row r="106" spans="1:9" s="9" customFormat="1" ht="15">
      <c r="A106" s="42"/>
      <c r="B106" s="43" t="s">
        <v>24</v>
      </c>
      <c r="C106" s="43"/>
      <c r="D106" s="43"/>
      <c r="E106" s="43"/>
      <c r="F106" s="44" t="s">
        <v>25</v>
      </c>
      <c r="G106" s="8"/>
      <c r="I106" s="10"/>
    </row>
    <row r="107" spans="1:9">
      <c r="A107" s="104" t="s">
        <v>0</v>
      </c>
      <c r="B107" s="105" t="s">
        <v>63</v>
      </c>
      <c r="C107" s="104" t="s">
        <v>81</v>
      </c>
      <c r="D107" s="104" t="s">
        <v>80</v>
      </c>
    </row>
    <row r="108" spans="1:9">
      <c r="A108" s="104"/>
      <c r="B108" s="105"/>
      <c r="C108" s="104"/>
      <c r="D108" s="104"/>
    </row>
    <row r="109" spans="1:9">
      <c r="A109" s="65">
        <v>1</v>
      </c>
      <c r="B109" s="64" t="str">
        <f>+B5</f>
        <v>Travaux preliminaires</v>
      </c>
      <c r="C109" s="66">
        <f>F8</f>
        <v>0</v>
      </c>
      <c r="D109" s="76">
        <f>+C109/$C$115</f>
        <v>0</v>
      </c>
    </row>
    <row r="110" spans="1:9">
      <c r="A110" s="65">
        <v>2</v>
      </c>
      <c r="B110" s="67" t="str">
        <f>B9</f>
        <v>Reseau de refoulement</v>
      </c>
      <c r="C110" s="66">
        <f>+F13</f>
        <v>0</v>
      </c>
      <c r="D110" s="76">
        <f t="shared" ref="D110:D115" si="8">+C110/$C$115</f>
        <v>0</v>
      </c>
    </row>
    <row r="111" spans="1:9">
      <c r="A111" s="65">
        <v>3</v>
      </c>
      <c r="B111" s="67" t="str">
        <f>B14</f>
        <v>Réseau de distribution</v>
      </c>
      <c r="C111" s="66">
        <f>+F28</f>
        <v>0</v>
      </c>
      <c r="D111" s="76">
        <f t="shared" si="8"/>
        <v>0</v>
      </c>
    </row>
    <row r="112" spans="1:9">
      <c r="A112" s="65">
        <v>4</v>
      </c>
      <c r="B112" s="67" t="str">
        <f>B29</f>
        <v>Clôture et Annexe</v>
      </c>
      <c r="C112" s="66">
        <f>+F40</f>
        <v>0</v>
      </c>
      <c r="D112" s="76">
        <f t="shared" si="8"/>
        <v>0</v>
      </c>
    </row>
    <row r="113" spans="1:4">
      <c r="A113" s="65">
        <v>5</v>
      </c>
      <c r="B113" s="68" t="str">
        <f>+B41</f>
        <v>Mise en œuvre du PGES</v>
      </c>
      <c r="C113" s="66">
        <f>+F49</f>
        <v>500000</v>
      </c>
      <c r="D113" s="76">
        <f t="shared" si="8"/>
        <v>1</v>
      </c>
    </row>
    <row r="114" spans="1:4">
      <c r="A114" s="65">
        <v>6</v>
      </c>
      <c r="B114" s="68" t="s">
        <v>189</v>
      </c>
      <c r="C114" s="66">
        <f>+F102</f>
        <v>0</v>
      </c>
      <c r="D114" s="76">
        <f t="shared" si="8"/>
        <v>0</v>
      </c>
    </row>
    <row r="115" spans="1:4">
      <c r="A115" s="65"/>
      <c r="B115" s="69" t="s">
        <v>64</v>
      </c>
      <c r="C115" s="70">
        <f>SUM(C109:C114)</f>
        <v>500000</v>
      </c>
      <c r="D115" s="76">
        <f t="shared" si="8"/>
        <v>1</v>
      </c>
    </row>
    <row r="117" spans="1:4">
      <c r="B117" s="37"/>
    </row>
    <row r="118" spans="1:4">
      <c r="B118" s="37"/>
    </row>
    <row r="119" spans="1:4" ht="10.95" customHeight="1">
      <c r="B119" s="37"/>
    </row>
    <row r="120" spans="1:4">
      <c r="B120" s="37"/>
    </row>
    <row r="121" spans="1:4" ht="25.2" customHeight="1">
      <c r="B121" s="37"/>
    </row>
    <row r="122" spans="1:4" ht="25.95" customHeight="1">
      <c r="B122" s="37"/>
    </row>
    <row r="123" spans="1:4">
      <c r="B123" s="37"/>
    </row>
    <row r="124" spans="1:4">
      <c r="B124" s="37"/>
    </row>
    <row r="125" spans="1:4">
      <c r="B125" s="37"/>
    </row>
    <row r="126" spans="1:4">
      <c r="B126" s="37"/>
    </row>
    <row r="127" spans="1:4">
      <c r="B127" s="37"/>
    </row>
    <row r="128" spans="1:4">
      <c r="B128" s="37"/>
    </row>
    <row r="129" spans="2:2">
      <c r="B129" s="37"/>
    </row>
    <row r="130" spans="2:2">
      <c r="B130" s="37"/>
    </row>
  </sheetData>
  <mergeCells count="12">
    <mergeCell ref="B50:F50"/>
    <mergeCell ref="A107:A108"/>
    <mergeCell ref="B107:B108"/>
    <mergeCell ref="C107:C108"/>
    <mergeCell ref="D107:D108"/>
    <mergeCell ref="A103:B103"/>
    <mergeCell ref="A1:F1"/>
    <mergeCell ref="A2:F2"/>
    <mergeCell ref="A3:A4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BABOUGOU (1)</vt:lpstr>
      <vt:lpstr>KENEKELE var1</vt:lpstr>
      <vt:lpstr>NIADIOBOUGOU (1)</vt:lpstr>
      <vt:lpstr>MONZONA var1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Hamidou</dc:creator>
  <cp:lastModifiedBy>cherifoudine ABDOULAYE</cp:lastModifiedBy>
  <dcterms:created xsi:type="dcterms:W3CDTF">2024-12-03T21:55:34Z</dcterms:created>
  <dcterms:modified xsi:type="dcterms:W3CDTF">2025-01-15T17:26:16Z</dcterms:modified>
</cp:coreProperties>
</file>