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-Bureau-Ordi -KIN\2-ACHATS TRAITES (LB &amp; LC)\1_Achats 2023-2024-2025\LC 2023-2024-2025\00_DOSSIER_2025\COD22003-10077 - Construction_Centres de santé_Gemena_et_Wamanda\1_Préparation\"/>
    </mc:Choice>
  </mc:AlternateContent>
  <xr:revisionPtr revIDLastSave="0" documentId="13_ncr:1_{4D99DAD2-184B-490C-84EF-B0EC591DF834}" xr6:coauthVersionLast="47" xr6:coauthVersionMax="47" xr10:uidLastSave="{00000000-0000-0000-0000-000000000000}"/>
  <bookViews>
    <workbookView xWindow="-108" yWindow="-108" windowWidth="23256" windowHeight="12456" tabRatio="710" xr2:uid="{3F672669-46C2-497B-92D2-FDF0A7CC7CA1}"/>
  </bookViews>
  <sheets>
    <sheet name="Bordereau_Lot 2_Ferme" sheetId="6" r:id="rId1"/>
  </sheets>
  <definedNames>
    <definedName name="_Hlk183436240" localSheetId="0">#N/A</definedName>
    <definedName name="_xlnm.Print_Area" localSheetId="0">'Bordereau_Lot 2_Ferme'!$A$1:$F$680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7" i="6" l="1"/>
  <c r="F668" i="6" s="1"/>
  <c r="D663" i="6"/>
  <c r="F663" i="6"/>
  <c r="F659" i="6"/>
  <c r="F658" i="6"/>
  <c r="F657" i="6"/>
  <c r="D651" i="6"/>
  <c r="F651" i="6" s="1"/>
  <c r="D649" i="6"/>
  <c r="F649" i="6"/>
  <c r="D646" i="6"/>
  <c r="F646" i="6"/>
  <c r="D640" i="6"/>
  <c r="F640" i="6" s="1"/>
  <c r="D639" i="6"/>
  <c r="F639" i="6" s="1"/>
  <c r="D637" i="6"/>
  <c r="F637" i="6" s="1"/>
  <c r="D636" i="6"/>
  <c r="F636" i="6" s="1"/>
  <c r="D634" i="6"/>
  <c r="F634" i="6" s="1"/>
  <c r="D632" i="6"/>
  <c r="F632" i="6" s="1"/>
  <c r="F622" i="6"/>
  <c r="F621" i="6"/>
  <c r="D620" i="6"/>
  <c r="F620" i="6" s="1"/>
  <c r="D619" i="6"/>
  <c r="F619" i="6" s="1"/>
  <c r="D618" i="6"/>
  <c r="F618" i="6" s="1"/>
  <c r="D617" i="6"/>
  <c r="F617" i="6" s="1"/>
  <c r="D616" i="6"/>
  <c r="F616" i="6" s="1"/>
  <c r="F611" i="6"/>
  <c r="F610" i="6"/>
  <c r="F605" i="6"/>
  <c r="D604" i="6"/>
  <c r="F604" i="6"/>
  <c r="F598" i="6"/>
  <c r="F597" i="6"/>
  <c r="D595" i="6"/>
  <c r="F595" i="6" s="1"/>
  <c r="F594" i="6"/>
  <c r="F590" i="6"/>
  <c r="F589" i="6"/>
  <c r="F588" i="6"/>
  <c r="F587" i="6"/>
  <c r="F586" i="6"/>
  <c r="F585" i="6"/>
  <c r="F584" i="6"/>
  <c r="F583" i="6"/>
  <c r="F582" i="6"/>
  <c r="F581" i="6"/>
  <c r="D575" i="6"/>
  <c r="F575" i="6" s="1"/>
  <c r="D574" i="6"/>
  <c r="F574" i="6"/>
  <c r="F573" i="6"/>
  <c r="D572" i="6"/>
  <c r="F572" i="6" s="1"/>
  <c r="F568" i="6"/>
  <c r="F567" i="6"/>
  <c r="F566" i="6"/>
  <c r="F564" i="6"/>
  <c r="F563" i="6"/>
  <c r="D557" i="6"/>
  <c r="D603" i="6" s="1"/>
  <c r="F603" i="6" s="1"/>
  <c r="F556" i="6"/>
  <c r="F552" i="6"/>
  <c r="D551" i="6"/>
  <c r="F551" i="6"/>
  <c r="F553" i="6" s="1"/>
  <c r="F544" i="6"/>
  <c r="F543" i="6"/>
  <c r="F542" i="6"/>
  <c r="F541" i="6"/>
  <c r="F540" i="6"/>
  <c r="F533" i="6"/>
  <c r="D526" i="6"/>
  <c r="F526" i="6" s="1"/>
  <c r="F527" i="6" s="1"/>
  <c r="F516" i="6"/>
  <c r="F515" i="6"/>
  <c r="D514" i="6"/>
  <c r="F514" i="6"/>
  <c r="F517" i="6" s="1"/>
  <c r="D509" i="6"/>
  <c r="F509" i="6" s="1"/>
  <c r="D506" i="6"/>
  <c r="F506" i="6" s="1"/>
  <c r="D504" i="6"/>
  <c r="F504" i="6" s="1"/>
  <c r="F494" i="6"/>
  <c r="F493" i="6"/>
  <c r="D492" i="6"/>
  <c r="F492" i="6" s="1"/>
  <c r="D487" i="6"/>
  <c r="F487" i="6" s="1"/>
  <c r="D484" i="6"/>
  <c r="F484" i="6" s="1"/>
  <c r="D482" i="6"/>
  <c r="F482" i="6" s="1"/>
  <c r="F472" i="6"/>
  <c r="F473" i="6"/>
  <c r="F469" i="6"/>
  <c r="D468" i="6"/>
  <c r="F468" i="6" s="1"/>
  <c r="D467" i="6"/>
  <c r="F467" i="6" s="1"/>
  <c r="D464" i="6"/>
  <c r="F464" i="6" s="1"/>
  <c r="D459" i="6"/>
  <c r="F459" i="6" s="1"/>
  <c r="D457" i="6"/>
  <c r="F457" i="6" s="1"/>
  <c r="D447" i="6"/>
  <c r="F447" i="6" s="1"/>
  <c r="F444" i="6"/>
  <c r="F443" i="6"/>
  <c r="F445" i="6" s="1"/>
  <c r="F448" i="6" s="1"/>
  <c r="F442" i="6"/>
  <c r="D439" i="6"/>
  <c r="F439" i="6" s="1"/>
  <c r="D438" i="6"/>
  <c r="F438" i="6"/>
  <c r="D437" i="6"/>
  <c r="F437" i="6"/>
  <c r="F432" i="6"/>
  <c r="D430" i="6"/>
  <c r="F430" i="6" s="1"/>
  <c r="F434" i="6" s="1"/>
  <c r="D429" i="6"/>
  <c r="F429" i="6" s="1"/>
  <c r="D425" i="6"/>
  <c r="F425" i="6"/>
  <c r="D424" i="6"/>
  <c r="F424" i="6" s="1"/>
  <c r="D421" i="6"/>
  <c r="F421" i="6" s="1"/>
  <c r="D419" i="6"/>
  <c r="F419" i="6" s="1"/>
  <c r="D417" i="6"/>
  <c r="F417" i="6" s="1"/>
  <c r="F407" i="6"/>
  <c r="F406" i="6"/>
  <c r="D403" i="6"/>
  <c r="F403" i="6" s="1"/>
  <c r="D402" i="6"/>
  <c r="F402" i="6" s="1"/>
  <c r="D399" i="6"/>
  <c r="F399" i="6" s="1"/>
  <c r="D398" i="6"/>
  <c r="F398" i="6" s="1"/>
  <c r="D397" i="6"/>
  <c r="F397" i="6" s="1"/>
  <c r="D395" i="6"/>
  <c r="F395" i="6" s="1"/>
  <c r="D392" i="6"/>
  <c r="F392" i="6"/>
  <c r="D387" i="6"/>
  <c r="F387" i="6" s="1"/>
  <c r="D384" i="6"/>
  <c r="F384" i="6" s="1"/>
  <c r="D382" i="6"/>
  <c r="F382" i="6" s="1"/>
  <c r="F372" i="6"/>
  <c r="F371" i="6"/>
  <c r="F366" i="6"/>
  <c r="F365" i="6"/>
  <c r="F361" i="6"/>
  <c r="F360" i="6"/>
  <c r="F359" i="6"/>
  <c r="F358" i="6"/>
  <c r="F357" i="6"/>
  <c r="F355" i="6"/>
  <c r="F354" i="6"/>
  <c r="F353" i="6"/>
  <c r="F352" i="6"/>
  <c r="F351" i="6"/>
  <c r="F350" i="6"/>
  <c r="F349" i="6"/>
  <c r="F348" i="6"/>
  <c r="F347" i="6"/>
  <c r="F346" i="6"/>
  <c r="F345" i="6"/>
  <c r="F344" i="6"/>
  <c r="F340" i="6"/>
  <c r="F339" i="6"/>
  <c r="F338" i="6"/>
  <c r="F337" i="6"/>
  <c r="F336" i="6"/>
  <c r="F335" i="6"/>
  <c r="F334" i="6"/>
  <c r="D329" i="6"/>
  <c r="F329" i="6" s="1"/>
  <c r="F328" i="6"/>
  <c r="D327" i="6"/>
  <c r="F327" i="6"/>
  <c r="D326" i="6"/>
  <c r="F326" i="6"/>
  <c r="F325" i="6"/>
  <c r="F321" i="6"/>
  <c r="F320" i="6"/>
  <c r="F319" i="6"/>
  <c r="D313" i="6"/>
  <c r="F313" i="6" s="1"/>
  <c r="F312" i="6"/>
  <c r="D311" i="6"/>
  <c r="F311" i="6" s="1"/>
  <c r="D310" i="6"/>
  <c r="F310" i="6" s="1"/>
  <c r="D309" i="6"/>
  <c r="F309" i="6" s="1"/>
  <c r="D304" i="6"/>
  <c r="F304" i="6" s="1"/>
  <c r="D303" i="6"/>
  <c r="F303" i="6" s="1"/>
  <c r="D301" i="6"/>
  <c r="F301" i="6"/>
  <c r="F298" i="6"/>
  <c r="F297" i="6"/>
  <c r="D292" i="6"/>
  <c r="F292" i="6" s="1"/>
  <c r="D291" i="6"/>
  <c r="F291" i="6" s="1"/>
  <c r="F289" i="6"/>
  <c r="F288" i="6"/>
  <c r="F286" i="6"/>
  <c r="D285" i="6"/>
  <c r="F285" i="6"/>
  <c r="D283" i="6"/>
  <c r="F283" i="6" s="1"/>
  <c r="F282" i="6"/>
  <c r="F280" i="6"/>
  <c r="D278" i="6"/>
  <c r="F278" i="6"/>
  <c r="D276" i="6"/>
  <c r="F276" i="6" s="1"/>
  <c r="D266" i="6"/>
  <c r="F266" i="6" s="1"/>
  <c r="D265" i="6"/>
  <c r="F265" i="6" s="1"/>
  <c r="D264" i="6"/>
  <c r="F264" i="6" s="1"/>
  <c r="D263" i="6"/>
  <c r="F263" i="6"/>
  <c r="D262" i="6"/>
  <c r="F262" i="6" s="1"/>
  <c r="F257" i="6"/>
  <c r="F256" i="6"/>
  <c r="D251" i="6"/>
  <c r="F251" i="6" s="1"/>
  <c r="D250" i="6"/>
  <c r="F250" i="6" s="1"/>
  <c r="D249" i="6"/>
  <c r="F249" i="6"/>
  <c r="F245" i="6"/>
  <c r="F244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27" i="6"/>
  <c r="F226" i="6"/>
  <c r="F225" i="6"/>
  <c r="F224" i="6"/>
  <c r="F223" i="6"/>
  <c r="F222" i="6"/>
  <c r="F221" i="6"/>
  <c r="F220" i="6"/>
  <c r="F219" i="6"/>
  <c r="D214" i="6"/>
  <c r="F214" i="6"/>
  <c r="F213" i="6"/>
  <c r="F212" i="6"/>
  <c r="D211" i="6"/>
  <c r="F211" i="6" s="1"/>
  <c r="D210" i="6"/>
  <c r="F210" i="6" s="1"/>
  <c r="F206" i="6"/>
  <c r="F204" i="6"/>
  <c r="F203" i="6"/>
  <c r="F202" i="6"/>
  <c r="F201" i="6"/>
  <c r="F199" i="6"/>
  <c r="F198" i="6"/>
  <c r="D192" i="6"/>
  <c r="F192" i="6"/>
  <c r="D191" i="6"/>
  <c r="F191" i="6" s="1"/>
  <c r="D190" i="6"/>
  <c r="F190" i="6" s="1"/>
  <c r="D189" i="6"/>
  <c r="F189" i="6" s="1"/>
  <c r="D188" i="6"/>
  <c r="F188" i="6" s="1"/>
  <c r="D187" i="6"/>
  <c r="F187" i="6" s="1"/>
  <c r="D182" i="6"/>
  <c r="F182" i="6" s="1"/>
  <c r="D181" i="6"/>
  <c r="F181" i="6" s="1"/>
  <c r="D179" i="6"/>
  <c r="F179" i="6" s="1"/>
  <c r="D176" i="6"/>
  <c r="F176" i="6" s="1"/>
  <c r="D174" i="6"/>
  <c r="F174" i="6" s="1"/>
  <c r="D169" i="6"/>
  <c r="F169" i="6"/>
  <c r="D168" i="6"/>
  <c r="F168" i="6" s="1"/>
  <c r="D167" i="6"/>
  <c r="F167" i="6" s="1"/>
  <c r="D166" i="6"/>
  <c r="F166" i="6" s="1"/>
  <c r="D165" i="6"/>
  <c r="F165" i="6" s="1"/>
  <c r="D163" i="6"/>
  <c r="F163" i="6" s="1"/>
  <c r="D162" i="6"/>
  <c r="F162" i="6" s="1"/>
  <c r="D160" i="6"/>
  <c r="F160" i="6" s="1"/>
  <c r="D158" i="6"/>
  <c r="F158" i="6" s="1"/>
  <c r="D157" i="6"/>
  <c r="F157" i="6" s="1"/>
  <c r="F146" i="6"/>
  <c r="F145" i="6"/>
  <c r="F144" i="6"/>
  <c r="F143" i="6"/>
  <c r="F142" i="6"/>
  <c r="D141" i="6"/>
  <c r="F141" i="6" s="1"/>
  <c r="D140" i="6"/>
  <c r="F140" i="6" s="1"/>
  <c r="D139" i="6"/>
  <c r="F139" i="6"/>
  <c r="D138" i="6"/>
  <c r="F138" i="6"/>
  <c r="D137" i="6"/>
  <c r="F137" i="6" s="1"/>
  <c r="F132" i="6"/>
  <c r="F131" i="6"/>
  <c r="D126" i="6"/>
  <c r="F126" i="6" s="1"/>
  <c r="D125" i="6"/>
  <c r="F125" i="6"/>
  <c r="F120" i="6"/>
  <c r="F119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99" i="6"/>
  <c r="F98" i="6"/>
  <c r="F97" i="6"/>
  <c r="F96" i="6"/>
  <c r="F95" i="6"/>
  <c r="F94" i="6"/>
  <c r="F93" i="6"/>
  <c r="F92" i="6"/>
  <c r="F91" i="6"/>
  <c r="F100" i="6" s="1"/>
  <c r="D85" i="6"/>
  <c r="F85" i="6" s="1"/>
  <c r="D84" i="6"/>
  <c r="F84" i="6" s="1"/>
  <c r="D83" i="6"/>
  <c r="F83" i="6" s="1"/>
  <c r="D82" i="6"/>
  <c r="F82" i="6" s="1"/>
  <c r="D81" i="6"/>
  <c r="F81" i="6" s="1"/>
  <c r="F77" i="6"/>
  <c r="F76" i="6"/>
  <c r="F75" i="6"/>
  <c r="F74" i="6"/>
  <c r="F73" i="6"/>
  <c r="F72" i="6"/>
  <c r="F71" i="6"/>
  <c r="F70" i="6"/>
  <c r="F69" i="6"/>
  <c r="F67" i="6"/>
  <c r="F66" i="6"/>
  <c r="F65" i="6"/>
  <c r="F64" i="6"/>
  <c r="F63" i="6"/>
  <c r="D57" i="6"/>
  <c r="F57" i="6" s="1"/>
  <c r="D56" i="6"/>
  <c r="F56" i="6" s="1"/>
  <c r="D55" i="6"/>
  <c r="F55" i="6" s="1"/>
  <c r="D54" i="6"/>
  <c r="F54" i="6" s="1"/>
  <c r="D53" i="6"/>
  <c r="F53" i="6" s="1"/>
  <c r="D52" i="6"/>
  <c r="F52" i="6" s="1"/>
  <c r="D47" i="6"/>
  <c r="F47" i="6" s="1"/>
  <c r="D46" i="6"/>
  <c r="F46" i="6" s="1"/>
  <c r="D45" i="6"/>
  <c r="F45" i="6" s="1"/>
  <c r="D43" i="6"/>
  <c r="F43" i="6"/>
  <c r="F40" i="6"/>
  <c r="D38" i="6"/>
  <c r="F38" i="6" s="1"/>
  <c r="D33" i="6"/>
  <c r="F33" i="6" s="1"/>
  <c r="D32" i="6"/>
  <c r="F32" i="6" s="1"/>
  <c r="D31" i="6"/>
  <c r="F31" i="6"/>
  <c r="D30" i="6"/>
  <c r="F30" i="6" s="1"/>
  <c r="D29" i="6"/>
  <c r="F29" i="6" s="1"/>
  <c r="D27" i="6"/>
  <c r="F27" i="6" s="1"/>
  <c r="D26" i="6"/>
  <c r="F26" i="6"/>
  <c r="D24" i="6"/>
  <c r="F24" i="6" s="1"/>
  <c r="D22" i="6"/>
  <c r="F22" i="6" s="1"/>
  <c r="F12" i="6"/>
  <c r="F13" i="6" s="1"/>
  <c r="F8" i="6"/>
  <c r="F373" i="6"/>
  <c r="F534" i="6"/>
  <c r="F536" i="6" s="1"/>
  <c r="F133" i="6"/>
  <c r="F664" i="6"/>
  <c r="D602" i="6"/>
  <c r="F602" i="6" s="1"/>
  <c r="F408" i="6"/>
  <c r="F367" i="6"/>
  <c r="F322" i="6" l="1"/>
  <c r="F660" i="6"/>
  <c r="F495" i="6"/>
  <c r="F557" i="6"/>
  <c r="F228" i="6"/>
  <c r="F215" i="6"/>
  <c r="F497" i="6"/>
  <c r="F148" i="6"/>
  <c r="F78" i="6"/>
  <c r="F569" i="6"/>
  <c r="F252" i="6"/>
  <c r="D124" i="6"/>
  <c r="F124" i="6" s="1"/>
  <c r="F127" i="6" s="1"/>
  <c r="F362" i="6"/>
  <c r="F488" i="6"/>
  <c r="F558" i="6"/>
  <c r="F193" i="6"/>
  <c r="F606" i="6"/>
  <c r="F388" i="6"/>
  <c r="F426" i="6"/>
  <c r="F450" i="6" s="1"/>
  <c r="F58" i="6"/>
  <c r="F404" i="6"/>
  <c r="F641" i="6"/>
  <c r="F671" i="6" s="1"/>
  <c r="F48" i="6"/>
  <c r="F470" i="6"/>
  <c r="F577" i="6"/>
  <c r="F9" i="6"/>
  <c r="F15" i="6"/>
  <c r="F87" i="6"/>
  <c r="F246" i="6"/>
  <c r="F258" i="6"/>
  <c r="F267" i="6"/>
  <c r="F341" i="6"/>
  <c r="F440" i="6"/>
  <c r="F545" i="6"/>
  <c r="F599" i="6"/>
  <c r="F330" i="6"/>
  <c r="F652" i="6"/>
  <c r="F510" i="6"/>
  <c r="F519" i="6" s="1"/>
  <c r="F121" i="6"/>
  <c r="F612" i="6"/>
  <c r="F591" i="6"/>
  <c r="F529" i="6"/>
  <c r="F34" i="6"/>
  <c r="F207" i="6"/>
  <c r="F314" i="6"/>
  <c r="F400" i="6"/>
  <c r="F170" i="6"/>
  <c r="F305" i="6"/>
  <c r="F460" i="6"/>
  <c r="F183" i="6"/>
  <c r="F293" i="6"/>
  <c r="F623" i="6"/>
  <c r="F269" i="6" l="1"/>
  <c r="F475" i="6"/>
  <c r="F150" i="6"/>
  <c r="F625" i="6"/>
  <c r="F410" i="6"/>
  <c r="F375" i="6"/>
  <c r="F673" i="6" s="1"/>
  <c r="F674" i="6" s="1"/>
</calcChain>
</file>

<file path=xl/sharedStrings.xml><?xml version="1.0" encoding="utf-8"?>
<sst xmlns="http://schemas.openxmlformats.org/spreadsheetml/2006/main" count="1407" uniqueCount="447">
  <si>
    <t xml:space="preserve">N° </t>
  </si>
  <si>
    <t>Désignation des ouvrages</t>
  </si>
  <si>
    <t>Unité</t>
  </si>
  <si>
    <t>Qté</t>
  </si>
  <si>
    <t>INSTALLATION ET REPLI DE CHANTIER</t>
  </si>
  <si>
    <t>0.1</t>
  </si>
  <si>
    <t>Installation et repli de chantier</t>
  </si>
  <si>
    <t>FF</t>
  </si>
  <si>
    <t>Sous total 0 - Installation et repli de chantier</t>
  </si>
  <si>
    <t>TRAVAUX PREPARATOIRES</t>
  </si>
  <si>
    <t>1.1</t>
  </si>
  <si>
    <t>Débroussaillage et nivellement terrain</t>
  </si>
  <si>
    <t>m²</t>
  </si>
  <si>
    <t>Sous Total 1 Travaux préparatoires</t>
  </si>
  <si>
    <t>Sous total 0+1: INSTALLATION DE CHANTIER (0)                                + TRAVAUX PREPARATOIRES (1)</t>
  </si>
  <si>
    <t>OUVRAGE I : CONSTRUCTION BATIMENT  PRINCIPAL DE CENTRE DE SANTE</t>
  </si>
  <si>
    <t>GROS ŒUVRES</t>
  </si>
  <si>
    <t>2.1</t>
  </si>
  <si>
    <t xml:space="preserve">Fondation </t>
  </si>
  <si>
    <t>2.1.1</t>
  </si>
  <si>
    <t xml:space="preserve">Fouilles </t>
  </si>
  <si>
    <t>2.1.1.1</t>
  </si>
  <si>
    <t>Fouilles filantes</t>
  </si>
  <si>
    <t>2.1.1.1.1</t>
  </si>
  <si>
    <t>Fouilles Largeur: 40 cm;( Profondeur: 100cm)</t>
  </si>
  <si>
    <t>m³</t>
  </si>
  <si>
    <t>2.1.2</t>
  </si>
  <si>
    <t>Béton de propreté</t>
  </si>
  <si>
    <t>2.1.2.1</t>
  </si>
  <si>
    <t xml:space="preserve">Béton de propreté (ép.: 5  cm) dosé à 150 kg/m³ </t>
  </si>
  <si>
    <t>2.1.3</t>
  </si>
  <si>
    <t>Maconnerie de Fondation</t>
  </si>
  <si>
    <t>2.1.3.1</t>
  </si>
  <si>
    <t>Fondation en béton cyclopéen (40 x 100 cm) dosé à 300Kg/m3</t>
  </si>
  <si>
    <t>2.1.3.2</t>
  </si>
  <si>
    <t>Fondation en moellon (40x40 cm) dosé à 250Kg/m3</t>
  </si>
  <si>
    <t xml:space="preserve">2.1.4   </t>
  </si>
  <si>
    <t>Béton armé</t>
  </si>
  <si>
    <t>2.1.4.1</t>
  </si>
  <si>
    <t xml:space="preserve">Socles des fondations en béton armé 40 cmx40 cm dosé à 350kg/m³  </t>
  </si>
  <si>
    <t>2.1.4.2</t>
  </si>
  <si>
    <t>Chape  d’égalisation en béton ermé dosé à 350 kg/m3 (h=  7cm) légèrement armé</t>
  </si>
  <si>
    <t>2.1.5</t>
  </si>
  <si>
    <t xml:space="preserve">Remblais en matériaux d'apport (terre de type latérite)  y compris compactage </t>
  </si>
  <si>
    <t>2.1.6</t>
  </si>
  <si>
    <t>Film polyane d'étanchéité sous dalle de sous pavement</t>
  </si>
  <si>
    <t>2.1.7</t>
  </si>
  <si>
    <t xml:space="preserve">Béton de sous pavement et rampes d'accès en béton dosé à 250 Kg/m3 ép.= 7 cm </t>
  </si>
  <si>
    <t>Sous-total 2.1 Fondation</t>
  </si>
  <si>
    <t>2.2</t>
  </si>
  <si>
    <t>Elévation</t>
  </si>
  <si>
    <t>2.2.1</t>
  </si>
  <si>
    <t>Maçonnerie d'élévation</t>
  </si>
  <si>
    <t>2.2.1.1</t>
  </si>
  <si>
    <t>Maçonneries en briques stabilisées ép. 15 cm dosé à 300kg/m3</t>
  </si>
  <si>
    <t>2.2.1.2</t>
  </si>
  <si>
    <t>Maçonnerie en blocs ciment plein</t>
  </si>
  <si>
    <t xml:space="preserve">2.2.1.2.1 </t>
  </si>
  <si>
    <t xml:space="preserve">Maçonnerie en blocs ciment plein de 15x20x40  pour perron  d'accès </t>
  </si>
  <si>
    <t>2.2.2</t>
  </si>
  <si>
    <t>2.2.2.1</t>
  </si>
  <si>
    <t>Colonnes</t>
  </si>
  <si>
    <t>2.2.2.1.1</t>
  </si>
  <si>
    <t xml:space="preserve">Colonnes en béton armé dosé à 350kg/m³ de section 15x20cm avec battée extérieur </t>
  </si>
  <si>
    <t>2.2.2.2</t>
  </si>
  <si>
    <t xml:space="preserve">Ceintures </t>
  </si>
  <si>
    <t>2.2.2.2.1</t>
  </si>
  <si>
    <t xml:space="preserve">Ceinture inférieur en béton armé dosé à 350kg/m³ de section 15x20  cm  à 220 cm </t>
  </si>
  <si>
    <t>2.2.2.2.2</t>
  </si>
  <si>
    <t>Ceinture supérieur en béton armé dosé à 350kg/m³ de section 15x20  cm  à 320 cm de la chappe</t>
  </si>
  <si>
    <t>2.2.2.3</t>
  </si>
  <si>
    <t>Sous-total 2.2 Elévation</t>
  </si>
  <si>
    <t>2.3</t>
  </si>
  <si>
    <t xml:space="preserve">Toiture  </t>
  </si>
  <si>
    <t>2.3.1</t>
  </si>
  <si>
    <t>Charpente en ferme/demi ferme/rampantes</t>
  </si>
  <si>
    <t>2.3.1.1</t>
  </si>
  <si>
    <t xml:space="preserve">Ferme/demi-fermes en bois (arbalétrier, poinçon, fiche et contre- fiche, entrait) et contreventement en madrier 7/15 cm </t>
  </si>
  <si>
    <t>2.3.1.2</t>
  </si>
  <si>
    <t xml:space="preserve">Fo et Po de pannes en chevrons 7/7 </t>
  </si>
  <si>
    <t>2.3.2</t>
  </si>
  <si>
    <t>Fo et Po de Couverture en tôle BG 28 Pret peint ondulé avec un pesant de 7Kg</t>
  </si>
  <si>
    <t>2.3.3</t>
  </si>
  <si>
    <t xml:space="preserve">Fo et Po de tôles faitières </t>
  </si>
  <si>
    <t>ml</t>
  </si>
  <si>
    <t>2.3.4</t>
  </si>
  <si>
    <t>Fo et Po planches de rive de 30 cm ep.3 cm</t>
  </si>
  <si>
    <t>2.3.5</t>
  </si>
  <si>
    <t>Fo et Po du faux plafond en multi plex  5mm et extérieur du bâtiment sous gitages des chevrons de 5x5cm (mail de 60x60 cm) y compris latte couvre joint et treillis de ventilantion des combles</t>
  </si>
  <si>
    <t xml:space="preserve">Sous-total 2.3 Toiture </t>
  </si>
  <si>
    <t>TRAVAUX DE FINITION</t>
  </si>
  <si>
    <t>3.1</t>
  </si>
  <si>
    <t>Menuiseries</t>
  </si>
  <si>
    <t>3.1.1</t>
  </si>
  <si>
    <t>Portes</t>
  </si>
  <si>
    <t>3.1.1.1</t>
  </si>
  <si>
    <t xml:space="preserve">Fo et Po porte  métallique semi vitre avec anti vol en barreau 20 de 150 cm x220cm à deux battant </t>
  </si>
  <si>
    <t>Pce</t>
  </si>
  <si>
    <t>3.1.1.2</t>
  </si>
  <si>
    <t xml:space="preserve">Fo et Po porte   métallique semi vitre avec anti vol en barreau 20 de 100 cmx220cm </t>
  </si>
  <si>
    <t>3.1.1.3</t>
  </si>
  <si>
    <t xml:space="preserve">Fo et Po porte intérieure  en bois massif  de double ouvrant avec paumelle vas et viens 150 cmx220cm </t>
  </si>
  <si>
    <t>3.1.1.4</t>
  </si>
  <si>
    <t xml:space="preserve">Fo et Po porte intérieure  en bois massif  de 100 cmx220cm </t>
  </si>
  <si>
    <t>3.1.1.5</t>
  </si>
  <si>
    <t xml:space="preserve">Fo et Po porte intérieure  en bois massif  de 80 cmx220cm </t>
  </si>
  <si>
    <t>3.1.2</t>
  </si>
  <si>
    <t>Fenêtres et impostes</t>
  </si>
  <si>
    <t>3.1.2.1</t>
  </si>
  <si>
    <t xml:space="preserve">Fo et Po fenêtre métallique vitre avec anti - vol de 124 cm x120cm  </t>
  </si>
  <si>
    <t>3.1.2.2</t>
  </si>
  <si>
    <t xml:space="preserve">Fo et Po fenêtre métallique vitre avec anti - vol de 90 cm x120cm  </t>
  </si>
  <si>
    <t>3.1.2.3</t>
  </si>
  <si>
    <t xml:space="preserve">Fo et Po fenêtre métallique vitre avec anti - vol de 100 cm x60cm  </t>
  </si>
  <si>
    <t>3.1.2.5</t>
  </si>
  <si>
    <t xml:space="preserve">Fo et Po imposte métallique vitre avec anti - vols de 124 cm x80cm   </t>
  </si>
  <si>
    <t>3.1.2.6</t>
  </si>
  <si>
    <t xml:space="preserve">Fo et Po imposte métallique vitre avec anti - vols de 90 cm x80cm   </t>
  </si>
  <si>
    <t>3.1.2.7</t>
  </si>
  <si>
    <t xml:space="preserve">Fo et Po imposte métallique vitre avec anti - vols de 100 cm x80cm   </t>
  </si>
  <si>
    <t>3.1.2.8</t>
  </si>
  <si>
    <t xml:space="preserve">Fo et Po imposte métallique vitre avec anti - vols de 150 cm x80cm   </t>
  </si>
  <si>
    <t>3.1.2.9</t>
  </si>
  <si>
    <t xml:space="preserve">Fo et Po imposte d'aeration métallique triangulaire volet percienne de 100 cm x65cm   </t>
  </si>
  <si>
    <t>3.1.3</t>
  </si>
  <si>
    <t>Fo et Po des mains courante (garde corps)</t>
  </si>
  <si>
    <t>Sous-total 3.1 Menuiseries</t>
  </si>
  <si>
    <t>3.2</t>
  </si>
  <si>
    <t>Revêtement sol et mur</t>
  </si>
  <si>
    <t>3.2.1</t>
  </si>
  <si>
    <t>Enduit lisse en mortier de ciment dosé à 250 kg/m3 sur murs intérieurs ép. = 2,5 cm</t>
  </si>
  <si>
    <t>3.2.2</t>
  </si>
  <si>
    <t>3.2.3</t>
  </si>
  <si>
    <t>Enduit extérieur finition tyrolien écrase h. moyenne =100 cm</t>
  </si>
  <si>
    <t>3.2.4</t>
  </si>
  <si>
    <t xml:space="preserve">Fo et Po  faience sur murs intérieurs </t>
  </si>
  <si>
    <t>3.2.5</t>
  </si>
  <si>
    <t xml:space="preserve">Fo et Po  Carreaux  de sol anti-dérapant en ceramique </t>
  </si>
  <si>
    <t>m2</t>
  </si>
  <si>
    <t>Sous-total 3.2 Revêtement sol et mur</t>
  </si>
  <si>
    <t xml:space="preserve"> </t>
  </si>
  <si>
    <t>3.3</t>
  </si>
  <si>
    <t xml:space="preserve">Electricité </t>
  </si>
  <si>
    <t>3.3.1</t>
  </si>
  <si>
    <t>Installation electrique du bâtiment</t>
  </si>
  <si>
    <t>3.3.1.1</t>
  </si>
  <si>
    <t>Tableau divisionnaire complet de 24 circuits</t>
  </si>
  <si>
    <t>3.3.1.2</t>
  </si>
  <si>
    <t>Plafonnier lumineux économique de 18 W</t>
  </si>
  <si>
    <t>3.3.1.3</t>
  </si>
  <si>
    <t xml:space="preserve">Fils de 1,5 mm2 </t>
  </si>
  <si>
    <t>3.3.1.4</t>
  </si>
  <si>
    <t xml:space="preserve">Fils de 2,5 mm2 </t>
  </si>
  <si>
    <t>3.3.1.5</t>
  </si>
  <si>
    <t>Prise encastrées hermetique avec terre</t>
  </si>
  <si>
    <t>3.3.1.6</t>
  </si>
  <si>
    <t>Interrupteur simple</t>
  </si>
  <si>
    <t>3.3.1.7</t>
  </si>
  <si>
    <t>Interrupteur double</t>
  </si>
  <si>
    <t>3.3.1.8</t>
  </si>
  <si>
    <t>Piquet de terre complet</t>
  </si>
  <si>
    <t>3.3.1.9</t>
  </si>
  <si>
    <t xml:space="preserve">Disjoncteur </t>
  </si>
  <si>
    <t xml:space="preserve">Sous-total 3.3 Electricité </t>
  </si>
  <si>
    <t>3.4</t>
  </si>
  <si>
    <t xml:space="preserve">Plomberie  </t>
  </si>
  <si>
    <t>3.4.1</t>
  </si>
  <si>
    <t xml:space="preserve">Reseau d'adduction d'eau propre à l'intérieur du bâtiment </t>
  </si>
  <si>
    <t>Fft</t>
  </si>
  <si>
    <t>3.4.2</t>
  </si>
  <si>
    <t>Fo et Po de lavabo complet de 60x45 cm avec pied en ceramique</t>
  </si>
  <si>
    <t>3.4.3</t>
  </si>
  <si>
    <t>3.4.4</t>
  </si>
  <si>
    <t xml:space="preserve">Fo et Po de bac de douche  complet de 80x80 cm en porcelaine </t>
  </si>
  <si>
    <t>3.4.5</t>
  </si>
  <si>
    <t xml:space="preserve">Fo et Po de colonne et receveur de douche  complet  </t>
  </si>
  <si>
    <t>3.4.6</t>
  </si>
  <si>
    <t>Fo et Po de syphon sol avec crepines dans la salle d'acouchement, salle de soins et salle de bain</t>
  </si>
  <si>
    <t>3.4.7</t>
  </si>
  <si>
    <t>Fo et Po de WC Mono bloc  complet en ceramique</t>
  </si>
  <si>
    <t>3.4.8</t>
  </si>
  <si>
    <t xml:space="preserve">Fo et Po de porte savon </t>
  </si>
  <si>
    <t>3.4.9</t>
  </si>
  <si>
    <t>Fo et Po de porte essui</t>
  </si>
  <si>
    <t>3.4.10</t>
  </si>
  <si>
    <t>Fo et Po de porte papier hygienique</t>
  </si>
  <si>
    <t>3.4.11</t>
  </si>
  <si>
    <t>Fo et Po de miroir mural</t>
  </si>
  <si>
    <t>3.4.12</t>
  </si>
  <si>
    <t>Reseau d'évacuation des eaux usées et vanne de l'intérieur vers l'exéterieur du bâtiment en PVC 63 et 110</t>
  </si>
  <si>
    <t>3.4.13</t>
  </si>
  <si>
    <t>Regards des visites de 40x40x40cm ( dimension interieure) en maçonnerie des blocs ciments de 10 x15 cm</t>
  </si>
  <si>
    <t>3.4.14</t>
  </si>
  <si>
    <t xml:space="preserve">Fo et Po gouttière en PVC 140 y compris accessoire de fixation </t>
  </si>
  <si>
    <t>3.4.15</t>
  </si>
  <si>
    <t xml:space="preserve">Descente en PVC 110 </t>
  </si>
  <si>
    <t>Construction d'un support</t>
  </si>
  <si>
    <t xml:space="preserve">3.4.16 .1 </t>
  </si>
  <si>
    <t>Construction d'un support pour deux citernes de 2000 litres en BA</t>
  </si>
  <si>
    <t>3.4.17</t>
  </si>
  <si>
    <t>Fo et Po en de citerne en plastique de 2000 litres avec tous les accessoires</t>
  </si>
  <si>
    <t xml:space="preserve">Sous -total 3.4 Plomberie  </t>
  </si>
  <si>
    <t>3.5</t>
  </si>
  <si>
    <t>Peinture</t>
  </si>
  <si>
    <t>3.5.1</t>
  </si>
  <si>
    <t>Fo et application Peinture latex sur murs intérieurs (couleur peirre de France )</t>
  </si>
  <si>
    <t>3.5.2</t>
  </si>
  <si>
    <t xml:space="preserve">Fo et application Peinture latex sur faux plafonds </t>
  </si>
  <si>
    <t>3.5.3</t>
  </si>
  <si>
    <t xml:space="preserve">Fo et application vernis claire sur face extérieure des briques stabilisées </t>
  </si>
  <si>
    <t>Sous-total 3.5 Revêtement sol et mur</t>
  </si>
  <si>
    <t>3.6</t>
  </si>
  <si>
    <t>Securités Incendies</t>
  </si>
  <si>
    <t>3.6.1</t>
  </si>
  <si>
    <t>Fo et Po extincteur à CO2 de 7KG</t>
  </si>
  <si>
    <t>3.6.2</t>
  </si>
  <si>
    <t>Fo et Po de Detecteur des fumés autonome</t>
  </si>
  <si>
    <t>Sous-total 3.6 Sécurités Incendies</t>
  </si>
  <si>
    <t xml:space="preserve">AMENAGEMENT EXTERIEUR </t>
  </si>
  <si>
    <t>4.1</t>
  </si>
  <si>
    <t xml:space="preserve">Trottoir perron   et protection de la fondation et Aspects Environnementaux </t>
  </si>
  <si>
    <t>4.1.1</t>
  </si>
  <si>
    <t>Fouille bordure</t>
  </si>
  <si>
    <t>4.1.2</t>
  </si>
  <si>
    <t>Béton de propriété dosé à 150 Kg/m3</t>
  </si>
  <si>
    <t>4.1.3</t>
  </si>
  <si>
    <t>Maçonnerie en blocs de 15cm    profondeur = 30 cm</t>
  </si>
  <si>
    <t>4.1.4</t>
  </si>
  <si>
    <t>Béton brut trottoir à 300kg/m3 ép. 7 cm  l=80cm</t>
  </si>
  <si>
    <t>4.1.5</t>
  </si>
  <si>
    <t>Pose dallete en béton armé ép. 10 cm sur filet d'eau devant chaque entrée</t>
  </si>
  <si>
    <t>4.1.6</t>
  </si>
  <si>
    <t xml:space="preserve">Filet d'eau de 40 cm  largeur intérieure avec chape d'égalisation sur les maçonneries Blocs ciment plein  ép. =15 cm   avec radier en Béton dosé à 300Kg/m3   </t>
  </si>
  <si>
    <t>4.1.7</t>
  </si>
  <si>
    <t xml:space="preserve"> Puisard de 1 m de diamètre intérieur et 2,10 m de profondeur</t>
  </si>
  <si>
    <t>pce</t>
  </si>
  <si>
    <t>4.1.8</t>
  </si>
  <si>
    <t>4.1.9</t>
  </si>
  <si>
    <t xml:space="preserve">Mise en place de béton des bordures de 10x20 cm (dosé à 300Kg/m3) </t>
  </si>
  <si>
    <t>4.1.10</t>
  </si>
  <si>
    <t>Plantation des pelouses et fleures hornorifique</t>
  </si>
  <si>
    <t>4.1.11</t>
  </si>
  <si>
    <t>Plantation des arbres fruitiers</t>
  </si>
  <si>
    <t xml:space="preserve">Sous-total 4.1 Trottoir perron, protection de la fondation et Aspects Environnementaux </t>
  </si>
  <si>
    <t>Total ouvrage I : Construction de bâtiment principal de centre de santé</t>
  </si>
  <si>
    <t>OUVRAGE II :CONSTRUCTION HALL DE CAUSSERIE</t>
  </si>
  <si>
    <t xml:space="preserve">Chape  d’égalisation en béton légèrement armé dosé à 350 kg/m3 (h=  7cm) </t>
  </si>
  <si>
    <t xml:space="preserve">Film polyanne d'étancheinté sous dalle de sous pavement </t>
  </si>
  <si>
    <t>Sous total 2.2 Elévation</t>
  </si>
  <si>
    <t xml:space="preserve">Menuiseries </t>
  </si>
  <si>
    <t xml:space="preserve">Portes </t>
  </si>
  <si>
    <t>Enduit lisse en mortier de ciment dosé à 250 kg/m3 sur murs extérieur ép. = 2,5 cm sur colonnes, ceintures et autres elements</t>
  </si>
  <si>
    <t xml:space="preserve">Fo et Po  Carreaux  de sol anti-dérampant en ceramique </t>
  </si>
  <si>
    <t>Tableau divisionnaire de 8 circuits</t>
  </si>
  <si>
    <t>3.3.1.10</t>
  </si>
  <si>
    <t xml:space="preserve">Cable 2x6mm souple </t>
  </si>
  <si>
    <t xml:space="preserve">Fo et Po de syphon sol avec crepines </t>
  </si>
  <si>
    <t>Regards des visites de 40x40x40cm ( dimension interieure) en maçonnerie des blics ciments de 10 x15 cm</t>
  </si>
  <si>
    <t>Construction d'un support de citerne de 2000 litres en maçonnerie</t>
  </si>
  <si>
    <t>Fo et application Peinture latex sur murs intérieurs</t>
  </si>
  <si>
    <t>Sous-total 3.5 Peinture</t>
  </si>
  <si>
    <t>Fo et Po instinteur à CO2 de 7KG</t>
  </si>
  <si>
    <t xml:space="preserve">Total II :CONSTRUCTION HALL DE CAUSERIE </t>
  </si>
  <si>
    <t>OUVRAGE III : CONSTRUCTION LATRINE</t>
  </si>
  <si>
    <t>m3</t>
  </si>
  <si>
    <t>2.1.1.2</t>
  </si>
  <si>
    <t>Fouille de la fosse</t>
  </si>
  <si>
    <t>2.1.1.2.1</t>
  </si>
  <si>
    <t>Fouille de la fosse (600x450 x300 cm)</t>
  </si>
  <si>
    <t>2.1.4.3</t>
  </si>
  <si>
    <t xml:space="preserve">Colonnes de fosse  en béton armé dosé à 350kg/m³ de section 40x40cm </t>
  </si>
  <si>
    <t xml:space="preserve">Poutre  en béton armé dosé à 350 kg/m3 (40x30cm) </t>
  </si>
  <si>
    <t xml:space="preserve">Poutre  en béton armé dosé à 350 kg/m3 (20x30cm) </t>
  </si>
  <si>
    <t xml:space="preserve">2.1.4.5 </t>
  </si>
  <si>
    <t>Dalle en béton armé dosé à 350 Kg/m3</t>
  </si>
  <si>
    <t xml:space="preserve">2.1.4.5.1 </t>
  </si>
  <si>
    <t>2.2.1.3</t>
  </si>
  <si>
    <t xml:space="preserve">Maçonneries de claustras </t>
  </si>
  <si>
    <t>3.1.1.6</t>
  </si>
  <si>
    <t xml:space="preserve">Fo et Po porte intérieure  en bois massif  de 110 cmx220cm </t>
  </si>
  <si>
    <t>Enduit lisse en mortier de ciment dosé à 250 kg/m3 sur murs extérieur ép. = 2,5 cm sur colonnes, ceintures etc</t>
  </si>
  <si>
    <t>Fo et Po  faience sur murs intérieurs des la salle avec 220 cm de hauteur dans les sanitaires</t>
  </si>
  <si>
    <t xml:space="preserve">Fo et Po  Carreaux  de sol anti-dérampant en ceramique de premier choix  intérieurs de la salle </t>
  </si>
  <si>
    <t>Tableau divisionnaire complet de  8 circuits</t>
  </si>
  <si>
    <t xml:space="preserve">3.3.1.10 </t>
  </si>
  <si>
    <t>3.4.18</t>
  </si>
  <si>
    <t>Fo et Po de WC Turc complet avec chasse suspendue</t>
  </si>
  <si>
    <t>3.4.19</t>
  </si>
  <si>
    <t>3.4.20</t>
  </si>
  <si>
    <t>Fo et Po de tuyau PVC 110 y compris Té et treillis moustiquaire pour l'aeration de la fosse</t>
  </si>
  <si>
    <t>Total III :CONSTRUCTION LATRINE</t>
  </si>
  <si>
    <t>OUVRAGE IV : CONSTRUCTION D'UNE FOSSE SEPTIQUE DE 25 USAGERS</t>
  </si>
  <si>
    <t>2.1.1.2.2</t>
  </si>
  <si>
    <t>Fouille Longeur:346 cm Largeur: 210 cm;( Profondeur: 170cm)</t>
  </si>
  <si>
    <t>2.1.4</t>
  </si>
  <si>
    <t xml:space="preserve">2.1.4.5.2 </t>
  </si>
  <si>
    <t xml:space="preserve">2.2.1.2.2 </t>
  </si>
  <si>
    <t>2.2.2.1.2</t>
  </si>
  <si>
    <t xml:space="preserve">Colonnes en béton armé dosé à 350kg/m³ de section 20x20cm  </t>
  </si>
  <si>
    <t>2.2.2.2.3</t>
  </si>
  <si>
    <t>2.2.2.2.4</t>
  </si>
  <si>
    <t>2.2.2.4</t>
  </si>
  <si>
    <t>3.2.7</t>
  </si>
  <si>
    <t>Application de butimé sur les parois intérieurs</t>
  </si>
  <si>
    <t>3.4.21</t>
  </si>
  <si>
    <t>Construction d'un puit perdu de 160 x 300 cm</t>
  </si>
  <si>
    <t>Tuyau PVC de ventilention avec moustiquaire et Té de 110</t>
  </si>
  <si>
    <t>Sous total 2.2 Plomberie</t>
  </si>
  <si>
    <t>Total IV :CONSTRUCTION FOSSE SEPTIQUE DE 25 USAGERS</t>
  </si>
  <si>
    <t>2.1.1.1.2</t>
  </si>
  <si>
    <t>Fouille Largeur: 28 cm;( Profondeur: 40cm)</t>
  </si>
  <si>
    <t>2.1.3.3</t>
  </si>
  <si>
    <t xml:space="preserve">Béton de sous pavement  en béton dosé à 250 Kg/m3 ép.= 7 cm </t>
  </si>
  <si>
    <r>
      <t>m</t>
    </r>
    <r>
      <rPr>
        <vertAlign val="superscript"/>
        <sz val="10"/>
        <rFont val="Calibri"/>
        <family val="2"/>
      </rPr>
      <t>2</t>
    </r>
  </si>
  <si>
    <t xml:space="preserve">Sous-total  2.1 Fondation </t>
  </si>
  <si>
    <t>Maçonneries en briques cuite ép. 15 cm dosé à 300kg/m3 pour les parois d'incinerateur et la cheminée</t>
  </si>
  <si>
    <t>Maçonneries en briques cuite avec ciement refracteur ép. 15 cm dosé à 300kg/m3 pour les parois intérieur d'incinerateur</t>
  </si>
  <si>
    <t>2.2.3</t>
  </si>
  <si>
    <t>Tuyaux métallique pour poteaux de hangars de zone de déchets</t>
  </si>
  <si>
    <t>Sous-total  Elévation</t>
  </si>
  <si>
    <t>3.1.4</t>
  </si>
  <si>
    <t>3.1.5</t>
  </si>
  <si>
    <t>Fo et Po trappe métallique pleine  de 60 cmx 60cm en haut</t>
  </si>
  <si>
    <t>3.1.6</t>
  </si>
  <si>
    <t>Fo et  Po de grille en HA 12 de 100 cm x 100 cm</t>
  </si>
  <si>
    <t xml:space="preserve">Sous-total  Menuiseries </t>
  </si>
  <si>
    <t>Total V :CONSTRUCTION D'UN INCINERATEUR</t>
  </si>
  <si>
    <t>OUVRAGE VI : CONSTRUCTION D'UNE FOSSE A PLACENTA</t>
  </si>
  <si>
    <t>2.1.1.2.3</t>
  </si>
  <si>
    <t>Fouille de Fosse (220x220x175cm)</t>
  </si>
  <si>
    <t xml:space="preserve">Sous-total </t>
  </si>
  <si>
    <t>Maçonnerie en blocs ciment plein de 15x20x40 cm</t>
  </si>
  <si>
    <t xml:space="preserve">3.4.20 </t>
  </si>
  <si>
    <t xml:space="preserve">Sous-total Menuiseries </t>
  </si>
  <si>
    <t>OUVRAGE VII : CONSTRUCTION D'UNE FOSSE A AIGUILLES TYPE MSF</t>
  </si>
  <si>
    <t>2.1.1.2.4</t>
  </si>
  <si>
    <t>Fouille de Fosse (100x100x200cm)</t>
  </si>
  <si>
    <t>Béton armé dosé à 350 kg/m3 pour dalle ép. 12 cm</t>
  </si>
  <si>
    <t>2.2.4</t>
  </si>
  <si>
    <t xml:space="preserve">Tube de chargement en PVC 63mm </t>
  </si>
  <si>
    <t>2.2.5</t>
  </si>
  <si>
    <t>Matériaux de drainage en tout venant de concassage</t>
  </si>
  <si>
    <t>OUVRAGE VII : CONSTRUCTION D'UNE FOSSE A CENDRE</t>
  </si>
  <si>
    <t>Matérieux de drainage en tout venant de concassage</t>
  </si>
  <si>
    <t>Total VII :CONSTRUCTION D'UNE FOSSE A CENDRE</t>
  </si>
  <si>
    <t>OUVRAGE VIII : CONSTRUCTION D'UNE FOSSE A ORDURE</t>
  </si>
  <si>
    <t>2.1.1.2.5</t>
  </si>
  <si>
    <t>Fouille de Fosse (100x200x200cm)</t>
  </si>
  <si>
    <t>Total VIII :CONSTRUCTION D'UNE FOSSE A ORDURE</t>
  </si>
  <si>
    <t>2.2.6</t>
  </si>
  <si>
    <t>Cloture sur la zone des dechets en grille métallique sur les tuyaux galavisés de 1 pouce de 150 cm de haut, y compris une porte d'accès</t>
  </si>
  <si>
    <t>3.1.1.7</t>
  </si>
  <si>
    <t>3.1.1.8</t>
  </si>
  <si>
    <t>3.1.7</t>
  </si>
  <si>
    <t>3.3.2</t>
  </si>
  <si>
    <t>fo et po lampadaire de 150W</t>
  </si>
  <si>
    <t xml:space="preserve">LOT 2: TRAVAUX DE CONSTRUCTION DE CENTRE SANTE FERME ET SES OUVRAGES ANNEXES  DE L'AIRE DE SANTE FERME DANS LA ZONE DE SANTE DE GEMENA  PROVINCE DU SUD-UBANGI </t>
  </si>
  <si>
    <t>LOT 2        BORDEREAU ESTIMATIF ET QUANTITATIF DES TRAVAUX DE CONSTRUCTION CENTRE DE SANTE FERME DE L'AIRE DE SANTE FERME DANS LA ZONE DE SANTE DE GEMENA</t>
  </si>
  <si>
    <t>Béton en armé pour auvent dosé à 350Kg/m3</t>
  </si>
  <si>
    <t xml:space="preserve">Fo et Po de evier  complet de 120x60 cm en acier inoxidable </t>
  </si>
  <si>
    <r>
      <t>3</t>
    </r>
    <r>
      <rPr>
        <i/>
        <sz val="11"/>
        <color indexed="8"/>
        <rFont val="Calibri"/>
        <family val="2"/>
      </rPr>
      <t>.4.16</t>
    </r>
  </si>
  <si>
    <t>Mise en place de béton des voies d'accé (dosé à 250Kg/m3) ép. 10 cm</t>
  </si>
  <si>
    <t>Fo et Po imposte d'aération métallique triangulaire volet percienne de 100 cm x65cm</t>
  </si>
  <si>
    <t xml:space="preserve">Fo et Po  faience sur murs intérieurs des la salle </t>
  </si>
  <si>
    <t xml:space="preserve">3.4.16.2 </t>
  </si>
  <si>
    <t>Fouilles Largeur: 40 cm;( Profondeur: 80cm)</t>
  </si>
  <si>
    <t>Fondation en moellon (40x40 cm) dosé à 250Kg/m3 (murs fosse)</t>
  </si>
  <si>
    <t xml:space="preserve">2.1.4.4 </t>
  </si>
  <si>
    <t xml:space="preserve">Poutre en béton armé dosé à 350 kg/m3 </t>
  </si>
  <si>
    <t xml:space="preserve">2.1.4.4.1 </t>
  </si>
  <si>
    <t xml:space="preserve">2.1.4.4.2 </t>
  </si>
  <si>
    <r>
      <t>Dalle en béton armé dosé à 350 Kg/m3</t>
    </r>
    <r>
      <rPr>
        <sz val="10"/>
        <rFont val="Calibri"/>
        <family val="2"/>
      </rPr>
      <t xml:space="preserve"> ep,10cm</t>
    </r>
  </si>
  <si>
    <t xml:space="preserve">Ceinture inférieur en béton armé dosé à 350kg/m³ de section 15x20  cm à 220 cm </t>
  </si>
  <si>
    <r>
      <t xml:space="preserve">Plafonnier lumineux économique de </t>
    </r>
    <r>
      <rPr>
        <sz val="10"/>
        <rFont val="Calibri"/>
        <family val="2"/>
      </rPr>
      <t>18 w</t>
    </r>
  </si>
  <si>
    <t>Fo et Po en maçonnerie pour PMR</t>
  </si>
  <si>
    <r>
      <t xml:space="preserve">Béton armé dosé à 350 kg/m3 pour dalle ép. 12 cm </t>
    </r>
    <r>
      <rPr>
        <sz val="10"/>
        <rFont val="Calibri"/>
        <family val="2"/>
      </rPr>
      <t>(radier)</t>
    </r>
  </si>
  <si>
    <r>
      <t xml:space="preserve">Maçonneries en bloc ciment plein  de </t>
    </r>
    <r>
      <rPr>
        <sz val="10"/>
        <rFont val="Calibri"/>
        <family val="2"/>
      </rPr>
      <t xml:space="preserve">20x20x40 cm </t>
    </r>
  </si>
  <si>
    <t>Ceinture inférieur en béton armé dosé à 350kg/m³ de section 20x20  cm  à 60 cm</t>
  </si>
  <si>
    <t xml:space="preserve">Ceinture supérieur en béton armé dosé à 350kg/m³ de section 20x20  cm  sous dalle </t>
  </si>
  <si>
    <t>Dalle en BA de couverture de fosse y compris trappe d'axee ép ???</t>
  </si>
  <si>
    <t>OUVRAGE V : CONSTRUCTION D'UN INCINERATEUR ET DE ZONE DES DECHETS</t>
  </si>
  <si>
    <r>
      <t xml:space="preserve">Fondation en moellon </t>
    </r>
    <r>
      <rPr>
        <sz val="10"/>
        <rFont val="Calibri"/>
        <family val="2"/>
      </rPr>
      <t xml:space="preserve">(28x40 cm) dosé à 250Kg/m3 </t>
    </r>
  </si>
  <si>
    <t xml:space="preserve">2.1.4.5.3 </t>
  </si>
  <si>
    <r>
      <t xml:space="preserve">Béton armé dosé à 350 kg/m3 pour dalle </t>
    </r>
    <r>
      <rPr>
        <sz val="10"/>
        <rFont val="Calibri"/>
        <family val="2"/>
      </rPr>
      <t xml:space="preserve">ép. 8 cm </t>
    </r>
  </si>
  <si>
    <t xml:space="preserve"> 2.2.1.4    </t>
  </si>
  <si>
    <t xml:space="preserve">2.2.1.5    </t>
  </si>
  <si>
    <t xml:space="preserve">Fo et Po portillon métallique pleine  de 60 cmx 60cm </t>
  </si>
  <si>
    <r>
      <t xml:space="preserve">Ceinture inférieur </t>
    </r>
    <r>
      <rPr>
        <sz val="10"/>
        <color indexed="10"/>
        <rFont val="Calibri"/>
        <family val="2"/>
      </rPr>
      <t>15X20</t>
    </r>
    <r>
      <rPr>
        <sz val="10"/>
        <rFont val="Calibri"/>
        <family val="2"/>
      </rPr>
      <t xml:space="preserve"> en béton armé dosé à 350kg/m³   à 60 cm de fond</t>
    </r>
  </si>
  <si>
    <r>
      <t>Béton armé  dalle  de couverture à 350 kg/m</t>
    </r>
    <r>
      <rPr>
        <vertAlign val="superscript"/>
        <sz val="10"/>
        <color indexed="8"/>
        <rFont val="Calibri"/>
        <family val="2"/>
      </rPr>
      <t>3</t>
    </r>
  </si>
  <si>
    <t xml:space="preserve">Trappe ou couvercle métallique 60 cmx 60cm </t>
  </si>
  <si>
    <t>Total V :CONSTRUCTION D'UNE FOSSE A PLACENTA</t>
  </si>
  <si>
    <t xml:space="preserve">2.1.4 </t>
  </si>
  <si>
    <t>Total VI :CONSTRUCTION D'UNE FOSSE A AIGUILLES TYPE MSF</t>
  </si>
  <si>
    <t>OUVRAGE IX : CONSTRUCTION D'UNE CLOTURE SUR LA ZONE DE DECHETS</t>
  </si>
  <si>
    <t>TOTAL IX :CONSTRUCTION  DES OUVRAGES ANNEXES</t>
  </si>
  <si>
    <t>OUVRAGE X : REHABILITATION BATIMENT EXISTANT</t>
  </si>
  <si>
    <t>1.2</t>
  </si>
  <si>
    <t>Dépose  faux plafond en multi- plex  existante y compris toutes suggestions</t>
  </si>
  <si>
    <t>1.3</t>
  </si>
  <si>
    <t>Dépose et évacuation  fenêtres en bois  1,2m X1, 35m</t>
  </si>
  <si>
    <t>1.4</t>
  </si>
  <si>
    <t xml:space="preserve">Dépose et évacuation  portes  bois </t>
  </si>
  <si>
    <t>1.5</t>
  </si>
  <si>
    <t xml:space="preserve">Décapage de béton de sous pavement sur tout le bâtiment existant </t>
  </si>
  <si>
    <t>fft</t>
  </si>
  <si>
    <t>1.6</t>
  </si>
  <si>
    <t>Travaux de démolition et évacuation maçonnerie en blocs creus de 20 cm</t>
  </si>
  <si>
    <t>Sous Total 1:Travaux de dépose et évacuation</t>
  </si>
  <si>
    <r>
      <t xml:space="preserve">Maçonnerie en blocs ciment plein de 15x20x40  pour perron  d'accès et </t>
    </r>
    <r>
      <rPr>
        <sz val="10"/>
        <rFont val="Calibri"/>
        <family val="2"/>
      </rPr>
      <t xml:space="preserve">autres remplissages </t>
    </r>
  </si>
  <si>
    <t>Béton en armé pour auvent et  seuil de fenêtre  dosé à 350Kg/m3</t>
  </si>
  <si>
    <t xml:space="preserve">3.1.2.4 </t>
  </si>
  <si>
    <t xml:space="preserve">Fo et Po fenêtre métallique vitre avec anti - vol de 175 cm x155cm  </t>
  </si>
  <si>
    <t xml:space="preserve">3.1.2.10 </t>
  </si>
  <si>
    <t xml:space="preserve">Fo et Po imposte métallique vitre avec anti - vols de 175 cm x50cm   </t>
  </si>
  <si>
    <t xml:space="preserve"> 3.1.2.11 </t>
  </si>
  <si>
    <t xml:space="preserve">Fo et Po imposte métallique vitre avec anti - vols de 100 cm x50cm   </t>
  </si>
  <si>
    <t>Enduit lisse en mortier de ciment dosé à 250 kg/m3 sur murs extérieur ép. = 2,5 (enduit de reparation)</t>
  </si>
  <si>
    <t>Fo et Po  faience sur murs intérieurs des la salle avec</t>
  </si>
  <si>
    <t>Tableau divisionnaire complet de 12 circuits</t>
  </si>
  <si>
    <t>Plafonnier lumineux économique de 18 w</t>
  </si>
  <si>
    <t>Cable 2x6mm souple</t>
  </si>
  <si>
    <t>3.5.4</t>
  </si>
  <si>
    <t xml:space="preserve">Fo et application Peinture latex sur murs extérieurs </t>
  </si>
  <si>
    <t xml:space="preserve">3.5.5    </t>
  </si>
  <si>
    <t>Fo et application Peinture antirouille sur couverture</t>
  </si>
  <si>
    <t>TOTAL OUVRAGE X: REHABILITATION BATIMENT EXISTANT</t>
  </si>
  <si>
    <t>OUVRAGE XI : CONSTRUCTION MUR DE CLOTURE</t>
  </si>
  <si>
    <t xml:space="preserve">GROS ŒUVRES  </t>
  </si>
  <si>
    <t>2.1.1.1.4</t>
  </si>
  <si>
    <t>Fouilles Largeur: 35 cm;( Profondeur: 80cm)</t>
  </si>
  <si>
    <t>Fondation en béton cyclopéen (35 x 40 cm) dosé à 300Kg/m3</t>
  </si>
  <si>
    <t>2.1.3.5</t>
  </si>
  <si>
    <t>Fondation en moellon (35x50 cm) dosé à 250Kg/m3</t>
  </si>
  <si>
    <t xml:space="preserve">Socles des fondations en béton armé 35 cmx40 cm dosé à 350kg/m³  </t>
  </si>
  <si>
    <t xml:space="preserve">Maçonnerie en blocs ciment plein de 15x20x40  </t>
  </si>
  <si>
    <t>2.2.2.2.6</t>
  </si>
  <si>
    <t>Béton en armé pour couvre-mur dosé à 350Kg/m3 ( chapeau)</t>
  </si>
  <si>
    <t>Fo et Po double-portail métallique de 500*300 cm</t>
  </si>
  <si>
    <t>Fo et Po porte métallique pleine de 100*220 cm</t>
  </si>
  <si>
    <r>
      <t xml:space="preserve">Fo et Po concertina de diamètre 45 cm </t>
    </r>
    <r>
      <rPr>
        <sz val="10"/>
        <rFont val="Calibri"/>
        <family val="2"/>
      </rPr>
      <t>y compris les supports met de fixation</t>
    </r>
  </si>
  <si>
    <t>TOTAL OUVRAGE XI : CONSTRUCTION MUR DE CLOTURE</t>
  </si>
  <si>
    <t>CONSTRUCTION CENTRE DE SANTE  0+I+II+III+IV+V+VI+VII+VIII+IX+X+XI</t>
  </si>
  <si>
    <t xml:space="preserve"> TOTAL GENERAL LOT 2: TRAVAUX DE CONSTRUCTION DE CENTRE SANTE FERME ET SES OUVRAGES ANNEXES   DE L'AIRE DE SANTE FERME DANS LA ZONE DE SANTE DE GEMENA </t>
  </si>
  <si>
    <t>P.U en €</t>
  </si>
  <si>
    <r>
      <t xml:space="preserve">P.T en </t>
    </r>
    <r>
      <rPr>
        <b/>
        <sz val="10"/>
        <color rgb="FF000000"/>
        <rFont val="Aptos Narrow"/>
        <family val="2"/>
      </rPr>
      <t>€</t>
    </r>
  </si>
  <si>
    <t>Certifié pour vrai et conforme,</t>
  </si>
  <si>
    <t>Fait à …………………… le 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</si>
</sst>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.00\ [$€-80C]_-;\-* #,##0.00\ [$€-80C]_-;_-* &quot;-&quot;??\ [$€-80C]_-;_-@_-"/>
  </numFmts>
  <fonts count="28" x14ac:knownFonts="1">
    <font>
      <sz val="11"/>
      <color theme="1"/>
      <name val="Calibri"/>
      <family val="2"/>
      <scheme val="minor"/>
    </font>
    <font>
      <vertAlign val="superscript"/>
      <sz val="10"/>
      <color indexed="8"/>
      <name val="Calibri"/>
      <family val="2"/>
    </font>
    <font>
      <vertAlign val="superscript"/>
      <sz val="10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i/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Maiandra GD"/>
      <family val="2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Aptos Narrow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2CDD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12">
    <xf numFmtId="0" fontId="0" fillId="0" borderId="0" xfId="0"/>
    <xf numFmtId="0" fontId="10" fillId="3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quotePrefix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5" fillId="0" borderId="0" xfId="0" applyFont="1"/>
    <xf numFmtId="0" fontId="9" fillId="6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vertical="center" wrapText="1"/>
    </xf>
    <xf numFmtId="0" fontId="17" fillId="0" borderId="3" xfId="0" applyFont="1" applyBorder="1" applyAlignment="1">
      <alignment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8" borderId="3" xfId="0" applyFont="1" applyFill="1" applyBorder="1" applyAlignment="1">
      <alignment vertical="center" wrapText="1"/>
    </xf>
    <xf numFmtId="4" fontId="10" fillId="8" borderId="3" xfId="1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wrapText="1"/>
    </xf>
    <xf numFmtId="0" fontId="1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7" borderId="3" xfId="0" applyFont="1" applyFill="1" applyBorder="1" applyAlignment="1">
      <alignment vertical="center" wrapText="1"/>
    </xf>
    <xf numFmtId="0" fontId="10" fillId="7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2" fillId="0" borderId="3" xfId="0" quotePrefix="1" applyFont="1" applyBorder="1" applyAlignment="1">
      <alignment horizontal="center" vertical="center"/>
    </xf>
    <xf numFmtId="0" fontId="10" fillId="7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0" fillId="0" borderId="3" xfId="0" applyBorder="1"/>
    <xf numFmtId="0" fontId="9" fillId="6" borderId="3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center" vertical="center" wrapText="1"/>
    </xf>
    <xf numFmtId="4" fontId="20" fillId="2" borderId="3" xfId="0" applyNumberFormat="1" applyFont="1" applyFill="1" applyBorder="1" applyAlignment="1">
      <alignment horizontal="right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4" fontId="21" fillId="2" borderId="3" xfId="0" applyNumberFormat="1" applyFont="1" applyFill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center" vertical="center" wrapText="1"/>
    </xf>
    <xf numFmtId="4" fontId="20" fillId="3" borderId="3" xfId="0" applyNumberFormat="1" applyFont="1" applyFill="1" applyBorder="1" applyAlignment="1">
      <alignment horizontal="right" wrapText="1"/>
    </xf>
    <xf numFmtId="0" fontId="2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center"/>
    </xf>
    <xf numFmtId="0" fontId="12" fillId="0" borderId="2" xfId="0" applyFont="1" applyBorder="1"/>
    <xf numFmtId="0" fontId="9" fillId="0" borderId="3" xfId="0" applyFont="1" applyBorder="1" applyAlignment="1">
      <alignment horizontal="left" vertical="center"/>
    </xf>
    <xf numFmtId="0" fontId="10" fillId="5" borderId="3" xfId="0" applyFont="1" applyFill="1" applyBorder="1" applyAlignment="1">
      <alignment horizontal="center" vertical="center"/>
    </xf>
    <xf numFmtId="4" fontId="10" fillId="5" borderId="3" xfId="0" applyNumberFormat="1" applyFont="1" applyFill="1" applyBorder="1" applyAlignment="1">
      <alignment horizontal="center" vertical="center"/>
    </xf>
    <xf numFmtId="4" fontId="14" fillId="9" borderId="3" xfId="0" applyNumberFormat="1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vertical="center" wrapText="1"/>
    </xf>
    <xf numFmtId="0" fontId="10" fillId="6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wrapText="1"/>
    </xf>
    <xf numFmtId="0" fontId="10" fillId="8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vertical="center" wrapText="1"/>
    </xf>
    <xf numFmtId="0" fontId="11" fillId="0" borderId="3" xfId="0" applyFont="1" applyBorder="1"/>
    <xf numFmtId="0" fontId="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11" fillId="0" borderId="3" xfId="0" applyFont="1" applyBorder="1" applyAlignment="1">
      <alignment vertical="center"/>
    </xf>
    <xf numFmtId="0" fontId="24" fillId="0" borderId="3" xfId="0" applyFont="1" applyBorder="1" applyAlignment="1">
      <alignment horizontal="center"/>
    </xf>
    <xf numFmtId="0" fontId="19" fillId="0" borderId="3" xfId="0" applyFont="1" applyBorder="1"/>
    <xf numFmtId="0" fontId="10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left" vertical="center"/>
    </xf>
    <xf numFmtId="0" fontId="9" fillId="7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6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8" fillId="10" borderId="3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25" fillId="0" borderId="3" xfId="0" applyFont="1" applyBorder="1"/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vertical="center" wrapText="1"/>
    </xf>
    <xf numFmtId="0" fontId="18" fillId="7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/>
    </xf>
    <xf numFmtId="0" fontId="10" fillId="12" borderId="3" xfId="0" applyFont="1" applyFill="1" applyBorder="1" applyAlignment="1">
      <alignment horizontal="left" vertical="center" wrapText="1"/>
    </xf>
    <xf numFmtId="0" fontId="8" fillId="12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9" fillId="6" borderId="3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0" fillId="8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9" fillId="7" borderId="3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12" fillId="0" borderId="3" xfId="0" applyFont="1" applyBorder="1" applyAlignment="1">
      <alignment horizontal="left"/>
    </xf>
    <xf numFmtId="0" fontId="8" fillId="10" borderId="3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18" fillId="0" borderId="3" xfId="0" applyFont="1" applyBorder="1" applyAlignment="1">
      <alignment horizontal="left" vertical="center"/>
    </xf>
    <xf numFmtId="0" fontId="18" fillId="7" borderId="3" xfId="0" applyFont="1" applyFill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2" fillId="6" borderId="3" xfId="0" applyFont="1" applyFill="1" applyBorder="1" applyAlignment="1">
      <alignment horizontal="left" vertical="center"/>
    </xf>
    <xf numFmtId="0" fontId="8" fillId="12" borderId="3" xfId="0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4" fontId="12" fillId="0" borderId="3" xfId="0" applyNumberFormat="1" applyFont="1" applyBorder="1" applyAlignment="1">
      <alignment horizontal="right" vertical="center"/>
    </xf>
    <xf numFmtId="4" fontId="10" fillId="0" borderId="3" xfId="0" applyNumberFormat="1" applyFont="1" applyBorder="1" applyAlignment="1">
      <alignment horizontal="right" vertical="center"/>
    </xf>
    <xf numFmtId="4" fontId="10" fillId="9" borderId="3" xfId="0" applyNumberFormat="1" applyFont="1" applyFill="1" applyBorder="1" applyAlignment="1">
      <alignment horizontal="right" vertical="center"/>
    </xf>
    <xf numFmtId="4" fontId="9" fillId="6" borderId="3" xfId="1" applyNumberFormat="1" applyFont="1" applyFill="1" applyBorder="1" applyAlignment="1">
      <alignment horizontal="right" vertical="center"/>
    </xf>
    <xf numFmtId="4" fontId="10" fillId="3" borderId="3" xfId="0" applyNumberFormat="1" applyFont="1" applyFill="1" applyBorder="1" applyAlignment="1">
      <alignment horizontal="right" vertical="center"/>
    </xf>
    <xf numFmtId="4" fontId="10" fillId="9" borderId="3" xfId="1" applyNumberFormat="1" applyFont="1" applyFill="1" applyBorder="1" applyAlignment="1">
      <alignment horizontal="right" vertical="center"/>
    </xf>
    <xf numFmtId="4" fontId="10" fillId="3" borderId="3" xfId="1" applyNumberFormat="1" applyFont="1" applyFill="1" applyBorder="1" applyAlignment="1">
      <alignment horizontal="right" vertical="center"/>
    </xf>
    <xf numFmtId="4" fontId="10" fillId="6" borderId="3" xfId="1" applyNumberFormat="1" applyFont="1" applyFill="1" applyBorder="1" applyAlignment="1">
      <alignment horizontal="right" vertical="center"/>
    </xf>
    <xf numFmtId="4" fontId="10" fillId="4" borderId="3" xfId="1" applyNumberFormat="1" applyFont="1" applyFill="1" applyBorder="1" applyAlignment="1">
      <alignment horizontal="right" vertical="center"/>
    </xf>
    <xf numFmtId="4" fontId="10" fillId="0" borderId="3" xfId="1" applyNumberFormat="1" applyFont="1" applyFill="1" applyBorder="1" applyAlignment="1">
      <alignment horizontal="right" vertical="center"/>
    </xf>
    <xf numFmtId="4" fontId="10" fillId="8" borderId="3" xfId="1" applyNumberFormat="1" applyFont="1" applyFill="1" applyBorder="1" applyAlignment="1">
      <alignment horizontal="right" vertical="center"/>
    </xf>
    <xf numFmtId="4" fontId="11" fillId="0" borderId="3" xfId="1" applyNumberFormat="1" applyFont="1" applyFill="1" applyBorder="1" applyAlignment="1">
      <alignment horizontal="right" vertical="center"/>
    </xf>
    <xf numFmtId="4" fontId="9" fillId="0" borderId="3" xfId="1" applyNumberFormat="1" applyFont="1" applyBorder="1" applyAlignment="1">
      <alignment horizontal="right" vertical="center"/>
    </xf>
    <xf numFmtId="4" fontId="10" fillId="3" borderId="3" xfId="1" applyNumberFormat="1" applyFont="1" applyFill="1" applyBorder="1" applyAlignment="1">
      <alignment horizontal="right" vertical="center" wrapText="1"/>
    </xf>
    <xf numFmtId="4" fontId="10" fillId="0" borderId="3" xfId="1" applyNumberFormat="1" applyFont="1" applyFill="1" applyBorder="1" applyAlignment="1">
      <alignment horizontal="right" vertical="center" wrapText="1"/>
    </xf>
    <xf numFmtId="4" fontId="10" fillId="7" borderId="3" xfId="1" applyNumberFormat="1" applyFont="1" applyFill="1" applyBorder="1" applyAlignment="1">
      <alignment horizontal="right" vertical="center"/>
    </xf>
    <xf numFmtId="4" fontId="9" fillId="0" borderId="3" xfId="1" applyNumberFormat="1" applyFont="1" applyFill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center"/>
    </xf>
    <xf numFmtId="4" fontId="13" fillId="0" borderId="3" xfId="1" applyNumberFormat="1" applyFont="1" applyFill="1" applyBorder="1" applyAlignment="1">
      <alignment horizontal="right" vertical="center"/>
    </xf>
    <xf numFmtId="4" fontId="8" fillId="2" borderId="3" xfId="0" applyNumberFormat="1" applyFont="1" applyFill="1" applyBorder="1" applyAlignment="1">
      <alignment horizontal="right" vertical="center"/>
    </xf>
    <xf numFmtId="4" fontId="8" fillId="0" borderId="3" xfId="0" applyNumberFormat="1" applyFont="1" applyBorder="1" applyAlignment="1">
      <alignment horizontal="right" vertical="center"/>
    </xf>
    <xf numFmtId="4" fontId="14" fillId="0" borderId="3" xfId="0" applyNumberFormat="1" applyFont="1" applyBorder="1" applyAlignment="1">
      <alignment horizontal="right" vertical="center"/>
    </xf>
    <xf numFmtId="2" fontId="12" fillId="0" borderId="3" xfId="0" applyNumberFormat="1" applyFont="1" applyBorder="1" applyAlignment="1">
      <alignment horizontal="right" vertical="center"/>
    </xf>
    <xf numFmtId="0" fontId="10" fillId="8" borderId="3" xfId="0" applyFont="1" applyFill="1" applyBorder="1" applyAlignment="1">
      <alignment horizontal="right" vertical="center"/>
    </xf>
    <xf numFmtId="4" fontId="8" fillId="3" borderId="3" xfId="0" applyNumberFormat="1" applyFont="1" applyFill="1" applyBorder="1" applyAlignment="1">
      <alignment horizontal="right" vertical="center"/>
    </xf>
    <xf numFmtId="4" fontId="8" fillId="7" borderId="3" xfId="0" applyNumberFormat="1" applyFont="1" applyFill="1" applyBorder="1" applyAlignment="1">
      <alignment horizontal="right" vertical="center"/>
    </xf>
    <xf numFmtId="4" fontId="9" fillId="7" borderId="3" xfId="0" applyNumberFormat="1" applyFont="1" applyFill="1" applyBorder="1" applyAlignment="1">
      <alignment horizontal="right" vertical="center"/>
    </xf>
    <xf numFmtId="4" fontId="14" fillId="6" borderId="3" xfId="0" applyNumberFormat="1" applyFont="1" applyFill="1" applyBorder="1" applyAlignment="1">
      <alignment horizontal="right" vertical="center"/>
    </xf>
    <xf numFmtId="43" fontId="9" fillId="6" borderId="3" xfId="1" applyFont="1" applyFill="1" applyBorder="1" applyAlignment="1">
      <alignment horizontal="right" vertical="center"/>
    </xf>
    <xf numFmtId="2" fontId="9" fillId="0" borderId="3" xfId="0" applyNumberFormat="1" applyFont="1" applyBorder="1" applyAlignment="1">
      <alignment horizontal="right" vertical="center"/>
    </xf>
    <xf numFmtId="2" fontId="15" fillId="3" borderId="3" xfId="0" applyNumberFormat="1" applyFont="1" applyFill="1" applyBorder="1" applyAlignment="1">
      <alignment horizontal="right" vertical="center"/>
    </xf>
    <xf numFmtId="2" fontId="12" fillId="11" borderId="3" xfId="0" applyNumberFormat="1" applyFont="1" applyFill="1" applyBorder="1" applyAlignment="1">
      <alignment horizontal="right" vertical="center"/>
    </xf>
    <xf numFmtId="0" fontId="10" fillId="7" borderId="3" xfId="0" applyFont="1" applyFill="1" applyBorder="1" applyAlignment="1">
      <alignment horizontal="right" vertical="center"/>
    </xf>
    <xf numFmtId="4" fontId="9" fillId="3" borderId="3" xfId="1" applyNumberFormat="1" applyFont="1" applyFill="1" applyBorder="1" applyAlignment="1">
      <alignment horizontal="right" vertical="center"/>
    </xf>
    <xf numFmtId="4" fontId="23" fillId="0" borderId="3" xfId="1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right"/>
    </xf>
    <xf numFmtId="4" fontId="18" fillId="0" borderId="3" xfId="1" applyNumberFormat="1" applyFont="1" applyFill="1" applyBorder="1" applyAlignment="1">
      <alignment horizontal="right" vertical="center"/>
    </xf>
    <xf numFmtId="4" fontId="18" fillId="7" borderId="3" xfId="1" applyNumberFormat="1" applyFont="1" applyFill="1" applyBorder="1" applyAlignment="1">
      <alignment horizontal="right" vertical="center"/>
    </xf>
    <xf numFmtId="4" fontId="17" fillId="0" borderId="3" xfId="1" applyNumberFormat="1" applyFont="1" applyFill="1" applyBorder="1" applyAlignment="1">
      <alignment horizontal="right" vertical="center"/>
    </xf>
    <xf numFmtId="4" fontId="15" fillId="6" borderId="3" xfId="1" applyNumberFormat="1" applyFont="1" applyFill="1" applyBorder="1" applyAlignment="1">
      <alignment horizontal="right" vertical="center"/>
    </xf>
    <xf numFmtId="4" fontId="12" fillId="0" borderId="3" xfId="1" applyNumberFormat="1" applyFont="1" applyFill="1" applyBorder="1" applyAlignment="1">
      <alignment horizontal="right" vertical="center"/>
    </xf>
    <xf numFmtId="4" fontId="15" fillId="0" borderId="3" xfId="1" applyNumberFormat="1" applyFont="1" applyBorder="1" applyAlignment="1">
      <alignment horizontal="right" vertical="center"/>
    </xf>
    <xf numFmtId="4" fontId="12" fillId="0" borderId="3" xfId="1" applyNumberFormat="1" applyFont="1" applyBorder="1" applyAlignment="1">
      <alignment horizontal="right" vertical="center"/>
    </xf>
    <xf numFmtId="4" fontId="8" fillId="12" borderId="3" xfId="0" applyNumberFormat="1" applyFont="1" applyFill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3" fillId="0" borderId="3" xfId="0" applyNumberFormat="1" applyFont="1" applyBorder="1" applyAlignment="1">
      <alignment horizontal="right" vertical="center"/>
    </xf>
    <xf numFmtId="4" fontId="14" fillId="3" borderId="3" xfId="0" applyNumberFormat="1" applyFont="1" applyFill="1" applyBorder="1" applyAlignment="1">
      <alignment horizontal="right" vertical="center"/>
    </xf>
    <xf numFmtId="4" fontId="10" fillId="7" borderId="3" xfId="0" applyNumberFormat="1" applyFont="1" applyFill="1" applyBorder="1" applyAlignment="1">
      <alignment horizontal="right" vertical="center"/>
    </xf>
    <xf numFmtId="4" fontId="12" fillId="6" borderId="3" xfId="1" applyNumberFormat="1" applyFont="1" applyFill="1" applyBorder="1" applyAlignment="1">
      <alignment horizontal="right" vertical="center"/>
    </xf>
    <xf numFmtId="4" fontId="14" fillId="12" borderId="3" xfId="0" applyNumberFormat="1" applyFont="1" applyFill="1" applyBorder="1" applyAlignment="1">
      <alignment horizontal="right" vertical="center"/>
    </xf>
    <xf numFmtId="165" fontId="26" fillId="13" borderId="3" xfId="0" applyNumberFormat="1" applyFont="1" applyFill="1" applyBorder="1" applyAlignment="1">
      <alignment horizontal="right" vertical="center"/>
    </xf>
    <xf numFmtId="0" fontId="10" fillId="14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9" borderId="3" xfId="0" applyFont="1" applyFill="1" applyBorder="1" applyAlignment="1">
      <alignment horizontal="left" vertical="center" wrapText="1"/>
    </xf>
    <xf numFmtId="0" fontId="10" fillId="9" borderId="3" xfId="0" applyFont="1" applyFill="1" applyBorder="1" applyAlignment="1">
      <alignment horizontal="left" vertical="center"/>
    </xf>
    <xf numFmtId="0" fontId="10" fillId="13" borderId="3" xfId="0" applyFont="1" applyFill="1" applyBorder="1" applyAlignment="1">
      <alignment horizont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5F2B4-BA28-4D3F-A856-D4BCF26A0BE1}">
  <dimension ref="A1:J678"/>
  <sheetViews>
    <sheetView tabSelected="1" view="pageBreakPreview" zoomScaleNormal="130" zoomScaleSheetLayoutView="100" workbookViewId="0">
      <selection activeCell="H682" sqref="H682"/>
    </sheetView>
  </sheetViews>
  <sheetFormatPr baseColWidth="10" defaultColWidth="10.88671875" defaultRowHeight="13.8" x14ac:dyDescent="0.3"/>
  <cols>
    <col min="1" max="1" width="8.6640625" style="12" customWidth="1"/>
    <col min="2" max="2" width="53.5546875" style="15" customWidth="1"/>
    <col min="3" max="3" width="8.6640625" style="151" customWidth="1"/>
    <col min="4" max="4" width="10.109375" style="196" customWidth="1"/>
    <col min="5" max="5" width="7.44140625" style="16" customWidth="1"/>
    <col min="6" max="6" width="15.88671875" style="196" customWidth="1"/>
    <col min="7" max="16384" width="10.88671875" style="17"/>
  </cols>
  <sheetData>
    <row r="1" spans="1:7" ht="31.2" customHeight="1" x14ac:dyDescent="0.3">
      <c r="A1" s="203" t="s">
        <v>356</v>
      </c>
      <c r="B1" s="203"/>
      <c r="C1" s="203"/>
      <c r="D1" s="203"/>
      <c r="E1" s="203"/>
      <c r="F1" s="203"/>
    </row>
    <row r="2" spans="1:7" ht="4.8" customHeight="1" x14ac:dyDescent="0.3">
      <c r="A2" s="203"/>
      <c r="B2" s="203"/>
      <c r="C2" s="203"/>
      <c r="D2" s="203"/>
      <c r="E2" s="203"/>
      <c r="F2" s="203"/>
    </row>
    <row r="3" spans="1:7" x14ac:dyDescent="0.3">
      <c r="A3" s="206"/>
      <c r="B3" s="207"/>
      <c r="C3" s="207"/>
      <c r="D3" s="207"/>
      <c r="E3" s="207"/>
      <c r="F3" s="208"/>
    </row>
    <row r="4" spans="1:7" ht="27.6" customHeight="1" x14ac:dyDescent="0.3">
      <c r="A4" s="204" t="s">
        <v>357</v>
      </c>
      <c r="B4" s="204"/>
      <c r="C4" s="204"/>
      <c r="D4" s="204"/>
      <c r="E4" s="204"/>
      <c r="F4" s="204"/>
    </row>
    <row r="5" spans="1:7" x14ac:dyDescent="0.3">
      <c r="A5" s="62" t="s">
        <v>0</v>
      </c>
      <c r="B5" s="62" t="s">
        <v>1</v>
      </c>
      <c r="C5" s="62" t="s">
        <v>2</v>
      </c>
      <c r="D5" s="63" t="s">
        <v>3</v>
      </c>
      <c r="E5" s="64" t="s">
        <v>443</v>
      </c>
      <c r="F5" s="64" t="s">
        <v>444</v>
      </c>
      <c r="G5" s="18"/>
    </row>
    <row r="6" spans="1:7" ht="16.2" customHeight="1" x14ac:dyDescent="0.3">
      <c r="A6" s="7"/>
      <c r="B6" s="7"/>
      <c r="C6" s="93"/>
      <c r="D6" s="153"/>
      <c r="E6" s="7"/>
      <c r="F6" s="153"/>
    </row>
    <row r="7" spans="1:7" ht="16.2" customHeight="1" x14ac:dyDescent="0.3">
      <c r="A7" s="65">
        <v>0</v>
      </c>
      <c r="B7" s="66" t="s">
        <v>4</v>
      </c>
      <c r="C7" s="66"/>
      <c r="D7" s="154"/>
      <c r="E7" s="65"/>
      <c r="F7" s="154"/>
    </row>
    <row r="8" spans="1:7" ht="16.2" customHeight="1" x14ac:dyDescent="0.3">
      <c r="A8" s="67" t="s">
        <v>5</v>
      </c>
      <c r="B8" s="43" t="s">
        <v>6</v>
      </c>
      <c r="C8" s="126" t="s">
        <v>7</v>
      </c>
      <c r="D8" s="155">
        <v>1</v>
      </c>
      <c r="E8" s="19"/>
      <c r="F8" s="155">
        <f>E8*D8</f>
        <v>0</v>
      </c>
    </row>
    <row r="9" spans="1:7" ht="16.2" customHeight="1" x14ac:dyDescent="0.3">
      <c r="A9" s="1"/>
      <c r="B9" s="1" t="s">
        <v>8</v>
      </c>
      <c r="C9" s="94"/>
      <c r="D9" s="156"/>
      <c r="E9" s="1"/>
      <c r="F9" s="156">
        <f>SUM(F8)</f>
        <v>0</v>
      </c>
    </row>
    <row r="10" spans="1:7" ht="16.2" customHeight="1" x14ac:dyDescent="0.3">
      <c r="A10" s="7"/>
      <c r="B10" s="7"/>
      <c r="C10" s="93"/>
      <c r="D10" s="153"/>
      <c r="E10" s="7"/>
      <c r="F10" s="153"/>
    </row>
    <row r="11" spans="1:7" ht="16.2" customHeight="1" x14ac:dyDescent="0.3">
      <c r="A11" s="65">
        <v>1</v>
      </c>
      <c r="B11" s="68" t="s">
        <v>9</v>
      </c>
      <c r="C11" s="66"/>
      <c r="D11" s="157"/>
      <c r="E11" s="65"/>
      <c r="F11" s="154"/>
    </row>
    <row r="12" spans="1:7" ht="16.2" customHeight="1" x14ac:dyDescent="0.3">
      <c r="A12" s="67" t="s">
        <v>10</v>
      </c>
      <c r="B12" s="43" t="s">
        <v>11</v>
      </c>
      <c r="C12" s="126" t="s">
        <v>12</v>
      </c>
      <c r="D12" s="155">
        <v>2390</v>
      </c>
      <c r="E12" s="19"/>
      <c r="F12" s="155">
        <f>E12*D12</f>
        <v>0</v>
      </c>
    </row>
    <row r="13" spans="1:7" ht="16.2" customHeight="1" x14ac:dyDescent="0.3">
      <c r="A13" s="26"/>
      <c r="B13" s="69" t="s">
        <v>13</v>
      </c>
      <c r="C13" s="94"/>
      <c r="D13" s="158"/>
      <c r="E13" s="1"/>
      <c r="F13" s="158">
        <f>SUM(F12)</f>
        <v>0</v>
      </c>
    </row>
    <row r="14" spans="1:7" ht="16.2" customHeight="1" x14ac:dyDescent="0.3">
      <c r="A14" s="70"/>
      <c r="B14" s="71"/>
      <c r="C14" s="127"/>
      <c r="D14" s="159"/>
      <c r="E14" s="72"/>
      <c r="F14" s="159"/>
    </row>
    <row r="15" spans="1:7" ht="27.6" x14ac:dyDescent="0.3">
      <c r="A15" s="73"/>
      <c r="B15" s="74" t="s">
        <v>14</v>
      </c>
      <c r="C15" s="128"/>
      <c r="D15" s="160"/>
      <c r="E15" s="59"/>
      <c r="F15" s="160">
        <f>SUM(F8:F13)/2</f>
        <v>0</v>
      </c>
    </row>
    <row r="16" spans="1:7" x14ac:dyDescent="0.3">
      <c r="A16" s="205"/>
      <c r="B16" s="205"/>
      <c r="C16" s="205"/>
      <c r="D16" s="205"/>
      <c r="E16" s="205"/>
      <c r="F16" s="205"/>
    </row>
    <row r="17" spans="1:6" ht="25.2" customHeight="1" x14ac:dyDescent="0.3">
      <c r="A17" s="209" t="s">
        <v>15</v>
      </c>
      <c r="B17" s="209"/>
      <c r="C17" s="209"/>
      <c r="D17" s="209"/>
      <c r="E17" s="209"/>
      <c r="F17" s="209"/>
    </row>
    <row r="18" spans="1:6" ht="16.2" customHeight="1" x14ac:dyDescent="0.3">
      <c r="A18" s="28">
        <v>2</v>
      </c>
      <c r="B18" s="29" t="s">
        <v>16</v>
      </c>
      <c r="C18" s="93"/>
      <c r="D18" s="161"/>
      <c r="E18" s="7"/>
      <c r="F18" s="161"/>
    </row>
    <row r="19" spans="1:6" ht="16.2" customHeight="1" x14ac:dyDescent="0.3">
      <c r="A19" s="75" t="s">
        <v>17</v>
      </c>
      <c r="B19" s="30" t="s">
        <v>18</v>
      </c>
      <c r="C19" s="129"/>
      <c r="D19" s="162"/>
      <c r="E19" s="14"/>
      <c r="F19" s="162"/>
    </row>
    <row r="20" spans="1:6" ht="16.2" customHeight="1" x14ac:dyDescent="0.3">
      <c r="A20" s="76" t="s">
        <v>19</v>
      </c>
      <c r="B20" s="34" t="s">
        <v>20</v>
      </c>
      <c r="C20" s="98"/>
      <c r="D20" s="163"/>
      <c r="E20" s="8"/>
      <c r="F20" s="163"/>
    </row>
    <row r="21" spans="1:6" ht="16.2" customHeight="1" x14ac:dyDescent="0.3">
      <c r="A21" s="76" t="s">
        <v>21</v>
      </c>
      <c r="B21" s="34" t="s">
        <v>22</v>
      </c>
      <c r="C21" s="98"/>
      <c r="D21" s="163"/>
      <c r="E21" s="8"/>
      <c r="F21" s="163"/>
    </row>
    <row r="22" spans="1:6" ht="16.2" customHeight="1" x14ac:dyDescent="0.3">
      <c r="A22" s="67" t="s">
        <v>23</v>
      </c>
      <c r="B22" s="43" t="s">
        <v>24</v>
      </c>
      <c r="C22" s="126" t="s">
        <v>25</v>
      </c>
      <c r="D22" s="155">
        <f>192*0.4*1</f>
        <v>76.800000000000011</v>
      </c>
      <c r="E22" s="19"/>
      <c r="F22" s="155">
        <f t="shared" ref="F22:F30" si="0">E22*D22</f>
        <v>0</v>
      </c>
    </row>
    <row r="23" spans="1:6" ht="16.2" customHeight="1" x14ac:dyDescent="0.3">
      <c r="A23" s="77" t="s">
        <v>26</v>
      </c>
      <c r="B23" s="78" t="s">
        <v>27</v>
      </c>
      <c r="C23" s="126"/>
      <c r="D23" s="155"/>
      <c r="E23" s="19"/>
      <c r="F23" s="155"/>
    </row>
    <row r="24" spans="1:6" ht="16.2" customHeight="1" x14ac:dyDescent="0.3">
      <c r="A24" s="67" t="s">
        <v>28</v>
      </c>
      <c r="B24" s="43" t="s">
        <v>29</v>
      </c>
      <c r="C24" s="126" t="s">
        <v>25</v>
      </c>
      <c r="D24" s="155">
        <f>192*0.05*0.4</f>
        <v>3.8400000000000007</v>
      </c>
      <c r="E24" s="19"/>
      <c r="F24" s="155">
        <f t="shared" si="0"/>
        <v>0</v>
      </c>
    </row>
    <row r="25" spans="1:6" ht="16.2" customHeight="1" x14ac:dyDescent="0.3">
      <c r="A25" s="67" t="s">
        <v>30</v>
      </c>
      <c r="B25" s="78" t="s">
        <v>31</v>
      </c>
      <c r="C25" s="126"/>
      <c r="D25" s="155"/>
      <c r="E25" s="19"/>
      <c r="F25" s="155"/>
    </row>
    <row r="26" spans="1:6" ht="16.2" customHeight="1" x14ac:dyDescent="0.3">
      <c r="A26" s="67" t="s">
        <v>32</v>
      </c>
      <c r="B26" s="43" t="s">
        <v>33</v>
      </c>
      <c r="C26" s="126" t="s">
        <v>25</v>
      </c>
      <c r="D26" s="155">
        <f>192*0.4*0.95</f>
        <v>72.960000000000008</v>
      </c>
      <c r="E26" s="19"/>
      <c r="F26" s="155">
        <f>E26*D26</f>
        <v>0</v>
      </c>
    </row>
    <row r="27" spans="1:6" ht="30.6" customHeight="1" x14ac:dyDescent="0.3">
      <c r="A27" s="67" t="s">
        <v>34</v>
      </c>
      <c r="B27" s="43" t="s">
        <v>35</v>
      </c>
      <c r="C27" s="126" t="s">
        <v>25</v>
      </c>
      <c r="D27" s="155">
        <f>192*0.4*0.4</f>
        <v>30.720000000000006</v>
      </c>
      <c r="E27" s="19"/>
      <c r="F27" s="155">
        <f t="shared" si="0"/>
        <v>0</v>
      </c>
    </row>
    <row r="28" spans="1:6" ht="16.2" customHeight="1" x14ac:dyDescent="0.3">
      <c r="A28" s="8" t="s">
        <v>36</v>
      </c>
      <c r="B28" s="79" t="s">
        <v>37</v>
      </c>
      <c r="C28" s="126"/>
      <c r="D28" s="155"/>
      <c r="E28" s="19"/>
      <c r="F28" s="155"/>
    </row>
    <row r="29" spans="1:6" ht="31.2" customHeight="1" x14ac:dyDescent="0.3">
      <c r="A29" s="67" t="s">
        <v>38</v>
      </c>
      <c r="B29" s="43" t="s">
        <v>39</v>
      </c>
      <c r="C29" s="126" t="s">
        <v>25</v>
      </c>
      <c r="D29" s="155">
        <f>32*0.4*0.4*0.95</f>
        <v>4.8640000000000008</v>
      </c>
      <c r="E29" s="19"/>
      <c r="F29" s="155">
        <f t="shared" si="0"/>
        <v>0</v>
      </c>
    </row>
    <row r="30" spans="1:6" ht="27.6" x14ac:dyDescent="0.3">
      <c r="A30" s="67" t="s">
        <v>40</v>
      </c>
      <c r="B30" s="43" t="s">
        <v>41</v>
      </c>
      <c r="C30" s="126" t="s">
        <v>25</v>
      </c>
      <c r="D30" s="155">
        <f>192*0.07*0.4</f>
        <v>5.3760000000000012</v>
      </c>
      <c r="E30" s="19"/>
      <c r="F30" s="155">
        <f t="shared" si="0"/>
        <v>0</v>
      </c>
    </row>
    <row r="31" spans="1:6" ht="27.6" x14ac:dyDescent="0.3">
      <c r="A31" s="67" t="s">
        <v>42</v>
      </c>
      <c r="B31" s="35" t="s">
        <v>43</v>
      </c>
      <c r="C31" s="126" t="s">
        <v>25</v>
      </c>
      <c r="D31" s="155">
        <f>24.1*9.53*0.4</f>
        <v>91.869200000000006</v>
      </c>
      <c r="E31" s="19"/>
      <c r="F31" s="155">
        <f>E31*D31</f>
        <v>0</v>
      </c>
    </row>
    <row r="32" spans="1:6" ht="20.7" customHeight="1" x14ac:dyDescent="0.3">
      <c r="A32" s="67" t="s">
        <v>44</v>
      </c>
      <c r="B32" s="35" t="s">
        <v>45</v>
      </c>
      <c r="C32" s="126" t="s">
        <v>12</v>
      </c>
      <c r="D32" s="155">
        <f>25*10.33</f>
        <v>258.25</v>
      </c>
      <c r="E32" s="19"/>
      <c r="F32" s="155">
        <f>E32*D32</f>
        <v>0</v>
      </c>
    </row>
    <row r="33" spans="1:6" ht="35.700000000000003" customHeight="1" x14ac:dyDescent="0.3">
      <c r="A33" s="67" t="s">
        <v>46</v>
      </c>
      <c r="B33" s="35" t="s">
        <v>47</v>
      </c>
      <c r="C33" s="126" t="s">
        <v>25</v>
      </c>
      <c r="D33" s="155">
        <f>24.1*9.53*0.07</f>
        <v>16.077110000000001</v>
      </c>
      <c r="E33" s="19"/>
      <c r="F33" s="155">
        <f>E33*D33</f>
        <v>0</v>
      </c>
    </row>
    <row r="34" spans="1:6" x14ac:dyDescent="0.3">
      <c r="A34" s="26"/>
      <c r="B34" s="27" t="s">
        <v>48</v>
      </c>
      <c r="C34" s="94"/>
      <c r="D34" s="158"/>
      <c r="E34" s="1"/>
      <c r="F34" s="158">
        <f>SUM(F22:F33)</f>
        <v>0</v>
      </c>
    </row>
    <row r="35" spans="1:6" x14ac:dyDescent="0.3">
      <c r="A35" s="28"/>
      <c r="B35" s="29"/>
      <c r="C35" s="93"/>
      <c r="D35" s="161"/>
      <c r="E35" s="7"/>
      <c r="F35" s="161"/>
    </row>
    <row r="36" spans="1:6" x14ac:dyDescent="0.3">
      <c r="A36" s="75" t="s">
        <v>49</v>
      </c>
      <c r="B36" s="30" t="s">
        <v>50</v>
      </c>
      <c r="C36" s="129"/>
      <c r="D36" s="162"/>
      <c r="E36" s="14"/>
      <c r="F36" s="162"/>
    </row>
    <row r="37" spans="1:6" ht="16.2" customHeight="1" x14ac:dyDescent="0.3">
      <c r="A37" s="80" t="s">
        <v>51</v>
      </c>
      <c r="B37" s="79" t="s">
        <v>52</v>
      </c>
      <c r="C37" s="61"/>
      <c r="D37" s="164"/>
      <c r="E37" s="2"/>
      <c r="F37" s="164"/>
    </row>
    <row r="38" spans="1:6" ht="16.2" customHeight="1" x14ac:dyDescent="0.3">
      <c r="A38" s="80" t="s">
        <v>53</v>
      </c>
      <c r="B38" s="35" t="s">
        <v>54</v>
      </c>
      <c r="C38" s="61" t="s">
        <v>12</v>
      </c>
      <c r="D38" s="164">
        <f>192*3</f>
        <v>576</v>
      </c>
      <c r="E38" s="2"/>
      <c r="F38" s="164">
        <f t="shared" ref="F38:F47" si="1">E38*D38</f>
        <v>0</v>
      </c>
    </row>
    <row r="39" spans="1:6" ht="16.2" customHeight="1" x14ac:dyDescent="0.3">
      <c r="A39" s="81" t="s">
        <v>55</v>
      </c>
      <c r="B39" s="82" t="s">
        <v>56</v>
      </c>
      <c r="C39" s="61"/>
      <c r="D39" s="164"/>
      <c r="E39" s="2"/>
      <c r="F39" s="164"/>
    </row>
    <row r="40" spans="1:6" ht="27" customHeight="1" x14ac:dyDescent="0.3">
      <c r="A40" s="83" t="s">
        <v>57</v>
      </c>
      <c r="B40" s="35" t="s">
        <v>58</v>
      </c>
      <c r="C40" s="61" t="s">
        <v>25</v>
      </c>
      <c r="D40" s="164">
        <v>2.12</v>
      </c>
      <c r="E40" s="2"/>
      <c r="F40" s="164">
        <f t="shared" si="1"/>
        <v>0</v>
      </c>
    </row>
    <row r="41" spans="1:6" ht="16.2" customHeight="1" x14ac:dyDescent="0.3">
      <c r="A41" s="8" t="s">
        <v>59</v>
      </c>
      <c r="B41" s="34" t="s">
        <v>37</v>
      </c>
      <c r="C41" s="61"/>
      <c r="D41" s="164"/>
      <c r="E41" s="2"/>
      <c r="F41" s="164"/>
    </row>
    <row r="42" spans="1:6" ht="16.2" customHeight="1" x14ac:dyDescent="0.3">
      <c r="A42" s="8" t="s">
        <v>60</v>
      </c>
      <c r="B42" s="34" t="s">
        <v>61</v>
      </c>
      <c r="C42" s="61"/>
      <c r="D42" s="164"/>
      <c r="E42" s="2"/>
      <c r="F42" s="164"/>
    </row>
    <row r="43" spans="1:6" ht="27.6" x14ac:dyDescent="0.3">
      <c r="A43" s="80" t="s">
        <v>62</v>
      </c>
      <c r="B43" s="35" t="s">
        <v>63</v>
      </c>
      <c r="C43" s="61" t="s">
        <v>25</v>
      </c>
      <c r="D43" s="164">
        <f>32*0.15*0.2*3.4</f>
        <v>3.2639999999999998</v>
      </c>
      <c r="E43" s="2"/>
      <c r="F43" s="164">
        <f t="shared" si="1"/>
        <v>0</v>
      </c>
    </row>
    <row r="44" spans="1:6" ht="16.2" customHeight="1" x14ac:dyDescent="0.3">
      <c r="A44" s="8" t="s">
        <v>64</v>
      </c>
      <c r="B44" s="79" t="s">
        <v>65</v>
      </c>
      <c r="C44" s="61"/>
      <c r="D44" s="164"/>
      <c r="E44" s="2"/>
      <c r="F44" s="164"/>
    </row>
    <row r="45" spans="1:6" ht="32.700000000000003" customHeight="1" x14ac:dyDescent="0.3">
      <c r="A45" s="80" t="s">
        <v>66</v>
      </c>
      <c r="B45" s="43" t="s">
        <v>67</v>
      </c>
      <c r="C45" s="61" t="s">
        <v>25</v>
      </c>
      <c r="D45" s="164">
        <f>192*0.15*0.2</f>
        <v>5.76</v>
      </c>
      <c r="E45" s="2"/>
      <c r="F45" s="164">
        <f t="shared" si="1"/>
        <v>0</v>
      </c>
    </row>
    <row r="46" spans="1:6" ht="34.200000000000003" customHeight="1" x14ac:dyDescent="0.3">
      <c r="A46" s="80" t="s">
        <v>68</v>
      </c>
      <c r="B46" s="35" t="s">
        <v>69</v>
      </c>
      <c r="C46" s="61" t="s">
        <v>25</v>
      </c>
      <c r="D46" s="164">
        <f>192*0.15*0.2</f>
        <v>5.76</v>
      </c>
      <c r="E46" s="2"/>
      <c r="F46" s="164">
        <f>E46*D46</f>
        <v>0</v>
      </c>
    </row>
    <row r="47" spans="1:6" ht="16.2" customHeight="1" x14ac:dyDescent="0.3">
      <c r="A47" s="80" t="s">
        <v>70</v>
      </c>
      <c r="B47" s="35" t="s">
        <v>358</v>
      </c>
      <c r="C47" s="61" t="s">
        <v>25</v>
      </c>
      <c r="D47" s="164">
        <f>(1.84*0.84*0.1)+(1.85*0.85*0.1)</f>
        <v>0.31181000000000003</v>
      </c>
      <c r="E47" s="2"/>
      <c r="F47" s="164">
        <f t="shared" si="1"/>
        <v>0</v>
      </c>
    </row>
    <row r="48" spans="1:6" ht="16.2" customHeight="1" x14ac:dyDescent="0.3">
      <c r="A48" s="26"/>
      <c r="B48" s="27" t="s">
        <v>71</v>
      </c>
      <c r="C48" s="27"/>
      <c r="D48" s="165"/>
      <c r="E48" s="26"/>
      <c r="F48" s="165">
        <f>SUM(F37:F47)</f>
        <v>0</v>
      </c>
    </row>
    <row r="49" spans="1:6" ht="16.2" customHeight="1" x14ac:dyDescent="0.3">
      <c r="A49" s="28"/>
      <c r="B49" s="29"/>
      <c r="C49" s="29"/>
      <c r="D49" s="166"/>
      <c r="E49" s="28"/>
      <c r="F49" s="166"/>
    </row>
    <row r="50" spans="1:6" ht="16.2" customHeight="1" x14ac:dyDescent="0.3">
      <c r="A50" s="56" t="s">
        <v>72</v>
      </c>
      <c r="B50" s="36" t="s">
        <v>73</v>
      </c>
      <c r="C50" s="96"/>
      <c r="D50" s="167"/>
      <c r="E50" s="37"/>
      <c r="F50" s="167"/>
    </row>
    <row r="51" spans="1:6" ht="16.2" customHeight="1" x14ac:dyDescent="0.3">
      <c r="A51" s="76" t="s">
        <v>74</v>
      </c>
      <c r="B51" s="34" t="s">
        <v>75</v>
      </c>
      <c r="C51" s="93"/>
      <c r="D51" s="161"/>
      <c r="E51" s="7"/>
      <c r="F51" s="161"/>
    </row>
    <row r="52" spans="1:6" ht="27.6" x14ac:dyDescent="0.3">
      <c r="A52" s="80" t="s">
        <v>76</v>
      </c>
      <c r="B52" s="35" t="s">
        <v>77</v>
      </c>
      <c r="C52" s="61" t="s">
        <v>25</v>
      </c>
      <c r="D52" s="168">
        <f>51*0.15*0.07*11*1.1</f>
        <v>6.4795499999999997</v>
      </c>
      <c r="E52" s="2"/>
      <c r="F52" s="164">
        <f t="shared" ref="F52:F57" si="2">E52*D52</f>
        <v>0</v>
      </c>
    </row>
    <row r="53" spans="1:6" ht="16.2" customHeight="1" x14ac:dyDescent="0.3">
      <c r="A53" s="80" t="s">
        <v>78</v>
      </c>
      <c r="B53" s="35" t="s">
        <v>79</v>
      </c>
      <c r="C53" s="61" t="s">
        <v>25</v>
      </c>
      <c r="D53" s="168">
        <f>18*0.07*0.07*26.5*1.1</f>
        <v>2.5710300000000013</v>
      </c>
      <c r="E53" s="2"/>
      <c r="F53" s="164">
        <f t="shared" si="2"/>
        <v>0</v>
      </c>
    </row>
    <row r="54" spans="1:6" ht="27.6" x14ac:dyDescent="0.3">
      <c r="A54" s="80" t="s">
        <v>80</v>
      </c>
      <c r="B54" s="35" t="s">
        <v>81</v>
      </c>
      <c r="C54" s="61" t="s">
        <v>12</v>
      </c>
      <c r="D54" s="168">
        <f>(26.53*6.27)*2 + (3.9*3.15*4)</f>
        <v>381.82619999999997</v>
      </c>
      <c r="E54" s="2"/>
      <c r="F54" s="164">
        <f t="shared" si="2"/>
        <v>0</v>
      </c>
    </row>
    <row r="55" spans="1:6" ht="16.2" customHeight="1" x14ac:dyDescent="0.3">
      <c r="A55" s="80" t="s">
        <v>82</v>
      </c>
      <c r="B55" s="35" t="s">
        <v>83</v>
      </c>
      <c r="C55" s="61" t="s">
        <v>84</v>
      </c>
      <c r="D55" s="168">
        <f>26.53+(3.15*2)</f>
        <v>32.83</v>
      </c>
      <c r="E55" s="2"/>
      <c r="F55" s="164">
        <f t="shared" si="2"/>
        <v>0</v>
      </c>
    </row>
    <row r="56" spans="1:6" ht="16.2" customHeight="1" x14ac:dyDescent="0.3">
      <c r="A56" s="80" t="s">
        <v>85</v>
      </c>
      <c r="B56" s="35" t="s">
        <v>86</v>
      </c>
      <c r="C56" s="61" t="s">
        <v>84</v>
      </c>
      <c r="D56" s="168">
        <f>(10.63*4)+(7.75*4)+(2.75*4)</f>
        <v>84.52000000000001</v>
      </c>
      <c r="E56" s="2"/>
      <c r="F56" s="164">
        <f>E56*D56</f>
        <v>0</v>
      </c>
    </row>
    <row r="57" spans="1:6" ht="41.4" x14ac:dyDescent="0.3">
      <c r="A57" s="80" t="s">
        <v>87</v>
      </c>
      <c r="B57" s="55" t="s">
        <v>88</v>
      </c>
      <c r="C57" s="61" t="s">
        <v>12</v>
      </c>
      <c r="D57" s="168">
        <f>26.91*12.35</f>
        <v>332.33850000000001</v>
      </c>
      <c r="E57" s="2"/>
      <c r="F57" s="164">
        <f t="shared" si="2"/>
        <v>0</v>
      </c>
    </row>
    <row r="58" spans="1:6" ht="16.2" customHeight="1" x14ac:dyDescent="0.3">
      <c r="A58" s="26"/>
      <c r="B58" s="27" t="s">
        <v>89</v>
      </c>
      <c r="C58" s="94"/>
      <c r="D58" s="158"/>
      <c r="E58" s="1"/>
      <c r="F58" s="158">
        <f>SUM(F52:F57)</f>
        <v>0</v>
      </c>
    </row>
    <row r="59" spans="1:6" ht="16.2" customHeight="1" x14ac:dyDescent="0.3">
      <c r="A59" s="28"/>
      <c r="B59" s="55"/>
      <c r="C59" s="93"/>
      <c r="D59" s="161"/>
      <c r="E59" s="7"/>
      <c r="F59" s="161"/>
    </row>
    <row r="60" spans="1:6" ht="16.2" customHeight="1" x14ac:dyDescent="0.3">
      <c r="A60" s="28">
        <v>3</v>
      </c>
      <c r="B60" s="29" t="s">
        <v>90</v>
      </c>
      <c r="C60" s="93"/>
      <c r="D60" s="161"/>
      <c r="E60" s="7"/>
      <c r="F60" s="161"/>
    </row>
    <row r="61" spans="1:6" ht="16.2" customHeight="1" x14ac:dyDescent="0.3">
      <c r="A61" s="56" t="s">
        <v>91</v>
      </c>
      <c r="B61" s="36" t="s">
        <v>92</v>
      </c>
      <c r="C61" s="96"/>
      <c r="D61" s="167"/>
      <c r="E61" s="37"/>
      <c r="F61" s="167"/>
    </row>
    <row r="62" spans="1:6" ht="16.2" customHeight="1" x14ac:dyDescent="0.3">
      <c r="A62" s="76" t="s">
        <v>93</v>
      </c>
      <c r="B62" s="34" t="s">
        <v>94</v>
      </c>
      <c r="C62" s="93"/>
      <c r="D62" s="161"/>
      <c r="E62" s="7"/>
      <c r="F62" s="161"/>
    </row>
    <row r="63" spans="1:6" ht="27.6" x14ac:dyDescent="0.3">
      <c r="A63" s="80" t="s">
        <v>95</v>
      </c>
      <c r="B63" s="35" t="s">
        <v>96</v>
      </c>
      <c r="C63" s="61" t="s">
        <v>97</v>
      </c>
      <c r="D63" s="168">
        <v>2</v>
      </c>
      <c r="E63" s="2"/>
      <c r="F63" s="164">
        <f>E63*D63</f>
        <v>0</v>
      </c>
    </row>
    <row r="64" spans="1:6" ht="27.6" x14ac:dyDescent="0.3">
      <c r="A64" s="80" t="s">
        <v>98</v>
      </c>
      <c r="B64" s="35" t="s">
        <v>99</v>
      </c>
      <c r="C64" s="61" t="s">
        <v>97</v>
      </c>
      <c r="D64" s="168">
        <v>3</v>
      </c>
      <c r="E64" s="3"/>
      <c r="F64" s="164">
        <f>E64*D64</f>
        <v>0</v>
      </c>
    </row>
    <row r="65" spans="1:6" ht="27.6" x14ac:dyDescent="0.3">
      <c r="A65" s="80" t="s">
        <v>100</v>
      </c>
      <c r="B65" s="35" t="s">
        <v>101</v>
      </c>
      <c r="C65" s="61" t="s">
        <v>97</v>
      </c>
      <c r="D65" s="168">
        <v>3</v>
      </c>
      <c r="E65" s="3"/>
      <c r="F65" s="164">
        <f>E65*D65</f>
        <v>0</v>
      </c>
    </row>
    <row r="66" spans="1:6" x14ac:dyDescent="0.3">
      <c r="A66" s="80" t="s">
        <v>102</v>
      </c>
      <c r="B66" s="35" t="s">
        <v>103</v>
      </c>
      <c r="C66" s="61" t="s">
        <v>97</v>
      </c>
      <c r="D66" s="168">
        <v>17</v>
      </c>
      <c r="E66" s="3"/>
      <c r="F66" s="164">
        <f>E66*D66</f>
        <v>0</v>
      </c>
    </row>
    <row r="67" spans="1:6" x14ac:dyDescent="0.3">
      <c r="A67" s="80" t="s">
        <v>104</v>
      </c>
      <c r="B67" s="35" t="s">
        <v>105</v>
      </c>
      <c r="C67" s="61" t="s">
        <v>97</v>
      </c>
      <c r="D67" s="168">
        <v>1</v>
      </c>
      <c r="E67" s="3"/>
      <c r="F67" s="164">
        <f>E67*D67</f>
        <v>0</v>
      </c>
    </row>
    <row r="68" spans="1:6" x14ac:dyDescent="0.3">
      <c r="A68" s="76" t="s">
        <v>106</v>
      </c>
      <c r="B68" s="84" t="s">
        <v>107</v>
      </c>
      <c r="C68" s="98"/>
      <c r="D68" s="168"/>
      <c r="E68" s="3"/>
      <c r="F68" s="164"/>
    </row>
    <row r="69" spans="1:6" x14ac:dyDescent="0.3">
      <c r="A69" s="80" t="s">
        <v>108</v>
      </c>
      <c r="B69" s="35" t="s">
        <v>109</v>
      </c>
      <c r="C69" s="61" t="s">
        <v>97</v>
      </c>
      <c r="D69" s="168">
        <v>16</v>
      </c>
      <c r="E69" s="2"/>
      <c r="F69" s="164">
        <f t="shared" ref="F69:F76" si="3">E69*D69</f>
        <v>0</v>
      </c>
    </row>
    <row r="70" spans="1:6" x14ac:dyDescent="0.3">
      <c r="A70" s="80" t="s">
        <v>110</v>
      </c>
      <c r="B70" s="35" t="s">
        <v>111</v>
      </c>
      <c r="C70" s="61" t="s">
        <v>97</v>
      </c>
      <c r="D70" s="168">
        <v>1</v>
      </c>
      <c r="E70" s="2"/>
      <c r="F70" s="164">
        <f t="shared" si="3"/>
        <v>0</v>
      </c>
    </row>
    <row r="71" spans="1:6" x14ac:dyDescent="0.3">
      <c r="A71" s="80" t="s">
        <v>112</v>
      </c>
      <c r="B71" s="35" t="s">
        <v>113</v>
      </c>
      <c r="C71" s="61" t="s">
        <v>97</v>
      </c>
      <c r="D71" s="168">
        <v>1</v>
      </c>
      <c r="E71" s="2"/>
      <c r="F71" s="164">
        <f t="shared" si="3"/>
        <v>0</v>
      </c>
    </row>
    <row r="72" spans="1:6" ht="27.6" x14ac:dyDescent="0.3">
      <c r="A72" s="85" t="s">
        <v>114</v>
      </c>
      <c r="B72" s="35" t="s">
        <v>115</v>
      </c>
      <c r="C72" s="61" t="s">
        <v>97</v>
      </c>
      <c r="D72" s="168">
        <v>16</v>
      </c>
      <c r="E72" s="2"/>
      <c r="F72" s="164">
        <f t="shared" si="3"/>
        <v>0</v>
      </c>
    </row>
    <row r="73" spans="1:6" ht="14.4" x14ac:dyDescent="0.3">
      <c r="A73" s="85" t="s">
        <v>116</v>
      </c>
      <c r="B73" s="35" t="s">
        <v>117</v>
      </c>
      <c r="C73" s="61" t="s">
        <v>97</v>
      </c>
      <c r="D73" s="168">
        <v>1</v>
      </c>
      <c r="E73" s="2"/>
      <c r="F73" s="164">
        <f t="shared" si="3"/>
        <v>0</v>
      </c>
    </row>
    <row r="74" spans="1:6" ht="27.6" x14ac:dyDescent="0.3">
      <c r="A74" s="85" t="s">
        <v>118</v>
      </c>
      <c r="B74" s="35" t="s">
        <v>119</v>
      </c>
      <c r="C74" s="61" t="s">
        <v>97</v>
      </c>
      <c r="D74" s="168">
        <v>4</v>
      </c>
      <c r="E74" s="2"/>
      <c r="F74" s="164">
        <f t="shared" si="3"/>
        <v>0</v>
      </c>
    </row>
    <row r="75" spans="1:6" ht="27.6" x14ac:dyDescent="0.3">
      <c r="A75" s="85" t="s">
        <v>120</v>
      </c>
      <c r="B75" s="35" t="s">
        <v>121</v>
      </c>
      <c r="C75" s="61" t="s">
        <v>97</v>
      </c>
      <c r="D75" s="168">
        <v>5</v>
      </c>
      <c r="E75" s="2"/>
      <c r="F75" s="164">
        <f t="shared" si="3"/>
        <v>0</v>
      </c>
    </row>
    <row r="76" spans="1:6" ht="27.6" x14ac:dyDescent="0.3">
      <c r="A76" s="85" t="s">
        <v>122</v>
      </c>
      <c r="B76" s="35" t="s">
        <v>123</v>
      </c>
      <c r="C76" s="61" t="s">
        <v>97</v>
      </c>
      <c r="D76" s="168">
        <v>4</v>
      </c>
      <c r="E76" s="2"/>
      <c r="F76" s="164">
        <f t="shared" si="3"/>
        <v>0</v>
      </c>
    </row>
    <row r="77" spans="1:6" x14ac:dyDescent="0.3">
      <c r="A77" s="80" t="s">
        <v>124</v>
      </c>
      <c r="B77" s="35" t="s">
        <v>125</v>
      </c>
      <c r="C77" s="61" t="s">
        <v>84</v>
      </c>
      <c r="D77" s="168">
        <v>14.58</v>
      </c>
      <c r="E77" s="2"/>
      <c r="F77" s="164">
        <f>E77*D77</f>
        <v>0</v>
      </c>
    </row>
    <row r="78" spans="1:6" ht="16.2" customHeight="1" x14ac:dyDescent="0.3">
      <c r="A78" s="26"/>
      <c r="B78" s="27" t="s">
        <v>126</v>
      </c>
      <c r="C78" s="94"/>
      <c r="D78" s="158"/>
      <c r="E78" s="1"/>
      <c r="F78" s="158">
        <f>SUM(F63:F77)</f>
        <v>0</v>
      </c>
    </row>
    <row r="79" spans="1:6" ht="16.2" customHeight="1" x14ac:dyDescent="0.3">
      <c r="A79" s="28"/>
      <c r="B79" s="29"/>
      <c r="C79" s="93"/>
      <c r="D79" s="161"/>
      <c r="E79" s="7"/>
      <c r="F79" s="161"/>
    </row>
    <row r="80" spans="1:6" ht="16.2" customHeight="1" x14ac:dyDescent="0.3">
      <c r="A80" s="56" t="s">
        <v>127</v>
      </c>
      <c r="B80" s="36" t="s">
        <v>128</v>
      </c>
      <c r="C80" s="40"/>
      <c r="D80" s="167"/>
      <c r="E80" s="37"/>
      <c r="F80" s="167"/>
    </row>
    <row r="81" spans="1:6" ht="27.6" x14ac:dyDescent="0.3">
      <c r="A81" s="80" t="s">
        <v>129</v>
      </c>
      <c r="B81" s="35" t="s">
        <v>130</v>
      </c>
      <c r="C81" s="61" t="s">
        <v>12</v>
      </c>
      <c r="D81" s="164">
        <f>(((24.36*6)+(9.78*7)+(4.51*10)+(4.51*10)+(3.43*6))*3.4)-340.71-116.82</f>
        <v>648.83000000000015</v>
      </c>
      <c r="E81" s="2"/>
      <c r="F81" s="164">
        <f>E81*D81</f>
        <v>0</v>
      </c>
    </row>
    <row r="82" spans="1:6" ht="27.6" x14ac:dyDescent="0.3">
      <c r="A82" s="80" t="s">
        <v>131</v>
      </c>
      <c r="B82" s="35" t="s">
        <v>280</v>
      </c>
      <c r="C82" s="61" t="s">
        <v>12</v>
      </c>
      <c r="D82" s="164">
        <f>(32*0.2*3.4)+(192.25*0.2*0.2)</f>
        <v>29.450000000000003</v>
      </c>
      <c r="E82" s="2"/>
      <c r="F82" s="164">
        <f>E82*D82</f>
        <v>0</v>
      </c>
    </row>
    <row r="83" spans="1:6" x14ac:dyDescent="0.3">
      <c r="A83" s="80" t="s">
        <v>132</v>
      </c>
      <c r="B83" s="35" t="s">
        <v>133</v>
      </c>
      <c r="C83" s="61" t="s">
        <v>12</v>
      </c>
      <c r="D83" s="164">
        <f>(((24.36*2)+(9.78*2))*1)-(1.5*2*1)-(1*1)</f>
        <v>64.28</v>
      </c>
      <c r="E83" s="2"/>
      <c r="F83" s="164">
        <f>E83*D83</f>
        <v>0</v>
      </c>
    </row>
    <row r="84" spans="1:6" x14ac:dyDescent="0.3">
      <c r="A84" s="80" t="s">
        <v>134</v>
      </c>
      <c r="B84" s="35" t="s">
        <v>135</v>
      </c>
      <c r="C84" s="61" t="s">
        <v>12</v>
      </c>
      <c r="D84" s="164">
        <f>((((24.35*6)+(9.78*7)+(4.51*10)+(3.43*6))-53.1)*1.5)+((6.8*2)+(2.1*2)+(4.51*4)+(1.5*2)+(2.62*2)+(4.51*2))*2.2</f>
        <v>457.53</v>
      </c>
      <c r="E84" s="2"/>
      <c r="F84" s="164">
        <f>E84*D84</f>
        <v>0</v>
      </c>
    </row>
    <row r="85" spans="1:6" x14ac:dyDescent="0.3">
      <c r="A85" s="80" t="s">
        <v>136</v>
      </c>
      <c r="B85" s="35" t="s">
        <v>137</v>
      </c>
      <c r="C85" s="61" t="s">
        <v>138</v>
      </c>
      <c r="D85" s="164">
        <f>24.35*9.78</f>
        <v>238.143</v>
      </c>
      <c r="E85" s="2"/>
      <c r="F85" s="164">
        <f>E85*D85</f>
        <v>0</v>
      </c>
    </row>
    <row r="86" spans="1:6" x14ac:dyDescent="0.3">
      <c r="A86" s="80"/>
      <c r="B86" s="35"/>
      <c r="C86" s="61"/>
      <c r="D86" s="164"/>
      <c r="E86" s="2"/>
      <c r="F86" s="164"/>
    </row>
    <row r="87" spans="1:6" ht="16.2" customHeight="1" x14ac:dyDescent="0.3">
      <c r="A87" s="26"/>
      <c r="B87" s="27" t="s">
        <v>139</v>
      </c>
      <c r="C87" s="94" t="s">
        <v>140</v>
      </c>
      <c r="D87" s="158"/>
      <c r="E87" s="1"/>
      <c r="F87" s="158">
        <f>SUM(F81:F85)</f>
        <v>0</v>
      </c>
    </row>
    <row r="88" spans="1:6" ht="16.2" customHeight="1" x14ac:dyDescent="0.3">
      <c r="A88" s="28"/>
      <c r="B88" s="29"/>
      <c r="C88" s="93"/>
      <c r="D88" s="161"/>
      <c r="E88" s="7"/>
      <c r="F88" s="161"/>
    </row>
    <row r="89" spans="1:6" ht="16.2" customHeight="1" x14ac:dyDescent="0.3">
      <c r="A89" s="56" t="s">
        <v>141</v>
      </c>
      <c r="B89" s="40" t="s">
        <v>142</v>
      </c>
      <c r="C89" s="96"/>
      <c r="D89" s="167"/>
      <c r="E89" s="37"/>
      <c r="F89" s="167"/>
    </row>
    <row r="90" spans="1:6" ht="16.2" customHeight="1" x14ac:dyDescent="0.3">
      <c r="A90" s="76" t="s">
        <v>143</v>
      </c>
      <c r="B90" s="57" t="s">
        <v>144</v>
      </c>
      <c r="C90" s="98"/>
      <c r="D90" s="163"/>
      <c r="E90" s="8"/>
      <c r="F90" s="163"/>
    </row>
    <row r="91" spans="1:6" ht="16.2" customHeight="1" x14ac:dyDescent="0.3">
      <c r="A91" s="80" t="s">
        <v>145</v>
      </c>
      <c r="B91" s="35" t="s">
        <v>146</v>
      </c>
      <c r="C91" s="130" t="s">
        <v>97</v>
      </c>
      <c r="D91" s="168">
        <v>1</v>
      </c>
      <c r="E91" s="2"/>
      <c r="F91" s="164">
        <f t="shared" ref="F91:F99" si="4">E91*D91</f>
        <v>0</v>
      </c>
    </row>
    <row r="92" spans="1:6" ht="16.2" customHeight="1" x14ac:dyDescent="0.3">
      <c r="A92" s="80" t="s">
        <v>147</v>
      </c>
      <c r="B92" s="41" t="s">
        <v>148</v>
      </c>
      <c r="C92" s="130" t="s">
        <v>97</v>
      </c>
      <c r="D92" s="168">
        <v>34</v>
      </c>
      <c r="E92" s="2"/>
      <c r="F92" s="164">
        <f t="shared" si="4"/>
        <v>0</v>
      </c>
    </row>
    <row r="93" spans="1:6" ht="16.2" customHeight="1" x14ac:dyDescent="0.3">
      <c r="A93" s="80" t="s">
        <v>149</v>
      </c>
      <c r="B93" s="41" t="s">
        <v>150</v>
      </c>
      <c r="C93" s="130" t="s">
        <v>84</v>
      </c>
      <c r="D93" s="168">
        <v>1000</v>
      </c>
      <c r="E93" s="2"/>
      <c r="F93" s="164">
        <f t="shared" si="4"/>
        <v>0</v>
      </c>
    </row>
    <row r="94" spans="1:6" ht="16.2" customHeight="1" x14ac:dyDescent="0.3">
      <c r="A94" s="80" t="s">
        <v>151</v>
      </c>
      <c r="B94" s="41" t="s">
        <v>152</v>
      </c>
      <c r="C94" s="130" t="s">
        <v>84</v>
      </c>
      <c r="D94" s="168">
        <v>600</v>
      </c>
      <c r="E94" s="2"/>
      <c r="F94" s="164">
        <f t="shared" si="4"/>
        <v>0</v>
      </c>
    </row>
    <row r="95" spans="1:6" ht="16.2" customHeight="1" x14ac:dyDescent="0.3">
      <c r="A95" s="80" t="s">
        <v>153</v>
      </c>
      <c r="B95" s="41" t="s">
        <v>154</v>
      </c>
      <c r="C95" s="130" t="s">
        <v>97</v>
      </c>
      <c r="D95" s="168">
        <v>40</v>
      </c>
      <c r="E95" s="2"/>
      <c r="F95" s="164">
        <f t="shared" si="4"/>
        <v>0</v>
      </c>
    </row>
    <row r="96" spans="1:6" ht="16.2" customHeight="1" x14ac:dyDescent="0.3">
      <c r="A96" s="80" t="s">
        <v>155</v>
      </c>
      <c r="B96" s="41" t="s">
        <v>156</v>
      </c>
      <c r="C96" s="130" t="s">
        <v>97</v>
      </c>
      <c r="D96" s="168">
        <v>16</v>
      </c>
      <c r="E96" s="2"/>
      <c r="F96" s="164">
        <f t="shared" si="4"/>
        <v>0</v>
      </c>
    </row>
    <row r="97" spans="1:6" ht="16.2" customHeight="1" x14ac:dyDescent="0.3">
      <c r="A97" s="80" t="s">
        <v>157</v>
      </c>
      <c r="B97" s="41" t="s">
        <v>158</v>
      </c>
      <c r="C97" s="20" t="s">
        <v>97</v>
      </c>
      <c r="D97" s="168">
        <v>5</v>
      </c>
      <c r="E97" s="2"/>
      <c r="F97" s="164">
        <f t="shared" si="4"/>
        <v>0</v>
      </c>
    </row>
    <row r="98" spans="1:6" ht="16.2" customHeight="1" x14ac:dyDescent="0.3">
      <c r="A98" s="80" t="s">
        <v>159</v>
      </c>
      <c r="B98" s="41" t="s">
        <v>160</v>
      </c>
      <c r="C98" s="130" t="s">
        <v>97</v>
      </c>
      <c r="D98" s="168">
        <v>1</v>
      </c>
      <c r="E98" s="2"/>
      <c r="F98" s="164">
        <f t="shared" si="4"/>
        <v>0</v>
      </c>
    </row>
    <row r="99" spans="1:6" ht="16.2" customHeight="1" x14ac:dyDescent="0.3">
      <c r="A99" s="80" t="s">
        <v>161</v>
      </c>
      <c r="B99" s="41" t="s">
        <v>162</v>
      </c>
      <c r="C99" s="130" t="s">
        <v>97</v>
      </c>
      <c r="D99" s="168">
        <v>1</v>
      </c>
      <c r="E99" s="2"/>
      <c r="F99" s="164">
        <f t="shared" si="4"/>
        <v>0</v>
      </c>
    </row>
    <row r="100" spans="1:6" ht="16.2" customHeight="1" x14ac:dyDescent="0.3">
      <c r="A100" s="26"/>
      <c r="B100" s="27" t="s">
        <v>163</v>
      </c>
      <c r="C100" s="94" t="s">
        <v>140</v>
      </c>
      <c r="D100" s="158"/>
      <c r="E100" s="1"/>
      <c r="F100" s="158">
        <f>SUM(F90:F99)</f>
        <v>0</v>
      </c>
    </row>
    <row r="101" spans="1:6" ht="16.2" customHeight="1" x14ac:dyDescent="0.3">
      <c r="A101" s="28"/>
      <c r="B101" s="29"/>
      <c r="C101" s="93"/>
      <c r="D101" s="161"/>
      <c r="E101" s="7"/>
      <c r="F101" s="161"/>
    </row>
    <row r="102" spans="1:6" ht="16.2" customHeight="1" x14ac:dyDescent="0.3">
      <c r="A102" s="56" t="s">
        <v>164</v>
      </c>
      <c r="B102" s="36" t="s">
        <v>165</v>
      </c>
      <c r="C102" s="96"/>
      <c r="D102" s="167"/>
      <c r="E102" s="37"/>
      <c r="F102" s="167"/>
    </row>
    <row r="103" spans="1:6" ht="16.2" customHeight="1" x14ac:dyDescent="0.3">
      <c r="A103" s="80" t="s">
        <v>166</v>
      </c>
      <c r="B103" s="55" t="s">
        <v>167</v>
      </c>
      <c r="C103" s="61" t="s">
        <v>168</v>
      </c>
      <c r="D103" s="168">
        <v>1</v>
      </c>
      <c r="E103" s="2"/>
      <c r="F103" s="168">
        <f>E103*D103</f>
        <v>0</v>
      </c>
    </row>
    <row r="104" spans="1:6" ht="16.2" customHeight="1" x14ac:dyDescent="0.3">
      <c r="A104" s="80" t="s">
        <v>169</v>
      </c>
      <c r="B104" s="55" t="s">
        <v>170</v>
      </c>
      <c r="C104" s="61" t="s">
        <v>97</v>
      </c>
      <c r="D104" s="168">
        <v>6</v>
      </c>
      <c r="E104" s="2"/>
      <c r="F104" s="168">
        <f t="shared" ref="F104:F115" si="5">E104*D104</f>
        <v>0</v>
      </c>
    </row>
    <row r="105" spans="1:6" ht="16.2" customHeight="1" x14ac:dyDescent="0.3">
      <c r="A105" s="80" t="s">
        <v>171</v>
      </c>
      <c r="B105" s="55" t="s">
        <v>359</v>
      </c>
      <c r="C105" s="61" t="s">
        <v>97</v>
      </c>
      <c r="D105" s="168">
        <v>1</v>
      </c>
      <c r="E105" s="2"/>
      <c r="F105" s="168">
        <f t="shared" si="5"/>
        <v>0</v>
      </c>
    </row>
    <row r="106" spans="1:6" ht="27.45" customHeight="1" x14ac:dyDescent="0.3">
      <c r="A106" s="80" t="s">
        <v>172</v>
      </c>
      <c r="B106" s="55" t="s">
        <v>173</v>
      </c>
      <c r="C106" s="61" t="s">
        <v>97</v>
      </c>
      <c r="D106" s="168">
        <v>1</v>
      </c>
      <c r="E106" s="2"/>
      <c r="F106" s="168">
        <f t="shared" si="5"/>
        <v>0</v>
      </c>
    </row>
    <row r="107" spans="1:6" x14ac:dyDescent="0.3">
      <c r="A107" s="80" t="s">
        <v>174</v>
      </c>
      <c r="B107" s="55" t="s">
        <v>175</v>
      </c>
      <c r="C107" s="61" t="s">
        <v>97</v>
      </c>
      <c r="D107" s="168">
        <v>1</v>
      </c>
      <c r="E107" s="2"/>
      <c r="F107" s="168">
        <f t="shared" si="5"/>
        <v>0</v>
      </c>
    </row>
    <row r="108" spans="1:6" ht="27.45" customHeight="1" x14ac:dyDescent="0.3">
      <c r="A108" s="80" t="s">
        <v>176</v>
      </c>
      <c r="B108" s="55" t="s">
        <v>177</v>
      </c>
      <c r="C108" s="61" t="s">
        <v>97</v>
      </c>
      <c r="D108" s="168">
        <v>10</v>
      </c>
      <c r="E108" s="2"/>
      <c r="F108" s="168">
        <f t="shared" si="5"/>
        <v>0</v>
      </c>
    </row>
    <row r="109" spans="1:6" x14ac:dyDescent="0.3">
      <c r="A109" s="80" t="s">
        <v>178</v>
      </c>
      <c r="B109" s="55" t="s">
        <v>179</v>
      </c>
      <c r="C109" s="61" t="s">
        <v>97</v>
      </c>
      <c r="D109" s="168">
        <v>1</v>
      </c>
      <c r="E109" s="2"/>
      <c r="F109" s="168">
        <f t="shared" si="5"/>
        <v>0</v>
      </c>
    </row>
    <row r="110" spans="1:6" x14ac:dyDescent="0.3">
      <c r="A110" s="80" t="s">
        <v>180</v>
      </c>
      <c r="B110" s="55" t="s">
        <v>181</v>
      </c>
      <c r="C110" s="61" t="s">
        <v>97</v>
      </c>
      <c r="D110" s="168">
        <v>7</v>
      </c>
      <c r="E110" s="2"/>
      <c r="F110" s="168">
        <f t="shared" si="5"/>
        <v>0</v>
      </c>
    </row>
    <row r="111" spans="1:6" x14ac:dyDescent="0.3">
      <c r="A111" s="80" t="s">
        <v>182</v>
      </c>
      <c r="B111" s="55" t="s">
        <v>183</v>
      </c>
      <c r="C111" s="61" t="s">
        <v>97</v>
      </c>
      <c r="D111" s="168">
        <v>7</v>
      </c>
      <c r="E111" s="2"/>
      <c r="F111" s="168">
        <f t="shared" si="5"/>
        <v>0</v>
      </c>
    </row>
    <row r="112" spans="1:6" x14ac:dyDescent="0.3">
      <c r="A112" s="80" t="s">
        <v>184</v>
      </c>
      <c r="B112" s="55" t="s">
        <v>185</v>
      </c>
      <c r="C112" s="61" t="s">
        <v>97</v>
      </c>
      <c r="D112" s="168">
        <v>1</v>
      </c>
      <c r="E112" s="2"/>
      <c r="F112" s="168">
        <f t="shared" si="5"/>
        <v>0</v>
      </c>
    </row>
    <row r="113" spans="1:6" x14ac:dyDescent="0.3">
      <c r="A113" s="80" t="s">
        <v>186</v>
      </c>
      <c r="B113" s="55" t="s">
        <v>187</v>
      </c>
      <c r="C113" s="61" t="s">
        <v>97</v>
      </c>
      <c r="D113" s="168">
        <v>6</v>
      </c>
      <c r="E113" s="2"/>
      <c r="F113" s="168">
        <f t="shared" si="5"/>
        <v>0</v>
      </c>
    </row>
    <row r="114" spans="1:6" ht="27.6" x14ac:dyDescent="0.3">
      <c r="A114" s="80" t="s">
        <v>188</v>
      </c>
      <c r="B114" s="55" t="s">
        <v>189</v>
      </c>
      <c r="C114" s="61" t="s">
        <v>168</v>
      </c>
      <c r="D114" s="168">
        <v>1</v>
      </c>
      <c r="E114" s="2"/>
      <c r="F114" s="168">
        <f t="shared" si="5"/>
        <v>0</v>
      </c>
    </row>
    <row r="115" spans="1:6" ht="27.6" x14ac:dyDescent="0.3">
      <c r="A115" s="80" t="s">
        <v>190</v>
      </c>
      <c r="B115" s="55" t="s">
        <v>191</v>
      </c>
      <c r="C115" s="61" t="s">
        <v>97</v>
      </c>
      <c r="D115" s="168">
        <v>11</v>
      </c>
      <c r="E115" s="2"/>
      <c r="F115" s="168">
        <f t="shared" si="5"/>
        <v>0</v>
      </c>
    </row>
    <row r="116" spans="1:6" ht="16.2" customHeight="1" x14ac:dyDescent="0.3">
      <c r="A116" s="80" t="s">
        <v>192</v>
      </c>
      <c r="B116" s="55" t="s">
        <v>193</v>
      </c>
      <c r="C116" s="61" t="s">
        <v>84</v>
      </c>
      <c r="D116" s="168">
        <v>50</v>
      </c>
      <c r="E116" s="2"/>
      <c r="F116" s="168">
        <f>E116*D116</f>
        <v>0</v>
      </c>
    </row>
    <row r="117" spans="1:6" ht="16.2" customHeight="1" x14ac:dyDescent="0.3">
      <c r="A117" s="80" t="s">
        <v>194</v>
      </c>
      <c r="B117" s="55" t="s">
        <v>195</v>
      </c>
      <c r="C117" s="61" t="s">
        <v>84</v>
      </c>
      <c r="D117" s="168">
        <v>48</v>
      </c>
      <c r="E117" s="2"/>
      <c r="F117" s="168">
        <f>E117*D117</f>
        <v>0</v>
      </c>
    </row>
    <row r="118" spans="1:6" ht="16.2" customHeight="1" x14ac:dyDescent="0.3">
      <c r="A118" s="83" t="s">
        <v>360</v>
      </c>
      <c r="B118" s="86" t="s">
        <v>196</v>
      </c>
      <c r="C118" s="61"/>
      <c r="D118" s="168"/>
      <c r="E118" s="2"/>
      <c r="F118" s="168"/>
    </row>
    <row r="119" spans="1:6" ht="16.2" customHeight="1" x14ac:dyDescent="0.3">
      <c r="A119" s="83" t="s">
        <v>197</v>
      </c>
      <c r="B119" s="41" t="s">
        <v>198</v>
      </c>
      <c r="C119" s="131" t="s">
        <v>7</v>
      </c>
      <c r="D119" s="152">
        <v>1</v>
      </c>
      <c r="E119" s="4"/>
      <c r="F119" s="152">
        <f>+E119*D119</f>
        <v>0</v>
      </c>
    </row>
    <row r="120" spans="1:6" ht="25.2" customHeight="1" x14ac:dyDescent="0.3">
      <c r="A120" s="80" t="s">
        <v>199</v>
      </c>
      <c r="B120" s="41" t="s">
        <v>200</v>
      </c>
      <c r="C120" s="131" t="s">
        <v>97</v>
      </c>
      <c r="D120" s="169">
        <v>2</v>
      </c>
      <c r="E120" s="4"/>
      <c r="F120" s="152">
        <f>+E120*D120</f>
        <v>0</v>
      </c>
    </row>
    <row r="121" spans="1:6" ht="16.2" customHeight="1" x14ac:dyDescent="0.3">
      <c r="A121" s="26"/>
      <c r="B121" s="27" t="s">
        <v>201</v>
      </c>
      <c r="C121" s="94"/>
      <c r="D121" s="158"/>
      <c r="E121" s="1"/>
      <c r="F121" s="158">
        <f>+SUM(F103:F120)</f>
        <v>0</v>
      </c>
    </row>
    <row r="122" spans="1:6" ht="12.6" customHeight="1" x14ac:dyDescent="0.3">
      <c r="A122" s="28"/>
      <c r="B122" s="29"/>
      <c r="C122" s="93"/>
      <c r="D122" s="161"/>
      <c r="E122" s="7"/>
      <c r="F122" s="161"/>
    </row>
    <row r="123" spans="1:6" ht="16.2" customHeight="1" x14ac:dyDescent="0.3">
      <c r="A123" s="56" t="s">
        <v>202</v>
      </c>
      <c r="B123" s="36" t="s">
        <v>203</v>
      </c>
      <c r="C123" s="96"/>
      <c r="D123" s="167"/>
      <c r="E123" s="37"/>
      <c r="F123" s="167"/>
    </row>
    <row r="124" spans="1:6" ht="30" customHeight="1" x14ac:dyDescent="0.3">
      <c r="A124" s="80" t="s">
        <v>204</v>
      </c>
      <c r="B124" s="35" t="s">
        <v>205</v>
      </c>
      <c r="C124" s="61" t="s">
        <v>12</v>
      </c>
      <c r="D124" s="164">
        <f>D81</f>
        <v>648.83000000000015</v>
      </c>
      <c r="E124" s="2"/>
      <c r="F124" s="164">
        <f>E124*D124</f>
        <v>0</v>
      </c>
    </row>
    <row r="125" spans="1:6" ht="16.2" customHeight="1" x14ac:dyDescent="0.3">
      <c r="A125" s="80" t="s">
        <v>206</v>
      </c>
      <c r="B125" s="35" t="s">
        <v>207</v>
      </c>
      <c r="C125" s="61" t="s">
        <v>12</v>
      </c>
      <c r="D125" s="164">
        <f>26.9*12.3</f>
        <v>330.87</v>
      </c>
      <c r="E125" s="2"/>
      <c r="F125" s="164">
        <f>E125*D125</f>
        <v>0</v>
      </c>
    </row>
    <row r="126" spans="1:6" ht="31.5" customHeight="1" x14ac:dyDescent="0.3">
      <c r="A126" s="80" t="s">
        <v>208</v>
      </c>
      <c r="B126" s="35" t="s">
        <v>209</v>
      </c>
      <c r="C126" s="61" t="s">
        <v>12</v>
      </c>
      <c r="D126" s="164">
        <f>((24.9*2)+20)*3</f>
        <v>209.39999999999998</v>
      </c>
      <c r="E126" s="2"/>
      <c r="F126" s="164">
        <f>E126*D126</f>
        <v>0</v>
      </c>
    </row>
    <row r="127" spans="1:6" ht="16.2" customHeight="1" x14ac:dyDescent="0.3">
      <c r="A127" s="26"/>
      <c r="B127" s="27" t="s">
        <v>210</v>
      </c>
      <c r="C127" s="94"/>
      <c r="D127" s="158"/>
      <c r="E127" s="1"/>
      <c r="F127" s="158">
        <f>SUM(F124:F126)</f>
        <v>0</v>
      </c>
    </row>
    <row r="128" spans="1:6" ht="16.2" customHeight="1" x14ac:dyDescent="0.3">
      <c r="A128" s="28"/>
      <c r="B128" s="29"/>
      <c r="C128" s="93"/>
      <c r="D128" s="161"/>
      <c r="E128" s="7"/>
      <c r="F128" s="161"/>
    </row>
    <row r="129" spans="1:6" ht="16.2" customHeight="1" x14ac:dyDescent="0.3">
      <c r="A129" s="56" t="s">
        <v>211</v>
      </c>
      <c r="B129" s="36" t="s">
        <v>212</v>
      </c>
      <c r="C129" s="96"/>
      <c r="D129" s="167"/>
      <c r="E129" s="37"/>
      <c r="F129" s="167"/>
    </row>
    <row r="130" spans="1:6" ht="16.2" customHeight="1" x14ac:dyDescent="0.3">
      <c r="A130" s="28"/>
      <c r="B130" s="29"/>
      <c r="C130" s="93"/>
      <c r="D130" s="161"/>
      <c r="E130" s="7"/>
      <c r="F130" s="161"/>
    </row>
    <row r="131" spans="1:6" ht="16.2" customHeight="1" x14ac:dyDescent="0.3">
      <c r="A131" s="80" t="s">
        <v>213</v>
      </c>
      <c r="B131" s="55" t="s">
        <v>214</v>
      </c>
      <c r="C131" s="61" t="s">
        <v>97</v>
      </c>
      <c r="D131" s="168">
        <v>4</v>
      </c>
      <c r="E131" s="2"/>
      <c r="F131" s="164">
        <f>E131*D131</f>
        <v>0</v>
      </c>
    </row>
    <row r="132" spans="1:6" ht="16.2" customHeight="1" x14ac:dyDescent="0.3">
      <c r="A132" s="80" t="s">
        <v>215</v>
      </c>
      <c r="B132" s="55" t="s">
        <v>216</v>
      </c>
      <c r="C132" s="61" t="s">
        <v>97</v>
      </c>
      <c r="D132" s="168">
        <v>19</v>
      </c>
      <c r="E132" s="2"/>
      <c r="F132" s="164">
        <f>E132*D132</f>
        <v>0</v>
      </c>
    </row>
    <row r="133" spans="1:6" ht="16.2" customHeight="1" x14ac:dyDescent="0.3">
      <c r="A133" s="26"/>
      <c r="B133" s="27" t="s">
        <v>217</v>
      </c>
      <c r="C133" s="94"/>
      <c r="D133" s="158"/>
      <c r="E133" s="1"/>
      <c r="F133" s="158">
        <f>SUM(F131:F132)</f>
        <v>0</v>
      </c>
    </row>
    <row r="134" spans="1:6" ht="16.2" customHeight="1" x14ac:dyDescent="0.3">
      <c r="A134" s="28"/>
      <c r="B134" s="29"/>
      <c r="C134" s="93"/>
      <c r="D134" s="161"/>
      <c r="E134" s="7"/>
      <c r="F134" s="161"/>
    </row>
    <row r="135" spans="1:6" ht="16.2" customHeight="1" x14ac:dyDescent="0.3">
      <c r="A135" s="7">
        <v>4</v>
      </c>
      <c r="B135" s="87" t="s">
        <v>218</v>
      </c>
      <c r="C135" s="132"/>
      <c r="D135" s="170"/>
      <c r="E135" s="88"/>
      <c r="F135" s="197"/>
    </row>
    <row r="136" spans="1:6" ht="30.45" customHeight="1" x14ac:dyDescent="0.3">
      <c r="A136" s="56" t="s">
        <v>219</v>
      </c>
      <c r="B136" s="40" t="s">
        <v>220</v>
      </c>
      <c r="C136" s="96"/>
      <c r="D136" s="167"/>
      <c r="E136" s="37"/>
      <c r="F136" s="167"/>
    </row>
    <row r="137" spans="1:6" ht="16.2" customHeight="1" x14ac:dyDescent="0.3">
      <c r="A137" s="89" t="s">
        <v>221</v>
      </c>
      <c r="B137" s="90" t="s">
        <v>222</v>
      </c>
      <c r="C137" s="133" t="s">
        <v>25</v>
      </c>
      <c r="D137" s="171">
        <f>((26.9*2)+(12.3*2))*0.2*0.15</f>
        <v>2.3520000000000003</v>
      </c>
      <c r="E137" s="5"/>
      <c r="F137" s="171">
        <f t="shared" ref="F137:F146" si="6">E137*D137</f>
        <v>0</v>
      </c>
    </row>
    <row r="138" spans="1:6" ht="16.2" customHeight="1" x14ac:dyDescent="0.3">
      <c r="A138" s="89" t="s">
        <v>223</v>
      </c>
      <c r="B138" s="90" t="s">
        <v>224</v>
      </c>
      <c r="C138" s="133" t="s">
        <v>25</v>
      </c>
      <c r="D138" s="171">
        <f>((26.9*2)+(12.3*2))*0.05*0.15</f>
        <v>0.58800000000000008</v>
      </c>
      <c r="E138" s="5"/>
      <c r="F138" s="171">
        <f t="shared" si="6"/>
        <v>0</v>
      </c>
    </row>
    <row r="139" spans="1:6" ht="16.2" customHeight="1" x14ac:dyDescent="0.3">
      <c r="A139" s="89" t="s">
        <v>225</v>
      </c>
      <c r="B139" s="90" t="s">
        <v>226</v>
      </c>
      <c r="C139" s="133" t="s">
        <v>25</v>
      </c>
      <c r="D139" s="171">
        <f>((26.9*2)+(12.3*2))*0.3*0.15</f>
        <v>3.528</v>
      </c>
      <c r="E139" s="5"/>
      <c r="F139" s="171">
        <f t="shared" si="6"/>
        <v>0</v>
      </c>
    </row>
    <row r="140" spans="1:6" ht="16.2" customHeight="1" x14ac:dyDescent="0.3">
      <c r="A140" s="89" t="s">
        <v>227</v>
      </c>
      <c r="B140" s="90" t="s">
        <v>228</v>
      </c>
      <c r="C140" s="133" t="s">
        <v>25</v>
      </c>
      <c r="D140" s="171">
        <f>((0.8*26.91*2)+(0.8*10.33*2))*0.07</f>
        <v>4.1708800000000004</v>
      </c>
      <c r="E140" s="5"/>
      <c r="F140" s="171">
        <f>E140*D140</f>
        <v>0</v>
      </c>
    </row>
    <row r="141" spans="1:6" ht="27.6" x14ac:dyDescent="0.3">
      <c r="A141" s="89" t="s">
        <v>229</v>
      </c>
      <c r="B141" s="41" t="s">
        <v>230</v>
      </c>
      <c r="C141" s="133" t="s">
        <v>25</v>
      </c>
      <c r="D141" s="171">
        <f>(4*0.7*0.1)+(1.83*0.7*0.1)+(1.54*0.7*0.1)+(1.7*0.7*0.1*2)</f>
        <v>0.7538999999999999</v>
      </c>
      <c r="E141" s="5"/>
      <c r="F141" s="171">
        <f t="shared" si="6"/>
        <v>0</v>
      </c>
    </row>
    <row r="142" spans="1:6" ht="41.4" x14ac:dyDescent="0.3">
      <c r="A142" s="89" t="s">
        <v>231</v>
      </c>
      <c r="B142" s="41" t="s">
        <v>232</v>
      </c>
      <c r="C142" s="133" t="s">
        <v>84</v>
      </c>
      <c r="D142" s="171">
        <v>80</v>
      </c>
      <c r="E142" s="5"/>
      <c r="F142" s="171">
        <f t="shared" si="6"/>
        <v>0</v>
      </c>
    </row>
    <row r="143" spans="1:6" ht="16.2" customHeight="1" x14ac:dyDescent="0.3">
      <c r="A143" s="89" t="s">
        <v>233</v>
      </c>
      <c r="B143" s="41" t="s">
        <v>234</v>
      </c>
      <c r="C143" s="133" t="s">
        <v>235</v>
      </c>
      <c r="D143" s="171">
        <v>1</v>
      </c>
      <c r="E143" s="5"/>
      <c r="F143" s="171">
        <f t="shared" si="6"/>
        <v>0</v>
      </c>
    </row>
    <row r="144" spans="1:6" ht="27.6" x14ac:dyDescent="0.3">
      <c r="A144" s="89" t="s">
        <v>236</v>
      </c>
      <c r="B144" s="41" t="s">
        <v>361</v>
      </c>
      <c r="C144" s="133" t="s">
        <v>12</v>
      </c>
      <c r="D144" s="172">
        <v>334</v>
      </c>
      <c r="E144" s="5"/>
      <c r="F144" s="171">
        <f t="shared" si="6"/>
        <v>0</v>
      </c>
    </row>
    <row r="145" spans="1:6" ht="27.6" x14ac:dyDescent="0.3">
      <c r="A145" s="89" t="s">
        <v>237</v>
      </c>
      <c r="B145" s="41" t="s">
        <v>238</v>
      </c>
      <c r="C145" s="133" t="s">
        <v>25</v>
      </c>
      <c r="D145" s="172">
        <v>6.34</v>
      </c>
      <c r="E145" s="5"/>
      <c r="F145" s="171">
        <f t="shared" si="6"/>
        <v>0</v>
      </c>
    </row>
    <row r="146" spans="1:6" ht="16.2" customHeight="1" x14ac:dyDescent="0.3">
      <c r="A146" s="89" t="s">
        <v>239</v>
      </c>
      <c r="B146" s="41" t="s">
        <v>240</v>
      </c>
      <c r="C146" s="133" t="s">
        <v>168</v>
      </c>
      <c r="D146" s="172">
        <v>1</v>
      </c>
      <c r="E146" s="5"/>
      <c r="F146" s="171">
        <f t="shared" si="6"/>
        <v>0</v>
      </c>
    </row>
    <row r="147" spans="1:6" ht="21" customHeight="1" x14ac:dyDescent="0.3">
      <c r="A147" s="83" t="s">
        <v>241</v>
      </c>
      <c r="B147" s="42" t="s">
        <v>242</v>
      </c>
      <c r="C147" s="133"/>
      <c r="D147" s="172"/>
      <c r="E147" s="5"/>
      <c r="F147" s="171"/>
    </row>
    <row r="148" spans="1:6" ht="35.700000000000003" customHeight="1" x14ac:dyDescent="0.3">
      <c r="A148" s="91"/>
      <c r="B148" s="27" t="s">
        <v>243</v>
      </c>
      <c r="C148" s="94"/>
      <c r="D148" s="158"/>
      <c r="E148" s="1"/>
      <c r="F148" s="158">
        <f>SUM(F137:F143)</f>
        <v>0</v>
      </c>
    </row>
    <row r="149" spans="1:6" ht="16.2" customHeight="1" x14ac:dyDescent="0.3">
      <c r="A149" s="2"/>
      <c r="B149" s="92"/>
      <c r="C149" s="134"/>
      <c r="D149" s="173"/>
      <c r="E149" s="5"/>
      <c r="F149" s="172"/>
    </row>
    <row r="150" spans="1:6" ht="27.6" x14ac:dyDescent="0.3">
      <c r="A150" s="73" t="s">
        <v>140</v>
      </c>
      <c r="B150" s="58" t="s">
        <v>244</v>
      </c>
      <c r="C150" s="128"/>
      <c r="D150" s="160"/>
      <c r="E150" s="59"/>
      <c r="F150" s="160">
        <f>SUM(F22:F148)/2</f>
        <v>0</v>
      </c>
    </row>
    <row r="151" spans="1:6" ht="15.6" customHeight="1" x14ac:dyDescent="0.3">
      <c r="A151" s="205"/>
      <c r="B151" s="205"/>
      <c r="C151" s="205"/>
      <c r="D151" s="205"/>
      <c r="E151" s="205"/>
      <c r="F151" s="205"/>
    </row>
    <row r="152" spans="1:6" x14ac:dyDescent="0.3">
      <c r="A152" s="205"/>
      <c r="B152" s="205"/>
      <c r="C152" s="205"/>
      <c r="D152" s="205"/>
      <c r="E152" s="205"/>
      <c r="F152" s="205"/>
    </row>
    <row r="153" spans="1:6" ht="21" customHeight="1" x14ac:dyDescent="0.3">
      <c r="A153" s="210" t="s">
        <v>245</v>
      </c>
      <c r="B153" s="210"/>
      <c r="C153" s="210"/>
      <c r="D153" s="210"/>
      <c r="E153" s="210"/>
      <c r="F153" s="210"/>
    </row>
    <row r="154" spans="1:6" ht="16.2" customHeight="1" x14ac:dyDescent="0.3">
      <c r="A154" s="28">
        <v>2</v>
      </c>
      <c r="B154" s="29" t="s">
        <v>16</v>
      </c>
      <c r="C154" s="93"/>
      <c r="D154" s="161"/>
      <c r="E154" s="7"/>
      <c r="F154" s="161"/>
    </row>
    <row r="155" spans="1:6" ht="16.2" customHeight="1" x14ac:dyDescent="0.3">
      <c r="A155" s="75" t="s">
        <v>17</v>
      </c>
      <c r="B155" s="30" t="s">
        <v>18</v>
      </c>
      <c r="C155" s="129"/>
      <c r="D155" s="162"/>
      <c r="E155" s="14"/>
      <c r="F155" s="162"/>
    </row>
    <row r="156" spans="1:6" ht="16.2" customHeight="1" x14ac:dyDescent="0.3">
      <c r="A156" s="76" t="s">
        <v>19</v>
      </c>
      <c r="B156" s="34" t="s">
        <v>20</v>
      </c>
      <c r="C156" s="98"/>
      <c r="D156" s="163"/>
      <c r="E156" s="8"/>
      <c r="F156" s="163"/>
    </row>
    <row r="157" spans="1:6" ht="16.2" customHeight="1" x14ac:dyDescent="0.3">
      <c r="A157" s="76" t="s">
        <v>21</v>
      </c>
      <c r="B157" s="34" t="s">
        <v>22</v>
      </c>
      <c r="C157" s="126" t="s">
        <v>25</v>
      </c>
      <c r="D157" s="174">
        <f>(1*4*0.28*0.8)</f>
        <v>0.89600000000000013</v>
      </c>
      <c r="E157" s="8"/>
      <c r="F157" s="155">
        <f>E157*D157</f>
        <v>0</v>
      </c>
    </row>
    <row r="158" spans="1:6" ht="16.2" customHeight="1" x14ac:dyDescent="0.3">
      <c r="A158" s="67" t="s">
        <v>23</v>
      </c>
      <c r="B158" s="43" t="s">
        <v>24</v>
      </c>
      <c r="C158" s="126" t="s">
        <v>25</v>
      </c>
      <c r="D158" s="155">
        <f>((7.15*2)+(10.65*2)+2.5+3.9+3.78)*0.4*1</f>
        <v>18.312000000000001</v>
      </c>
      <c r="E158" s="19"/>
      <c r="F158" s="155">
        <f>E158*D158</f>
        <v>0</v>
      </c>
    </row>
    <row r="159" spans="1:6" ht="16.2" customHeight="1" x14ac:dyDescent="0.3">
      <c r="A159" s="77" t="s">
        <v>26</v>
      </c>
      <c r="B159" s="78" t="s">
        <v>27</v>
      </c>
      <c r="C159" s="126"/>
      <c r="D159" s="155"/>
      <c r="E159" s="19"/>
      <c r="F159" s="155"/>
    </row>
    <row r="160" spans="1:6" x14ac:dyDescent="0.3">
      <c r="A160" s="67" t="s">
        <v>28</v>
      </c>
      <c r="B160" s="43" t="s">
        <v>29</v>
      </c>
      <c r="C160" s="126" t="s">
        <v>25</v>
      </c>
      <c r="D160" s="155">
        <f>((7.15*2)+(10.65*2)+2.5+3.9+3.78)*0.4*0.05</f>
        <v>0.91560000000000008</v>
      </c>
      <c r="E160" s="19"/>
      <c r="F160" s="155">
        <f>E160*D160</f>
        <v>0</v>
      </c>
    </row>
    <row r="161" spans="1:6" x14ac:dyDescent="0.3">
      <c r="A161" s="67" t="s">
        <v>30</v>
      </c>
      <c r="B161" s="78" t="s">
        <v>31</v>
      </c>
      <c r="C161" s="126"/>
      <c r="D161" s="155"/>
      <c r="E161" s="19"/>
      <c r="F161" s="155"/>
    </row>
    <row r="162" spans="1:6" x14ac:dyDescent="0.3">
      <c r="A162" s="67" t="s">
        <v>32</v>
      </c>
      <c r="B162" s="43" t="s">
        <v>33</v>
      </c>
      <c r="C162" s="126" t="s">
        <v>25</v>
      </c>
      <c r="D162" s="155">
        <f>((7.15*2)+(10.65*2)+2.5+3.9+3.78)*0.4*1</f>
        <v>18.312000000000001</v>
      </c>
      <c r="E162" s="19"/>
      <c r="F162" s="155">
        <f>E162*D162</f>
        <v>0</v>
      </c>
    </row>
    <row r="163" spans="1:6" x14ac:dyDescent="0.3">
      <c r="A163" s="67" t="s">
        <v>34</v>
      </c>
      <c r="B163" s="43" t="s">
        <v>35</v>
      </c>
      <c r="C163" s="126" t="s">
        <v>25</v>
      </c>
      <c r="D163" s="155">
        <f>((7.15*2)+(10.65*2)+2.5+3.9+3.78)*0.4*0.4</f>
        <v>7.3248000000000006</v>
      </c>
      <c r="E163" s="19"/>
      <c r="F163" s="155">
        <f>E163*D163</f>
        <v>0</v>
      </c>
    </row>
    <row r="164" spans="1:6" ht="16.2" customHeight="1" x14ac:dyDescent="0.3">
      <c r="A164" s="8" t="s">
        <v>36</v>
      </c>
      <c r="B164" s="79" t="s">
        <v>37</v>
      </c>
      <c r="C164" s="126"/>
      <c r="D164" s="155"/>
      <c r="E164" s="19"/>
      <c r="F164" s="155"/>
    </row>
    <row r="165" spans="1:6" ht="30" customHeight="1" x14ac:dyDescent="0.3">
      <c r="A165" s="67" t="s">
        <v>38</v>
      </c>
      <c r="B165" s="43" t="s">
        <v>39</v>
      </c>
      <c r="C165" s="126" t="s">
        <v>25</v>
      </c>
      <c r="D165" s="155">
        <f>10*0.4*0.4*1.4</f>
        <v>2.2399999999999998</v>
      </c>
      <c r="E165" s="19"/>
      <c r="F165" s="155">
        <f>E165*D165</f>
        <v>0</v>
      </c>
    </row>
    <row r="166" spans="1:6" ht="27.6" x14ac:dyDescent="0.3">
      <c r="A166" s="67" t="s">
        <v>40</v>
      </c>
      <c r="B166" s="43" t="s">
        <v>246</v>
      </c>
      <c r="C166" s="126" t="s">
        <v>25</v>
      </c>
      <c r="D166" s="155">
        <f>((7.15*2)+(10.65*2)+2.5+3.9+3.78)*0.4*0.07</f>
        <v>1.2818400000000003</v>
      </c>
      <c r="E166" s="19"/>
      <c r="F166" s="155">
        <f>E166*D166</f>
        <v>0</v>
      </c>
    </row>
    <row r="167" spans="1:6" ht="27.6" x14ac:dyDescent="0.3">
      <c r="A167" s="67" t="s">
        <v>42</v>
      </c>
      <c r="B167" s="35" t="s">
        <v>43</v>
      </c>
      <c r="C167" s="126" t="s">
        <v>25</v>
      </c>
      <c r="D167" s="155">
        <f>10.5*7*0.4</f>
        <v>29.400000000000002</v>
      </c>
      <c r="E167" s="19"/>
      <c r="F167" s="155">
        <f>E167*D167</f>
        <v>0</v>
      </c>
    </row>
    <row r="168" spans="1:6" x14ac:dyDescent="0.3">
      <c r="A168" s="67" t="s">
        <v>44</v>
      </c>
      <c r="B168" s="43" t="s">
        <v>247</v>
      </c>
      <c r="C168" s="126" t="s">
        <v>12</v>
      </c>
      <c r="D168" s="155">
        <f>10.5*7</f>
        <v>73.5</v>
      </c>
      <c r="E168" s="19"/>
      <c r="F168" s="155">
        <f>E168*D168</f>
        <v>0</v>
      </c>
    </row>
    <row r="169" spans="1:6" ht="27.6" x14ac:dyDescent="0.3">
      <c r="A169" s="67" t="s">
        <v>46</v>
      </c>
      <c r="B169" s="35" t="s">
        <v>47</v>
      </c>
      <c r="C169" s="126" t="s">
        <v>25</v>
      </c>
      <c r="D169" s="155">
        <f>10.5*7*0.07</f>
        <v>5.1450000000000005</v>
      </c>
      <c r="E169" s="19"/>
      <c r="F169" s="155">
        <f>E169*D169</f>
        <v>0</v>
      </c>
    </row>
    <row r="170" spans="1:6" x14ac:dyDescent="0.3">
      <c r="A170" s="26"/>
      <c r="B170" s="27" t="s">
        <v>48</v>
      </c>
      <c r="C170" s="94"/>
      <c r="D170" s="158"/>
      <c r="E170" s="1"/>
      <c r="F170" s="158">
        <f>SUM(F157:F169)</f>
        <v>0</v>
      </c>
    </row>
    <row r="171" spans="1:6" x14ac:dyDescent="0.3">
      <c r="A171" s="7"/>
      <c r="B171" s="93"/>
      <c r="C171" s="134"/>
      <c r="D171" s="172"/>
      <c r="E171" s="5"/>
      <c r="F171" s="172"/>
    </row>
    <row r="172" spans="1:6" x14ac:dyDescent="0.3">
      <c r="A172" s="75" t="s">
        <v>49</v>
      </c>
      <c r="B172" s="30" t="s">
        <v>50</v>
      </c>
      <c r="C172" s="129"/>
      <c r="D172" s="175"/>
      <c r="E172" s="14"/>
      <c r="F172" s="175"/>
    </row>
    <row r="173" spans="1:6" x14ac:dyDescent="0.3">
      <c r="A173" s="80" t="s">
        <v>51</v>
      </c>
      <c r="B173" s="79" t="s">
        <v>52</v>
      </c>
      <c r="C173" s="61"/>
      <c r="D173" s="169"/>
      <c r="E173" s="2"/>
      <c r="F173" s="169"/>
    </row>
    <row r="174" spans="1:6" x14ac:dyDescent="0.3">
      <c r="A174" s="80" t="s">
        <v>53</v>
      </c>
      <c r="B174" s="35" t="s">
        <v>54</v>
      </c>
      <c r="C174" s="61" t="s">
        <v>12</v>
      </c>
      <c r="D174" s="155">
        <f>((7.15*2)+(10.65*2)+2.5+3.9+3.78)*3</f>
        <v>137.34</v>
      </c>
      <c r="E174" s="6"/>
      <c r="F174" s="171">
        <f>+E174*D174</f>
        <v>0</v>
      </c>
    </row>
    <row r="175" spans="1:6" ht="14.4" x14ac:dyDescent="0.3">
      <c r="A175" s="81" t="s">
        <v>55</v>
      </c>
      <c r="B175" s="86" t="s">
        <v>56</v>
      </c>
      <c r="C175" s="61"/>
      <c r="D175" s="155"/>
      <c r="E175" s="6"/>
      <c r="F175" s="171"/>
    </row>
    <row r="176" spans="1:6" ht="27.6" x14ac:dyDescent="0.3">
      <c r="A176" s="83" t="s">
        <v>57</v>
      </c>
      <c r="B176" s="35" t="s">
        <v>58</v>
      </c>
      <c r="C176" s="61" t="s">
        <v>25</v>
      </c>
      <c r="D176" s="171">
        <f>(3.7*0.54*0.2)+(3.7*0.27*0.2)</f>
        <v>0.59940000000000015</v>
      </c>
      <c r="E176" s="6"/>
      <c r="F176" s="171">
        <f t="shared" ref="F176:F181" si="7">+E176*D176</f>
        <v>0</v>
      </c>
    </row>
    <row r="177" spans="1:6" ht="16.2" customHeight="1" x14ac:dyDescent="0.3">
      <c r="A177" s="8" t="s">
        <v>59</v>
      </c>
      <c r="B177" s="34" t="s">
        <v>37</v>
      </c>
      <c r="C177" s="61"/>
      <c r="D177" s="171"/>
      <c r="E177" s="6"/>
      <c r="F177" s="171"/>
    </row>
    <row r="178" spans="1:6" ht="16.2" customHeight="1" x14ac:dyDescent="0.3">
      <c r="A178" s="8" t="s">
        <v>60</v>
      </c>
      <c r="B178" s="34" t="s">
        <v>61</v>
      </c>
      <c r="C178" s="61"/>
      <c r="D178" s="171"/>
      <c r="E178" s="6"/>
      <c r="F178" s="171"/>
    </row>
    <row r="179" spans="1:6" ht="27.6" x14ac:dyDescent="0.3">
      <c r="A179" s="80" t="s">
        <v>62</v>
      </c>
      <c r="B179" s="35" t="s">
        <v>63</v>
      </c>
      <c r="C179" s="61" t="s">
        <v>25</v>
      </c>
      <c r="D179" s="171">
        <f>10*0.2*0.15*3.4</f>
        <v>1.02</v>
      </c>
      <c r="E179" s="6"/>
      <c r="F179" s="171">
        <f t="shared" si="7"/>
        <v>0</v>
      </c>
    </row>
    <row r="180" spans="1:6" ht="16.2" customHeight="1" x14ac:dyDescent="0.3">
      <c r="A180" s="8" t="s">
        <v>64</v>
      </c>
      <c r="B180" s="79" t="s">
        <v>65</v>
      </c>
      <c r="C180" s="61"/>
      <c r="D180" s="171"/>
      <c r="E180" s="6"/>
      <c r="F180" s="171"/>
    </row>
    <row r="181" spans="1:6" ht="27.6" x14ac:dyDescent="0.3">
      <c r="A181" s="80" t="s">
        <v>66</v>
      </c>
      <c r="B181" s="35" t="s">
        <v>67</v>
      </c>
      <c r="C181" s="61" t="s">
        <v>25</v>
      </c>
      <c r="D181" s="155">
        <f>((7.15*2)+(10.65*2)+2.5+3.9+3.78)*0.15*0.2</f>
        <v>1.3734000000000002</v>
      </c>
      <c r="E181" s="6"/>
      <c r="F181" s="171">
        <f t="shared" si="7"/>
        <v>0</v>
      </c>
    </row>
    <row r="182" spans="1:6" ht="27.6" x14ac:dyDescent="0.3">
      <c r="A182" s="80" t="s">
        <v>68</v>
      </c>
      <c r="B182" s="35" t="s">
        <v>69</v>
      </c>
      <c r="C182" s="61" t="s">
        <v>25</v>
      </c>
      <c r="D182" s="155">
        <f>((7.15*2)+(10.65*2)+2.5+3.9+3.78)*0.15*0.2</f>
        <v>1.3734000000000002</v>
      </c>
      <c r="E182" s="6"/>
      <c r="F182" s="171">
        <f>+E182*D182</f>
        <v>0</v>
      </c>
    </row>
    <row r="183" spans="1:6" ht="16.2" customHeight="1" x14ac:dyDescent="0.3">
      <c r="A183" s="1"/>
      <c r="B183" s="94" t="s">
        <v>248</v>
      </c>
      <c r="C183" s="135"/>
      <c r="D183" s="176"/>
      <c r="E183" s="95"/>
      <c r="F183" s="176">
        <f>+SUM(F174:F182)</f>
        <v>0</v>
      </c>
    </row>
    <row r="184" spans="1:6" ht="16.2" customHeight="1" x14ac:dyDescent="0.3">
      <c r="A184" s="7"/>
      <c r="B184" s="93"/>
      <c r="C184" s="134"/>
      <c r="D184" s="172"/>
      <c r="E184" s="5"/>
      <c r="F184" s="172"/>
    </row>
    <row r="185" spans="1:6" ht="16.2" customHeight="1" x14ac:dyDescent="0.3">
      <c r="A185" s="56" t="s">
        <v>72</v>
      </c>
      <c r="B185" s="36" t="s">
        <v>73</v>
      </c>
      <c r="C185" s="96"/>
      <c r="D185" s="177"/>
      <c r="E185" s="10"/>
      <c r="F185" s="177"/>
    </row>
    <row r="186" spans="1:6" ht="16.2" customHeight="1" x14ac:dyDescent="0.3">
      <c r="A186" s="76" t="s">
        <v>74</v>
      </c>
      <c r="B186" s="34" t="s">
        <v>75</v>
      </c>
      <c r="C186" s="93"/>
      <c r="D186" s="172"/>
      <c r="E186" s="5"/>
      <c r="F186" s="172"/>
    </row>
    <row r="187" spans="1:6" ht="27.6" x14ac:dyDescent="0.3">
      <c r="A187" s="80" t="s">
        <v>76</v>
      </c>
      <c r="B187" s="35" t="s">
        <v>77</v>
      </c>
      <c r="C187" s="61" t="s">
        <v>25</v>
      </c>
      <c r="D187" s="172">
        <f>33.29*0.15*0.07*5</f>
        <v>1.7477250000000002</v>
      </c>
      <c r="E187" s="6"/>
      <c r="F187" s="171">
        <f t="shared" ref="F187:F192" si="8">+E187*D187</f>
        <v>0</v>
      </c>
    </row>
    <row r="188" spans="1:6" ht="16.2" customHeight="1" x14ac:dyDescent="0.3">
      <c r="A188" s="80" t="s">
        <v>78</v>
      </c>
      <c r="B188" s="35" t="s">
        <v>79</v>
      </c>
      <c r="C188" s="61" t="s">
        <v>25</v>
      </c>
      <c r="D188" s="172">
        <f>14*0.07*0.07*12.65</f>
        <v>0.86779000000000017</v>
      </c>
      <c r="E188" s="6"/>
      <c r="F188" s="171">
        <f t="shared" si="8"/>
        <v>0</v>
      </c>
    </row>
    <row r="189" spans="1:6" ht="27.6" x14ac:dyDescent="0.3">
      <c r="A189" s="80" t="s">
        <v>80</v>
      </c>
      <c r="B189" s="35" t="s">
        <v>81</v>
      </c>
      <c r="C189" s="61" t="s">
        <v>12</v>
      </c>
      <c r="D189" s="171">
        <f>(12.65*5.13*2*1.1)</f>
        <v>142.7679</v>
      </c>
      <c r="E189" s="2"/>
      <c r="F189" s="171">
        <f t="shared" si="8"/>
        <v>0</v>
      </c>
    </row>
    <row r="190" spans="1:6" ht="16.2" customHeight="1" x14ac:dyDescent="0.3">
      <c r="A190" s="80" t="s">
        <v>82</v>
      </c>
      <c r="B190" s="35" t="s">
        <v>83</v>
      </c>
      <c r="C190" s="61" t="s">
        <v>84</v>
      </c>
      <c r="D190" s="171">
        <f>12.65+3+8.3</f>
        <v>23.950000000000003</v>
      </c>
      <c r="E190" s="2"/>
      <c r="F190" s="171">
        <f t="shared" si="8"/>
        <v>0</v>
      </c>
    </row>
    <row r="191" spans="1:6" x14ac:dyDescent="0.3">
      <c r="A191" s="80" t="s">
        <v>85</v>
      </c>
      <c r="B191" s="35" t="s">
        <v>86</v>
      </c>
      <c r="C191" s="61" t="s">
        <v>84</v>
      </c>
      <c r="D191" s="171">
        <f>(12.65*2)+(5.13*4)</f>
        <v>45.82</v>
      </c>
      <c r="E191" s="5"/>
      <c r="F191" s="171">
        <f t="shared" si="8"/>
        <v>0</v>
      </c>
    </row>
    <row r="192" spans="1:6" ht="41.4" x14ac:dyDescent="0.3">
      <c r="A192" s="80" t="s">
        <v>87</v>
      </c>
      <c r="B192" s="55" t="s">
        <v>88</v>
      </c>
      <c r="C192" s="61" t="s">
        <v>12</v>
      </c>
      <c r="D192" s="171">
        <f>(12.65*9.51)</f>
        <v>120.3015</v>
      </c>
      <c r="E192" s="5"/>
      <c r="F192" s="171">
        <f t="shared" si="8"/>
        <v>0</v>
      </c>
    </row>
    <row r="193" spans="1:6" ht="16.2" customHeight="1" x14ac:dyDescent="0.3">
      <c r="A193" s="26"/>
      <c r="B193" s="27" t="s">
        <v>89</v>
      </c>
      <c r="C193" s="94"/>
      <c r="D193" s="176"/>
      <c r="E193" s="95"/>
      <c r="F193" s="176">
        <f>+SUM(F187:F192)</f>
        <v>0</v>
      </c>
    </row>
    <row r="194" spans="1:6" ht="16.2" customHeight="1" x14ac:dyDescent="0.3">
      <c r="A194" s="7"/>
      <c r="B194" s="93"/>
      <c r="C194" s="134"/>
      <c r="D194" s="172"/>
      <c r="E194" s="5"/>
      <c r="F194" s="172"/>
    </row>
    <row r="195" spans="1:6" ht="16.2" customHeight="1" x14ac:dyDescent="0.3">
      <c r="A195" s="28">
        <v>3</v>
      </c>
      <c r="B195" s="29" t="s">
        <v>90</v>
      </c>
      <c r="C195" s="93"/>
      <c r="D195" s="161"/>
      <c r="E195" s="7"/>
      <c r="F195" s="161"/>
    </row>
    <row r="196" spans="1:6" ht="16.2" customHeight="1" x14ac:dyDescent="0.3">
      <c r="A196" s="37" t="s">
        <v>91</v>
      </c>
      <c r="B196" s="96" t="s">
        <v>249</v>
      </c>
      <c r="C196" s="136"/>
      <c r="D196" s="178"/>
      <c r="E196" s="97"/>
      <c r="F196" s="178"/>
    </row>
    <row r="197" spans="1:6" ht="16.2" customHeight="1" x14ac:dyDescent="0.3">
      <c r="A197" s="8" t="s">
        <v>93</v>
      </c>
      <c r="B197" s="98" t="s">
        <v>250</v>
      </c>
      <c r="C197" s="61"/>
      <c r="D197" s="169"/>
      <c r="E197" s="2"/>
      <c r="F197" s="169"/>
    </row>
    <row r="198" spans="1:6" x14ac:dyDescent="0.3">
      <c r="A198" s="80" t="s">
        <v>102</v>
      </c>
      <c r="B198" s="35" t="s">
        <v>103</v>
      </c>
      <c r="C198" s="61" t="s">
        <v>97</v>
      </c>
      <c r="D198" s="168">
        <v>2</v>
      </c>
      <c r="E198" s="2"/>
      <c r="F198" s="169">
        <f>+E198*D198</f>
        <v>0</v>
      </c>
    </row>
    <row r="199" spans="1:6" ht="16.2" customHeight="1" x14ac:dyDescent="0.3">
      <c r="A199" s="80" t="s">
        <v>104</v>
      </c>
      <c r="B199" s="35" t="s">
        <v>105</v>
      </c>
      <c r="C199" s="61" t="s">
        <v>97</v>
      </c>
      <c r="D199" s="168">
        <v>1</v>
      </c>
      <c r="E199" s="5"/>
      <c r="F199" s="169">
        <f>+E199*D199</f>
        <v>0</v>
      </c>
    </row>
    <row r="200" spans="1:6" ht="16.2" customHeight="1" x14ac:dyDescent="0.3">
      <c r="A200" s="76" t="s">
        <v>106</v>
      </c>
      <c r="B200" s="84" t="s">
        <v>107</v>
      </c>
      <c r="C200" s="98"/>
      <c r="D200" s="168"/>
      <c r="E200" s="9"/>
      <c r="F200" s="173"/>
    </row>
    <row r="201" spans="1:6" ht="16.2" customHeight="1" x14ac:dyDescent="0.3">
      <c r="A201" s="80" t="s">
        <v>108</v>
      </c>
      <c r="B201" s="35" t="s">
        <v>109</v>
      </c>
      <c r="C201" s="61" t="s">
        <v>97</v>
      </c>
      <c r="D201" s="168">
        <v>1</v>
      </c>
      <c r="E201" s="5"/>
      <c r="F201" s="169">
        <f>+E201*D201</f>
        <v>0</v>
      </c>
    </row>
    <row r="202" spans="1:6" ht="16.2" customHeight="1" x14ac:dyDescent="0.3">
      <c r="A202" s="80" t="s">
        <v>112</v>
      </c>
      <c r="B202" s="35" t="s">
        <v>113</v>
      </c>
      <c r="C202" s="61" t="s">
        <v>97</v>
      </c>
      <c r="D202" s="168">
        <v>2</v>
      </c>
      <c r="E202" s="5"/>
      <c r="F202" s="169">
        <f>+E202*D202</f>
        <v>0</v>
      </c>
    </row>
    <row r="203" spans="1:6" ht="16.2" customHeight="1" x14ac:dyDescent="0.3">
      <c r="A203" s="85" t="s">
        <v>114</v>
      </c>
      <c r="B203" s="35" t="s">
        <v>115</v>
      </c>
      <c r="C203" s="61" t="s">
        <v>97</v>
      </c>
      <c r="D203" s="168">
        <v>1</v>
      </c>
      <c r="E203" s="5"/>
      <c r="F203" s="169">
        <f>+E203*D203</f>
        <v>0</v>
      </c>
    </row>
    <row r="204" spans="1:6" ht="16.2" customHeight="1" x14ac:dyDescent="0.3">
      <c r="A204" s="85" t="s">
        <v>118</v>
      </c>
      <c r="B204" s="35" t="s">
        <v>119</v>
      </c>
      <c r="C204" s="61" t="s">
        <v>97</v>
      </c>
      <c r="D204" s="168">
        <v>2</v>
      </c>
      <c r="E204" s="5"/>
      <c r="F204" s="169">
        <f>+E204*D204</f>
        <v>0</v>
      </c>
    </row>
    <row r="205" spans="1:6" ht="16.2" customHeight="1" x14ac:dyDescent="0.3">
      <c r="A205" s="85" t="s">
        <v>122</v>
      </c>
      <c r="B205" s="99" t="s">
        <v>362</v>
      </c>
      <c r="C205" s="61"/>
      <c r="D205" s="168"/>
      <c r="E205" s="5"/>
      <c r="F205" s="169"/>
    </row>
    <row r="206" spans="1:6" ht="16.2" customHeight="1" x14ac:dyDescent="0.3">
      <c r="A206" s="80" t="s">
        <v>124</v>
      </c>
      <c r="B206" s="35" t="s">
        <v>125</v>
      </c>
      <c r="C206" s="61" t="s">
        <v>84</v>
      </c>
      <c r="D206" s="168">
        <v>4.8499999999999996</v>
      </c>
      <c r="E206" s="2"/>
      <c r="F206" s="169">
        <f>+E206*D206</f>
        <v>0</v>
      </c>
    </row>
    <row r="207" spans="1:6" ht="16.2" customHeight="1" x14ac:dyDescent="0.3">
      <c r="A207" s="26"/>
      <c r="B207" s="27" t="s">
        <v>126</v>
      </c>
      <c r="C207" s="94"/>
      <c r="D207" s="158"/>
      <c r="E207" s="1"/>
      <c r="F207" s="158">
        <f>SUM(F198:F206)</f>
        <v>0</v>
      </c>
    </row>
    <row r="208" spans="1:6" ht="16.2" customHeight="1" x14ac:dyDescent="0.3">
      <c r="A208" s="72"/>
      <c r="B208" s="93"/>
      <c r="C208" s="137"/>
      <c r="D208" s="179"/>
      <c r="E208" s="100"/>
      <c r="F208" s="179"/>
    </row>
    <row r="209" spans="1:6" ht="16.2" customHeight="1" x14ac:dyDescent="0.3">
      <c r="A209" s="56" t="s">
        <v>127</v>
      </c>
      <c r="B209" s="36" t="s">
        <v>128</v>
      </c>
      <c r="C209" s="40"/>
      <c r="D209" s="178"/>
      <c r="E209" s="97"/>
      <c r="F209" s="178"/>
    </row>
    <row r="210" spans="1:6" ht="27.6" x14ac:dyDescent="0.3">
      <c r="A210" s="80" t="s">
        <v>129</v>
      </c>
      <c r="B210" s="35" t="s">
        <v>130</v>
      </c>
      <c r="C210" s="61" t="s">
        <v>12</v>
      </c>
      <c r="D210" s="180">
        <f>((7.15*2)+(10.65*2)+2.5+3.9+3.78)*2*3</f>
        <v>274.68</v>
      </c>
      <c r="E210" s="2"/>
      <c r="F210" s="171">
        <f>+E210*D210</f>
        <v>0</v>
      </c>
    </row>
    <row r="211" spans="1:6" ht="27.6" x14ac:dyDescent="0.3">
      <c r="A211" s="80" t="s">
        <v>131</v>
      </c>
      <c r="B211" s="35" t="s">
        <v>251</v>
      </c>
      <c r="C211" s="61" t="s">
        <v>12</v>
      </c>
      <c r="D211" s="169">
        <f>(35*0.2*2)+(10*0.2*3.4)</f>
        <v>20.8</v>
      </c>
      <c r="E211" s="2"/>
      <c r="F211" s="171">
        <f>+E211*D211</f>
        <v>0</v>
      </c>
    </row>
    <row r="212" spans="1:6" x14ac:dyDescent="0.3">
      <c r="A212" s="80" t="s">
        <v>132</v>
      </c>
      <c r="B212" s="35" t="s">
        <v>133</v>
      </c>
      <c r="C212" s="61" t="s">
        <v>12</v>
      </c>
      <c r="D212" s="169">
        <v>68</v>
      </c>
      <c r="E212" s="2"/>
      <c r="F212" s="171">
        <f>+E212*D212</f>
        <v>0</v>
      </c>
    </row>
    <row r="213" spans="1:6" x14ac:dyDescent="0.3">
      <c r="A213" s="80" t="s">
        <v>134</v>
      </c>
      <c r="B213" s="35" t="s">
        <v>363</v>
      </c>
      <c r="C213" s="61" t="s">
        <v>12</v>
      </c>
      <c r="D213" s="169">
        <v>70</v>
      </c>
      <c r="E213" s="2"/>
      <c r="F213" s="171">
        <f>+E213*D213</f>
        <v>0</v>
      </c>
    </row>
    <row r="214" spans="1:6" x14ac:dyDescent="0.3">
      <c r="A214" s="80" t="s">
        <v>136</v>
      </c>
      <c r="B214" s="35" t="s">
        <v>252</v>
      </c>
      <c r="C214" s="61" t="s">
        <v>138</v>
      </c>
      <c r="D214" s="169">
        <f>10.5*7</f>
        <v>73.5</v>
      </c>
      <c r="E214" s="2"/>
      <c r="F214" s="171">
        <f>+E214*D214</f>
        <v>0</v>
      </c>
    </row>
    <row r="215" spans="1:6" ht="16.2" customHeight="1" x14ac:dyDescent="0.3">
      <c r="A215" s="26"/>
      <c r="B215" s="27" t="s">
        <v>139</v>
      </c>
      <c r="C215" s="94" t="s">
        <v>140</v>
      </c>
      <c r="D215" s="158"/>
      <c r="E215" s="1"/>
      <c r="F215" s="158">
        <f>SUM(F210:F214)</f>
        <v>0</v>
      </c>
    </row>
    <row r="216" spans="1:6" ht="16.2" customHeight="1" x14ac:dyDescent="0.3">
      <c r="A216" s="7"/>
      <c r="B216" s="93"/>
      <c r="C216" s="134"/>
      <c r="D216" s="172"/>
      <c r="E216" s="5"/>
      <c r="F216" s="172"/>
    </row>
    <row r="217" spans="1:6" ht="16.2" customHeight="1" x14ac:dyDescent="0.3">
      <c r="A217" s="56" t="s">
        <v>141</v>
      </c>
      <c r="B217" s="40" t="s">
        <v>142</v>
      </c>
      <c r="C217" s="96"/>
      <c r="D217" s="167"/>
      <c r="E217" s="37"/>
      <c r="F217" s="167"/>
    </row>
    <row r="218" spans="1:6" ht="16.2" customHeight="1" x14ac:dyDescent="0.3">
      <c r="A218" s="76" t="s">
        <v>143</v>
      </c>
      <c r="B218" s="57" t="s">
        <v>144</v>
      </c>
      <c r="C218" s="98"/>
      <c r="D218" s="163"/>
      <c r="E218" s="5"/>
      <c r="F218" s="172"/>
    </row>
    <row r="219" spans="1:6" ht="16.2" customHeight="1" x14ac:dyDescent="0.3">
      <c r="A219" s="80" t="s">
        <v>145</v>
      </c>
      <c r="B219" s="41" t="s">
        <v>253</v>
      </c>
      <c r="C219" s="130" t="s">
        <v>97</v>
      </c>
      <c r="D219" s="163">
        <v>1</v>
      </c>
      <c r="E219" s="2"/>
      <c r="F219" s="171">
        <f t="shared" ref="F219:F227" si="9">+E219*D219</f>
        <v>0</v>
      </c>
    </row>
    <row r="220" spans="1:6" ht="16.2" customHeight="1" x14ac:dyDescent="0.3">
      <c r="A220" s="80" t="s">
        <v>147</v>
      </c>
      <c r="B220" s="41" t="s">
        <v>148</v>
      </c>
      <c r="C220" s="130" t="s">
        <v>97</v>
      </c>
      <c r="D220" s="168">
        <v>10</v>
      </c>
      <c r="E220" s="2"/>
      <c r="F220" s="171">
        <f t="shared" si="9"/>
        <v>0</v>
      </c>
    </row>
    <row r="221" spans="1:6" ht="16.2" customHeight="1" x14ac:dyDescent="0.3">
      <c r="A221" s="80" t="s">
        <v>149</v>
      </c>
      <c r="B221" s="41" t="s">
        <v>150</v>
      </c>
      <c r="C221" s="130" t="s">
        <v>84</v>
      </c>
      <c r="D221" s="168">
        <v>100</v>
      </c>
      <c r="E221" s="2"/>
      <c r="F221" s="171">
        <f t="shared" si="9"/>
        <v>0</v>
      </c>
    </row>
    <row r="222" spans="1:6" ht="16.2" customHeight="1" x14ac:dyDescent="0.3">
      <c r="A222" s="80" t="s">
        <v>151</v>
      </c>
      <c r="B222" s="41" t="s">
        <v>152</v>
      </c>
      <c r="C222" s="130" t="s">
        <v>84</v>
      </c>
      <c r="D222" s="168">
        <v>60</v>
      </c>
      <c r="E222" s="2"/>
      <c r="F222" s="171">
        <f t="shared" si="9"/>
        <v>0</v>
      </c>
    </row>
    <row r="223" spans="1:6" ht="16.2" customHeight="1" x14ac:dyDescent="0.3">
      <c r="A223" s="80" t="s">
        <v>153</v>
      </c>
      <c r="B223" s="41" t="s">
        <v>154</v>
      </c>
      <c r="C223" s="130" t="s">
        <v>97</v>
      </c>
      <c r="D223" s="168">
        <v>6</v>
      </c>
      <c r="E223" s="2"/>
      <c r="F223" s="171">
        <f t="shared" si="9"/>
        <v>0</v>
      </c>
    </row>
    <row r="224" spans="1:6" ht="16.2" customHeight="1" x14ac:dyDescent="0.3">
      <c r="A224" s="80" t="s">
        <v>155</v>
      </c>
      <c r="B224" s="41" t="s">
        <v>156</v>
      </c>
      <c r="C224" s="130" t="s">
        <v>97</v>
      </c>
      <c r="D224" s="168">
        <v>4</v>
      </c>
      <c r="E224" s="2"/>
      <c r="F224" s="171">
        <f t="shared" si="9"/>
        <v>0</v>
      </c>
    </row>
    <row r="225" spans="1:6" ht="16.2" customHeight="1" x14ac:dyDescent="0.3">
      <c r="A225" s="80" t="s">
        <v>157</v>
      </c>
      <c r="B225" s="41" t="s">
        <v>158</v>
      </c>
      <c r="C225" s="130" t="s">
        <v>97</v>
      </c>
      <c r="D225" s="168">
        <v>1</v>
      </c>
      <c r="E225" s="2"/>
      <c r="F225" s="171">
        <f t="shared" si="9"/>
        <v>0</v>
      </c>
    </row>
    <row r="226" spans="1:6" ht="16.2" customHeight="1" x14ac:dyDescent="0.3">
      <c r="A226" s="80" t="s">
        <v>161</v>
      </c>
      <c r="B226" s="41" t="s">
        <v>162</v>
      </c>
      <c r="C226" s="130" t="s">
        <v>97</v>
      </c>
      <c r="D226" s="168">
        <v>1</v>
      </c>
      <c r="E226" s="2"/>
      <c r="F226" s="171">
        <f t="shared" si="9"/>
        <v>0</v>
      </c>
    </row>
    <row r="227" spans="1:6" ht="16.2" customHeight="1" x14ac:dyDescent="0.3">
      <c r="A227" s="80" t="s">
        <v>254</v>
      </c>
      <c r="B227" s="41" t="s">
        <v>255</v>
      </c>
      <c r="C227" s="130" t="s">
        <v>84</v>
      </c>
      <c r="D227" s="168">
        <v>30</v>
      </c>
      <c r="E227" s="2"/>
      <c r="F227" s="171">
        <f t="shared" si="9"/>
        <v>0</v>
      </c>
    </row>
    <row r="228" spans="1:6" ht="16.2" customHeight="1" x14ac:dyDescent="0.3">
      <c r="A228" s="26"/>
      <c r="B228" s="27" t="s">
        <v>163</v>
      </c>
      <c r="C228" s="94" t="s">
        <v>140</v>
      </c>
      <c r="D228" s="158"/>
      <c r="E228" s="1"/>
      <c r="F228" s="158">
        <f>SUM(F219:F227)</f>
        <v>0</v>
      </c>
    </row>
    <row r="229" spans="1:6" ht="16.2" customHeight="1" x14ac:dyDescent="0.3">
      <c r="A229" s="7"/>
      <c r="B229" s="93"/>
      <c r="C229" s="134"/>
      <c r="D229" s="172"/>
      <c r="E229" s="5"/>
      <c r="F229" s="172"/>
    </row>
    <row r="230" spans="1:6" ht="16.2" customHeight="1" x14ac:dyDescent="0.3">
      <c r="A230" s="56" t="s">
        <v>164</v>
      </c>
      <c r="B230" s="36" t="s">
        <v>165</v>
      </c>
      <c r="C230" s="96"/>
      <c r="D230" s="167"/>
      <c r="E230" s="10"/>
      <c r="F230" s="177"/>
    </row>
    <row r="231" spans="1:6" ht="16.2" customHeight="1" x14ac:dyDescent="0.3">
      <c r="A231" s="80" t="s">
        <v>166</v>
      </c>
      <c r="B231" s="55" t="s">
        <v>167</v>
      </c>
      <c r="C231" s="61" t="s">
        <v>168</v>
      </c>
      <c r="D231" s="168">
        <v>1</v>
      </c>
      <c r="E231" s="5"/>
      <c r="F231" s="171">
        <f t="shared" ref="F231:F245" si="10">+E231*D231</f>
        <v>0</v>
      </c>
    </row>
    <row r="232" spans="1:6" ht="16.2" customHeight="1" x14ac:dyDescent="0.3">
      <c r="A232" s="80" t="s">
        <v>169</v>
      </c>
      <c r="B232" s="55" t="s">
        <v>170</v>
      </c>
      <c r="C232" s="61" t="s">
        <v>97</v>
      </c>
      <c r="D232" s="168">
        <v>1</v>
      </c>
      <c r="E232" s="5"/>
      <c r="F232" s="171">
        <f t="shared" si="10"/>
        <v>0</v>
      </c>
    </row>
    <row r="233" spans="1:6" x14ac:dyDescent="0.3">
      <c r="A233" s="80" t="s">
        <v>176</v>
      </c>
      <c r="B233" s="55" t="s">
        <v>256</v>
      </c>
      <c r="C233" s="61" t="s">
        <v>97</v>
      </c>
      <c r="D233" s="168">
        <v>4</v>
      </c>
      <c r="E233" s="5"/>
      <c r="F233" s="171">
        <f t="shared" si="10"/>
        <v>0</v>
      </c>
    </row>
    <row r="234" spans="1:6" ht="16.2" customHeight="1" x14ac:dyDescent="0.3">
      <c r="A234" s="80" t="s">
        <v>178</v>
      </c>
      <c r="B234" s="55" t="s">
        <v>179</v>
      </c>
      <c r="C234" s="61" t="s">
        <v>97</v>
      </c>
      <c r="D234" s="168">
        <v>1</v>
      </c>
      <c r="E234" s="5"/>
      <c r="F234" s="171">
        <f t="shared" si="10"/>
        <v>0</v>
      </c>
    </row>
    <row r="235" spans="1:6" ht="16.2" customHeight="1" x14ac:dyDescent="0.3">
      <c r="A235" s="80" t="s">
        <v>180</v>
      </c>
      <c r="B235" s="55" t="s">
        <v>181</v>
      </c>
      <c r="C235" s="61" t="s">
        <v>97</v>
      </c>
      <c r="D235" s="168">
        <v>1</v>
      </c>
      <c r="E235" s="5"/>
      <c r="F235" s="171">
        <f t="shared" si="10"/>
        <v>0</v>
      </c>
    </row>
    <row r="236" spans="1:6" ht="16.2" customHeight="1" x14ac:dyDescent="0.3">
      <c r="A236" s="80" t="s">
        <v>182</v>
      </c>
      <c r="B236" s="55" t="s">
        <v>183</v>
      </c>
      <c r="C236" s="61" t="s">
        <v>97</v>
      </c>
      <c r="D236" s="168">
        <v>1</v>
      </c>
      <c r="E236" s="5"/>
      <c r="F236" s="171">
        <f t="shared" si="10"/>
        <v>0</v>
      </c>
    </row>
    <row r="237" spans="1:6" ht="16.2" customHeight="1" x14ac:dyDescent="0.3">
      <c r="A237" s="80" t="s">
        <v>184</v>
      </c>
      <c r="B237" s="55" t="s">
        <v>185</v>
      </c>
      <c r="C237" s="61" t="s">
        <v>97</v>
      </c>
      <c r="D237" s="168">
        <v>1</v>
      </c>
      <c r="E237" s="5"/>
      <c r="F237" s="171">
        <f t="shared" si="10"/>
        <v>0</v>
      </c>
    </row>
    <row r="238" spans="1:6" ht="16.2" customHeight="1" x14ac:dyDescent="0.3">
      <c r="A238" s="80" t="s">
        <v>186</v>
      </c>
      <c r="B238" s="55" t="s">
        <v>187</v>
      </c>
      <c r="C238" s="61" t="s">
        <v>97</v>
      </c>
      <c r="D238" s="168">
        <v>1</v>
      </c>
      <c r="E238" s="5"/>
      <c r="F238" s="171">
        <f t="shared" si="10"/>
        <v>0</v>
      </c>
    </row>
    <row r="239" spans="1:6" ht="27.6" x14ac:dyDescent="0.3">
      <c r="A239" s="80" t="s">
        <v>188</v>
      </c>
      <c r="B239" s="55" t="s">
        <v>189</v>
      </c>
      <c r="C239" s="61" t="s">
        <v>168</v>
      </c>
      <c r="D239" s="168">
        <v>1</v>
      </c>
      <c r="E239" s="5"/>
      <c r="F239" s="171">
        <f t="shared" si="10"/>
        <v>0</v>
      </c>
    </row>
    <row r="240" spans="1:6" ht="27.6" x14ac:dyDescent="0.3">
      <c r="A240" s="80" t="s">
        <v>190</v>
      </c>
      <c r="B240" s="55" t="s">
        <v>257</v>
      </c>
      <c r="C240" s="61" t="s">
        <v>97</v>
      </c>
      <c r="D240" s="168">
        <v>4</v>
      </c>
      <c r="E240" s="5"/>
      <c r="F240" s="171">
        <f t="shared" si="10"/>
        <v>0</v>
      </c>
    </row>
    <row r="241" spans="1:6" ht="16.2" customHeight="1" x14ac:dyDescent="0.3">
      <c r="A241" s="80" t="s">
        <v>192</v>
      </c>
      <c r="B241" s="55" t="s">
        <v>193</v>
      </c>
      <c r="C241" s="61" t="s">
        <v>84</v>
      </c>
      <c r="D241" s="168">
        <v>24</v>
      </c>
      <c r="E241" s="5"/>
      <c r="F241" s="171">
        <f t="shared" si="10"/>
        <v>0</v>
      </c>
    </row>
    <row r="242" spans="1:6" ht="16.2" customHeight="1" x14ac:dyDescent="0.3">
      <c r="A242" s="80" t="s">
        <v>194</v>
      </c>
      <c r="B242" s="55" t="s">
        <v>195</v>
      </c>
      <c r="C242" s="61" t="s">
        <v>84</v>
      </c>
      <c r="D242" s="168">
        <v>13</v>
      </c>
      <c r="E242" s="5"/>
      <c r="F242" s="171">
        <f t="shared" si="10"/>
        <v>0</v>
      </c>
    </row>
    <row r="243" spans="1:6" ht="16.2" customHeight="1" x14ac:dyDescent="0.3">
      <c r="A243" s="83" t="s">
        <v>360</v>
      </c>
      <c r="B243" s="86" t="s">
        <v>196</v>
      </c>
      <c r="C243" s="61"/>
      <c r="D243" s="168"/>
      <c r="E243" s="5"/>
      <c r="F243" s="171"/>
    </row>
    <row r="244" spans="1:6" ht="14.4" x14ac:dyDescent="0.3">
      <c r="A244" s="83" t="s">
        <v>364</v>
      </c>
      <c r="B244" s="41" t="s">
        <v>258</v>
      </c>
      <c r="C244" s="131" t="s">
        <v>7</v>
      </c>
      <c r="D244" s="152">
        <v>1</v>
      </c>
      <c r="E244" s="5"/>
      <c r="F244" s="171">
        <f t="shared" si="10"/>
        <v>0</v>
      </c>
    </row>
    <row r="245" spans="1:6" ht="27.6" x14ac:dyDescent="0.3">
      <c r="A245" s="80" t="s">
        <v>199</v>
      </c>
      <c r="B245" s="41" t="s">
        <v>200</v>
      </c>
      <c r="C245" s="131" t="s">
        <v>97</v>
      </c>
      <c r="D245" s="169">
        <v>1</v>
      </c>
      <c r="E245" s="2"/>
      <c r="F245" s="171">
        <f t="shared" si="10"/>
        <v>0</v>
      </c>
    </row>
    <row r="246" spans="1:6" ht="16.2" customHeight="1" x14ac:dyDescent="0.3">
      <c r="A246" s="26"/>
      <c r="B246" s="27" t="s">
        <v>201</v>
      </c>
      <c r="C246" s="94"/>
      <c r="D246" s="158"/>
      <c r="E246" s="13"/>
      <c r="F246" s="198">
        <f>SUM(F231:F245)</f>
        <v>0</v>
      </c>
    </row>
    <row r="247" spans="1:6" ht="16.2" customHeight="1" x14ac:dyDescent="0.3">
      <c r="A247" s="7"/>
      <c r="B247" s="93"/>
      <c r="C247" s="134"/>
      <c r="D247" s="172"/>
      <c r="E247" s="5"/>
      <c r="F247" s="172"/>
    </row>
    <row r="248" spans="1:6" ht="16.2" customHeight="1" x14ac:dyDescent="0.3">
      <c r="A248" s="56" t="s">
        <v>202</v>
      </c>
      <c r="B248" s="36" t="s">
        <v>203</v>
      </c>
      <c r="C248" s="96"/>
      <c r="D248" s="167"/>
      <c r="E248" s="37"/>
      <c r="F248" s="167"/>
    </row>
    <row r="249" spans="1:6" x14ac:dyDescent="0.3">
      <c r="A249" s="80" t="s">
        <v>204</v>
      </c>
      <c r="B249" s="35" t="s">
        <v>259</v>
      </c>
      <c r="C249" s="61" t="s">
        <v>12</v>
      </c>
      <c r="D249" s="180">
        <f>((7.15*2)+(10.65*2)+2.5+3.9+3.78)*2*3</f>
        <v>274.68</v>
      </c>
      <c r="E249" s="2"/>
      <c r="F249" s="164">
        <f>E249*D249</f>
        <v>0</v>
      </c>
    </row>
    <row r="250" spans="1:6" x14ac:dyDescent="0.3">
      <c r="A250" s="80" t="s">
        <v>206</v>
      </c>
      <c r="B250" s="35" t="s">
        <v>207</v>
      </c>
      <c r="C250" s="61" t="s">
        <v>12</v>
      </c>
      <c r="D250" s="164">
        <f>12*9</f>
        <v>108</v>
      </c>
      <c r="E250" s="2"/>
      <c r="F250" s="164">
        <f>E250*D250</f>
        <v>0</v>
      </c>
    </row>
    <row r="251" spans="1:6" ht="27.6" x14ac:dyDescent="0.3">
      <c r="A251" s="80" t="s">
        <v>208</v>
      </c>
      <c r="B251" s="35" t="s">
        <v>209</v>
      </c>
      <c r="C251" s="61" t="s">
        <v>12</v>
      </c>
      <c r="D251" s="164">
        <f>(21*3)</f>
        <v>63</v>
      </c>
      <c r="E251" s="2"/>
      <c r="F251" s="164">
        <f>E251*D251</f>
        <v>0</v>
      </c>
    </row>
    <row r="252" spans="1:6" x14ac:dyDescent="0.3">
      <c r="A252" s="26"/>
      <c r="B252" s="27" t="s">
        <v>260</v>
      </c>
      <c r="C252" s="94"/>
      <c r="D252" s="158"/>
      <c r="E252" s="1"/>
      <c r="F252" s="158">
        <f>SUM(F249:F251)</f>
        <v>0</v>
      </c>
    </row>
    <row r="253" spans="1:6" x14ac:dyDescent="0.3">
      <c r="A253" s="28"/>
      <c r="B253" s="29"/>
      <c r="C253" s="93"/>
      <c r="D253" s="161"/>
      <c r="E253" s="7"/>
      <c r="F253" s="161"/>
    </row>
    <row r="254" spans="1:6" x14ac:dyDescent="0.3">
      <c r="A254" s="56" t="s">
        <v>211</v>
      </c>
      <c r="B254" s="36" t="s">
        <v>212</v>
      </c>
      <c r="C254" s="96"/>
      <c r="D254" s="167"/>
      <c r="E254" s="37"/>
      <c r="F254" s="167"/>
    </row>
    <row r="255" spans="1:6" x14ac:dyDescent="0.3">
      <c r="A255" s="28"/>
      <c r="B255" s="29"/>
      <c r="C255" s="93"/>
      <c r="D255" s="161"/>
      <c r="E255" s="7"/>
      <c r="F255" s="161"/>
    </row>
    <row r="256" spans="1:6" x14ac:dyDescent="0.3">
      <c r="A256" s="80" t="s">
        <v>213</v>
      </c>
      <c r="B256" s="55" t="s">
        <v>261</v>
      </c>
      <c r="C256" s="61" t="s">
        <v>97</v>
      </c>
      <c r="D256" s="168">
        <v>1</v>
      </c>
      <c r="E256" s="2"/>
      <c r="F256" s="164">
        <f>E256*D256</f>
        <v>0</v>
      </c>
    </row>
    <row r="257" spans="1:6" x14ac:dyDescent="0.3">
      <c r="A257" s="80" t="s">
        <v>215</v>
      </c>
      <c r="B257" s="55" t="s">
        <v>216</v>
      </c>
      <c r="C257" s="61" t="s">
        <v>97</v>
      </c>
      <c r="D257" s="168">
        <v>4</v>
      </c>
      <c r="E257" s="2"/>
      <c r="F257" s="164">
        <f>E257*D257</f>
        <v>0</v>
      </c>
    </row>
    <row r="258" spans="1:6" x14ac:dyDescent="0.3">
      <c r="A258" s="26"/>
      <c r="B258" s="27" t="s">
        <v>217</v>
      </c>
      <c r="C258" s="94"/>
      <c r="D258" s="158"/>
      <c r="E258" s="1"/>
      <c r="F258" s="158">
        <f>SUM(F256:F257)</f>
        <v>0</v>
      </c>
    </row>
    <row r="259" spans="1:6" x14ac:dyDescent="0.3">
      <c r="A259" s="28"/>
      <c r="B259" s="29"/>
      <c r="C259" s="93"/>
      <c r="D259" s="161"/>
      <c r="E259" s="7"/>
      <c r="F259" s="161"/>
    </row>
    <row r="260" spans="1:6" x14ac:dyDescent="0.3">
      <c r="A260" s="7">
        <v>4</v>
      </c>
      <c r="B260" s="87" t="s">
        <v>218</v>
      </c>
      <c r="C260" s="132"/>
      <c r="D260" s="170"/>
      <c r="E260" s="88"/>
      <c r="F260" s="161"/>
    </row>
    <row r="261" spans="1:6" ht="27.6" x14ac:dyDescent="0.3">
      <c r="A261" s="56" t="s">
        <v>219</v>
      </c>
      <c r="B261" s="40" t="s">
        <v>220</v>
      </c>
      <c r="C261" s="96"/>
      <c r="D261" s="167"/>
      <c r="E261" s="37"/>
      <c r="F261" s="199"/>
    </row>
    <row r="262" spans="1:6" x14ac:dyDescent="0.3">
      <c r="A262" s="89" t="s">
        <v>221</v>
      </c>
      <c r="B262" s="90" t="s">
        <v>222</v>
      </c>
      <c r="C262" s="133" t="s">
        <v>25</v>
      </c>
      <c r="D262" s="171">
        <f>(18+24)*0.15*0.3</f>
        <v>1.89</v>
      </c>
      <c r="E262" s="5"/>
      <c r="F262" s="164">
        <f>E262*D262</f>
        <v>0</v>
      </c>
    </row>
    <row r="263" spans="1:6" x14ac:dyDescent="0.3">
      <c r="A263" s="89" t="s">
        <v>223</v>
      </c>
      <c r="B263" s="90" t="s">
        <v>224</v>
      </c>
      <c r="C263" s="133" t="s">
        <v>25</v>
      </c>
      <c r="D263" s="171">
        <f>(18+24)*0.15*0.05</f>
        <v>0.315</v>
      </c>
      <c r="E263" s="5"/>
      <c r="F263" s="164">
        <f>E263*D263</f>
        <v>0</v>
      </c>
    </row>
    <row r="264" spans="1:6" x14ac:dyDescent="0.3">
      <c r="A264" s="89" t="s">
        <v>225</v>
      </c>
      <c r="B264" s="90" t="s">
        <v>226</v>
      </c>
      <c r="C264" s="133" t="s">
        <v>25</v>
      </c>
      <c r="D264" s="171">
        <f>(18+24)*0.15*0.4</f>
        <v>2.52</v>
      </c>
      <c r="E264" s="5"/>
      <c r="F264" s="164">
        <f>E264*D264</f>
        <v>0</v>
      </c>
    </row>
    <row r="265" spans="1:6" x14ac:dyDescent="0.3">
      <c r="A265" s="89" t="s">
        <v>227</v>
      </c>
      <c r="B265" s="90" t="s">
        <v>228</v>
      </c>
      <c r="C265" s="133" t="s">
        <v>25</v>
      </c>
      <c r="D265" s="171">
        <f>(18+24)*1.1*0.07</f>
        <v>3.2340000000000004</v>
      </c>
      <c r="E265" s="5"/>
      <c r="F265" s="164">
        <f>E265*D265</f>
        <v>0</v>
      </c>
    </row>
    <row r="266" spans="1:6" ht="41.4" x14ac:dyDescent="0.3">
      <c r="A266" s="89" t="s">
        <v>231</v>
      </c>
      <c r="B266" s="41" t="s">
        <v>232</v>
      </c>
      <c r="C266" s="133" t="s">
        <v>84</v>
      </c>
      <c r="D266" s="171">
        <f>(18+24)+10</f>
        <v>52</v>
      </c>
      <c r="E266" s="5"/>
      <c r="F266" s="164">
        <f>E266*D266</f>
        <v>0</v>
      </c>
    </row>
    <row r="267" spans="1:6" ht="27.6" x14ac:dyDescent="0.3">
      <c r="A267" s="91"/>
      <c r="B267" s="27" t="s">
        <v>243</v>
      </c>
      <c r="C267" s="94"/>
      <c r="D267" s="158"/>
      <c r="E267" s="1"/>
      <c r="F267" s="156">
        <f>SUM(F262:F266)</f>
        <v>0</v>
      </c>
    </row>
    <row r="268" spans="1:6" ht="16.2" customHeight="1" x14ac:dyDescent="0.3">
      <c r="A268" s="7"/>
      <c r="B268" s="93"/>
      <c r="C268" s="134"/>
      <c r="D268" s="172"/>
      <c r="E268" s="5"/>
      <c r="F268" s="172"/>
    </row>
    <row r="269" spans="1:6" ht="16.2" customHeight="1" x14ac:dyDescent="0.3">
      <c r="A269" s="73"/>
      <c r="B269" s="58" t="s">
        <v>262</v>
      </c>
      <c r="C269" s="128"/>
      <c r="D269" s="160"/>
      <c r="E269" s="59"/>
      <c r="F269" s="160">
        <f>SUM(F157:F268)/2</f>
        <v>0</v>
      </c>
    </row>
    <row r="270" spans="1:6" ht="16.2" customHeight="1" x14ac:dyDescent="0.3">
      <c r="A270" s="7"/>
      <c r="B270" s="93"/>
      <c r="C270" s="134"/>
      <c r="D270" s="172"/>
      <c r="E270" s="5"/>
      <c r="F270" s="173"/>
    </row>
    <row r="271" spans="1:6" ht="16.2" customHeight="1" x14ac:dyDescent="0.3">
      <c r="A271" s="210" t="s">
        <v>263</v>
      </c>
      <c r="B271" s="210"/>
      <c r="C271" s="210"/>
      <c r="D271" s="210"/>
      <c r="E271" s="210"/>
      <c r="F271" s="210"/>
    </row>
    <row r="272" spans="1:6" ht="16.2" customHeight="1" x14ac:dyDescent="0.3">
      <c r="A272" s="28">
        <v>2</v>
      </c>
      <c r="B272" s="29" t="s">
        <v>16</v>
      </c>
      <c r="C272" s="93"/>
      <c r="D272" s="161"/>
      <c r="E272" s="7"/>
      <c r="F272" s="161"/>
    </row>
    <row r="273" spans="1:6" ht="16.2" customHeight="1" x14ac:dyDescent="0.3">
      <c r="A273" s="75" t="s">
        <v>17</v>
      </c>
      <c r="B273" s="30" t="s">
        <v>18</v>
      </c>
      <c r="C273" s="129"/>
      <c r="D273" s="162"/>
      <c r="E273" s="14"/>
      <c r="F273" s="162"/>
    </row>
    <row r="274" spans="1:6" ht="16.2" customHeight="1" x14ac:dyDescent="0.3">
      <c r="A274" s="76" t="s">
        <v>19</v>
      </c>
      <c r="B274" s="34" t="s">
        <v>20</v>
      </c>
      <c r="C274" s="98"/>
      <c r="D274" s="163"/>
      <c r="E274" s="8"/>
      <c r="F274" s="163"/>
    </row>
    <row r="275" spans="1:6" ht="16.2" customHeight="1" x14ac:dyDescent="0.3">
      <c r="A275" s="76" t="s">
        <v>21</v>
      </c>
      <c r="B275" s="34" t="s">
        <v>22</v>
      </c>
      <c r="C275" s="98"/>
      <c r="D275" s="163"/>
      <c r="E275" s="8"/>
      <c r="F275" s="163"/>
    </row>
    <row r="276" spans="1:6" ht="16.2" customHeight="1" x14ac:dyDescent="0.3">
      <c r="A276" s="80" t="s">
        <v>23</v>
      </c>
      <c r="B276" s="35" t="s">
        <v>365</v>
      </c>
      <c r="C276" s="61" t="s">
        <v>264</v>
      </c>
      <c r="D276" s="163">
        <f>(2.8+3)*2*0.4*1</f>
        <v>4.6399999999999997</v>
      </c>
      <c r="E276" s="8"/>
      <c r="F276" s="155">
        <f>E276*D276</f>
        <v>0</v>
      </c>
    </row>
    <row r="277" spans="1:6" ht="16.2" customHeight="1" x14ac:dyDescent="0.3">
      <c r="A277" s="76" t="s">
        <v>265</v>
      </c>
      <c r="B277" s="34" t="s">
        <v>266</v>
      </c>
      <c r="C277" s="98"/>
      <c r="D277" s="163"/>
      <c r="E277" s="8"/>
      <c r="F277" s="163"/>
    </row>
    <row r="278" spans="1:6" ht="16.2" customHeight="1" x14ac:dyDescent="0.3">
      <c r="A278" s="67" t="s">
        <v>267</v>
      </c>
      <c r="B278" s="43" t="s">
        <v>268</v>
      </c>
      <c r="C278" s="126" t="s">
        <v>25</v>
      </c>
      <c r="D278" s="168">
        <f>4.5*6*3</f>
        <v>81</v>
      </c>
      <c r="E278" s="19"/>
      <c r="F278" s="155">
        <f>E278*D278</f>
        <v>0</v>
      </c>
    </row>
    <row r="279" spans="1:6" ht="16.2" customHeight="1" x14ac:dyDescent="0.3">
      <c r="A279" s="77" t="s">
        <v>26</v>
      </c>
      <c r="B279" s="78" t="s">
        <v>27</v>
      </c>
      <c r="C279" s="126"/>
      <c r="D279" s="168"/>
      <c r="E279" s="19"/>
      <c r="F279" s="155"/>
    </row>
    <row r="280" spans="1:6" ht="16.2" customHeight="1" x14ac:dyDescent="0.3">
      <c r="A280" s="67" t="s">
        <v>28</v>
      </c>
      <c r="B280" s="43" t="s">
        <v>29</v>
      </c>
      <c r="C280" s="126" t="s">
        <v>25</v>
      </c>
      <c r="D280" s="168">
        <v>0.42</v>
      </c>
      <c r="E280" s="19"/>
      <c r="F280" s="155">
        <f>E280*D280</f>
        <v>0</v>
      </c>
    </row>
    <row r="281" spans="1:6" ht="16.2" customHeight="1" x14ac:dyDescent="0.3">
      <c r="A281" s="67" t="s">
        <v>30</v>
      </c>
      <c r="B281" s="78" t="s">
        <v>31</v>
      </c>
      <c r="C281" s="126"/>
      <c r="D281" s="168"/>
      <c r="E281" s="19"/>
      <c r="F281" s="155"/>
    </row>
    <row r="282" spans="1:6" ht="16.2" customHeight="1" x14ac:dyDescent="0.3">
      <c r="A282" s="80" t="s">
        <v>32</v>
      </c>
      <c r="B282" s="35" t="s">
        <v>33</v>
      </c>
      <c r="C282" s="126" t="s">
        <v>25</v>
      </c>
      <c r="D282" s="168">
        <v>4.41</v>
      </c>
      <c r="E282" s="19"/>
      <c r="F282" s="155">
        <f>E282*D282</f>
        <v>0</v>
      </c>
    </row>
    <row r="283" spans="1:6" ht="16.2" customHeight="1" x14ac:dyDescent="0.3">
      <c r="A283" s="80" t="s">
        <v>34</v>
      </c>
      <c r="B283" s="35" t="s">
        <v>366</v>
      </c>
      <c r="C283" s="126" t="s">
        <v>25</v>
      </c>
      <c r="D283" s="168">
        <f>21*3.5*0.4</f>
        <v>29.400000000000002</v>
      </c>
      <c r="E283" s="19"/>
      <c r="F283" s="155">
        <f>E283*D283</f>
        <v>0</v>
      </c>
    </row>
    <row r="284" spans="1:6" ht="16.2" customHeight="1" x14ac:dyDescent="0.3">
      <c r="A284" s="8" t="s">
        <v>36</v>
      </c>
      <c r="B284" s="79" t="s">
        <v>37</v>
      </c>
      <c r="C284" s="126"/>
      <c r="D284" s="168"/>
      <c r="E284" s="19"/>
      <c r="F284" s="155"/>
    </row>
    <row r="285" spans="1:6" ht="27.6" x14ac:dyDescent="0.3">
      <c r="A285" s="80" t="s">
        <v>38</v>
      </c>
      <c r="B285" s="35" t="s">
        <v>39</v>
      </c>
      <c r="C285" s="126" t="s">
        <v>25</v>
      </c>
      <c r="D285" s="168">
        <f>3.4*0.4*0.4*6</f>
        <v>3.2640000000000002</v>
      </c>
      <c r="E285" s="19"/>
      <c r="F285" s="155">
        <f>E285*D285</f>
        <v>0</v>
      </c>
    </row>
    <row r="286" spans="1:6" ht="27.6" x14ac:dyDescent="0.3">
      <c r="A286" s="80" t="s">
        <v>269</v>
      </c>
      <c r="B286" s="35" t="s">
        <v>270</v>
      </c>
      <c r="C286" s="126" t="s">
        <v>25</v>
      </c>
      <c r="D286" s="168">
        <v>3.84</v>
      </c>
      <c r="E286" s="19"/>
      <c r="F286" s="155">
        <f>E286*D286</f>
        <v>0</v>
      </c>
    </row>
    <row r="287" spans="1:6" ht="14.4" x14ac:dyDescent="0.3">
      <c r="A287" s="81" t="s">
        <v>367</v>
      </c>
      <c r="B287" s="86" t="s">
        <v>368</v>
      </c>
      <c r="C287" s="126"/>
      <c r="D287" s="168"/>
      <c r="E287" s="19"/>
      <c r="F287" s="155"/>
    </row>
    <row r="288" spans="1:6" ht="14.4" x14ac:dyDescent="0.3">
      <c r="A288" s="83" t="s">
        <v>369</v>
      </c>
      <c r="B288" s="43" t="s">
        <v>271</v>
      </c>
      <c r="C288" s="126" t="s">
        <v>25</v>
      </c>
      <c r="D288" s="168">
        <v>2.52</v>
      </c>
      <c r="E288" s="19"/>
      <c r="F288" s="155">
        <f>E288*D288</f>
        <v>0</v>
      </c>
    </row>
    <row r="289" spans="1:6" ht="14.4" x14ac:dyDescent="0.3">
      <c r="A289" s="83" t="s">
        <v>370</v>
      </c>
      <c r="B289" s="43" t="s">
        <v>272</v>
      </c>
      <c r="C289" s="126" t="s">
        <v>25</v>
      </c>
      <c r="D289" s="168">
        <v>0.63</v>
      </c>
      <c r="E289" s="19"/>
      <c r="F289" s="155">
        <f>E289*D289</f>
        <v>0</v>
      </c>
    </row>
    <row r="290" spans="1:6" ht="14.4" x14ac:dyDescent="0.3">
      <c r="A290" s="81" t="s">
        <v>273</v>
      </c>
      <c r="B290" s="86" t="s">
        <v>274</v>
      </c>
      <c r="C290" s="126"/>
      <c r="D290" s="168"/>
      <c r="E290" s="19"/>
      <c r="F290" s="155"/>
    </row>
    <row r="291" spans="1:6" ht="14.4" x14ac:dyDescent="0.3">
      <c r="A291" s="83" t="s">
        <v>275</v>
      </c>
      <c r="B291" s="43" t="s">
        <v>371</v>
      </c>
      <c r="C291" s="126" t="s">
        <v>25</v>
      </c>
      <c r="D291" s="168">
        <f>4.5*6*0.12</f>
        <v>3.2399999999999998</v>
      </c>
      <c r="E291" s="19"/>
      <c r="F291" s="155">
        <f>E291*D291</f>
        <v>0</v>
      </c>
    </row>
    <row r="292" spans="1:6" ht="27.6" x14ac:dyDescent="0.3">
      <c r="A292" s="67" t="s">
        <v>46</v>
      </c>
      <c r="B292" s="35" t="s">
        <v>47</v>
      </c>
      <c r="C292" s="126" t="s">
        <v>25</v>
      </c>
      <c r="D292" s="168">
        <f>(0.4*1.8*1.15)</f>
        <v>0.82800000000000007</v>
      </c>
      <c r="E292" s="19"/>
      <c r="F292" s="155">
        <f>E292*D292</f>
        <v>0</v>
      </c>
    </row>
    <row r="293" spans="1:6" ht="16.2" customHeight="1" x14ac:dyDescent="0.3">
      <c r="A293" s="26"/>
      <c r="B293" s="27" t="s">
        <v>48</v>
      </c>
      <c r="C293" s="94"/>
      <c r="D293" s="158"/>
      <c r="E293" s="1"/>
      <c r="F293" s="158">
        <f>SUM(F276:F292)</f>
        <v>0</v>
      </c>
    </row>
    <row r="294" spans="1:6" ht="16.2" customHeight="1" x14ac:dyDescent="0.3">
      <c r="A294" s="7"/>
      <c r="B294" s="93"/>
      <c r="C294" s="134"/>
      <c r="D294" s="172"/>
      <c r="E294" s="5"/>
      <c r="F294" s="173"/>
    </row>
    <row r="295" spans="1:6" ht="16.2" customHeight="1" x14ac:dyDescent="0.3">
      <c r="A295" s="75" t="s">
        <v>49</v>
      </c>
      <c r="B295" s="30" t="s">
        <v>50</v>
      </c>
      <c r="C295" s="129"/>
      <c r="D295" s="178"/>
      <c r="E295" s="97"/>
      <c r="F295" s="178"/>
    </row>
    <row r="296" spans="1:6" ht="16.2" customHeight="1" x14ac:dyDescent="0.3">
      <c r="A296" s="80" t="s">
        <v>51</v>
      </c>
      <c r="B296" s="79" t="s">
        <v>52</v>
      </c>
      <c r="C296" s="61"/>
      <c r="D296" s="169"/>
      <c r="E296" s="2"/>
      <c r="F296" s="169"/>
    </row>
    <row r="297" spans="1:6" ht="16.2" customHeight="1" x14ac:dyDescent="0.3">
      <c r="A297" s="80" t="s">
        <v>53</v>
      </c>
      <c r="B297" s="35" t="s">
        <v>54</v>
      </c>
      <c r="C297" s="61" t="s">
        <v>12</v>
      </c>
      <c r="D297" s="169">
        <v>222.24</v>
      </c>
      <c r="E297" s="6"/>
      <c r="F297" s="171">
        <f>+E297*D297</f>
        <v>0</v>
      </c>
    </row>
    <row r="298" spans="1:6" ht="16.2" customHeight="1" x14ac:dyDescent="0.3">
      <c r="A298" s="80" t="s">
        <v>276</v>
      </c>
      <c r="B298" s="35" t="s">
        <v>277</v>
      </c>
      <c r="C298" s="61" t="s">
        <v>12</v>
      </c>
      <c r="D298" s="169">
        <v>2.4</v>
      </c>
      <c r="E298" s="6"/>
      <c r="F298" s="171">
        <f>+E298*D298</f>
        <v>0</v>
      </c>
    </row>
    <row r="299" spans="1:6" ht="16.2" customHeight="1" x14ac:dyDescent="0.3">
      <c r="A299" s="8" t="s">
        <v>59</v>
      </c>
      <c r="B299" s="34" t="s">
        <v>37</v>
      </c>
      <c r="C299" s="61"/>
      <c r="D299" s="172"/>
      <c r="E299" s="6"/>
      <c r="F299" s="171"/>
    </row>
    <row r="300" spans="1:6" ht="16.2" customHeight="1" x14ac:dyDescent="0.3">
      <c r="A300" s="8" t="s">
        <v>60</v>
      </c>
      <c r="B300" s="34" t="s">
        <v>61</v>
      </c>
      <c r="C300" s="61"/>
      <c r="D300" s="172"/>
      <c r="E300" s="6"/>
      <c r="F300" s="171"/>
    </row>
    <row r="301" spans="1:6" ht="27.6" x14ac:dyDescent="0.3">
      <c r="A301" s="80" t="s">
        <v>62</v>
      </c>
      <c r="B301" s="35" t="s">
        <v>63</v>
      </c>
      <c r="C301" s="61" t="s">
        <v>25</v>
      </c>
      <c r="D301" s="172">
        <f>0.15*0.2*2.6*9</f>
        <v>0.70199999999999996</v>
      </c>
      <c r="E301" s="6"/>
      <c r="F301" s="171">
        <f>+E301*D301</f>
        <v>0</v>
      </c>
    </row>
    <row r="302" spans="1:6" ht="16.2" customHeight="1" x14ac:dyDescent="0.3">
      <c r="A302" s="8" t="s">
        <v>64</v>
      </c>
      <c r="B302" s="79" t="s">
        <v>65</v>
      </c>
      <c r="C302" s="61"/>
      <c r="D302" s="172"/>
      <c r="E302" s="6"/>
      <c r="F302" s="171"/>
    </row>
    <row r="303" spans="1:6" ht="27.6" x14ac:dyDescent="0.3">
      <c r="A303" s="80" t="s">
        <v>66</v>
      </c>
      <c r="B303" s="35" t="s">
        <v>372</v>
      </c>
      <c r="C303" s="61" t="s">
        <v>25</v>
      </c>
      <c r="D303" s="172">
        <f>40*0.15*0.2</f>
        <v>1.2000000000000002</v>
      </c>
      <c r="E303" s="6"/>
      <c r="F303" s="171">
        <f>+E303*D303</f>
        <v>0</v>
      </c>
    </row>
    <row r="304" spans="1:6" ht="27.6" x14ac:dyDescent="0.3">
      <c r="A304" s="80" t="s">
        <v>68</v>
      </c>
      <c r="B304" s="35" t="s">
        <v>69</v>
      </c>
      <c r="C304" s="61" t="s">
        <v>25</v>
      </c>
      <c r="D304" s="172">
        <f>17*0.15*0.2</f>
        <v>0.51</v>
      </c>
      <c r="E304" s="6"/>
      <c r="F304" s="171">
        <f>+E304*D304</f>
        <v>0</v>
      </c>
    </row>
    <row r="305" spans="1:6" ht="16.2" customHeight="1" x14ac:dyDescent="0.3">
      <c r="A305" s="1"/>
      <c r="B305" s="94" t="s">
        <v>248</v>
      </c>
      <c r="C305" s="135"/>
      <c r="D305" s="176"/>
      <c r="E305" s="95"/>
      <c r="F305" s="176">
        <f>+SUM(F297:F304)</f>
        <v>0</v>
      </c>
    </row>
    <row r="306" spans="1:6" ht="16.2" customHeight="1" x14ac:dyDescent="0.3">
      <c r="A306" s="7"/>
      <c r="B306" s="93"/>
      <c r="C306" s="134"/>
      <c r="D306" s="172"/>
      <c r="E306" s="5"/>
      <c r="F306" s="173"/>
    </row>
    <row r="307" spans="1:6" ht="16.2" customHeight="1" x14ac:dyDescent="0.3">
      <c r="A307" s="56" t="s">
        <v>72</v>
      </c>
      <c r="B307" s="36" t="s">
        <v>73</v>
      </c>
      <c r="C307" s="96"/>
      <c r="D307" s="167"/>
      <c r="E307" s="37"/>
      <c r="F307" s="167"/>
    </row>
    <row r="308" spans="1:6" ht="16.2" customHeight="1" x14ac:dyDescent="0.3">
      <c r="A308" s="76" t="s">
        <v>74</v>
      </c>
      <c r="B308" s="34" t="s">
        <v>75</v>
      </c>
      <c r="C308" s="93"/>
      <c r="D308" s="161"/>
      <c r="E308" s="7"/>
      <c r="F308" s="161"/>
    </row>
    <row r="309" spans="1:6" ht="27.6" x14ac:dyDescent="0.3">
      <c r="A309" s="80" t="s">
        <v>76</v>
      </c>
      <c r="B309" s="35" t="s">
        <v>77</v>
      </c>
      <c r="C309" s="61" t="s">
        <v>25</v>
      </c>
      <c r="D309" s="168">
        <f>(((3.24*2)+(1.45*2)+(0.66*2)+5.87+1.37)*0.15*0.07)*3</f>
        <v>0.56511000000000011</v>
      </c>
      <c r="E309" s="2"/>
      <c r="F309" s="164">
        <f>E309*D309</f>
        <v>0</v>
      </c>
    </row>
    <row r="310" spans="1:6" ht="16.2" customHeight="1" x14ac:dyDescent="0.3">
      <c r="A310" s="80" t="s">
        <v>78</v>
      </c>
      <c r="B310" s="35" t="s">
        <v>79</v>
      </c>
      <c r="C310" s="61" t="s">
        <v>25</v>
      </c>
      <c r="D310" s="168">
        <f>(0.07*0.07*7.2)*10</f>
        <v>0.35280000000000006</v>
      </c>
      <c r="E310" s="2"/>
      <c r="F310" s="164">
        <f>E310*D310</f>
        <v>0</v>
      </c>
    </row>
    <row r="311" spans="1:6" ht="27.6" x14ac:dyDescent="0.3">
      <c r="A311" s="80" t="s">
        <v>80</v>
      </c>
      <c r="B311" s="35" t="s">
        <v>81</v>
      </c>
      <c r="C311" s="61" t="s">
        <v>12</v>
      </c>
      <c r="D311" s="168">
        <f>(3.24*7.2*2)</f>
        <v>46.656000000000006</v>
      </c>
      <c r="E311" s="2"/>
      <c r="F311" s="164">
        <f>E311*D311</f>
        <v>0</v>
      </c>
    </row>
    <row r="312" spans="1:6" ht="16.2" customHeight="1" x14ac:dyDescent="0.3">
      <c r="A312" s="80" t="s">
        <v>82</v>
      </c>
      <c r="B312" s="35" t="s">
        <v>83</v>
      </c>
      <c r="C312" s="61" t="s">
        <v>84</v>
      </c>
      <c r="D312" s="168">
        <v>7.2</v>
      </c>
      <c r="E312" s="2"/>
      <c r="F312" s="164">
        <f>E312*D312</f>
        <v>0</v>
      </c>
    </row>
    <row r="313" spans="1:6" ht="16.2" customHeight="1" x14ac:dyDescent="0.3">
      <c r="A313" s="80" t="s">
        <v>85</v>
      </c>
      <c r="B313" s="35" t="s">
        <v>86</v>
      </c>
      <c r="C313" s="61" t="s">
        <v>84</v>
      </c>
      <c r="D313" s="168">
        <f>(7.2*2)+(3.24*4)</f>
        <v>27.36</v>
      </c>
      <c r="E313" s="2"/>
      <c r="F313" s="164">
        <f>E313*D313</f>
        <v>0</v>
      </c>
    </row>
    <row r="314" spans="1:6" ht="16.2" customHeight="1" x14ac:dyDescent="0.3">
      <c r="A314" s="26"/>
      <c r="B314" s="27" t="s">
        <v>89</v>
      </c>
      <c r="C314" s="94"/>
      <c r="D314" s="158"/>
      <c r="E314" s="1"/>
      <c r="F314" s="158">
        <f>SUM(F309:F313)</f>
        <v>0</v>
      </c>
    </row>
    <row r="315" spans="1:6" ht="16.2" customHeight="1" x14ac:dyDescent="0.3">
      <c r="A315" s="7"/>
      <c r="B315" s="93"/>
      <c r="C315" s="134"/>
      <c r="D315" s="172"/>
      <c r="E315" s="5"/>
      <c r="F315" s="173"/>
    </row>
    <row r="316" spans="1:6" ht="16.2" customHeight="1" x14ac:dyDescent="0.3">
      <c r="A316" s="28">
        <v>3</v>
      </c>
      <c r="B316" s="29" t="s">
        <v>90</v>
      </c>
      <c r="C316" s="93"/>
      <c r="D316" s="161"/>
      <c r="E316" s="7"/>
      <c r="F316" s="161"/>
    </row>
    <row r="317" spans="1:6" ht="16.2" customHeight="1" x14ac:dyDescent="0.3">
      <c r="A317" s="37" t="s">
        <v>91</v>
      </c>
      <c r="B317" s="96" t="s">
        <v>249</v>
      </c>
      <c r="C317" s="136"/>
      <c r="D317" s="178"/>
      <c r="E317" s="97"/>
      <c r="F317" s="178"/>
    </row>
    <row r="318" spans="1:6" ht="16.2" customHeight="1" x14ac:dyDescent="0.3">
      <c r="A318" s="8" t="s">
        <v>93</v>
      </c>
      <c r="B318" s="98" t="s">
        <v>250</v>
      </c>
      <c r="C318" s="61"/>
      <c r="D318" s="169"/>
      <c r="E318" s="2"/>
      <c r="F318" s="169"/>
    </row>
    <row r="319" spans="1:6" ht="16.2" customHeight="1" x14ac:dyDescent="0.3">
      <c r="A319" s="80" t="s">
        <v>104</v>
      </c>
      <c r="B319" s="35" t="s">
        <v>105</v>
      </c>
      <c r="C319" s="61" t="s">
        <v>97</v>
      </c>
      <c r="D319" s="168">
        <v>6</v>
      </c>
      <c r="E319" s="9"/>
      <c r="F319" s="164">
        <f>E319*D319</f>
        <v>0</v>
      </c>
    </row>
    <row r="320" spans="1:6" ht="16.2" customHeight="1" x14ac:dyDescent="0.3">
      <c r="A320" s="80" t="s">
        <v>278</v>
      </c>
      <c r="B320" s="35" t="s">
        <v>279</v>
      </c>
      <c r="C320" s="61" t="s">
        <v>97</v>
      </c>
      <c r="D320" s="168">
        <v>1</v>
      </c>
      <c r="E320" s="2"/>
      <c r="F320" s="164">
        <f>E320*D320</f>
        <v>0</v>
      </c>
    </row>
    <row r="321" spans="1:6" ht="16.2" customHeight="1" x14ac:dyDescent="0.3">
      <c r="A321" s="80" t="s">
        <v>124</v>
      </c>
      <c r="B321" s="35" t="s">
        <v>125</v>
      </c>
      <c r="C321" s="61" t="s">
        <v>84</v>
      </c>
      <c r="D321" s="168">
        <v>4.8499999999999996</v>
      </c>
      <c r="E321" s="2"/>
      <c r="F321" s="164">
        <f>E321*D321</f>
        <v>0</v>
      </c>
    </row>
    <row r="322" spans="1:6" ht="16.2" customHeight="1" x14ac:dyDescent="0.3">
      <c r="A322" s="26"/>
      <c r="B322" s="27" t="s">
        <v>126</v>
      </c>
      <c r="C322" s="94"/>
      <c r="D322" s="158"/>
      <c r="E322" s="1"/>
      <c r="F322" s="158">
        <f>SUM(F319:F321)</f>
        <v>0</v>
      </c>
    </row>
    <row r="323" spans="1:6" ht="16.2" customHeight="1" x14ac:dyDescent="0.3">
      <c r="A323" s="7"/>
      <c r="B323" s="93"/>
      <c r="C323" s="134"/>
      <c r="D323" s="172"/>
      <c r="E323" s="5"/>
      <c r="F323" s="173"/>
    </row>
    <row r="324" spans="1:6" ht="16.2" customHeight="1" x14ac:dyDescent="0.3">
      <c r="A324" s="56" t="s">
        <v>127</v>
      </c>
      <c r="B324" s="36" t="s">
        <v>128</v>
      </c>
      <c r="C324" s="40"/>
      <c r="D324" s="178"/>
      <c r="E324" s="97"/>
      <c r="F324" s="178"/>
    </row>
    <row r="325" spans="1:6" ht="27.6" x14ac:dyDescent="0.3">
      <c r="A325" s="83" t="s">
        <v>129</v>
      </c>
      <c r="B325" s="35" t="s">
        <v>130</v>
      </c>
      <c r="C325" s="61" t="s">
        <v>12</v>
      </c>
      <c r="D325" s="169">
        <v>128.24</v>
      </c>
      <c r="E325" s="2"/>
      <c r="F325" s="171">
        <f>+E325*D325</f>
        <v>0</v>
      </c>
    </row>
    <row r="326" spans="1:6" ht="27.6" x14ac:dyDescent="0.3">
      <c r="A326" s="80" t="s">
        <v>131</v>
      </c>
      <c r="B326" s="35" t="s">
        <v>280</v>
      </c>
      <c r="C326" s="61" t="s">
        <v>12</v>
      </c>
      <c r="D326" s="169">
        <f>(10*3*0.2)+(22*0.2)</f>
        <v>10.4</v>
      </c>
      <c r="E326" s="2"/>
      <c r="F326" s="171">
        <f>+E326*D326</f>
        <v>0</v>
      </c>
    </row>
    <row r="327" spans="1:6" x14ac:dyDescent="0.3">
      <c r="A327" s="80" t="s">
        <v>132</v>
      </c>
      <c r="B327" s="35" t="s">
        <v>133</v>
      </c>
      <c r="C327" s="61" t="s">
        <v>12</v>
      </c>
      <c r="D327" s="169">
        <f>22*1</f>
        <v>22</v>
      </c>
      <c r="E327" s="2"/>
      <c r="F327" s="171">
        <f>+E327*D327</f>
        <v>0</v>
      </c>
    </row>
    <row r="328" spans="1:6" ht="27.6" x14ac:dyDescent="0.3">
      <c r="A328" s="80" t="s">
        <v>134</v>
      </c>
      <c r="B328" s="35" t="s">
        <v>281</v>
      </c>
      <c r="C328" s="61" t="s">
        <v>12</v>
      </c>
      <c r="D328" s="169">
        <v>98.16</v>
      </c>
      <c r="E328" s="2"/>
      <c r="F328" s="171">
        <f>+E328*D328</f>
        <v>0</v>
      </c>
    </row>
    <row r="329" spans="1:6" ht="27.6" x14ac:dyDescent="0.3">
      <c r="A329" s="80" t="s">
        <v>136</v>
      </c>
      <c r="B329" s="35" t="s">
        <v>282</v>
      </c>
      <c r="C329" s="61" t="s">
        <v>12</v>
      </c>
      <c r="D329" s="169">
        <f>5.5*4.16</f>
        <v>22.880000000000003</v>
      </c>
      <c r="E329" s="2"/>
      <c r="F329" s="171">
        <f>+E329*D329</f>
        <v>0</v>
      </c>
    </row>
    <row r="330" spans="1:6" ht="16.2" customHeight="1" x14ac:dyDescent="0.3">
      <c r="A330" s="26"/>
      <c r="B330" s="27" t="s">
        <v>139</v>
      </c>
      <c r="C330" s="94" t="s">
        <v>140</v>
      </c>
      <c r="D330" s="158"/>
      <c r="E330" s="1"/>
      <c r="F330" s="158">
        <f>SUM(F325:F329)</f>
        <v>0</v>
      </c>
    </row>
    <row r="331" spans="1:6" ht="16.2" customHeight="1" x14ac:dyDescent="0.3">
      <c r="A331" s="7"/>
      <c r="B331" s="93"/>
      <c r="C331" s="134"/>
      <c r="D331" s="172"/>
      <c r="E331" s="5"/>
      <c r="F331" s="173"/>
    </row>
    <row r="332" spans="1:6" ht="16.2" customHeight="1" x14ac:dyDescent="0.3">
      <c r="A332" s="56" t="s">
        <v>141</v>
      </c>
      <c r="B332" s="40" t="s">
        <v>142</v>
      </c>
      <c r="C332" s="96"/>
      <c r="D332" s="167"/>
      <c r="E332" s="37"/>
      <c r="F332" s="167"/>
    </row>
    <row r="333" spans="1:6" ht="16.2" customHeight="1" x14ac:dyDescent="0.3">
      <c r="A333" s="76" t="s">
        <v>143</v>
      </c>
      <c r="B333" s="57" t="s">
        <v>144</v>
      </c>
      <c r="C333" s="98"/>
      <c r="D333" s="163"/>
      <c r="E333" s="5"/>
      <c r="F333" s="172"/>
    </row>
    <row r="334" spans="1:6" ht="16.2" customHeight="1" x14ac:dyDescent="0.3">
      <c r="A334" s="83" t="s">
        <v>145</v>
      </c>
      <c r="B334" s="55" t="s">
        <v>283</v>
      </c>
      <c r="C334" s="61" t="s">
        <v>97</v>
      </c>
      <c r="D334" s="168">
        <v>1</v>
      </c>
      <c r="E334" s="5"/>
      <c r="F334" s="171">
        <f t="shared" ref="F334:F340" si="11">+E334*D334</f>
        <v>0</v>
      </c>
    </row>
    <row r="335" spans="1:6" ht="16.2" customHeight="1" x14ac:dyDescent="0.3">
      <c r="A335" s="83" t="s">
        <v>147</v>
      </c>
      <c r="B335" s="41" t="s">
        <v>373</v>
      </c>
      <c r="C335" s="130" t="s">
        <v>97</v>
      </c>
      <c r="D335" s="168">
        <v>9</v>
      </c>
      <c r="E335" s="5"/>
      <c r="F335" s="171">
        <f t="shared" si="11"/>
        <v>0</v>
      </c>
    </row>
    <row r="336" spans="1:6" ht="16.2" customHeight="1" x14ac:dyDescent="0.3">
      <c r="A336" s="83" t="s">
        <v>149</v>
      </c>
      <c r="B336" s="41" t="s">
        <v>150</v>
      </c>
      <c r="C336" s="130" t="s">
        <v>84</v>
      </c>
      <c r="D336" s="168">
        <v>100</v>
      </c>
      <c r="E336" s="5"/>
      <c r="F336" s="171">
        <f t="shared" si="11"/>
        <v>0</v>
      </c>
    </row>
    <row r="337" spans="1:6" ht="16.2" customHeight="1" x14ac:dyDescent="0.3">
      <c r="A337" s="83" t="s">
        <v>151</v>
      </c>
      <c r="B337" s="41" t="s">
        <v>152</v>
      </c>
      <c r="C337" s="130" t="s">
        <v>84</v>
      </c>
      <c r="D337" s="168">
        <v>60</v>
      </c>
      <c r="E337" s="5"/>
      <c r="F337" s="171">
        <f t="shared" si="11"/>
        <v>0</v>
      </c>
    </row>
    <row r="338" spans="1:6" ht="16.2" customHeight="1" x14ac:dyDescent="0.3">
      <c r="A338" s="83" t="s">
        <v>155</v>
      </c>
      <c r="B338" s="41" t="s">
        <v>156</v>
      </c>
      <c r="C338" s="130" t="s">
        <v>97</v>
      </c>
      <c r="D338" s="168">
        <v>4</v>
      </c>
      <c r="E338" s="5"/>
      <c r="F338" s="171">
        <f t="shared" si="11"/>
        <v>0</v>
      </c>
    </row>
    <row r="339" spans="1:6" ht="16.2" customHeight="1" x14ac:dyDescent="0.3">
      <c r="A339" s="83" t="s">
        <v>157</v>
      </c>
      <c r="B339" s="41" t="s">
        <v>158</v>
      </c>
      <c r="C339" s="130" t="s">
        <v>97</v>
      </c>
      <c r="D339" s="168">
        <v>2</v>
      </c>
      <c r="E339" s="5"/>
      <c r="F339" s="171">
        <f t="shared" si="11"/>
        <v>0</v>
      </c>
    </row>
    <row r="340" spans="1:6" ht="16.2" customHeight="1" x14ac:dyDescent="0.3">
      <c r="A340" s="83" t="s">
        <v>284</v>
      </c>
      <c r="B340" s="41" t="s">
        <v>255</v>
      </c>
      <c r="C340" s="130" t="s">
        <v>84</v>
      </c>
      <c r="D340" s="168">
        <v>20</v>
      </c>
      <c r="E340" s="5"/>
      <c r="F340" s="171">
        <f t="shared" si="11"/>
        <v>0</v>
      </c>
    </row>
    <row r="341" spans="1:6" ht="16.2" customHeight="1" x14ac:dyDescent="0.3">
      <c r="A341" s="26"/>
      <c r="B341" s="27" t="s">
        <v>163</v>
      </c>
      <c r="C341" s="94" t="s">
        <v>140</v>
      </c>
      <c r="D341" s="158"/>
      <c r="E341" s="1"/>
      <c r="F341" s="158">
        <f>SUM(F335:F340)</f>
        <v>0</v>
      </c>
    </row>
    <row r="342" spans="1:6" ht="16.2" customHeight="1" x14ac:dyDescent="0.3">
      <c r="A342" s="28"/>
      <c r="B342" s="29"/>
      <c r="C342" s="93"/>
      <c r="D342" s="161"/>
      <c r="E342" s="7"/>
      <c r="F342" s="161"/>
    </row>
    <row r="343" spans="1:6" ht="16.2" customHeight="1" x14ac:dyDescent="0.3">
      <c r="A343" s="56" t="s">
        <v>164</v>
      </c>
      <c r="B343" s="36" t="s">
        <v>165</v>
      </c>
      <c r="C343" s="96"/>
      <c r="D343" s="167"/>
      <c r="E343" s="10"/>
      <c r="F343" s="177"/>
    </row>
    <row r="344" spans="1:6" ht="16.2" customHeight="1" x14ac:dyDescent="0.3">
      <c r="A344" s="80" t="s">
        <v>166</v>
      </c>
      <c r="B344" s="55" t="s">
        <v>167</v>
      </c>
      <c r="C344" s="61" t="s">
        <v>168</v>
      </c>
      <c r="D344" s="168">
        <v>1</v>
      </c>
      <c r="E344" s="5"/>
      <c r="F344" s="171">
        <f t="shared" ref="F344:F361" si="12">+E344*D344</f>
        <v>0</v>
      </c>
    </row>
    <row r="345" spans="1:6" ht="16.2" customHeight="1" x14ac:dyDescent="0.3">
      <c r="A345" s="80" t="s">
        <v>169</v>
      </c>
      <c r="B345" s="55" t="s">
        <v>170</v>
      </c>
      <c r="C345" s="61" t="s">
        <v>97</v>
      </c>
      <c r="D345" s="168">
        <v>3</v>
      </c>
      <c r="E345" s="5"/>
      <c r="F345" s="171">
        <f t="shared" si="12"/>
        <v>0</v>
      </c>
    </row>
    <row r="346" spans="1:6" ht="16.2" customHeight="1" x14ac:dyDescent="0.3">
      <c r="A346" s="80" t="s">
        <v>174</v>
      </c>
      <c r="B346" s="55" t="s">
        <v>175</v>
      </c>
      <c r="C346" s="61" t="s">
        <v>97</v>
      </c>
      <c r="D346" s="168">
        <v>3</v>
      </c>
      <c r="E346" s="5"/>
      <c r="F346" s="171">
        <f t="shared" si="12"/>
        <v>0</v>
      </c>
    </row>
    <row r="347" spans="1:6" x14ac:dyDescent="0.3">
      <c r="A347" s="80" t="s">
        <v>176</v>
      </c>
      <c r="B347" s="55" t="s">
        <v>256</v>
      </c>
      <c r="C347" s="61" t="s">
        <v>97</v>
      </c>
      <c r="D347" s="168">
        <v>6</v>
      </c>
      <c r="E347" s="5"/>
      <c r="F347" s="171">
        <f t="shared" si="12"/>
        <v>0</v>
      </c>
    </row>
    <row r="348" spans="1:6" ht="16.2" customHeight="1" x14ac:dyDescent="0.3">
      <c r="A348" s="80" t="s">
        <v>180</v>
      </c>
      <c r="B348" s="55" t="s">
        <v>181</v>
      </c>
      <c r="C348" s="61" t="s">
        <v>97</v>
      </c>
      <c r="D348" s="168">
        <v>5</v>
      </c>
      <c r="E348" s="5"/>
      <c r="F348" s="171">
        <f t="shared" si="12"/>
        <v>0</v>
      </c>
    </row>
    <row r="349" spans="1:6" ht="16.2" customHeight="1" x14ac:dyDescent="0.3">
      <c r="A349" s="80" t="s">
        <v>182</v>
      </c>
      <c r="B349" s="55" t="s">
        <v>183</v>
      </c>
      <c r="C349" s="61" t="s">
        <v>97</v>
      </c>
      <c r="D349" s="168">
        <v>5</v>
      </c>
      <c r="E349" s="5"/>
      <c r="F349" s="171">
        <f t="shared" si="12"/>
        <v>0</v>
      </c>
    </row>
    <row r="350" spans="1:6" ht="16.2" customHeight="1" x14ac:dyDescent="0.3">
      <c r="A350" s="80" t="s">
        <v>184</v>
      </c>
      <c r="B350" s="55" t="s">
        <v>185</v>
      </c>
      <c r="C350" s="61" t="s">
        <v>97</v>
      </c>
      <c r="D350" s="168">
        <v>3</v>
      </c>
      <c r="E350" s="5"/>
      <c r="F350" s="171">
        <f t="shared" si="12"/>
        <v>0</v>
      </c>
    </row>
    <row r="351" spans="1:6" ht="16.2" customHeight="1" x14ac:dyDescent="0.3">
      <c r="A351" s="80" t="s">
        <v>186</v>
      </c>
      <c r="B351" s="55" t="s">
        <v>187</v>
      </c>
      <c r="C351" s="61" t="s">
        <v>97</v>
      </c>
      <c r="D351" s="168">
        <v>3</v>
      </c>
      <c r="E351" s="5"/>
      <c r="F351" s="171">
        <f t="shared" si="12"/>
        <v>0</v>
      </c>
    </row>
    <row r="352" spans="1:6" ht="27.6" x14ac:dyDescent="0.3">
      <c r="A352" s="80" t="s">
        <v>188</v>
      </c>
      <c r="B352" s="55" t="s">
        <v>189</v>
      </c>
      <c r="C352" s="61" t="s">
        <v>168</v>
      </c>
      <c r="D352" s="168">
        <v>1</v>
      </c>
      <c r="E352" s="5"/>
      <c r="F352" s="171">
        <f t="shared" si="12"/>
        <v>0</v>
      </c>
    </row>
    <row r="353" spans="1:6" ht="27.6" x14ac:dyDescent="0.3">
      <c r="A353" s="80" t="s">
        <v>190</v>
      </c>
      <c r="B353" s="55" t="s">
        <v>257</v>
      </c>
      <c r="C353" s="61" t="s">
        <v>97</v>
      </c>
      <c r="D353" s="168">
        <v>3</v>
      </c>
      <c r="E353" s="5"/>
      <c r="F353" s="171">
        <f t="shared" si="12"/>
        <v>0</v>
      </c>
    </row>
    <row r="354" spans="1:6" ht="16.2" customHeight="1" x14ac:dyDescent="0.3">
      <c r="A354" s="80" t="s">
        <v>192</v>
      </c>
      <c r="B354" s="55" t="s">
        <v>193</v>
      </c>
      <c r="C354" s="61" t="s">
        <v>84</v>
      </c>
      <c r="D354" s="168">
        <v>11</v>
      </c>
      <c r="E354" s="5"/>
      <c r="F354" s="171">
        <f t="shared" si="12"/>
        <v>0</v>
      </c>
    </row>
    <row r="355" spans="1:6" ht="16.2" customHeight="1" x14ac:dyDescent="0.3">
      <c r="A355" s="80" t="s">
        <v>194</v>
      </c>
      <c r="B355" s="55" t="s">
        <v>195</v>
      </c>
      <c r="C355" s="61" t="s">
        <v>84</v>
      </c>
      <c r="D355" s="168">
        <v>8</v>
      </c>
      <c r="E355" s="5"/>
      <c r="F355" s="171">
        <f t="shared" si="12"/>
        <v>0</v>
      </c>
    </row>
    <row r="356" spans="1:6" ht="16.2" customHeight="1" x14ac:dyDescent="0.3">
      <c r="A356" s="83" t="s">
        <v>360</v>
      </c>
      <c r="B356" s="86" t="s">
        <v>196</v>
      </c>
      <c r="C356" s="61"/>
      <c r="D356" s="168"/>
      <c r="E356" s="5"/>
      <c r="F356" s="171"/>
    </row>
    <row r="357" spans="1:6" ht="16.2" customHeight="1" x14ac:dyDescent="0.3">
      <c r="A357" s="83" t="s">
        <v>197</v>
      </c>
      <c r="B357" s="42" t="s">
        <v>198</v>
      </c>
      <c r="C357" s="131" t="s">
        <v>7</v>
      </c>
      <c r="D357" s="152">
        <v>1</v>
      </c>
      <c r="E357" s="5"/>
      <c r="F357" s="171">
        <f t="shared" si="12"/>
        <v>0</v>
      </c>
    </row>
    <row r="358" spans="1:6" ht="27.6" x14ac:dyDescent="0.3">
      <c r="A358" s="80" t="s">
        <v>199</v>
      </c>
      <c r="B358" s="41" t="s">
        <v>200</v>
      </c>
      <c r="C358" s="131" t="s">
        <v>97</v>
      </c>
      <c r="D358" s="152">
        <v>2</v>
      </c>
      <c r="E358" s="2"/>
      <c r="F358" s="171">
        <f t="shared" si="12"/>
        <v>0</v>
      </c>
    </row>
    <row r="359" spans="1:6" x14ac:dyDescent="0.3">
      <c r="A359" s="80" t="s">
        <v>285</v>
      </c>
      <c r="B359" s="55" t="s">
        <v>286</v>
      </c>
      <c r="C359" s="131" t="s">
        <v>97</v>
      </c>
      <c r="D359" s="152">
        <v>2</v>
      </c>
      <c r="E359" s="2"/>
      <c r="F359" s="171">
        <f t="shared" si="12"/>
        <v>0</v>
      </c>
    </row>
    <row r="360" spans="1:6" x14ac:dyDescent="0.3">
      <c r="A360" s="80" t="s">
        <v>287</v>
      </c>
      <c r="B360" s="55" t="s">
        <v>374</v>
      </c>
      <c r="C360" s="131" t="s">
        <v>97</v>
      </c>
      <c r="D360" s="152">
        <v>1</v>
      </c>
      <c r="E360" s="2"/>
      <c r="F360" s="171">
        <f t="shared" si="12"/>
        <v>0</v>
      </c>
    </row>
    <row r="361" spans="1:6" ht="27.6" x14ac:dyDescent="0.3">
      <c r="A361" s="80" t="s">
        <v>288</v>
      </c>
      <c r="B361" s="55" t="s">
        <v>289</v>
      </c>
      <c r="C361" s="131" t="s">
        <v>84</v>
      </c>
      <c r="D361" s="152">
        <v>7</v>
      </c>
      <c r="E361" s="2"/>
      <c r="F361" s="171">
        <f t="shared" si="12"/>
        <v>0</v>
      </c>
    </row>
    <row r="362" spans="1:6" ht="16.2" customHeight="1" x14ac:dyDescent="0.3">
      <c r="A362" s="26"/>
      <c r="B362" s="27" t="s">
        <v>201</v>
      </c>
      <c r="C362" s="94"/>
      <c r="D362" s="158"/>
      <c r="E362" s="13"/>
      <c r="F362" s="198">
        <f>SUM(F344:F361)</f>
        <v>0</v>
      </c>
    </row>
    <row r="363" spans="1:6" ht="16.2" customHeight="1" x14ac:dyDescent="0.3">
      <c r="A363" s="28"/>
      <c r="B363" s="29"/>
      <c r="C363" s="93"/>
      <c r="D363" s="161"/>
      <c r="E363" s="7"/>
      <c r="F363" s="161"/>
    </row>
    <row r="364" spans="1:6" ht="16.2" customHeight="1" x14ac:dyDescent="0.3">
      <c r="A364" s="56" t="s">
        <v>202</v>
      </c>
      <c r="B364" s="36" t="s">
        <v>203</v>
      </c>
      <c r="C364" s="96"/>
      <c r="D364" s="167"/>
      <c r="E364" s="37"/>
      <c r="F364" s="167"/>
    </row>
    <row r="365" spans="1:6" ht="27.6" x14ac:dyDescent="0.3">
      <c r="A365" s="80" t="s">
        <v>204</v>
      </c>
      <c r="B365" s="35" t="s">
        <v>205</v>
      </c>
      <c r="C365" s="61" t="s">
        <v>12</v>
      </c>
      <c r="D365" s="168">
        <v>36.159999999999997</v>
      </c>
      <c r="E365" s="2"/>
      <c r="F365" s="164">
        <f>E365*D365</f>
        <v>0</v>
      </c>
    </row>
    <row r="366" spans="1:6" ht="27.6" x14ac:dyDescent="0.3">
      <c r="A366" s="80" t="s">
        <v>208</v>
      </c>
      <c r="B366" s="35" t="s">
        <v>209</v>
      </c>
      <c r="C366" s="61" t="s">
        <v>12</v>
      </c>
      <c r="D366" s="168">
        <v>17.420000000000002</v>
      </c>
      <c r="E366" s="2"/>
      <c r="F366" s="164">
        <f>E366*D366</f>
        <v>0</v>
      </c>
    </row>
    <row r="367" spans="1:6" ht="16.2" customHeight="1" x14ac:dyDescent="0.3">
      <c r="A367" s="26"/>
      <c r="B367" s="27" t="s">
        <v>260</v>
      </c>
      <c r="C367" s="94"/>
      <c r="D367" s="158"/>
      <c r="E367" s="1"/>
      <c r="F367" s="158">
        <f>SUM(F365:F366)</f>
        <v>0</v>
      </c>
    </row>
    <row r="368" spans="1:6" ht="16.2" customHeight="1" x14ac:dyDescent="0.3">
      <c r="A368" s="28"/>
      <c r="B368" s="29"/>
      <c r="C368" s="93"/>
      <c r="D368" s="161"/>
      <c r="E368" s="7"/>
      <c r="F368" s="161"/>
    </row>
    <row r="369" spans="1:6" ht="16.2" customHeight="1" x14ac:dyDescent="0.3">
      <c r="A369" s="56" t="s">
        <v>211</v>
      </c>
      <c r="B369" s="36" t="s">
        <v>212</v>
      </c>
      <c r="C369" s="96"/>
      <c r="D369" s="167"/>
      <c r="E369" s="37"/>
      <c r="F369" s="167"/>
    </row>
    <row r="370" spans="1:6" ht="16.2" customHeight="1" x14ac:dyDescent="0.3">
      <c r="A370" s="28"/>
      <c r="B370" s="29"/>
      <c r="C370" s="93"/>
      <c r="D370" s="161"/>
      <c r="E370" s="7"/>
      <c r="F370" s="161"/>
    </row>
    <row r="371" spans="1:6" ht="16.2" customHeight="1" x14ac:dyDescent="0.3">
      <c r="A371" s="80" t="s">
        <v>213</v>
      </c>
      <c r="B371" s="55" t="s">
        <v>261</v>
      </c>
      <c r="C371" s="61" t="s">
        <v>97</v>
      </c>
      <c r="D371" s="168">
        <v>1</v>
      </c>
      <c r="E371" s="2"/>
      <c r="F371" s="164">
        <f>E371*D371</f>
        <v>0</v>
      </c>
    </row>
    <row r="372" spans="1:6" ht="16.2" customHeight="1" x14ac:dyDescent="0.3">
      <c r="A372" s="80" t="s">
        <v>215</v>
      </c>
      <c r="B372" s="55" t="s">
        <v>216</v>
      </c>
      <c r="C372" s="61" t="s">
        <v>97</v>
      </c>
      <c r="D372" s="168">
        <v>6</v>
      </c>
      <c r="E372" s="2"/>
      <c r="F372" s="164">
        <f>E372*D372</f>
        <v>0</v>
      </c>
    </row>
    <row r="373" spans="1:6" ht="16.2" customHeight="1" x14ac:dyDescent="0.3">
      <c r="A373" s="26"/>
      <c r="B373" s="27" t="s">
        <v>217</v>
      </c>
      <c r="C373" s="94"/>
      <c r="D373" s="158"/>
      <c r="E373" s="1"/>
      <c r="F373" s="158">
        <f>SUM(F371:F372)</f>
        <v>0</v>
      </c>
    </row>
    <row r="374" spans="1:6" ht="16.2" customHeight="1" x14ac:dyDescent="0.3">
      <c r="A374" s="28"/>
      <c r="B374" s="29"/>
      <c r="C374" s="93"/>
      <c r="D374" s="161"/>
      <c r="E374" s="7"/>
      <c r="F374" s="161"/>
    </row>
    <row r="375" spans="1:6" ht="16.2" customHeight="1" x14ac:dyDescent="0.3">
      <c r="A375" s="73"/>
      <c r="B375" s="58" t="s">
        <v>290</v>
      </c>
      <c r="C375" s="128"/>
      <c r="D375" s="160"/>
      <c r="E375" s="59"/>
      <c r="F375" s="160">
        <f>SUM(F276:F373)/2</f>
        <v>0</v>
      </c>
    </row>
    <row r="376" spans="1:6" ht="16.2" customHeight="1" x14ac:dyDescent="0.3">
      <c r="A376" s="28"/>
      <c r="B376" s="29"/>
      <c r="C376" s="93"/>
      <c r="D376" s="161"/>
      <c r="E376" s="7"/>
      <c r="F376" s="161"/>
    </row>
    <row r="377" spans="1:6" ht="16.2" customHeight="1" x14ac:dyDescent="0.3">
      <c r="A377" s="210" t="s">
        <v>291</v>
      </c>
      <c r="B377" s="210"/>
      <c r="C377" s="210"/>
      <c r="D377" s="210"/>
      <c r="E377" s="210"/>
      <c r="F377" s="210"/>
    </row>
    <row r="378" spans="1:6" ht="16.2" customHeight="1" x14ac:dyDescent="0.3">
      <c r="A378" s="28">
        <v>2</v>
      </c>
      <c r="B378" s="29" t="s">
        <v>16</v>
      </c>
      <c r="C378" s="93"/>
      <c r="D378" s="161"/>
      <c r="E378" s="7"/>
      <c r="F378" s="161"/>
    </row>
    <row r="379" spans="1:6" ht="16.2" customHeight="1" x14ac:dyDescent="0.3">
      <c r="A379" s="75" t="s">
        <v>17</v>
      </c>
      <c r="B379" s="30" t="s">
        <v>18</v>
      </c>
      <c r="C379" s="129"/>
      <c r="D379" s="162"/>
      <c r="E379" s="31"/>
      <c r="F379" s="162"/>
    </row>
    <row r="380" spans="1:6" ht="16.2" customHeight="1" x14ac:dyDescent="0.3">
      <c r="A380" s="76" t="s">
        <v>19</v>
      </c>
      <c r="B380" s="34" t="s">
        <v>20</v>
      </c>
      <c r="C380" s="138"/>
      <c r="D380" s="168"/>
      <c r="E380" s="2"/>
      <c r="F380" s="164"/>
    </row>
    <row r="381" spans="1:6" ht="16.2" customHeight="1" x14ac:dyDescent="0.3">
      <c r="A381" s="76" t="s">
        <v>265</v>
      </c>
      <c r="B381" s="34" t="s">
        <v>266</v>
      </c>
      <c r="C381" s="138"/>
      <c r="D381" s="168"/>
      <c r="E381" s="2"/>
      <c r="F381" s="164"/>
    </row>
    <row r="382" spans="1:6" ht="16.2" customHeight="1" x14ac:dyDescent="0.3">
      <c r="A382" s="67" t="s">
        <v>292</v>
      </c>
      <c r="B382" s="101" t="s">
        <v>293</v>
      </c>
      <c r="C382" s="134" t="s">
        <v>25</v>
      </c>
      <c r="D382" s="168">
        <f>3.4*2.1*1.7</f>
        <v>12.138</v>
      </c>
      <c r="E382" s="2"/>
      <c r="F382" s="171">
        <f>E382*D382</f>
        <v>0</v>
      </c>
    </row>
    <row r="383" spans="1:6" ht="16.2" customHeight="1" x14ac:dyDescent="0.3">
      <c r="A383" s="77" t="s">
        <v>26</v>
      </c>
      <c r="B383" s="101" t="s">
        <v>27</v>
      </c>
      <c r="C383" s="134"/>
      <c r="D383" s="174"/>
      <c r="E383" s="2"/>
      <c r="F383" s="164"/>
    </row>
    <row r="384" spans="1:6" ht="16.2" customHeight="1" x14ac:dyDescent="0.3">
      <c r="A384" s="67" t="s">
        <v>28</v>
      </c>
      <c r="B384" s="101" t="s">
        <v>29</v>
      </c>
      <c r="C384" s="134" t="s">
        <v>25</v>
      </c>
      <c r="D384" s="174">
        <f>3.46*2.1*0.05</f>
        <v>0.36330000000000001</v>
      </c>
      <c r="E384" s="2"/>
      <c r="F384" s="171">
        <f>E384*D384</f>
        <v>0</v>
      </c>
    </row>
    <row r="385" spans="1:6" ht="16.2" customHeight="1" x14ac:dyDescent="0.3">
      <c r="A385" s="77" t="s">
        <v>294</v>
      </c>
      <c r="B385" s="102" t="s">
        <v>37</v>
      </c>
      <c r="C385" s="134"/>
      <c r="D385" s="174"/>
      <c r="E385" s="2"/>
      <c r="F385" s="171"/>
    </row>
    <row r="386" spans="1:6" ht="16.2" customHeight="1" x14ac:dyDescent="0.3">
      <c r="A386" s="81" t="s">
        <v>273</v>
      </c>
      <c r="B386" s="82" t="s">
        <v>274</v>
      </c>
      <c r="C386" s="134"/>
      <c r="D386" s="174"/>
      <c r="E386" s="2"/>
      <c r="F386" s="171"/>
    </row>
    <row r="387" spans="1:6" ht="16.2" customHeight="1" x14ac:dyDescent="0.3">
      <c r="A387" s="83" t="s">
        <v>295</v>
      </c>
      <c r="B387" s="101" t="s">
        <v>375</v>
      </c>
      <c r="C387" s="134" t="s">
        <v>25</v>
      </c>
      <c r="D387" s="174">
        <f>3.46*2.1*0.1</f>
        <v>0.72660000000000002</v>
      </c>
      <c r="E387" s="2"/>
      <c r="F387" s="171">
        <f>E387*D387</f>
        <v>0</v>
      </c>
    </row>
    <row r="388" spans="1:6" ht="16.2" customHeight="1" x14ac:dyDescent="0.3">
      <c r="A388" s="26"/>
      <c r="B388" s="27" t="s">
        <v>48</v>
      </c>
      <c r="C388" s="94"/>
      <c r="D388" s="158"/>
      <c r="E388" s="1"/>
      <c r="F388" s="158">
        <f>SUM(F382:F387)</f>
        <v>0</v>
      </c>
    </row>
    <row r="389" spans="1:6" ht="16.2" customHeight="1" x14ac:dyDescent="0.3">
      <c r="A389" s="75" t="s">
        <v>49</v>
      </c>
      <c r="B389" s="30" t="s">
        <v>50</v>
      </c>
      <c r="C389" s="129"/>
      <c r="D389" s="178"/>
      <c r="E389" s="97"/>
      <c r="F389" s="178"/>
    </row>
    <row r="390" spans="1:6" ht="16.2" customHeight="1" x14ac:dyDescent="0.3">
      <c r="A390" s="80" t="s">
        <v>51</v>
      </c>
      <c r="B390" s="79" t="s">
        <v>52</v>
      </c>
      <c r="C390" s="61"/>
      <c r="D390" s="169"/>
      <c r="E390" s="2"/>
      <c r="F390" s="169"/>
    </row>
    <row r="391" spans="1:6" ht="16.2" customHeight="1" x14ac:dyDescent="0.3">
      <c r="A391" s="81" t="s">
        <v>55</v>
      </c>
      <c r="B391" s="86" t="s">
        <v>56</v>
      </c>
      <c r="C391" s="61"/>
      <c r="D391" s="169"/>
      <c r="E391" s="2"/>
      <c r="F391" s="169"/>
    </row>
    <row r="392" spans="1:6" ht="14.4" x14ac:dyDescent="0.3">
      <c r="A392" s="83" t="s">
        <v>296</v>
      </c>
      <c r="B392" s="35" t="s">
        <v>376</v>
      </c>
      <c r="C392" s="61" t="s">
        <v>12</v>
      </c>
      <c r="D392" s="169">
        <f>((3.4*2)+(1.7*4))*1.75*0.2</f>
        <v>4.7600000000000007</v>
      </c>
      <c r="E392" s="6"/>
      <c r="F392" s="171">
        <f>E392*D392</f>
        <v>0</v>
      </c>
    </row>
    <row r="393" spans="1:6" x14ac:dyDescent="0.3">
      <c r="A393" s="8" t="s">
        <v>59</v>
      </c>
      <c r="B393" s="34" t="s">
        <v>37</v>
      </c>
      <c r="C393" s="61"/>
      <c r="D393" s="172"/>
      <c r="E393" s="6"/>
      <c r="F393" s="171"/>
    </row>
    <row r="394" spans="1:6" ht="16.2" customHeight="1" x14ac:dyDescent="0.3">
      <c r="A394" s="8" t="s">
        <v>60</v>
      </c>
      <c r="B394" s="34" t="s">
        <v>61</v>
      </c>
      <c r="C394" s="61"/>
      <c r="D394" s="172"/>
      <c r="E394" s="6"/>
      <c r="F394" s="171"/>
    </row>
    <row r="395" spans="1:6" x14ac:dyDescent="0.3">
      <c r="A395" s="80" t="s">
        <v>297</v>
      </c>
      <c r="B395" s="35" t="s">
        <v>298</v>
      </c>
      <c r="C395" s="61" t="s">
        <v>25</v>
      </c>
      <c r="D395" s="172">
        <f>0.2*0.2*1.75*8</f>
        <v>0.56000000000000005</v>
      </c>
      <c r="E395" s="6"/>
      <c r="F395" s="171">
        <f>+E395*D395</f>
        <v>0</v>
      </c>
    </row>
    <row r="396" spans="1:6" ht="16.2" customHeight="1" x14ac:dyDescent="0.3">
      <c r="A396" s="8" t="s">
        <v>64</v>
      </c>
      <c r="B396" s="79" t="s">
        <v>65</v>
      </c>
      <c r="C396" s="61"/>
      <c r="D396" s="172"/>
      <c r="E396" s="6"/>
      <c r="F396" s="171"/>
    </row>
    <row r="397" spans="1:6" ht="27.6" x14ac:dyDescent="0.3">
      <c r="A397" s="80" t="s">
        <v>299</v>
      </c>
      <c r="B397" s="35" t="s">
        <v>377</v>
      </c>
      <c r="C397" s="61" t="s">
        <v>25</v>
      </c>
      <c r="D397" s="169">
        <f>((3.4*2)+(1.7*4))*0.2*0.2</f>
        <v>0.54400000000000004</v>
      </c>
      <c r="E397" s="6"/>
      <c r="F397" s="171">
        <f>+E397*D397</f>
        <v>0</v>
      </c>
    </row>
    <row r="398" spans="1:6" ht="27.6" x14ac:dyDescent="0.3">
      <c r="A398" s="80" t="s">
        <v>300</v>
      </c>
      <c r="B398" s="35" t="s">
        <v>378</v>
      </c>
      <c r="C398" s="61" t="s">
        <v>25</v>
      </c>
      <c r="D398" s="169">
        <f>((3.4*2)+(1.7*4))*0.2*0.2</f>
        <v>0.54400000000000004</v>
      </c>
      <c r="E398" s="6"/>
      <c r="F398" s="171">
        <f>+E398*D398</f>
        <v>0</v>
      </c>
    </row>
    <row r="399" spans="1:6" x14ac:dyDescent="0.3">
      <c r="A399" s="80" t="s">
        <v>301</v>
      </c>
      <c r="B399" s="35" t="s">
        <v>379</v>
      </c>
      <c r="C399" s="61" t="s">
        <v>25</v>
      </c>
      <c r="D399" s="174">
        <f>3.46*2.1*0.1</f>
        <v>0.72660000000000002</v>
      </c>
      <c r="E399" s="6"/>
      <c r="F399" s="171">
        <f>+E399*D399</f>
        <v>0</v>
      </c>
    </row>
    <row r="400" spans="1:6" ht="16.2" customHeight="1" x14ac:dyDescent="0.3">
      <c r="A400" s="1"/>
      <c r="B400" s="94" t="s">
        <v>248</v>
      </c>
      <c r="C400" s="135"/>
      <c r="D400" s="176"/>
      <c r="E400" s="95"/>
      <c r="F400" s="198">
        <f>+SUM(F392:F399)</f>
        <v>0</v>
      </c>
    </row>
    <row r="401" spans="1:6" ht="16.2" customHeight="1" x14ac:dyDescent="0.3">
      <c r="A401" s="56" t="s">
        <v>127</v>
      </c>
      <c r="B401" s="36" t="s">
        <v>128</v>
      </c>
      <c r="C401" s="40"/>
      <c r="D401" s="178"/>
      <c r="E401" s="97"/>
      <c r="F401" s="178"/>
    </row>
    <row r="402" spans="1:6" ht="27.6" x14ac:dyDescent="0.3">
      <c r="A402" s="80" t="s">
        <v>129</v>
      </c>
      <c r="B402" s="35" t="s">
        <v>130</v>
      </c>
      <c r="C402" s="61" t="s">
        <v>12</v>
      </c>
      <c r="D402" s="169">
        <f>((0.6*2)+(1.7*6)+(1*2)+(1.2*2))*1.75</f>
        <v>27.65</v>
      </c>
      <c r="E402" s="2"/>
      <c r="F402" s="171">
        <f>+E402*D402</f>
        <v>0</v>
      </c>
    </row>
    <row r="403" spans="1:6" x14ac:dyDescent="0.3">
      <c r="A403" s="80" t="s">
        <v>302</v>
      </c>
      <c r="B403" s="35" t="s">
        <v>303</v>
      </c>
      <c r="C403" s="61" t="s">
        <v>12</v>
      </c>
      <c r="D403" s="169">
        <f>((0.6*2)+(1.7*6)+(1*2)+(1.2*2))*1.75</f>
        <v>27.65</v>
      </c>
      <c r="E403" s="2"/>
      <c r="F403" s="171">
        <f>+E403*D403</f>
        <v>0</v>
      </c>
    </row>
    <row r="404" spans="1:6" ht="16.2" customHeight="1" x14ac:dyDescent="0.3">
      <c r="A404" s="1"/>
      <c r="B404" s="94" t="s">
        <v>248</v>
      </c>
      <c r="C404" s="135"/>
      <c r="D404" s="176"/>
      <c r="E404" s="95"/>
      <c r="F404" s="198">
        <f>+SUM(F402:F403)</f>
        <v>0</v>
      </c>
    </row>
    <row r="405" spans="1:6" ht="16.2" customHeight="1" x14ac:dyDescent="0.3">
      <c r="A405" s="56" t="s">
        <v>164</v>
      </c>
      <c r="B405" s="36" t="s">
        <v>165</v>
      </c>
      <c r="C405" s="96"/>
      <c r="D405" s="167"/>
      <c r="E405" s="10"/>
      <c r="F405" s="177"/>
    </row>
    <row r="406" spans="1:6" ht="16.2" customHeight="1" x14ac:dyDescent="0.3">
      <c r="A406" s="80" t="s">
        <v>304</v>
      </c>
      <c r="B406" s="55" t="s">
        <v>305</v>
      </c>
      <c r="C406" s="61" t="s">
        <v>168</v>
      </c>
      <c r="D406" s="168">
        <v>1</v>
      </c>
      <c r="E406" s="5"/>
      <c r="F406" s="171">
        <f>E406*D406</f>
        <v>0</v>
      </c>
    </row>
    <row r="407" spans="1:6" x14ac:dyDescent="0.3">
      <c r="A407" s="80" t="s">
        <v>332</v>
      </c>
      <c r="B407" s="35" t="s">
        <v>306</v>
      </c>
      <c r="C407" s="61" t="s">
        <v>84</v>
      </c>
      <c r="D407" s="169">
        <v>3</v>
      </c>
      <c r="E407" s="6"/>
      <c r="F407" s="171">
        <f>+E407*D407</f>
        <v>0</v>
      </c>
    </row>
    <row r="408" spans="1:6" ht="16.2" customHeight="1" x14ac:dyDescent="0.3">
      <c r="A408" s="1"/>
      <c r="B408" s="94" t="s">
        <v>307</v>
      </c>
      <c r="C408" s="135"/>
      <c r="D408" s="176"/>
      <c r="E408" s="95"/>
      <c r="F408" s="198">
        <f>+SUM(F406:F407)</f>
        <v>0</v>
      </c>
    </row>
    <row r="409" spans="1:6" ht="16.2" customHeight="1" x14ac:dyDescent="0.3">
      <c r="A409" s="103"/>
      <c r="B409" s="104"/>
      <c r="C409" s="138"/>
      <c r="D409" s="168"/>
      <c r="E409" s="2"/>
      <c r="F409" s="164"/>
    </row>
    <row r="410" spans="1:6" ht="16.2" customHeight="1" x14ac:dyDescent="0.3">
      <c r="A410" s="73"/>
      <c r="B410" s="58" t="s">
        <v>308</v>
      </c>
      <c r="C410" s="128"/>
      <c r="D410" s="160"/>
      <c r="E410" s="59"/>
      <c r="F410" s="160">
        <f>SUM(F382:F408)/2</f>
        <v>0</v>
      </c>
    </row>
    <row r="411" spans="1:6" ht="16.2" customHeight="1" x14ac:dyDescent="0.3">
      <c r="A411" s="103"/>
      <c r="B411" s="104"/>
      <c r="C411" s="138"/>
      <c r="D411" s="168"/>
      <c r="E411" s="2"/>
      <c r="F411" s="164"/>
    </row>
    <row r="412" spans="1:6" ht="16.2" customHeight="1" x14ac:dyDescent="0.3">
      <c r="A412" s="210" t="s">
        <v>380</v>
      </c>
      <c r="B412" s="210"/>
      <c r="C412" s="210"/>
      <c r="D412" s="210"/>
      <c r="E412" s="210"/>
      <c r="F412" s="210"/>
    </row>
    <row r="413" spans="1:6" ht="16.2" customHeight="1" x14ac:dyDescent="0.3">
      <c r="A413" s="28">
        <v>2</v>
      </c>
      <c r="B413" s="29" t="s">
        <v>16</v>
      </c>
      <c r="C413" s="138"/>
      <c r="D413" s="168"/>
      <c r="E413" s="2"/>
      <c r="F413" s="164"/>
    </row>
    <row r="414" spans="1:6" ht="16.2" customHeight="1" x14ac:dyDescent="0.3">
      <c r="A414" s="75" t="s">
        <v>17</v>
      </c>
      <c r="B414" s="30" t="s">
        <v>18</v>
      </c>
      <c r="C414" s="129"/>
      <c r="D414" s="162"/>
      <c r="E414" s="14"/>
      <c r="F414" s="162"/>
    </row>
    <row r="415" spans="1:6" ht="16.2" customHeight="1" x14ac:dyDescent="0.3">
      <c r="A415" s="76" t="s">
        <v>19</v>
      </c>
      <c r="B415" s="34" t="s">
        <v>20</v>
      </c>
      <c r="C415" s="138"/>
      <c r="D415" s="168"/>
      <c r="E415" s="2"/>
      <c r="F415" s="164"/>
    </row>
    <row r="416" spans="1:6" ht="16.2" customHeight="1" x14ac:dyDescent="0.3">
      <c r="A416" s="76" t="s">
        <v>21</v>
      </c>
      <c r="B416" s="34" t="s">
        <v>22</v>
      </c>
      <c r="C416" s="138"/>
      <c r="D416" s="168"/>
      <c r="E416" s="2"/>
      <c r="F416" s="164"/>
    </row>
    <row r="417" spans="1:6" ht="16.2" customHeight="1" x14ac:dyDescent="0.3">
      <c r="A417" s="67" t="s">
        <v>309</v>
      </c>
      <c r="B417" s="101" t="s">
        <v>310</v>
      </c>
      <c r="C417" s="134" t="s">
        <v>25</v>
      </c>
      <c r="D417" s="174">
        <f>(1*4*0.28*0.8)</f>
        <v>0.89600000000000013</v>
      </c>
      <c r="E417" s="2"/>
      <c r="F417" s="164">
        <f t="shared" ref="F417:F425" si="13">E417*D417</f>
        <v>0</v>
      </c>
    </row>
    <row r="418" spans="1:6" ht="16.2" customHeight="1" x14ac:dyDescent="0.3">
      <c r="A418" s="77" t="s">
        <v>26</v>
      </c>
      <c r="B418" s="101" t="s">
        <v>27</v>
      </c>
      <c r="C418" s="134"/>
      <c r="D418" s="174"/>
      <c r="E418" s="2"/>
      <c r="F418" s="164"/>
    </row>
    <row r="419" spans="1:6" ht="16.2" customHeight="1" x14ac:dyDescent="0.3">
      <c r="A419" s="67" t="s">
        <v>28</v>
      </c>
      <c r="B419" s="101" t="s">
        <v>29</v>
      </c>
      <c r="C419" s="134" t="s">
        <v>25</v>
      </c>
      <c r="D419" s="174">
        <f>(1*4*0.28*0.05)</f>
        <v>5.6000000000000008E-2</v>
      </c>
      <c r="E419" s="2"/>
      <c r="F419" s="164">
        <f t="shared" si="13"/>
        <v>0</v>
      </c>
    </row>
    <row r="420" spans="1:6" ht="16.2" customHeight="1" x14ac:dyDescent="0.3">
      <c r="A420" s="80" t="s">
        <v>30</v>
      </c>
      <c r="B420" s="101" t="s">
        <v>31</v>
      </c>
      <c r="C420" s="134"/>
      <c r="D420" s="174"/>
      <c r="E420" s="2"/>
      <c r="F420" s="164"/>
    </row>
    <row r="421" spans="1:6" x14ac:dyDescent="0.3">
      <c r="A421" s="67" t="s">
        <v>311</v>
      </c>
      <c r="B421" s="43" t="s">
        <v>381</v>
      </c>
      <c r="C421" s="126" t="s">
        <v>25</v>
      </c>
      <c r="D421" s="174">
        <f>(1*4.2*0.45*0.9)</f>
        <v>1.7010000000000001</v>
      </c>
      <c r="E421" s="2"/>
      <c r="F421" s="164">
        <f t="shared" si="13"/>
        <v>0</v>
      </c>
    </row>
    <row r="422" spans="1:6" ht="16.2" customHeight="1" x14ac:dyDescent="0.3">
      <c r="A422" s="8" t="s">
        <v>36</v>
      </c>
      <c r="B422" s="79" t="s">
        <v>37</v>
      </c>
      <c r="C422" s="134"/>
      <c r="D422" s="174"/>
      <c r="E422" s="2"/>
      <c r="F422" s="164"/>
    </row>
    <row r="423" spans="1:6" ht="16.2" customHeight="1" x14ac:dyDescent="0.3">
      <c r="A423" s="81" t="s">
        <v>273</v>
      </c>
      <c r="B423" s="86" t="s">
        <v>274</v>
      </c>
      <c r="C423" s="134"/>
      <c r="D423" s="174"/>
      <c r="E423" s="2"/>
      <c r="F423" s="164"/>
    </row>
    <row r="424" spans="1:6" ht="14.4" x14ac:dyDescent="0.3">
      <c r="A424" s="83" t="s">
        <v>382</v>
      </c>
      <c r="B424" s="35" t="s">
        <v>383</v>
      </c>
      <c r="C424" s="134" t="s">
        <v>25</v>
      </c>
      <c r="D424" s="174">
        <f>(1*1*0.08)+(0.8*0.8*0.08)</f>
        <v>0.13120000000000001</v>
      </c>
      <c r="E424" s="2"/>
      <c r="F424" s="164">
        <f t="shared" si="13"/>
        <v>0</v>
      </c>
    </row>
    <row r="425" spans="1:6" ht="15" x14ac:dyDescent="0.3">
      <c r="A425" s="80" t="s">
        <v>46</v>
      </c>
      <c r="B425" s="35" t="s">
        <v>312</v>
      </c>
      <c r="C425" s="61" t="s">
        <v>313</v>
      </c>
      <c r="D425" s="181">
        <f>1.2*1.2*0.07</f>
        <v>0.1008</v>
      </c>
      <c r="E425" s="2"/>
      <c r="F425" s="164">
        <f t="shared" si="13"/>
        <v>0</v>
      </c>
    </row>
    <row r="426" spans="1:6" x14ac:dyDescent="0.3">
      <c r="A426" s="105"/>
      <c r="B426" s="27" t="s">
        <v>314</v>
      </c>
      <c r="C426" s="139"/>
      <c r="D426" s="182"/>
      <c r="E426" s="13"/>
      <c r="F426" s="158">
        <f>SUM(F417:F425)</f>
        <v>0</v>
      </c>
    </row>
    <row r="427" spans="1:6" x14ac:dyDescent="0.3">
      <c r="A427" s="75" t="s">
        <v>49</v>
      </c>
      <c r="B427" s="30" t="s">
        <v>50</v>
      </c>
      <c r="C427" s="129"/>
      <c r="D427" s="175"/>
      <c r="E427" s="14"/>
      <c r="F427" s="175"/>
    </row>
    <row r="428" spans="1:6" x14ac:dyDescent="0.3">
      <c r="A428" s="80" t="s">
        <v>51</v>
      </c>
      <c r="B428" s="79" t="s">
        <v>52</v>
      </c>
      <c r="C428" s="61"/>
      <c r="D428" s="169"/>
      <c r="E428" s="2"/>
      <c r="F428" s="164"/>
    </row>
    <row r="429" spans="1:6" ht="27.6" x14ac:dyDescent="0.3">
      <c r="A429" s="83" t="s">
        <v>384</v>
      </c>
      <c r="B429" s="35" t="s">
        <v>315</v>
      </c>
      <c r="C429" s="61" t="s">
        <v>12</v>
      </c>
      <c r="D429" s="174">
        <f>((4*1.62)+(1.93*3.2))</f>
        <v>12.656000000000001</v>
      </c>
      <c r="E429" s="2"/>
      <c r="F429" s="164">
        <f>E429*D429</f>
        <v>0</v>
      </c>
    </row>
    <row r="430" spans="1:6" ht="27.6" x14ac:dyDescent="0.3">
      <c r="A430" s="83" t="s">
        <v>385</v>
      </c>
      <c r="B430" s="35" t="s">
        <v>316</v>
      </c>
      <c r="C430" s="61" t="s">
        <v>12</v>
      </c>
      <c r="D430" s="174">
        <f>((4*1.62))</f>
        <v>6.48</v>
      </c>
      <c r="E430" s="2"/>
      <c r="F430" s="164">
        <f>E430*D430</f>
        <v>0</v>
      </c>
    </row>
    <row r="431" spans="1:6" x14ac:dyDescent="0.3">
      <c r="A431" s="80"/>
      <c r="B431" s="35"/>
      <c r="C431" s="61"/>
      <c r="D431" s="174"/>
      <c r="E431" s="2"/>
      <c r="F431" s="164"/>
    </row>
    <row r="432" spans="1:6" x14ac:dyDescent="0.3">
      <c r="A432" s="106" t="s">
        <v>317</v>
      </c>
      <c r="B432" s="35" t="s">
        <v>318</v>
      </c>
      <c r="C432" s="61" t="s">
        <v>84</v>
      </c>
      <c r="D432" s="174">
        <v>21</v>
      </c>
      <c r="E432" s="2"/>
      <c r="F432" s="164">
        <f>E432*D432</f>
        <v>0</v>
      </c>
    </row>
    <row r="433" spans="1:6" x14ac:dyDescent="0.3">
      <c r="A433" s="80"/>
      <c r="B433" s="35"/>
      <c r="C433" s="61"/>
      <c r="D433" s="174"/>
      <c r="E433" s="2"/>
      <c r="F433" s="164"/>
    </row>
    <row r="434" spans="1:6" x14ac:dyDescent="0.3">
      <c r="A434" s="105"/>
      <c r="B434" s="27" t="s">
        <v>319</v>
      </c>
      <c r="C434" s="139"/>
      <c r="D434" s="182"/>
      <c r="E434" s="13"/>
      <c r="F434" s="158">
        <f>SUM(F429:F433)</f>
        <v>0</v>
      </c>
    </row>
    <row r="435" spans="1:6" x14ac:dyDescent="0.3">
      <c r="A435" s="56" t="s">
        <v>72</v>
      </c>
      <c r="B435" s="36" t="s">
        <v>73</v>
      </c>
      <c r="C435" s="96"/>
      <c r="D435" s="167"/>
      <c r="E435" s="37"/>
      <c r="F435" s="167"/>
    </row>
    <row r="436" spans="1:6" x14ac:dyDescent="0.3">
      <c r="A436" s="76" t="s">
        <v>74</v>
      </c>
      <c r="B436" s="34" t="s">
        <v>75</v>
      </c>
      <c r="C436" s="93"/>
      <c r="D436" s="161"/>
      <c r="E436" s="7"/>
      <c r="F436" s="161"/>
    </row>
    <row r="437" spans="1:6" ht="27.6" x14ac:dyDescent="0.3">
      <c r="A437" s="80" t="s">
        <v>76</v>
      </c>
      <c r="B437" s="35" t="s">
        <v>77</v>
      </c>
      <c r="C437" s="61" t="s">
        <v>25</v>
      </c>
      <c r="D437" s="168">
        <f>(0.07*0.15*13*11.09)</f>
        <v>1.5137850000000002</v>
      </c>
      <c r="E437" s="2"/>
      <c r="F437" s="164">
        <f>E437*D437</f>
        <v>0</v>
      </c>
    </row>
    <row r="438" spans="1:6" x14ac:dyDescent="0.3">
      <c r="A438" s="80" t="s">
        <v>78</v>
      </c>
      <c r="B438" s="35" t="s">
        <v>79</v>
      </c>
      <c r="C438" s="61" t="s">
        <v>25</v>
      </c>
      <c r="D438" s="168">
        <f>(0.07*0.07*13)*10.09</f>
        <v>0.64273300000000011</v>
      </c>
      <c r="E438" s="2"/>
      <c r="F438" s="164">
        <f>E438*D438</f>
        <v>0</v>
      </c>
    </row>
    <row r="439" spans="1:6" ht="27.6" x14ac:dyDescent="0.3">
      <c r="A439" s="80" t="s">
        <v>80</v>
      </c>
      <c r="B439" s="35" t="s">
        <v>81</v>
      </c>
      <c r="C439" s="61" t="s">
        <v>12</v>
      </c>
      <c r="D439" s="168">
        <f>(10.9*11.09)</f>
        <v>120.881</v>
      </c>
      <c r="E439" s="2"/>
      <c r="F439" s="164">
        <f>E439*D439</f>
        <v>0</v>
      </c>
    </row>
    <row r="440" spans="1:6" x14ac:dyDescent="0.3">
      <c r="A440" s="105"/>
      <c r="B440" s="27" t="s">
        <v>319</v>
      </c>
      <c r="C440" s="139"/>
      <c r="D440" s="182"/>
      <c r="E440" s="13"/>
      <c r="F440" s="158">
        <f>SUM(F437:F439)</f>
        <v>0</v>
      </c>
    </row>
    <row r="441" spans="1:6" x14ac:dyDescent="0.3">
      <c r="A441" s="37" t="s">
        <v>91</v>
      </c>
      <c r="B441" s="96" t="s">
        <v>249</v>
      </c>
      <c r="C441" s="136"/>
      <c r="D441" s="178"/>
      <c r="E441" s="97"/>
      <c r="F441" s="178"/>
    </row>
    <row r="442" spans="1:6" ht="16.2" customHeight="1" x14ac:dyDescent="0.3">
      <c r="A442" s="80" t="s">
        <v>320</v>
      </c>
      <c r="B442" s="35" t="s">
        <v>386</v>
      </c>
      <c r="C442" s="61" t="s">
        <v>97</v>
      </c>
      <c r="D442" s="168">
        <v>2</v>
      </c>
      <c r="E442" s="9"/>
      <c r="F442" s="164">
        <f>E442*D442</f>
        <v>0</v>
      </c>
    </row>
    <row r="443" spans="1:6" x14ac:dyDescent="0.3">
      <c r="A443" s="80" t="s">
        <v>321</v>
      </c>
      <c r="B443" s="35" t="s">
        <v>322</v>
      </c>
      <c r="C443" s="61" t="s">
        <v>97</v>
      </c>
      <c r="D443" s="152">
        <v>1</v>
      </c>
      <c r="E443" s="2"/>
      <c r="F443" s="164">
        <f>E443*D443</f>
        <v>0</v>
      </c>
    </row>
    <row r="444" spans="1:6" x14ac:dyDescent="0.3">
      <c r="A444" s="80" t="s">
        <v>323</v>
      </c>
      <c r="B444" s="107" t="s">
        <v>324</v>
      </c>
      <c r="C444" s="140" t="s">
        <v>97</v>
      </c>
      <c r="D444" s="152">
        <v>1</v>
      </c>
      <c r="E444" s="2"/>
      <c r="F444" s="164">
        <f>E444*D444</f>
        <v>0</v>
      </c>
    </row>
    <row r="445" spans="1:6" x14ac:dyDescent="0.3">
      <c r="A445" s="105"/>
      <c r="B445" s="27" t="s">
        <v>325</v>
      </c>
      <c r="C445" s="139"/>
      <c r="D445" s="182"/>
      <c r="E445" s="13"/>
      <c r="F445" s="158">
        <f>SUM(F442:F444)</f>
        <v>0</v>
      </c>
    </row>
    <row r="446" spans="1:6" x14ac:dyDescent="0.3">
      <c r="A446" s="56" t="s">
        <v>127</v>
      </c>
      <c r="B446" s="36" t="s">
        <v>128</v>
      </c>
      <c r="C446" s="40"/>
      <c r="D446" s="178"/>
      <c r="E446" s="97"/>
      <c r="F446" s="178"/>
    </row>
    <row r="447" spans="1:6" ht="27.6" x14ac:dyDescent="0.3">
      <c r="A447" s="80" t="s">
        <v>129</v>
      </c>
      <c r="B447" s="35" t="s">
        <v>130</v>
      </c>
      <c r="C447" s="61" t="s">
        <v>12</v>
      </c>
      <c r="D447" s="174">
        <f>((4*1.62))</f>
        <v>6.48</v>
      </c>
      <c r="E447" s="2"/>
      <c r="F447" s="171">
        <f>+E447*D447</f>
        <v>0</v>
      </c>
    </row>
    <row r="448" spans="1:6" x14ac:dyDescent="0.3">
      <c r="A448" s="26"/>
      <c r="B448" s="27" t="s">
        <v>139</v>
      </c>
      <c r="C448" s="94" t="s">
        <v>140</v>
      </c>
      <c r="D448" s="158"/>
      <c r="E448" s="1"/>
      <c r="F448" s="158">
        <f>SUM(F444:F447)</f>
        <v>0</v>
      </c>
    </row>
    <row r="449" spans="1:6" x14ac:dyDescent="0.3">
      <c r="A449" s="80"/>
      <c r="B449" s="55"/>
      <c r="C449" s="61"/>
      <c r="D449" s="168"/>
      <c r="E449" s="2"/>
      <c r="F449" s="168"/>
    </row>
    <row r="450" spans="1:6" ht="16.2" customHeight="1" x14ac:dyDescent="0.3">
      <c r="A450" s="73"/>
      <c r="B450" s="58" t="s">
        <v>326</v>
      </c>
      <c r="C450" s="128"/>
      <c r="D450" s="160"/>
      <c r="E450" s="59"/>
      <c r="F450" s="160">
        <f>SUM(F415:F449)/2</f>
        <v>0</v>
      </c>
    </row>
    <row r="451" spans="1:6" ht="16.2" customHeight="1" x14ac:dyDescent="0.3">
      <c r="A451" s="103"/>
      <c r="B451" s="107"/>
      <c r="C451" s="140"/>
      <c r="D451" s="152"/>
      <c r="E451" s="2"/>
      <c r="F451" s="164"/>
    </row>
    <row r="452" spans="1:6" ht="16.2" customHeight="1" x14ac:dyDescent="0.3">
      <c r="A452" s="210" t="s">
        <v>327</v>
      </c>
      <c r="B452" s="210"/>
      <c r="C452" s="210"/>
      <c r="D452" s="210"/>
      <c r="E452" s="210"/>
      <c r="F452" s="210"/>
    </row>
    <row r="453" spans="1:6" ht="16.2" customHeight="1" x14ac:dyDescent="0.3">
      <c r="A453" s="28">
        <v>2</v>
      </c>
      <c r="B453" s="29" t="s">
        <v>16</v>
      </c>
      <c r="C453" s="138"/>
      <c r="D453" s="168"/>
      <c r="E453" s="2"/>
      <c r="F453" s="164"/>
    </row>
    <row r="454" spans="1:6" ht="16.2" customHeight="1" x14ac:dyDescent="0.3">
      <c r="A454" s="75" t="s">
        <v>17</v>
      </c>
      <c r="B454" s="30" t="s">
        <v>18</v>
      </c>
      <c r="C454" s="40"/>
      <c r="D454" s="178"/>
      <c r="E454" s="97"/>
      <c r="F454" s="178"/>
    </row>
    <row r="455" spans="1:6" ht="16.2" customHeight="1" x14ac:dyDescent="0.3">
      <c r="A455" s="76" t="s">
        <v>19</v>
      </c>
      <c r="B455" s="34" t="s">
        <v>20</v>
      </c>
      <c r="C455" s="141"/>
      <c r="D455" s="183"/>
      <c r="E455" s="2"/>
      <c r="F455" s="164"/>
    </row>
    <row r="456" spans="1:6" ht="16.2" customHeight="1" x14ac:dyDescent="0.3">
      <c r="A456" s="76" t="s">
        <v>265</v>
      </c>
      <c r="B456" s="34" t="s">
        <v>266</v>
      </c>
      <c r="C456" s="141"/>
      <c r="D456" s="183"/>
      <c r="E456" s="2"/>
      <c r="F456" s="164"/>
    </row>
    <row r="457" spans="1:6" ht="16.2" customHeight="1" x14ac:dyDescent="0.3">
      <c r="A457" s="67" t="s">
        <v>328</v>
      </c>
      <c r="B457" s="108" t="s">
        <v>329</v>
      </c>
      <c r="C457" s="141" t="s">
        <v>25</v>
      </c>
      <c r="D457" s="183">
        <f>2.2*2.2*1.75</f>
        <v>8.4700000000000006</v>
      </c>
      <c r="E457" s="2"/>
      <c r="F457" s="164">
        <f>E457*D457</f>
        <v>0</v>
      </c>
    </row>
    <row r="458" spans="1:6" ht="16.2" customHeight="1" x14ac:dyDescent="0.3">
      <c r="A458" s="77" t="s">
        <v>26</v>
      </c>
      <c r="B458" s="108" t="s">
        <v>27</v>
      </c>
      <c r="C458" s="141"/>
      <c r="D458" s="183"/>
      <c r="E458" s="2"/>
      <c r="F458" s="164"/>
    </row>
    <row r="459" spans="1:6" ht="16.2" customHeight="1" x14ac:dyDescent="0.3">
      <c r="A459" s="67" t="s">
        <v>28</v>
      </c>
      <c r="B459" s="101" t="s">
        <v>29</v>
      </c>
      <c r="C459" s="134" t="s">
        <v>25</v>
      </c>
      <c r="D459" s="183">
        <f>2.2*2.2*0.05</f>
        <v>0.24200000000000005</v>
      </c>
      <c r="E459" s="2"/>
      <c r="F459" s="164">
        <f>E459*D459</f>
        <v>0</v>
      </c>
    </row>
    <row r="460" spans="1:6" ht="16.2" customHeight="1" x14ac:dyDescent="0.3">
      <c r="A460" s="105"/>
      <c r="B460" s="27" t="s">
        <v>330</v>
      </c>
      <c r="C460" s="139"/>
      <c r="D460" s="182"/>
      <c r="E460" s="13"/>
      <c r="F460" s="158">
        <f>SUM(F457:F459)</f>
        <v>0</v>
      </c>
    </row>
    <row r="461" spans="1:6" ht="16.2" customHeight="1" x14ac:dyDescent="0.3">
      <c r="A461" s="75" t="s">
        <v>49</v>
      </c>
      <c r="B461" s="30" t="s">
        <v>50</v>
      </c>
      <c r="C461" s="129"/>
      <c r="D461" s="175"/>
      <c r="E461" s="14"/>
      <c r="F461" s="175"/>
    </row>
    <row r="462" spans="1:6" ht="16.2" customHeight="1" x14ac:dyDescent="0.3">
      <c r="A462" s="80" t="s">
        <v>51</v>
      </c>
      <c r="B462" s="79" t="s">
        <v>52</v>
      </c>
      <c r="C462" s="61"/>
      <c r="D462" s="169"/>
      <c r="E462" s="2"/>
      <c r="F462" s="164"/>
    </row>
    <row r="463" spans="1:6" ht="16.2" customHeight="1" x14ac:dyDescent="0.3">
      <c r="A463" s="81" t="s">
        <v>55</v>
      </c>
      <c r="B463" s="86" t="s">
        <v>56</v>
      </c>
      <c r="C463" s="61"/>
      <c r="D463" s="169"/>
      <c r="E463" s="2"/>
      <c r="F463" s="164"/>
    </row>
    <row r="464" spans="1:6" ht="16.2" customHeight="1" x14ac:dyDescent="0.3">
      <c r="A464" s="83" t="s">
        <v>57</v>
      </c>
      <c r="B464" s="35" t="s">
        <v>331</v>
      </c>
      <c r="C464" s="61" t="s">
        <v>25</v>
      </c>
      <c r="D464" s="183">
        <f>4.4*1.7*0.2</f>
        <v>1.4960000000000002</v>
      </c>
      <c r="E464" s="2"/>
      <c r="F464" s="164">
        <f>E464*D464</f>
        <v>0</v>
      </c>
    </row>
    <row r="465" spans="1:6" ht="16.2" customHeight="1" x14ac:dyDescent="0.3">
      <c r="A465" s="8" t="s">
        <v>59</v>
      </c>
      <c r="B465" s="34" t="s">
        <v>37</v>
      </c>
      <c r="C465" s="61"/>
      <c r="D465" s="183"/>
      <c r="E465" s="2"/>
      <c r="F465" s="164"/>
    </row>
    <row r="466" spans="1:6" ht="16.2" customHeight="1" x14ac:dyDescent="0.3">
      <c r="A466" s="81" t="s">
        <v>64</v>
      </c>
      <c r="B466" s="86" t="s">
        <v>65</v>
      </c>
      <c r="C466" s="61"/>
      <c r="D466" s="183"/>
      <c r="E466" s="2"/>
      <c r="F466" s="164"/>
    </row>
    <row r="467" spans="1:6" ht="27.6" x14ac:dyDescent="0.3">
      <c r="A467" s="80" t="s">
        <v>66</v>
      </c>
      <c r="B467" s="35" t="s">
        <v>387</v>
      </c>
      <c r="C467" s="141" t="s">
        <v>25</v>
      </c>
      <c r="D467" s="183">
        <f>4.4*0.2*0.15</f>
        <v>0.13200000000000001</v>
      </c>
      <c r="E467" s="2"/>
      <c r="F467" s="164">
        <f>E467*D467</f>
        <v>0</v>
      </c>
    </row>
    <row r="468" spans="1:6" ht="16.2" customHeight="1" x14ac:dyDescent="0.3">
      <c r="A468" s="67" t="s">
        <v>301</v>
      </c>
      <c r="B468" s="108" t="s">
        <v>388</v>
      </c>
      <c r="C468" s="141" t="s">
        <v>25</v>
      </c>
      <c r="D468" s="183">
        <f>1.6*0.1</f>
        <v>0.16000000000000003</v>
      </c>
      <c r="E468" s="2"/>
      <c r="F468" s="164">
        <f>E468*D468</f>
        <v>0</v>
      </c>
    </row>
    <row r="469" spans="1:6" ht="14.4" x14ac:dyDescent="0.3">
      <c r="A469" s="83" t="s">
        <v>332</v>
      </c>
      <c r="B469" s="35" t="s">
        <v>306</v>
      </c>
      <c r="C469" s="141" t="s">
        <v>235</v>
      </c>
      <c r="D469" s="183">
        <v>1</v>
      </c>
      <c r="E469" s="2"/>
      <c r="F469" s="164">
        <f>E469*D469</f>
        <v>0</v>
      </c>
    </row>
    <row r="470" spans="1:6" x14ac:dyDescent="0.3">
      <c r="A470" s="105"/>
      <c r="B470" s="27" t="s">
        <v>330</v>
      </c>
      <c r="C470" s="139"/>
      <c r="D470" s="182"/>
      <c r="E470" s="13"/>
      <c r="F470" s="158">
        <f>SUM(F464:F469)</f>
        <v>0</v>
      </c>
    </row>
    <row r="471" spans="1:6" x14ac:dyDescent="0.3">
      <c r="A471" s="37" t="s">
        <v>91</v>
      </c>
      <c r="B471" s="96" t="s">
        <v>249</v>
      </c>
      <c r="C471" s="96"/>
      <c r="D471" s="184"/>
      <c r="E471" s="96"/>
      <c r="F471" s="184"/>
    </row>
    <row r="472" spans="1:6" x14ac:dyDescent="0.3">
      <c r="A472" s="80" t="s">
        <v>321</v>
      </c>
      <c r="B472" s="92" t="s">
        <v>389</v>
      </c>
      <c r="C472" s="61" t="s">
        <v>97</v>
      </c>
      <c r="D472" s="168">
        <v>1</v>
      </c>
      <c r="E472" s="2"/>
      <c r="F472" s="164">
        <f>E472*D472</f>
        <v>0</v>
      </c>
    </row>
    <row r="473" spans="1:6" ht="16.2" customHeight="1" x14ac:dyDescent="0.3">
      <c r="A473" s="105"/>
      <c r="B473" s="27" t="s">
        <v>333</v>
      </c>
      <c r="C473" s="139"/>
      <c r="D473" s="182"/>
      <c r="E473" s="13"/>
      <c r="F473" s="158">
        <f>SUM(F472:F472)</f>
        <v>0</v>
      </c>
    </row>
    <row r="474" spans="1:6" ht="16.2" customHeight="1" x14ac:dyDescent="0.3">
      <c r="A474" s="103"/>
      <c r="B474" s="108"/>
      <c r="C474" s="141"/>
      <c r="D474" s="183"/>
      <c r="E474" s="2"/>
      <c r="F474" s="168"/>
    </row>
    <row r="475" spans="1:6" ht="16.2" customHeight="1" x14ac:dyDescent="0.3">
      <c r="A475" s="73"/>
      <c r="B475" s="58" t="s">
        <v>390</v>
      </c>
      <c r="C475" s="128"/>
      <c r="D475" s="160"/>
      <c r="E475" s="59"/>
      <c r="F475" s="160">
        <f>SUM(F454:F474)/2</f>
        <v>0</v>
      </c>
    </row>
    <row r="476" spans="1:6" x14ac:dyDescent="0.3">
      <c r="A476" s="103"/>
      <c r="B476" s="101"/>
      <c r="C476" s="134"/>
      <c r="D476" s="174"/>
      <c r="E476" s="2"/>
      <c r="F476" s="168"/>
    </row>
    <row r="477" spans="1:6" ht="16.2" customHeight="1" x14ac:dyDescent="0.3">
      <c r="A477" s="210" t="s">
        <v>334</v>
      </c>
      <c r="B477" s="210"/>
      <c r="C477" s="210"/>
      <c r="D477" s="210"/>
      <c r="E477" s="210"/>
      <c r="F477" s="210"/>
    </row>
    <row r="478" spans="1:6" x14ac:dyDescent="0.3">
      <c r="A478" s="28">
        <v>2</v>
      </c>
      <c r="B478" s="29" t="s">
        <v>16</v>
      </c>
      <c r="C478" s="138"/>
      <c r="D478" s="168"/>
      <c r="E478" s="2"/>
      <c r="F478" s="164"/>
    </row>
    <row r="479" spans="1:6" x14ac:dyDescent="0.3">
      <c r="A479" s="75" t="s">
        <v>17</v>
      </c>
      <c r="B479" s="30" t="s">
        <v>18</v>
      </c>
      <c r="C479" s="40"/>
      <c r="D479" s="178"/>
      <c r="E479" s="97"/>
      <c r="F479" s="178"/>
    </row>
    <row r="480" spans="1:6" ht="16.2" customHeight="1" x14ac:dyDescent="0.3">
      <c r="A480" s="76" t="s">
        <v>19</v>
      </c>
      <c r="B480" s="34" t="s">
        <v>20</v>
      </c>
      <c r="C480" s="141"/>
      <c r="D480" s="183"/>
      <c r="E480" s="2"/>
      <c r="F480" s="164"/>
    </row>
    <row r="481" spans="1:10" ht="16.2" customHeight="1" x14ac:dyDescent="0.3">
      <c r="A481" s="76" t="s">
        <v>265</v>
      </c>
      <c r="B481" s="34" t="s">
        <v>266</v>
      </c>
      <c r="C481" s="141"/>
      <c r="D481" s="183"/>
      <c r="E481" s="2"/>
      <c r="F481" s="164"/>
    </row>
    <row r="482" spans="1:10" ht="16.2" customHeight="1" x14ac:dyDescent="0.3">
      <c r="A482" s="67" t="s">
        <v>335</v>
      </c>
      <c r="B482" s="101" t="s">
        <v>336</v>
      </c>
      <c r="C482" s="141" t="s">
        <v>25</v>
      </c>
      <c r="D482" s="183">
        <f>1*1*2</f>
        <v>2</v>
      </c>
      <c r="E482" s="2"/>
      <c r="F482" s="164">
        <f>E482*D482</f>
        <v>0</v>
      </c>
    </row>
    <row r="483" spans="1:10" ht="16.2" customHeight="1" x14ac:dyDescent="0.3">
      <c r="A483" s="77" t="s">
        <v>26</v>
      </c>
      <c r="B483" s="108" t="s">
        <v>27</v>
      </c>
      <c r="C483" s="141"/>
      <c r="D483" s="183"/>
      <c r="E483" s="2"/>
      <c r="F483" s="164"/>
    </row>
    <row r="484" spans="1:10" ht="16.2" customHeight="1" x14ac:dyDescent="0.3">
      <c r="A484" s="67" t="s">
        <v>28</v>
      </c>
      <c r="B484" s="101" t="s">
        <v>29</v>
      </c>
      <c r="C484" s="134" t="s">
        <v>25</v>
      </c>
      <c r="D484" s="183">
        <f>1*1*0.05</f>
        <v>0.05</v>
      </c>
      <c r="E484" s="2"/>
      <c r="F484" s="164">
        <f>E484*D484</f>
        <v>0</v>
      </c>
    </row>
    <row r="485" spans="1:10" ht="16.2" customHeight="1" x14ac:dyDescent="0.3">
      <c r="A485" s="76" t="s">
        <v>391</v>
      </c>
      <c r="B485" s="34" t="s">
        <v>37</v>
      </c>
      <c r="C485" s="134"/>
      <c r="D485" s="183"/>
      <c r="E485" s="2"/>
      <c r="F485" s="164"/>
    </row>
    <row r="486" spans="1:10" ht="16.2" customHeight="1" x14ac:dyDescent="0.3">
      <c r="A486" s="81" t="s">
        <v>273</v>
      </c>
      <c r="B486" s="86" t="s">
        <v>274</v>
      </c>
      <c r="C486" s="134"/>
      <c r="D486" s="183"/>
      <c r="E486" s="2"/>
      <c r="F486" s="164"/>
    </row>
    <row r="487" spans="1:10" ht="16.2" customHeight="1" x14ac:dyDescent="0.3">
      <c r="A487" s="83" t="s">
        <v>275</v>
      </c>
      <c r="B487" s="101" t="s">
        <v>337</v>
      </c>
      <c r="C487" s="141" t="s">
        <v>25</v>
      </c>
      <c r="D487" s="183">
        <f>1*1*0.1</f>
        <v>0.1</v>
      </c>
      <c r="E487" s="2"/>
      <c r="F487" s="164">
        <f>E487*D487</f>
        <v>0</v>
      </c>
    </row>
    <row r="488" spans="1:10" ht="16.2" customHeight="1" x14ac:dyDescent="0.3">
      <c r="A488" s="105"/>
      <c r="B488" s="27" t="s">
        <v>330</v>
      </c>
      <c r="C488" s="139"/>
      <c r="D488" s="182"/>
      <c r="E488" s="13"/>
      <c r="F488" s="158">
        <f>SUM(F482:F487)</f>
        <v>0</v>
      </c>
    </row>
    <row r="489" spans="1:10" ht="16.2" customHeight="1" thickBot="1" x14ac:dyDescent="0.35">
      <c r="A489" s="75" t="s">
        <v>49</v>
      </c>
      <c r="B489" s="30" t="s">
        <v>50</v>
      </c>
      <c r="C489" s="129"/>
      <c r="D489" s="175"/>
      <c r="E489" s="14"/>
      <c r="F489" s="175"/>
    </row>
    <row r="490" spans="1:10" ht="16.2" customHeight="1" thickBot="1" x14ac:dyDescent="0.35">
      <c r="A490" s="80" t="s">
        <v>51</v>
      </c>
      <c r="B490" s="79" t="s">
        <v>52</v>
      </c>
      <c r="C490" s="61"/>
      <c r="D490" s="169"/>
      <c r="E490" s="2"/>
      <c r="F490" s="164"/>
      <c r="J490" s="60"/>
    </row>
    <row r="491" spans="1:10" ht="16.2" customHeight="1" x14ac:dyDescent="0.3">
      <c r="A491" s="81" t="s">
        <v>55</v>
      </c>
      <c r="B491" s="86" t="s">
        <v>56</v>
      </c>
      <c r="C491" s="61"/>
      <c r="D491" s="169"/>
      <c r="E491" s="2"/>
      <c r="F491" s="164"/>
    </row>
    <row r="492" spans="1:10" ht="16.2" customHeight="1" x14ac:dyDescent="0.3">
      <c r="A492" s="83" t="s">
        <v>57</v>
      </c>
      <c r="B492" s="35" t="s">
        <v>331</v>
      </c>
      <c r="C492" s="61" t="s">
        <v>25</v>
      </c>
      <c r="D492" s="183">
        <f>1*4*0.2*2</f>
        <v>1.6</v>
      </c>
      <c r="E492" s="2"/>
      <c r="F492" s="164">
        <f>E492*D492</f>
        <v>0</v>
      </c>
    </row>
    <row r="493" spans="1:10" ht="16.2" customHeight="1" x14ac:dyDescent="0.3">
      <c r="A493" s="80" t="s">
        <v>338</v>
      </c>
      <c r="B493" s="108" t="s">
        <v>339</v>
      </c>
      <c r="C493" s="141" t="s">
        <v>84</v>
      </c>
      <c r="D493" s="183">
        <v>3</v>
      </c>
      <c r="E493" s="2"/>
      <c r="F493" s="164">
        <f>E493*D493</f>
        <v>0</v>
      </c>
    </row>
    <row r="494" spans="1:10" ht="16.2" customHeight="1" x14ac:dyDescent="0.3">
      <c r="A494" s="80" t="s">
        <v>340</v>
      </c>
      <c r="B494" s="108" t="s">
        <v>341</v>
      </c>
      <c r="C494" s="141" t="s">
        <v>25</v>
      </c>
      <c r="D494" s="183">
        <v>3.8</v>
      </c>
      <c r="E494" s="2"/>
      <c r="F494" s="164">
        <f>E494*D494</f>
        <v>0</v>
      </c>
    </row>
    <row r="495" spans="1:10" ht="16.2" customHeight="1" x14ac:dyDescent="0.3">
      <c r="A495" s="105"/>
      <c r="B495" s="27" t="s">
        <v>330</v>
      </c>
      <c r="C495" s="139"/>
      <c r="D495" s="182"/>
      <c r="E495" s="13"/>
      <c r="F495" s="158">
        <f>SUM(F492:F494)</f>
        <v>0</v>
      </c>
    </row>
    <row r="496" spans="1:10" ht="16.2" customHeight="1" x14ac:dyDescent="0.3">
      <c r="A496" s="103"/>
      <c r="B496" s="101"/>
      <c r="C496" s="134"/>
      <c r="D496" s="174"/>
      <c r="E496" s="2"/>
      <c r="F496" s="164"/>
    </row>
    <row r="497" spans="1:6" ht="15" customHeight="1" x14ac:dyDescent="0.3">
      <c r="A497" s="73"/>
      <c r="B497" s="58" t="s">
        <v>392</v>
      </c>
      <c r="C497" s="128"/>
      <c r="D497" s="160"/>
      <c r="E497" s="59"/>
      <c r="F497" s="160">
        <f>SUM(F480:F496)/2</f>
        <v>0</v>
      </c>
    </row>
    <row r="498" spans="1:6" ht="15" customHeight="1" x14ac:dyDescent="0.3">
      <c r="A498" s="103"/>
      <c r="B498" s="104"/>
      <c r="C498" s="138"/>
      <c r="D498" s="168"/>
      <c r="E498" s="2"/>
      <c r="F498" s="164"/>
    </row>
    <row r="499" spans="1:6" ht="15" customHeight="1" x14ac:dyDescent="0.3">
      <c r="A499" s="210" t="s">
        <v>342</v>
      </c>
      <c r="B499" s="210"/>
      <c r="C499" s="210"/>
      <c r="D499" s="210"/>
      <c r="E499" s="210"/>
      <c r="F499" s="210"/>
    </row>
    <row r="500" spans="1:6" ht="15" customHeight="1" x14ac:dyDescent="0.3">
      <c r="A500" s="28">
        <v>2</v>
      </c>
      <c r="B500" s="29" t="s">
        <v>16</v>
      </c>
      <c r="C500" s="138"/>
      <c r="D500" s="168"/>
      <c r="E500" s="2"/>
      <c r="F500" s="164"/>
    </row>
    <row r="501" spans="1:6" ht="15" customHeight="1" x14ac:dyDescent="0.3">
      <c r="A501" s="75" t="s">
        <v>17</v>
      </c>
      <c r="B501" s="30" t="s">
        <v>18</v>
      </c>
      <c r="C501" s="40"/>
      <c r="D501" s="178"/>
      <c r="E501" s="97"/>
      <c r="F501" s="178"/>
    </row>
    <row r="502" spans="1:6" ht="15" customHeight="1" x14ac:dyDescent="0.3">
      <c r="A502" s="76" t="s">
        <v>19</v>
      </c>
      <c r="B502" s="34" t="s">
        <v>20</v>
      </c>
      <c r="C502" s="141"/>
      <c r="D502" s="183"/>
      <c r="E502" s="2"/>
      <c r="F502" s="164"/>
    </row>
    <row r="503" spans="1:6" ht="15" customHeight="1" x14ac:dyDescent="0.3">
      <c r="A503" s="76" t="s">
        <v>265</v>
      </c>
      <c r="B503" s="34" t="s">
        <v>266</v>
      </c>
      <c r="C503" s="141"/>
      <c r="D503" s="183"/>
      <c r="E503" s="2"/>
      <c r="F503" s="164"/>
    </row>
    <row r="504" spans="1:6" ht="15" customHeight="1" x14ac:dyDescent="0.3">
      <c r="A504" s="67" t="s">
        <v>335</v>
      </c>
      <c r="B504" s="101" t="s">
        <v>336</v>
      </c>
      <c r="C504" s="141" t="s">
        <v>25</v>
      </c>
      <c r="D504" s="183">
        <f>1*1*2</f>
        <v>2</v>
      </c>
      <c r="E504" s="2"/>
      <c r="F504" s="164">
        <f>E504*D504</f>
        <v>0</v>
      </c>
    </row>
    <row r="505" spans="1:6" ht="15" customHeight="1" x14ac:dyDescent="0.3">
      <c r="A505" s="77" t="s">
        <v>26</v>
      </c>
      <c r="B505" s="108" t="s">
        <v>27</v>
      </c>
      <c r="C505" s="141"/>
      <c r="D505" s="183"/>
      <c r="E505" s="2"/>
      <c r="F505" s="164"/>
    </row>
    <row r="506" spans="1:6" ht="15" customHeight="1" x14ac:dyDescent="0.3">
      <c r="A506" s="67" t="s">
        <v>28</v>
      </c>
      <c r="B506" s="101" t="s">
        <v>29</v>
      </c>
      <c r="C506" s="134" t="s">
        <v>25</v>
      </c>
      <c r="D506" s="183">
        <f>1*1*0.05</f>
        <v>0.05</v>
      </c>
      <c r="E506" s="2"/>
      <c r="F506" s="164">
        <f>E506*D506</f>
        <v>0</v>
      </c>
    </row>
    <row r="507" spans="1:6" ht="15" customHeight="1" x14ac:dyDescent="0.3">
      <c r="A507" s="77" t="s">
        <v>294</v>
      </c>
      <c r="B507" s="102" t="s">
        <v>37</v>
      </c>
      <c r="C507" s="134"/>
      <c r="D507" s="183"/>
      <c r="E507" s="2"/>
      <c r="F507" s="164"/>
    </row>
    <row r="508" spans="1:6" ht="15" customHeight="1" x14ac:dyDescent="0.3">
      <c r="A508" s="81" t="s">
        <v>273</v>
      </c>
      <c r="B508" s="86" t="s">
        <v>274</v>
      </c>
      <c r="C508" s="134"/>
      <c r="D508" s="183"/>
      <c r="E508" s="2"/>
      <c r="F508" s="164"/>
    </row>
    <row r="509" spans="1:6" ht="15" customHeight="1" x14ac:dyDescent="0.3">
      <c r="A509" s="83" t="s">
        <v>275</v>
      </c>
      <c r="B509" s="108" t="s">
        <v>337</v>
      </c>
      <c r="C509" s="141" t="s">
        <v>25</v>
      </c>
      <c r="D509" s="183">
        <f>1*1*0.1</f>
        <v>0.1</v>
      </c>
      <c r="E509" s="2"/>
      <c r="F509" s="164">
        <f>E509*D509</f>
        <v>0</v>
      </c>
    </row>
    <row r="510" spans="1:6" ht="15" customHeight="1" x14ac:dyDescent="0.3">
      <c r="A510" s="105"/>
      <c r="B510" s="27"/>
      <c r="C510" s="139"/>
      <c r="D510" s="182"/>
      <c r="E510" s="13"/>
      <c r="F510" s="158">
        <f>SUM(F504:F509)</f>
        <v>0</v>
      </c>
    </row>
    <row r="511" spans="1:6" ht="15" customHeight="1" x14ac:dyDescent="0.3">
      <c r="A511" s="75" t="s">
        <v>49</v>
      </c>
      <c r="B511" s="30" t="s">
        <v>50</v>
      </c>
      <c r="C511" s="129"/>
      <c r="D511" s="175"/>
      <c r="E511" s="14"/>
      <c r="F511" s="175"/>
    </row>
    <row r="512" spans="1:6" ht="15" customHeight="1" x14ac:dyDescent="0.3">
      <c r="A512" s="80" t="s">
        <v>51</v>
      </c>
      <c r="B512" s="79" t="s">
        <v>52</v>
      </c>
      <c r="C512" s="61"/>
      <c r="D512" s="169"/>
      <c r="E512" s="2"/>
      <c r="F512" s="164"/>
    </row>
    <row r="513" spans="1:6" ht="15" customHeight="1" x14ac:dyDescent="0.3">
      <c r="A513" s="81" t="s">
        <v>55</v>
      </c>
      <c r="B513" s="86" t="s">
        <v>56</v>
      </c>
      <c r="C513" s="61"/>
      <c r="D513" s="169"/>
      <c r="E513" s="2"/>
      <c r="F513" s="164"/>
    </row>
    <row r="514" spans="1:6" ht="15" customHeight="1" x14ac:dyDescent="0.3">
      <c r="A514" s="83" t="s">
        <v>57</v>
      </c>
      <c r="B514" s="35" t="s">
        <v>331</v>
      </c>
      <c r="C514" s="61" t="s">
        <v>25</v>
      </c>
      <c r="D514" s="183">
        <f>1*4*0.2*2</f>
        <v>1.6</v>
      </c>
      <c r="E514" s="2"/>
      <c r="F514" s="164">
        <f>E514*D514</f>
        <v>0</v>
      </c>
    </row>
    <row r="515" spans="1:6" ht="15" customHeight="1" x14ac:dyDescent="0.3">
      <c r="A515" s="80" t="s">
        <v>338</v>
      </c>
      <c r="B515" s="92" t="s">
        <v>339</v>
      </c>
      <c r="C515" s="141" t="s">
        <v>84</v>
      </c>
      <c r="D515" s="183">
        <v>3</v>
      </c>
      <c r="E515" s="2"/>
      <c r="F515" s="164">
        <f>E515*D515</f>
        <v>0</v>
      </c>
    </row>
    <row r="516" spans="1:6" ht="15" customHeight="1" x14ac:dyDescent="0.3">
      <c r="A516" s="80" t="s">
        <v>340</v>
      </c>
      <c r="B516" s="92" t="s">
        <v>343</v>
      </c>
      <c r="C516" s="141" t="s">
        <v>25</v>
      </c>
      <c r="D516" s="183">
        <v>3.8</v>
      </c>
      <c r="E516" s="2"/>
      <c r="F516" s="164">
        <f>E516*D516</f>
        <v>0</v>
      </c>
    </row>
    <row r="517" spans="1:6" ht="15" customHeight="1" x14ac:dyDescent="0.3">
      <c r="A517" s="105"/>
      <c r="B517" s="27" t="s">
        <v>330</v>
      </c>
      <c r="C517" s="139"/>
      <c r="D517" s="182"/>
      <c r="E517" s="13"/>
      <c r="F517" s="158">
        <f>SUM(F514:F516)</f>
        <v>0</v>
      </c>
    </row>
    <row r="518" spans="1:6" ht="15" customHeight="1" x14ac:dyDescent="0.3">
      <c r="A518" s="103"/>
      <c r="B518" s="101"/>
      <c r="C518" s="134"/>
      <c r="D518" s="174"/>
      <c r="E518" s="2"/>
      <c r="F518" s="164"/>
    </row>
    <row r="519" spans="1:6" ht="15" customHeight="1" x14ac:dyDescent="0.3">
      <c r="A519" s="73"/>
      <c r="B519" s="58" t="s">
        <v>344</v>
      </c>
      <c r="C519" s="128"/>
      <c r="D519" s="160"/>
      <c r="E519" s="59"/>
      <c r="F519" s="160">
        <f>SUM(F502:F518)/2</f>
        <v>0</v>
      </c>
    </row>
    <row r="520" spans="1:6" ht="15" customHeight="1" x14ac:dyDescent="0.3">
      <c r="A520" s="28"/>
      <c r="B520" s="29"/>
      <c r="C520" s="93"/>
      <c r="D520" s="161"/>
      <c r="E520" s="7"/>
      <c r="F520" s="161"/>
    </row>
    <row r="521" spans="1:6" ht="15" customHeight="1" x14ac:dyDescent="0.3">
      <c r="A521" s="210" t="s">
        <v>345</v>
      </c>
      <c r="B521" s="210"/>
      <c r="C521" s="210"/>
      <c r="D521" s="210"/>
      <c r="E521" s="210"/>
      <c r="F521" s="210"/>
    </row>
    <row r="522" spans="1:6" x14ac:dyDescent="0.3">
      <c r="A522" s="28">
        <v>2</v>
      </c>
      <c r="B522" s="29" t="s">
        <v>16</v>
      </c>
      <c r="C522" s="138"/>
      <c r="D522" s="168"/>
      <c r="E522" s="2"/>
      <c r="F522" s="164"/>
    </row>
    <row r="523" spans="1:6" x14ac:dyDescent="0.3">
      <c r="A523" s="75" t="s">
        <v>17</v>
      </c>
      <c r="B523" s="30" t="s">
        <v>18</v>
      </c>
      <c r="C523" s="40"/>
      <c r="D523" s="178"/>
      <c r="E523" s="97"/>
      <c r="F523" s="178"/>
    </row>
    <row r="524" spans="1:6" ht="16.2" customHeight="1" x14ac:dyDescent="0.3">
      <c r="A524" s="76" t="s">
        <v>19</v>
      </c>
      <c r="B524" s="34" t="s">
        <v>20</v>
      </c>
      <c r="C524" s="141"/>
      <c r="D524" s="183"/>
      <c r="E524" s="2"/>
      <c r="F524" s="164"/>
    </row>
    <row r="525" spans="1:6" ht="16.2" customHeight="1" x14ac:dyDescent="0.3">
      <c r="A525" s="76" t="s">
        <v>265</v>
      </c>
      <c r="B525" s="34" t="s">
        <v>266</v>
      </c>
      <c r="C525" s="141"/>
      <c r="D525" s="183"/>
      <c r="E525" s="2"/>
      <c r="F525" s="164"/>
    </row>
    <row r="526" spans="1:6" ht="16.2" customHeight="1" x14ac:dyDescent="0.3">
      <c r="A526" s="67" t="s">
        <v>346</v>
      </c>
      <c r="B526" s="101" t="s">
        <v>347</v>
      </c>
      <c r="C526" s="141" t="s">
        <v>25</v>
      </c>
      <c r="D526" s="183">
        <f>1*2*2</f>
        <v>4</v>
      </c>
      <c r="E526" s="2"/>
      <c r="F526" s="164">
        <f>E526*D526</f>
        <v>0</v>
      </c>
    </row>
    <row r="527" spans="1:6" ht="16.2" customHeight="1" x14ac:dyDescent="0.3">
      <c r="A527" s="105"/>
      <c r="B527" s="27" t="s">
        <v>330</v>
      </c>
      <c r="C527" s="139"/>
      <c r="D527" s="185"/>
      <c r="E527" s="13"/>
      <c r="F527" s="185">
        <f>SUM(F526)</f>
        <v>0</v>
      </c>
    </row>
    <row r="528" spans="1:6" ht="16.2" customHeight="1" x14ac:dyDescent="0.3">
      <c r="A528" s="103"/>
      <c r="B528" s="104"/>
      <c r="C528" s="138"/>
      <c r="D528" s="168"/>
      <c r="E528" s="2"/>
      <c r="F528" s="164"/>
    </row>
    <row r="529" spans="1:6" ht="16.2" customHeight="1" x14ac:dyDescent="0.3">
      <c r="A529" s="73"/>
      <c r="B529" s="58" t="s">
        <v>348</v>
      </c>
      <c r="C529" s="128"/>
      <c r="D529" s="160"/>
      <c r="E529" s="59"/>
      <c r="F529" s="160">
        <f>SUM(F526:F527)/2</f>
        <v>0</v>
      </c>
    </row>
    <row r="530" spans="1:6" ht="16.2" customHeight="1" x14ac:dyDescent="0.3">
      <c r="A530" s="103"/>
      <c r="B530" s="104"/>
      <c r="C530" s="138"/>
      <c r="D530" s="168"/>
      <c r="E530" s="2"/>
      <c r="F530" s="164"/>
    </row>
    <row r="531" spans="1:6" ht="16.2" customHeight="1" x14ac:dyDescent="0.3">
      <c r="A531" s="210" t="s">
        <v>393</v>
      </c>
      <c r="B531" s="210"/>
      <c r="C531" s="210"/>
      <c r="D531" s="210"/>
      <c r="E531" s="210"/>
      <c r="F531" s="210"/>
    </row>
    <row r="532" spans="1:6" ht="15" customHeight="1" x14ac:dyDescent="0.3">
      <c r="A532" s="75" t="s">
        <v>49</v>
      </c>
      <c r="B532" s="30" t="s">
        <v>50</v>
      </c>
      <c r="C532" s="129"/>
      <c r="D532" s="175"/>
      <c r="E532" s="14"/>
      <c r="F532" s="175"/>
    </row>
    <row r="533" spans="1:6" ht="43.95" customHeight="1" x14ac:dyDescent="0.3">
      <c r="A533" s="109" t="s">
        <v>349</v>
      </c>
      <c r="B533" s="55" t="s">
        <v>350</v>
      </c>
      <c r="C533" s="61" t="s">
        <v>84</v>
      </c>
      <c r="D533" s="168">
        <v>23</v>
      </c>
      <c r="E533" s="2"/>
      <c r="F533" s="164">
        <f>E533*D533</f>
        <v>0</v>
      </c>
    </row>
    <row r="534" spans="1:6" ht="16.2" customHeight="1" x14ac:dyDescent="0.3">
      <c r="A534" s="26"/>
      <c r="B534" s="27" t="s">
        <v>330</v>
      </c>
      <c r="C534" s="94"/>
      <c r="D534" s="158"/>
      <c r="E534" s="1"/>
      <c r="F534" s="158">
        <f>SUM(F533)</f>
        <v>0</v>
      </c>
    </row>
    <row r="535" spans="1:6" ht="16.2" customHeight="1" x14ac:dyDescent="0.3">
      <c r="A535" s="28"/>
      <c r="B535" s="29"/>
      <c r="C535" s="93"/>
      <c r="D535" s="161"/>
      <c r="E535" s="7"/>
      <c r="F535" s="161"/>
    </row>
    <row r="536" spans="1:6" x14ac:dyDescent="0.3">
      <c r="A536" s="73"/>
      <c r="B536" s="58" t="s">
        <v>394</v>
      </c>
      <c r="C536" s="128"/>
      <c r="D536" s="160"/>
      <c r="E536" s="59"/>
      <c r="F536" s="160">
        <f>SUM(F533:F535)/2</f>
        <v>0</v>
      </c>
    </row>
    <row r="537" spans="1:6" x14ac:dyDescent="0.3">
      <c r="A537" s="2"/>
      <c r="B537" s="107"/>
      <c r="C537" s="140"/>
      <c r="D537" s="152"/>
      <c r="E537" s="33"/>
      <c r="F537" s="152"/>
    </row>
    <row r="538" spans="1:6" ht="15.45" customHeight="1" x14ac:dyDescent="0.3">
      <c r="A538" s="210" t="s">
        <v>395</v>
      </c>
      <c r="B538" s="210"/>
      <c r="C538" s="210"/>
      <c r="D538" s="210"/>
      <c r="E538" s="210"/>
      <c r="F538" s="210"/>
    </row>
    <row r="539" spans="1:6" x14ac:dyDescent="0.3">
      <c r="A539" s="45">
        <v>1</v>
      </c>
      <c r="B539" s="44" t="s">
        <v>9</v>
      </c>
      <c r="C539" s="44"/>
      <c r="D539" s="46"/>
      <c r="E539" s="46"/>
      <c r="F539" s="46"/>
    </row>
    <row r="540" spans="1:6" ht="26.4" x14ac:dyDescent="0.3">
      <c r="A540" s="48" t="s">
        <v>396</v>
      </c>
      <c r="B540" s="47" t="s">
        <v>397</v>
      </c>
      <c r="C540" s="47" t="s">
        <v>138</v>
      </c>
      <c r="D540" s="49">
        <v>64.5</v>
      </c>
      <c r="E540" s="49"/>
      <c r="F540" s="49">
        <f>+D540*E540</f>
        <v>0</v>
      </c>
    </row>
    <row r="541" spans="1:6" x14ac:dyDescent="0.3">
      <c r="A541" s="48" t="s">
        <v>398</v>
      </c>
      <c r="B541" s="47" t="s">
        <v>399</v>
      </c>
      <c r="C541" s="142" t="s">
        <v>97</v>
      </c>
      <c r="D541" s="49">
        <v>4</v>
      </c>
      <c r="E541" s="49"/>
      <c r="F541" s="49">
        <f>+D541*E541</f>
        <v>0</v>
      </c>
    </row>
    <row r="542" spans="1:6" x14ac:dyDescent="0.3">
      <c r="A542" s="48" t="s">
        <v>400</v>
      </c>
      <c r="B542" s="47" t="s">
        <v>401</v>
      </c>
      <c r="C542" s="142" t="s">
        <v>235</v>
      </c>
      <c r="D542" s="49">
        <v>5</v>
      </c>
      <c r="E542" s="49"/>
      <c r="F542" s="49">
        <f>+D542*E542</f>
        <v>0</v>
      </c>
    </row>
    <row r="543" spans="1:6" ht="26.4" x14ac:dyDescent="0.3">
      <c r="A543" s="48" t="s">
        <v>402</v>
      </c>
      <c r="B543" s="47" t="s">
        <v>403</v>
      </c>
      <c r="C543" s="142" t="s">
        <v>404</v>
      </c>
      <c r="D543" s="49">
        <v>1</v>
      </c>
      <c r="E543" s="49"/>
      <c r="F543" s="49">
        <f>+D543*E543</f>
        <v>0</v>
      </c>
    </row>
    <row r="544" spans="1:6" ht="34.950000000000003" customHeight="1" x14ac:dyDescent="0.3">
      <c r="A544" s="48" t="s">
        <v>405</v>
      </c>
      <c r="B544" s="47" t="s">
        <v>406</v>
      </c>
      <c r="C544" s="143" t="s">
        <v>264</v>
      </c>
      <c r="D544" s="50">
        <v>6</v>
      </c>
      <c r="E544" s="50"/>
      <c r="F544" s="49">
        <f>+D544*E544</f>
        <v>0</v>
      </c>
    </row>
    <row r="545" spans="1:6" x14ac:dyDescent="0.3">
      <c r="A545" s="52"/>
      <c r="B545" s="51" t="s">
        <v>407</v>
      </c>
      <c r="C545" s="51"/>
      <c r="D545" s="53"/>
      <c r="E545" s="53"/>
      <c r="F545" s="53">
        <f>SUM(F540:F544)</f>
        <v>0</v>
      </c>
    </row>
    <row r="546" spans="1:6" x14ac:dyDescent="0.3">
      <c r="A546" s="28">
        <v>2</v>
      </c>
      <c r="B546" s="29" t="s">
        <v>16</v>
      </c>
      <c r="C546" s="144"/>
      <c r="D546" s="186"/>
      <c r="E546" s="54"/>
      <c r="F546" s="186"/>
    </row>
    <row r="547" spans="1:6" x14ac:dyDescent="0.3">
      <c r="A547" s="28"/>
      <c r="B547" s="29"/>
      <c r="C547" s="93"/>
      <c r="D547" s="161"/>
      <c r="E547" s="7"/>
      <c r="F547" s="161"/>
    </row>
    <row r="548" spans="1:6" x14ac:dyDescent="0.3">
      <c r="A548" s="75" t="s">
        <v>49</v>
      </c>
      <c r="B548" s="30" t="s">
        <v>50</v>
      </c>
      <c r="C548" s="129"/>
      <c r="D548" s="162"/>
      <c r="E548" s="14"/>
      <c r="F548" s="162"/>
    </row>
    <row r="549" spans="1:6" x14ac:dyDescent="0.3">
      <c r="A549" s="80" t="s">
        <v>51</v>
      </c>
      <c r="B549" s="32" t="s">
        <v>52</v>
      </c>
      <c r="C549" s="61"/>
      <c r="D549" s="164"/>
      <c r="E549" s="2"/>
      <c r="F549" s="164"/>
    </row>
    <row r="550" spans="1:6" ht="14.4" x14ac:dyDescent="0.3">
      <c r="A550" s="81" t="s">
        <v>55</v>
      </c>
      <c r="B550" s="86" t="s">
        <v>56</v>
      </c>
      <c r="C550" s="61"/>
      <c r="D550" s="164"/>
      <c r="E550" s="2"/>
      <c r="F550" s="164"/>
    </row>
    <row r="551" spans="1:6" ht="30.6" customHeight="1" x14ac:dyDescent="0.3">
      <c r="A551" s="83" t="s">
        <v>57</v>
      </c>
      <c r="B551" s="35" t="s">
        <v>408</v>
      </c>
      <c r="C551" s="61" t="s">
        <v>25</v>
      </c>
      <c r="D551" s="164">
        <f>6*0.2*2.2</f>
        <v>2.6400000000000006</v>
      </c>
      <c r="E551" s="2"/>
      <c r="F551" s="164">
        <f>E551*D551</f>
        <v>0</v>
      </c>
    </row>
    <row r="552" spans="1:6" ht="30.6" customHeight="1" x14ac:dyDescent="0.3">
      <c r="A552" s="80" t="s">
        <v>70</v>
      </c>
      <c r="B552" s="35" t="s">
        <v>409</v>
      </c>
      <c r="C552" s="61" t="s">
        <v>264</v>
      </c>
      <c r="D552" s="164">
        <v>1.3</v>
      </c>
      <c r="E552" s="2"/>
      <c r="F552" s="164">
        <f>E552*D552</f>
        <v>0</v>
      </c>
    </row>
    <row r="553" spans="1:6" x14ac:dyDescent="0.3">
      <c r="A553" s="26"/>
      <c r="B553" s="27" t="s">
        <v>71</v>
      </c>
      <c r="C553" s="27"/>
      <c r="D553" s="165"/>
      <c r="E553" s="26"/>
      <c r="F553" s="165">
        <f>SUM(F551:F552)</f>
        <v>0</v>
      </c>
    </row>
    <row r="554" spans="1:6" x14ac:dyDescent="0.3">
      <c r="A554" s="28"/>
      <c r="B554" s="29"/>
      <c r="C554" s="29"/>
      <c r="D554" s="166"/>
      <c r="E554" s="28"/>
      <c r="F554" s="166"/>
    </row>
    <row r="555" spans="1:6" x14ac:dyDescent="0.3">
      <c r="A555" s="56" t="s">
        <v>72</v>
      </c>
      <c r="B555" s="36" t="s">
        <v>73</v>
      </c>
      <c r="C555" s="96"/>
      <c r="D555" s="167"/>
      <c r="E555" s="37"/>
      <c r="F555" s="167"/>
    </row>
    <row r="556" spans="1:6" x14ac:dyDescent="0.3">
      <c r="A556" s="80" t="s">
        <v>85</v>
      </c>
      <c r="B556" s="35" t="s">
        <v>86</v>
      </c>
      <c r="C556" s="61" t="s">
        <v>84</v>
      </c>
      <c r="D556" s="168">
        <v>72</v>
      </c>
      <c r="E556" s="2"/>
      <c r="F556" s="164">
        <f>E556*D556</f>
        <v>0</v>
      </c>
    </row>
    <row r="557" spans="1:6" ht="41.4" x14ac:dyDescent="0.3">
      <c r="A557" s="80" t="s">
        <v>87</v>
      </c>
      <c r="B557" s="55" t="s">
        <v>88</v>
      </c>
      <c r="C557" s="61" t="s">
        <v>12</v>
      </c>
      <c r="D557" s="168">
        <f>+((4.11+2.4)*12.42)</f>
        <v>80.854199999999992</v>
      </c>
      <c r="E557" s="2"/>
      <c r="F557" s="164">
        <f>E557*D557</f>
        <v>0</v>
      </c>
    </row>
    <row r="558" spans="1:6" x14ac:dyDescent="0.3">
      <c r="A558" s="26"/>
      <c r="B558" s="27" t="s">
        <v>89</v>
      </c>
      <c r="C558" s="94"/>
      <c r="D558" s="158"/>
      <c r="E558" s="1"/>
      <c r="F558" s="158">
        <f>SUM(F556:F557)</f>
        <v>0</v>
      </c>
    </row>
    <row r="559" spans="1:6" x14ac:dyDescent="0.3">
      <c r="A559" s="28"/>
      <c r="B559" s="55"/>
      <c r="C559" s="93"/>
      <c r="D559" s="161"/>
      <c r="E559" s="7"/>
      <c r="F559" s="161"/>
    </row>
    <row r="560" spans="1:6" x14ac:dyDescent="0.3">
      <c r="A560" s="28">
        <v>3</v>
      </c>
      <c r="B560" s="29" t="s">
        <v>90</v>
      </c>
      <c r="C560" s="93"/>
      <c r="D560" s="161"/>
      <c r="E560" s="7"/>
      <c r="F560" s="161"/>
    </row>
    <row r="561" spans="1:6" x14ac:dyDescent="0.3">
      <c r="A561" s="56" t="s">
        <v>91</v>
      </c>
      <c r="B561" s="36" t="s">
        <v>92</v>
      </c>
      <c r="C561" s="96"/>
      <c r="D561" s="167"/>
      <c r="E561" s="37"/>
      <c r="F561" s="167"/>
    </row>
    <row r="562" spans="1:6" x14ac:dyDescent="0.3">
      <c r="A562" s="76" t="s">
        <v>93</v>
      </c>
      <c r="B562" s="34" t="s">
        <v>94</v>
      </c>
      <c r="C562" s="93"/>
      <c r="D562" s="161"/>
      <c r="E562" s="7"/>
      <c r="F562" s="161"/>
    </row>
    <row r="563" spans="1:6" ht="27.6" x14ac:dyDescent="0.3">
      <c r="A563" s="80" t="s">
        <v>98</v>
      </c>
      <c r="B563" s="35" t="s">
        <v>99</v>
      </c>
      <c r="C563" s="61" t="s">
        <v>97</v>
      </c>
      <c r="D563" s="168">
        <v>1</v>
      </c>
      <c r="E563" s="3"/>
      <c r="F563" s="164">
        <f>E563*D563</f>
        <v>0</v>
      </c>
    </row>
    <row r="564" spans="1:6" x14ac:dyDescent="0.3">
      <c r="A564" s="80" t="s">
        <v>102</v>
      </c>
      <c r="B564" s="35" t="s">
        <v>103</v>
      </c>
      <c r="C564" s="61" t="s">
        <v>97</v>
      </c>
      <c r="D564" s="168">
        <v>2</v>
      </c>
      <c r="E564" s="3"/>
      <c r="F564" s="164">
        <f>E564*D564</f>
        <v>0</v>
      </c>
    </row>
    <row r="565" spans="1:6" x14ac:dyDescent="0.3">
      <c r="A565" s="76" t="s">
        <v>106</v>
      </c>
      <c r="B565" s="34" t="s">
        <v>107</v>
      </c>
      <c r="C565" s="98"/>
      <c r="D565" s="168"/>
      <c r="E565" s="3"/>
      <c r="F565" s="164"/>
    </row>
    <row r="566" spans="1:6" ht="14.4" x14ac:dyDescent="0.3">
      <c r="A566" s="85" t="s">
        <v>410</v>
      </c>
      <c r="B566" s="99" t="s">
        <v>411</v>
      </c>
      <c r="C566" s="61" t="s">
        <v>97</v>
      </c>
      <c r="D566" s="168">
        <v>6</v>
      </c>
      <c r="E566" s="3"/>
      <c r="F566" s="164">
        <f>E566*D566</f>
        <v>0</v>
      </c>
    </row>
    <row r="567" spans="1:6" ht="27.6" x14ac:dyDescent="0.3">
      <c r="A567" s="85" t="s">
        <v>412</v>
      </c>
      <c r="B567" s="35" t="s">
        <v>413</v>
      </c>
      <c r="C567" s="61" t="s">
        <v>97</v>
      </c>
      <c r="D567" s="168">
        <v>6</v>
      </c>
      <c r="E567" s="2"/>
      <c r="F567" s="164">
        <f>E567*D567</f>
        <v>0</v>
      </c>
    </row>
    <row r="568" spans="1:6" ht="27.6" x14ac:dyDescent="0.3">
      <c r="A568" s="85" t="s">
        <v>414</v>
      </c>
      <c r="B568" s="35" t="s">
        <v>415</v>
      </c>
      <c r="C568" s="61" t="s">
        <v>97</v>
      </c>
      <c r="D568" s="168">
        <v>2</v>
      </c>
      <c r="E568" s="2"/>
      <c r="F568" s="164">
        <f>E568*D568</f>
        <v>0</v>
      </c>
    </row>
    <row r="569" spans="1:6" x14ac:dyDescent="0.3">
      <c r="A569" s="26"/>
      <c r="B569" s="27" t="s">
        <v>126</v>
      </c>
      <c r="C569" s="94"/>
      <c r="D569" s="158"/>
      <c r="E569" s="1"/>
      <c r="F569" s="158">
        <f>SUM(F563:F568)</f>
        <v>0</v>
      </c>
    </row>
    <row r="570" spans="1:6" x14ac:dyDescent="0.3">
      <c r="A570" s="28"/>
      <c r="B570" s="29"/>
      <c r="C570" s="93"/>
      <c r="D570" s="161"/>
      <c r="E570" s="7"/>
      <c r="F570" s="161"/>
    </row>
    <row r="571" spans="1:6" x14ac:dyDescent="0.3">
      <c r="A571" s="56" t="s">
        <v>127</v>
      </c>
      <c r="B571" s="36" t="s">
        <v>128</v>
      </c>
      <c r="C571" s="40"/>
      <c r="D571" s="167"/>
      <c r="E571" s="37"/>
      <c r="F571" s="167"/>
    </row>
    <row r="572" spans="1:6" ht="27.6" x14ac:dyDescent="0.3">
      <c r="A572" s="80" t="s">
        <v>129</v>
      </c>
      <c r="B572" s="35" t="s">
        <v>130</v>
      </c>
      <c r="C572" s="61" t="s">
        <v>12</v>
      </c>
      <c r="D572" s="164">
        <f>6*2*2.2</f>
        <v>26.400000000000002</v>
      </c>
      <c r="E572" s="2"/>
      <c r="F572" s="164">
        <f>E572*D572</f>
        <v>0</v>
      </c>
    </row>
    <row r="573" spans="1:6" ht="27.6" x14ac:dyDescent="0.3">
      <c r="A573" s="83" t="s">
        <v>131</v>
      </c>
      <c r="B573" s="35" t="s">
        <v>416</v>
      </c>
      <c r="C573" s="61" t="s">
        <v>12</v>
      </c>
      <c r="D573" s="164">
        <v>18</v>
      </c>
      <c r="E573" s="2"/>
      <c r="F573" s="164">
        <f>E573*D573</f>
        <v>0</v>
      </c>
    </row>
    <row r="574" spans="1:6" x14ac:dyDescent="0.3">
      <c r="A574" s="80" t="s">
        <v>134</v>
      </c>
      <c r="B574" s="35" t="s">
        <v>417</v>
      </c>
      <c r="C574" s="61" t="s">
        <v>12</v>
      </c>
      <c r="D574" s="164">
        <f>36*1.6</f>
        <v>57.6</v>
      </c>
      <c r="E574" s="2"/>
      <c r="F574" s="164">
        <f>E574*D574</f>
        <v>0</v>
      </c>
    </row>
    <row r="575" spans="1:6" x14ac:dyDescent="0.3">
      <c r="A575" s="80" t="s">
        <v>136</v>
      </c>
      <c r="B575" s="35" t="s">
        <v>252</v>
      </c>
      <c r="C575" s="61" t="s">
        <v>138</v>
      </c>
      <c r="D575" s="164">
        <f>4.11*12.42*1.2</f>
        <v>61.255440000000007</v>
      </c>
      <c r="E575" s="2"/>
      <c r="F575" s="164">
        <f>E575*D575</f>
        <v>0</v>
      </c>
    </row>
    <row r="576" spans="1:6" x14ac:dyDescent="0.3">
      <c r="A576" s="80"/>
      <c r="B576" s="35"/>
      <c r="C576" s="61"/>
      <c r="D576" s="164"/>
      <c r="E576" s="2"/>
      <c r="F576" s="164"/>
    </row>
    <row r="577" spans="1:6" x14ac:dyDescent="0.3">
      <c r="A577" s="26"/>
      <c r="B577" s="27" t="s">
        <v>139</v>
      </c>
      <c r="C577" s="94" t="s">
        <v>140</v>
      </c>
      <c r="D577" s="158"/>
      <c r="E577" s="1"/>
      <c r="F577" s="158">
        <f>SUM(F572:F575)</f>
        <v>0</v>
      </c>
    </row>
    <row r="578" spans="1:6" x14ac:dyDescent="0.3">
      <c r="A578" s="28"/>
      <c r="B578" s="29"/>
      <c r="C578" s="93"/>
      <c r="D578" s="161"/>
      <c r="E578" s="7"/>
      <c r="F578" s="161"/>
    </row>
    <row r="579" spans="1:6" x14ac:dyDescent="0.3">
      <c r="A579" s="56" t="s">
        <v>141</v>
      </c>
      <c r="B579" s="40" t="s">
        <v>142</v>
      </c>
      <c r="C579" s="96"/>
      <c r="D579" s="167"/>
      <c r="E579" s="37"/>
      <c r="F579" s="167"/>
    </row>
    <row r="580" spans="1:6" x14ac:dyDescent="0.3">
      <c r="A580" s="76" t="s">
        <v>143</v>
      </c>
      <c r="B580" s="57" t="s">
        <v>144</v>
      </c>
      <c r="C580" s="98"/>
      <c r="D580" s="163"/>
      <c r="E580" s="8"/>
      <c r="F580" s="163"/>
    </row>
    <row r="581" spans="1:6" ht="14.4" x14ac:dyDescent="0.3">
      <c r="A581" s="83" t="s">
        <v>145</v>
      </c>
      <c r="B581" s="35" t="s">
        <v>418</v>
      </c>
      <c r="C581" s="130" t="s">
        <v>97</v>
      </c>
      <c r="D581" s="168">
        <v>1</v>
      </c>
      <c r="E581" s="2"/>
      <c r="F581" s="164">
        <f t="shared" ref="F581:F590" si="14">E581*D581</f>
        <v>0</v>
      </c>
    </row>
    <row r="582" spans="1:6" ht="14.4" x14ac:dyDescent="0.3">
      <c r="A582" s="83" t="s">
        <v>147</v>
      </c>
      <c r="B582" s="41" t="s">
        <v>419</v>
      </c>
      <c r="C582" s="130" t="s">
        <v>97</v>
      </c>
      <c r="D582" s="168">
        <v>9</v>
      </c>
      <c r="E582" s="2"/>
      <c r="F582" s="164">
        <f t="shared" si="14"/>
        <v>0</v>
      </c>
    </row>
    <row r="583" spans="1:6" ht="14.4" x14ac:dyDescent="0.3">
      <c r="A583" s="83" t="s">
        <v>149</v>
      </c>
      <c r="B583" s="41" t="s">
        <v>150</v>
      </c>
      <c r="C583" s="130" t="s">
        <v>84</v>
      </c>
      <c r="D583" s="168">
        <v>300</v>
      </c>
      <c r="E583" s="2"/>
      <c r="F583" s="164">
        <f t="shared" si="14"/>
        <v>0</v>
      </c>
    </row>
    <row r="584" spans="1:6" ht="14.4" x14ac:dyDescent="0.3">
      <c r="A584" s="83" t="s">
        <v>151</v>
      </c>
      <c r="B584" s="41" t="s">
        <v>152</v>
      </c>
      <c r="C584" s="130" t="s">
        <v>84</v>
      </c>
      <c r="D584" s="168">
        <v>200</v>
      </c>
      <c r="E584" s="2"/>
      <c r="F584" s="164">
        <f t="shared" si="14"/>
        <v>0</v>
      </c>
    </row>
    <row r="585" spans="1:6" ht="14.4" x14ac:dyDescent="0.3">
      <c r="A585" s="83" t="s">
        <v>153</v>
      </c>
      <c r="B585" s="41" t="s">
        <v>154</v>
      </c>
      <c r="C585" s="130" t="s">
        <v>97</v>
      </c>
      <c r="D585" s="168">
        <v>9</v>
      </c>
      <c r="E585" s="2"/>
      <c r="F585" s="164">
        <f t="shared" si="14"/>
        <v>0</v>
      </c>
    </row>
    <row r="586" spans="1:6" ht="14.4" x14ac:dyDescent="0.3">
      <c r="A586" s="83" t="s">
        <v>155</v>
      </c>
      <c r="B586" s="41" t="s">
        <v>156</v>
      </c>
      <c r="C586" s="130" t="s">
        <v>97</v>
      </c>
      <c r="D586" s="168">
        <v>2</v>
      </c>
      <c r="E586" s="2"/>
      <c r="F586" s="164">
        <f t="shared" si="14"/>
        <v>0</v>
      </c>
    </row>
    <row r="587" spans="1:6" ht="14.4" x14ac:dyDescent="0.3">
      <c r="A587" s="83" t="s">
        <v>157</v>
      </c>
      <c r="B587" s="41" t="s">
        <v>158</v>
      </c>
      <c r="C587" s="130" t="s">
        <v>97</v>
      </c>
      <c r="D587" s="168">
        <v>1</v>
      </c>
      <c r="E587" s="2"/>
      <c r="F587" s="164">
        <f t="shared" si="14"/>
        <v>0</v>
      </c>
    </row>
    <row r="588" spans="1:6" ht="14.4" x14ac:dyDescent="0.3">
      <c r="A588" s="83" t="s">
        <v>159</v>
      </c>
      <c r="B588" s="41" t="s">
        <v>160</v>
      </c>
      <c r="C588" s="130" t="s">
        <v>97</v>
      </c>
      <c r="D588" s="168">
        <v>1</v>
      </c>
      <c r="E588" s="2"/>
      <c r="F588" s="164">
        <f t="shared" si="14"/>
        <v>0</v>
      </c>
    </row>
    <row r="589" spans="1:6" ht="14.4" x14ac:dyDescent="0.3">
      <c r="A589" s="83" t="s">
        <v>161</v>
      </c>
      <c r="B589" s="41" t="s">
        <v>162</v>
      </c>
      <c r="C589" s="130" t="s">
        <v>97</v>
      </c>
      <c r="D589" s="168">
        <v>1</v>
      </c>
      <c r="E589" s="2"/>
      <c r="F589" s="164">
        <f t="shared" si="14"/>
        <v>0</v>
      </c>
    </row>
    <row r="590" spans="1:6" ht="14.4" x14ac:dyDescent="0.3">
      <c r="A590" s="83" t="s">
        <v>284</v>
      </c>
      <c r="B590" s="42" t="s">
        <v>420</v>
      </c>
      <c r="C590" s="130" t="s">
        <v>84</v>
      </c>
      <c r="D590" s="168">
        <v>30</v>
      </c>
      <c r="E590" s="2"/>
      <c r="F590" s="164">
        <f t="shared" si="14"/>
        <v>0</v>
      </c>
    </row>
    <row r="591" spans="1:6" x14ac:dyDescent="0.3">
      <c r="A591" s="26"/>
      <c r="B591" s="27" t="s">
        <v>163</v>
      </c>
      <c r="C591" s="94" t="s">
        <v>140</v>
      </c>
      <c r="D591" s="158"/>
      <c r="E591" s="1"/>
      <c r="F591" s="158">
        <f>SUM(F580:F590)</f>
        <v>0</v>
      </c>
    </row>
    <row r="592" spans="1:6" x14ac:dyDescent="0.3">
      <c r="A592" s="28"/>
      <c r="B592" s="29"/>
      <c r="C592" s="93"/>
      <c r="D592" s="161"/>
      <c r="E592" s="7"/>
      <c r="F592" s="161"/>
    </row>
    <row r="593" spans="1:6" x14ac:dyDescent="0.3">
      <c r="A593" s="56" t="s">
        <v>164</v>
      </c>
      <c r="B593" s="36" t="s">
        <v>165</v>
      </c>
      <c r="C593" s="96"/>
      <c r="D593" s="167"/>
      <c r="E593" s="37"/>
      <c r="F593" s="167"/>
    </row>
    <row r="594" spans="1:6" x14ac:dyDescent="0.3">
      <c r="A594" s="80" t="s">
        <v>192</v>
      </c>
      <c r="B594" s="55" t="s">
        <v>193</v>
      </c>
      <c r="C594" s="61" t="s">
        <v>84</v>
      </c>
      <c r="D594" s="168">
        <v>28</v>
      </c>
      <c r="E594" s="2"/>
      <c r="F594" s="168">
        <f>E594*D594</f>
        <v>0</v>
      </c>
    </row>
    <row r="595" spans="1:6" x14ac:dyDescent="0.3">
      <c r="A595" s="80" t="s">
        <v>194</v>
      </c>
      <c r="B595" s="55" t="s">
        <v>195</v>
      </c>
      <c r="C595" s="61" t="s">
        <v>84</v>
      </c>
      <c r="D595" s="168">
        <f>6*4</f>
        <v>24</v>
      </c>
      <c r="E595" s="2"/>
      <c r="F595" s="168">
        <f>E595*D595</f>
        <v>0</v>
      </c>
    </row>
    <row r="596" spans="1:6" ht="14.4" x14ac:dyDescent="0.3">
      <c r="A596" s="83" t="s">
        <v>360</v>
      </c>
      <c r="B596" s="86" t="s">
        <v>196</v>
      </c>
      <c r="C596" s="61"/>
      <c r="D596" s="168"/>
      <c r="E596" s="2"/>
      <c r="F596" s="168"/>
    </row>
    <row r="597" spans="1:6" ht="14.4" x14ac:dyDescent="0.3">
      <c r="A597" s="83" t="s">
        <v>364</v>
      </c>
      <c r="B597" s="41" t="s">
        <v>258</v>
      </c>
      <c r="C597" s="131" t="s">
        <v>7</v>
      </c>
      <c r="D597" s="152">
        <v>1</v>
      </c>
      <c r="E597" s="4"/>
      <c r="F597" s="152">
        <f>+E597*D597</f>
        <v>0</v>
      </c>
    </row>
    <row r="598" spans="1:6" ht="27.6" x14ac:dyDescent="0.3">
      <c r="A598" s="80" t="s">
        <v>199</v>
      </c>
      <c r="B598" s="41" t="s">
        <v>200</v>
      </c>
      <c r="C598" s="131" t="s">
        <v>97</v>
      </c>
      <c r="D598" s="152">
        <v>1</v>
      </c>
      <c r="E598" s="4"/>
      <c r="F598" s="152">
        <f>+E598*D598</f>
        <v>0</v>
      </c>
    </row>
    <row r="599" spans="1:6" x14ac:dyDescent="0.3">
      <c r="A599" s="26"/>
      <c r="B599" s="27" t="s">
        <v>201</v>
      </c>
      <c r="C599" s="94"/>
      <c r="D599" s="158"/>
      <c r="E599" s="1"/>
      <c r="F599" s="158">
        <f>+SUM(F594:F598)</f>
        <v>0</v>
      </c>
    </row>
    <row r="600" spans="1:6" x14ac:dyDescent="0.3">
      <c r="A600" s="28"/>
      <c r="B600" s="29"/>
      <c r="C600" s="93"/>
      <c r="D600" s="161"/>
      <c r="E600" s="7"/>
      <c r="F600" s="161"/>
    </row>
    <row r="601" spans="1:6" x14ac:dyDescent="0.3">
      <c r="A601" s="56" t="s">
        <v>202</v>
      </c>
      <c r="B601" s="36" t="s">
        <v>203</v>
      </c>
      <c r="C601" s="96"/>
      <c r="D601" s="167"/>
      <c r="E601" s="37"/>
      <c r="F601" s="167"/>
    </row>
    <row r="602" spans="1:6" ht="27.6" x14ac:dyDescent="0.3">
      <c r="A602" s="80" t="s">
        <v>204</v>
      </c>
      <c r="B602" s="35" t="s">
        <v>205</v>
      </c>
      <c r="C602" s="61" t="s">
        <v>12</v>
      </c>
      <c r="D602" s="164">
        <f>D572</f>
        <v>26.400000000000002</v>
      </c>
      <c r="E602" s="2"/>
      <c r="F602" s="164">
        <f>E602*D602</f>
        <v>0</v>
      </c>
    </row>
    <row r="603" spans="1:6" x14ac:dyDescent="0.3">
      <c r="A603" s="80" t="s">
        <v>206</v>
      </c>
      <c r="B603" s="35" t="s">
        <v>207</v>
      </c>
      <c r="C603" s="61" t="s">
        <v>12</v>
      </c>
      <c r="D603" s="164">
        <f>+D557</f>
        <v>80.854199999999992</v>
      </c>
      <c r="E603" s="2"/>
      <c r="F603" s="164">
        <f>E603*D603</f>
        <v>0</v>
      </c>
    </row>
    <row r="604" spans="1:6" ht="14.4" x14ac:dyDescent="0.3">
      <c r="A604" s="80" t="s">
        <v>421</v>
      </c>
      <c r="B604" s="42" t="s">
        <v>422</v>
      </c>
      <c r="C604" s="61" t="s">
        <v>12</v>
      </c>
      <c r="D604" s="164">
        <f>36*1.5+32*3</f>
        <v>150</v>
      </c>
      <c r="E604" s="2"/>
      <c r="F604" s="164">
        <f>E604*D604</f>
        <v>0</v>
      </c>
    </row>
    <row r="605" spans="1:6" ht="14.4" x14ac:dyDescent="0.3">
      <c r="A605" s="109" t="s">
        <v>423</v>
      </c>
      <c r="B605" s="42" t="s">
        <v>424</v>
      </c>
      <c r="C605" s="61" t="s">
        <v>12</v>
      </c>
      <c r="D605" s="164">
        <v>127</v>
      </c>
      <c r="E605" s="2"/>
      <c r="F605" s="164">
        <f>E605*D605</f>
        <v>0</v>
      </c>
    </row>
    <row r="606" spans="1:6" x14ac:dyDescent="0.3">
      <c r="A606" s="26"/>
      <c r="B606" s="27" t="s">
        <v>260</v>
      </c>
      <c r="C606" s="94"/>
      <c r="D606" s="158"/>
      <c r="E606" s="1"/>
      <c r="F606" s="158">
        <f>SUM(F602:F605)</f>
        <v>0</v>
      </c>
    </row>
    <row r="607" spans="1:6" x14ac:dyDescent="0.3">
      <c r="A607" s="28"/>
      <c r="B607" s="29"/>
      <c r="C607" s="93"/>
      <c r="D607" s="161"/>
      <c r="E607" s="7"/>
      <c r="F607" s="161"/>
    </row>
    <row r="608" spans="1:6" x14ac:dyDescent="0.3">
      <c r="A608" s="56" t="s">
        <v>211</v>
      </c>
      <c r="B608" s="36" t="s">
        <v>212</v>
      </c>
      <c r="C608" s="96"/>
      <c r="D608" s="167"/>
      <c r="E608" s="37"/>
      <c r="F608" s="167"/>
    </row>
    <row r="609" spans="1:6" x14ac:dyDescent="0.3">
      <c r="A609" s="28"/>
      <c r="B609" s="29"/>
      <c r="C609" s="93"/>
      <c r="D609" s="161"/>
      <c r="E609" s="7"/>
      <c r="F609" s="161"/>
    </row>
    <row r="610" spans="1:6" x14ac:dyDescent="0.3">
      <c r="A610" s="80" t="s">
        <v>213</v>
      </c>
      <c r="B610" s="55" t="s">
        <v>214</v>
      </c>
      <c r="C610" s="61" t="s">
        <v>97</v>
      </c>
      <c r="D610" s="168">
        <v>1</v>
      </c>
      <c r="E610" s="2"/>
      <c r="F610" s="164">
        <f>E610*D610</f>
        <v>0</v>
      </c>
    </row>
    <row r="611" spans="1:6" x14ac:dyDescent="0.3">
      <c r="A611" s="80" t="s">
        <v>215</v>
      </c>
      <c r="B611" s="55" t="s">
        <v>216</v>
      </c>
      <c r="C611" s="61" t="s">
        <v>97</v>
      </c>
      <c r="D611" s="168">
        <v>3</v>
      </c>
      <c r="E611" s="2"/>
      <c r="F611" s="164">
        <f>E611*D611</f>
        <v>0</v>
      </c>
    </row>
    <row r="612" spans="1:6" x14ac:dyDescent="0.3">
      <c r="A612" s="26"/>
      <c r="B612" s="27" t="s">
        <v>217</v>
      </c>
      <c r="C612" s="94"/>
      <c r="D612" s="158"/>
      <c r="E612" s="1"/>
      <c r="F612" s="158">
        <f>SUM(F610:F611)</f>
        <v>0</v>
      </c>
    </row>
    <row r="613" spans="1:6" x14ac:dyDescent="0.3">
      <c r="A613" s="28"/>
      <c r="B613" s="29"/>
      <c r="C613" s="93"/>
      <c r="D613" s="161"/>
      <c r="E613" s="7"/>
      <c r="F613" s="161"/>
    </row>
    <row r="614" spans="1:6" x14ac:dyDescent="0.3">
      <c r="A614" s="7">
        <v>4</v>
      </c>
      <c r="B614" s="110" t="s">
        <v>218</v>
      </c>
      <c r="C614" s="132"/>
      <c r="D614" s="170"/>
      <c r="E614" s="88"/>
      <c r="F614" s="197"/>
    </row>
    <row r="615" spans="1:6" ht="27.6" x14ac:dyDescent="0.3">
      <c r="A615" s="56" t="s">
        <v>219</v>
      </c>
      <c r="B615" s="40" t="s">
        <v>220</v>
      </c>
      <c r="C615" s="96"/>
      <c r="D615" s="167"/>
      <c r="E615" s="37"/>
      <c r="F615" s="167"/>
    </row>
    <row r="616" spans="1:6" x14ac:dyDescent="0.3">
      <c r="A616" s="89" t="s">
        <v>221</v>
      </c>
      <c r="B616" s="41" t="s">
        <v>222</v>
      </c>
      <c r="C616" s="133" t="s">
        <v>25</v>
      </c>
      <c r="D616" s="171">
        <f>32*0.2*0.15</f>
        <v>0.96</v>
      </c>
      <c r="E616" s="5"/>
      <c r="F616" s="171">
        <f t="shared" ref="F616:F622" si="15">E616*D616</f>
        <v>0</v>
      </c>
    </row>
    <row r="617" spans="1:6" x14ac:dyDescent="0.3">
      <c r="A617" s="89" t="s">
        <v>223</v>
      </c>
      <c r="B617" s="41" t="s">
        <v>224</v>
      </c>
      <c r="C617" s="133" t="s">
        <v>25</v>
      </c>
      <c r="D617" s="171">
        <f>32*0.05*0.15</f>
        <v>0.24</v>
      </c>
      <c r="E617" s="5"/>
      <c r="F617" s="171">
        <f t="shared" si="15"/>
        <v>0</v>
      </c>
    </row>
    <row r="618" spans="1:6" x14ac:dyDescent="0.3">
      <c r="A618" s="89" t="s">
        <v>225</v>
      </c>
      <c r="B618" s="41" t="s">
        <v>226</v>
      </c>
      <c r="C618" s="133" t="s">
        <v>25</v>
      </c>
      <c r="D618" s="171">
        <f>32*0.3*0.15</f>
        <v>1.44</v>
      </c>
      <c r="E618" s="5"/>
      <c r="F618" s="171">
        <f t="shared" si="15"/>
        <v>0</v>
      </c>
    </row>
    <row r="619" spans="1:6" x14ac:dyDescent="0.3">
      <c r="A619" s="89" t="s">
        <v>227</v>
      </c>
      <c r="B619" s="41" t="s">
        <v>228</v>
      </c>
      <c r="C619" s="133" t="s">
        <v>25</v>
      </c>
      <c r="D619" s="171">
        <f>32*0.07</f>
        <v>2.2400000000000002</v>
      </c>
      <c r="E619" s="5"/>
      <c r="F619" s="171">
        <f t="shared" si="15"/>
        <v>0</v>
      </c>
    </row>
    <row r="620" spans="1:6" ht="27.6" x14ac:dyDescent="0.3">
      <c r="A620" s="89" t="s">
        <v>229</v>
      </c>
      <c r="B620" s="41" t="s">
        <v>230</v>
      </c>
      <c r="C620" s="133" t="s">
        <v>25</v>
      </c>
      <c r="D620" s="171">
        <f>(32*0.1*0.6)</f>
        <v>1.92</v>
      </c>
      <c r="E620" s="5"/>
      <c r="F620" s="171">
        <f t="shared" si="15"/>
        <v>0</v>
      </c>
    </row>
    <row r="621" spans="1:6" ht="41.4" x14ac:dyDescent="0.3">
      <c r="A621" s="89" t="s">
        <v>231</v>
      </c>
      <c r="B621" s="41" t="s">
        <v>232</v>
      </c>
      <c r="C621" s="133" t="s">
        <v>84</v>
      </c>
      <c r="D621" s="171">
        <v>32</v>
      </c>
      <c r="E621" s="5"/>
      <c r="F621" s="171">
        <f t="shared" si="15"/>
        <v>0</v>
      </c>
    </row>
    <row r="622" spans="1:6" x14ac:dyDescent="0.3">
      <c r="A622" s="89" t="s">
        <v>233</v>
      </c>
      <c r="B622" s="41" t="s">
        <v>234</v>
      </c>
      <c r="C622" s="133" t="s">
        <v>235</v>
      </c>
      <c r="D622" s="171">
        <v>1</v>
      </c>
      <c r="E622" s="5"/>
      <c r="F622" s="171">
        <f t="shared" si="15"/>
        <v>0</v>
      </c>
    </row>
    <row r="623" spans="1:6" ht="27.6" x14ac:dyDescent="0.3">
      <c r="A623" s="91"/>
      <c r="B623" s="27" t="s">
        <v>243</v>
      </c>
      <c r="C623" s="94"/>
      <c r="D623" s="158"/>
      <c r="E623" s="1"/>
      <c r="F623" s="158">
        <f>SUM(F616:F622)</f>
        <v>0</v>
      </c>
    </row>
    <row r="624" spans="1:6" x14ac:dyDescent="0.3">
      <c r="A624" s="2"/>
      <c r="B624" s="35"/>
      <c r="C624" s="134"/>
      <c r="D624" s="173"/>
      <c r="E624" s="5"/>
      <c r="F624" s="172"/>
    </row>
    <row r="625" spans="1:6" x14ac:dyDescent="0.3">
      <c r="A625" s="73" t="s">
        <v>140</v>
      </c>
      <c r="B625" s="58" t="s">
        <v>425</v>
      </c>
      <c r="C625" s="128"/>
      <c r="D625" s="160"/>
      <c r="E625" s="59"/>
      <c r="F625" s="160">
        <f>SUM(F540:F623)/2</f>
        <v>0</v>
      </c>
    </row>
    <row r="626" spans="1:6" ht="14.4" x14ac:dyDescent="0.3">
      <c r="A626" s="83"/>
      <c r="B626" s="111"/>
      <c r="C626" s="145"/>
      <c r="D626" s="187"/>
      <c r="E626" s="42"/>
      <c r="F626" s="187"/>
    </row>
    <row r="627" spans="1:6" ht="13.2" customHeight="1" x14ac:dyDescent="0.3">
      <c r="A627" s="210" t="s">
        <v>426</v>
      </c>
      <c r="B627" s="210"/>
      <c r="C627" s="210"/>
      <c r="D627" s="210"/>
      <c r="E627" s="210"/>
      <c r="F627" s="210"/>
    </row>
    <row r="628" spans="1:6" x14ac:dyDescent="0.3">
      <c r="A628" s="112">
        <v>2</v>
      </c>
      <c r="B628" s="113" t="s">
        <v>427</v>
      </c>
      <c r="C628" s="146"/>
      <c r="D628" s="188"/>
      <c r="E628" s="114"/>
      <c r="F628" s="188"/>
    </row>
    <row r="629" spans="1:6" x14ac:dyDescent="0.3">
      <c r="A629" s="115" t="s">
        <v>17</v>
      </c>
      <c r="B629" s="116" t="s">
        <v>18</v>
      </c>
      <c r="C629" s="147"/>
      <c r="D629" s="189"/>
      <c r="E629" s="117"/>
      <c r="F629" s="189"/>
    </row>
    <row r="630" spans="1:6" x14ac:dyDescent="0.3">
      <c r="A630" s="118" t="s">
        <v>19</v>
      </c>
      <c r="B630" s="21" t="s">
        <v>20</v>
      </c>
      <c r="C630" s="148"/>
      <c r="D630" s="190"/>
      <c r="E630" s="22"/>
      <c r="F630" s="190"/>
    </row>
    <row r="631" spans="1:6" x14ac:dyDescent="0.3">
      <c r="A631" s="118" t="s">
        <v>21</v>
      </c>
      <c r="B631" s="21" t="s">
        <v>22</v>
      </c>
      <c r="C631" s="148"/>
      <c r="D631" s="190"/>
      <c r="E631" s="22"/>
      <c r="F631" s="190"/>
    </row>
    <row r="632" spans="1:6" x14ac:dyDescent="0.3">
      <c r="A632" s="119" t="s">
        <v>428</v>
      </c>
      <c r="B632" s="43" t="s">
        <v>429</v>
      </c>
      <c r="C632" s="126" t="s">
        <v>25</v>
      </c>
      <c r="D632" s="155">
        <f>260*0.35*0.8</f>
        <v>72.8</v>
      </c>
      <c r="E632" s="23"/>
      <c r="F632" s="200">
        <f>E632*D632</f>
        <v>0</v>
      </c>
    </row>
    <row r="633" spans="1:6" x14ac:dyDescent="0.3">
      <c r="A633" s="120" t="s">
        <v>26</v>
      </c>
      <c r="B633" s="24" t="s">
        <v>27</v>
      </c>
      <c r="C633" s="149"/>
      <c r="D633" s="191"/>
      <c r="E633" s="23"/>
      <c r="F633" s="200"/>
    </row>
    <row r="634" spans="1:6" x14ac:dyDescent="0.3">
      <c r="A634" s="119" t="s">
        <v>28</v>
      </c>
      <c r="B634" s="43" t="s">
        <v>29</v>
      </c>
      <c r="C634" s="126" t="s">
        <v>25</v>
      </c>
      <c r="D634" s="155">
        <f>260*0.05*0.35</f>
        <v>4.55</v>
      </c>
      <c r="E634" s="23"/>
      <c r="F634" s="200">
        <f>E634*D634</f>
        <v>0</v>
      </c>
    </row>
    <row r="635" spans="1:6" x14ac:dyDescent="0.3">
      <c r="A635" s="119" t="s">
        <v>30</v>
      </c>
      <c r="B635" s="24" t="s">
        <v>31</v>
      </c>
      <c r="C635" s="149"/>
      <c r="D635" s="191"/>
      <c r="E635" s="23"/>
      <c r="F635" s="200"/>
    </row>
    <row r="636" spans="1:6" x14ac:dyDescent="0.3">
      <c r="A636" s="119" t="s">
        <v>32</v>
      </c>
      <c r="B636" s="43" t="s">
        <v>430</v>
      </c>
      <c r="C636" s="126" t="s">
        <v>25</v>
      </c>
      <c r="D636" s="155">
        <f>260*0.35*0.5</f>
        <v>45.5</v>
      </c>
      <c r="E636" s="23"/>
      <c r="F636" s="200">
        <f>E636*D636</f>
        <v>0</v>
      </c>
    </row>
    <row r="637" spans="1:6" x14ac:dyDescent="0.3">
      <c r="A637" s="119" t="s">
        <v>431</v>
      </c>
      <c r="B637" s="43" t="s">
        <v>432</v>
      </c>
      <c r="C637" s="126" t="s">
        <v>25</v>
      </c>
      <c r="D637" s="155">
        <f>260*0.35*0.4</f>
        <v>36.4</v>
      </c>
      <c r="E637" s="23"/>
      <c r="F637" s="200">
        <f>E637*D637</f>
        <v>0</v>
      </c>
    </row>
    <row r="638" spans="1:6" x14ac:dyDescent="0.3">
      <c r="A638" s="22" t="s">
        <v>36</v>
      </c>
      <c r="B638" s="25" t="s">
        <v>37</v>
      </c>
      <c r="C638" s="149"/>
      <c r="D638" s="191"/>
      <c r="E638" s="23"/>
      <c r="F638" s="200"/>
    </row>
    <row r="639" spans="1:6" ht="27.6" x14ac:dyDescent="0.3">
      <c r="A639" s="119" t="s">
        <v>38</v>
      </c>
      <c r="B639" s="43" t="s">
        <v>433</v>
      </c>
      <c r="C639" s="126" t="s">
        <v>25</v>
      </c>
      <c r="D639" s="155">
        <f>87*0.35*0.35*0.8</f>
        <v>8.5259999999999998</v>
      </c>
      <c r="E639" s="23"/>
      <c r="F639" s="200">
        <f>E639*D639</f>
        <v>0</v>
      </c>
    </row>
    <row r="640" spans="1:6" ht="27.6" x14ac:dyDescent="0.3">
      <c r="A640" s="119" t="s">
        <v>40</v>
      </c>
      <c r="B640" s="43" t="s">
        <v>41</v>
      </c>
      <c r="C640" s="126" t="s">
        <v>25</v>
      </c>
      <c r="D640" s="155">
        <f>260*0.35*0.05</f>
        <v>4.55</v>
      </c>
      <c r="E640" s="23"/>
      <c r="F640" s="200">
        <f>E640*D640</f>
        <v>0</v>
      </c>
    </row>
    <row r="641" spans="1:6" x14ac:dyDescent="0.3">
      <c r="A641" s="26"/>
      <c r="B641" s="27" t="s">
        <v>48</v>
      </c>
      <c r="C641" s="94"/>
      <c r="D641" s="158"/>
      <c r="E641" s="1"/>
      <c r="F641" s="158">
        <f>SUM(F632:F640)</f>
        <v>0</v>
      </c>
    </row>
    <row r="642" spans="1:6" x14ac:dyDescent="0.3">
      <c r="A642" s="28"/>
      <c r="B642" s="29"/>
      <c r="C642" s="93"/>
      <c r="D642" s="161"/>
      <c r="E642" s="7"/>
      <c r="F642" s="161"/>
    </row>
    <row r="643" spans="1:6" x14ac:dyDescent="0.3">
      <c r="A643" s="75" t="s">
        <v>49</v>
      </c>
      <c r="B643" s="30" t="s">
        <v>50</v>
      </c>
      <c r="C643" s="129"/>
      <c r="D643" s="162"/>
      <c r="E643" s="14"/>
      <c r="F643" s="162"/>
    </row>
    <row r="644" spans="1:6" x14ac:dyDescent="0.3">
      <c r="A644" s="80" t="s">
        <v>51</v>
      </c>
      <c r="B644" s="32" t="s">
        <v>52</v>
      </c>
      <c r="C644" s="61"/>
      <c r="D644" s="164"/>
      <c r="E644" s="2"/>
      <c r="F644" s="164"/>
    </row>
    <row r="645" spans="1:6" ht="14.4" x14ac:dyDescent="0.3">
      <c r="A645" s="81" t="s">
        <v>55</v>
      </c>
      <c r="B645" s="86" t="s">
        <v>56</v>
      </c>
      <c r="C645" s="61"/>
      <c r="D645" s="164"/>
      <c r="E645" s="2"/>
      <c r="F645" s="164"/>
    </row>
    <row r="646" spans="1:6" ht="18" customHeight="1" x14ac:dyDescent="0.3">
      <c r="A646" s="83" t="s">
        <v>57</v>
      </c>
      <c r="B646" s="38" t="s">
        <v>434</v>
      </c>
      <c r="C646" s="125" t="s">
        <v>25</v>
      </c>
      <c r="D646" s="192">
        <f>260*0.15*2.5</f>
        <v>97.5</v>
      </c>
      <c r="E646" s="33"/>
      <c r="F646" s="192">
        <f>E646*D646</f>
        <v>0</v>
      </c>
    </row>
    <row r="647" spans="1:6" x14ac:dyDescent="0.3">
      <c r="A647" s="8" t="s">
        <v>59</v>
      </c>
      <c r="B647" s="34" t="s">
        <v>37</v>
      </c>
      <c r="C647" s="138"/>
      <c r="D647" s="193"/>
      <c r="E647" s="11"/>
      <c r="F647" s="193"/>
    </row>
    <row r="648" spans="1:6" ht="14.4" x14ac:dyDescent="0.3">
      <c r="A648" s="8" t="s">
        <v>60</v>
      </c>
      <c r="B648" s="86" t="s">
        <v>61</v>
      </c>
      <c r="C648" s="138"/>
      <c r="D648" s="193"/>
      <c r="E648" s="11"/>
      <c r="F648" s="193"/>
    </row>
    <row r="649" spans="1:6" ht="27.6" x14ac:dyDescent="0.3">
      <c r="A649" s="80" t="s">
        <v>62</v>
      </c>
      <c r="B649" s="35" t="s">
        <v>63</v>
      </c>
      <c r="C649" s="125" t="s">
        <v>25</v>
      </c>
      <c r="D649" s="194">
        <f>87*0.15*0.15*2.5</f>
        <v>4.8937499999999998</v>
      </c>
      <c r="E649" s="33"/>
      <c r="F649" s="194">
        <f>E649*D649</f>
        <v>0</v>
      </c>
    </row>
    <row r="650" spans="1:6" x14ac:dyDescent="0.3">
      <c r="A650" s="8" t="s">
        <v>64</v>
      </c>
      <c r="B650" s="32" t="s">
        <v>65</v>
      </c>
      <c r="C650" s="138"/>
      <c r="D650" s="193"/>
      <c r="E650" s="11"/>
      <c r="F650" s="193"/>
    </row>
    <row r="651" spans="1:6" x14ac:dyDescent="0.3">
      <c r="A651" s="80" t="s">
        <v>435</v>
      </c>
      <c r="B651" s="38" t="s">
        <v>436</v>
      </c>
      <c r="C651" s="61" t="s">
        <v>25</v>
      </c>
      <c r="D651" s="164">
        <f>260*0.05*0.2</f>
        <v>2.6</v>
      </c>
      <c r="E651" s="2"/>
      <c r="F651" s="164">
        <f>E651*D651</f>
        <v>0</v>
      </c>
    </row>
    <row r="652" spans="1:6" x14ac:dyDescent="0.3">
      <c r="A652" s="26"/>
      <c r="B652" s="27" t="s">
        <v>71</v>
      </c>
      <c r="C652" s="27"/>
      <c r="D652" s="165"/>
      <c r="E652" s="26"/>
      <c r="F652" s="165">
        <f>SUM(F644:F650)</f>
        <v>0</v>
      </c>
    </row>
    <row r="653" spans="1:6" x14ac:dyDescent="0.3">
      <c r="A653" s="28"/>
      <c r="B653" s="29"/>
      <c r="C653" s="29"/>
      <c r="D653" s="166"/>
      <c r="E653" s="28"/>
      <c r="F653" s="166"/>
    </row>
    <row r="654" spans="1:6" x14ac:dyDescent="0.3">
      <c r="A654" s="28">
        <v>3</v>
      </c>
      <c r="B654" s="29" t="s">
        <v>90</v>
      </c>
      <c r="C654" s="93"/>
      <c r="D654" s="161"/>
      <c r="E654" s="7"/>
      <c r="F654" s="161"/>
    </row>
    <row r="655" spans="1:6" x14ac:dyDescent="0.3">
      <c r="A655" s="56" t="s">
        <v>91</v>
      </c>
      <c r="B655" s="36" t="s">
        <v>92</v>
      </c>
      <c r="C655" s="96"/>
      <c r="D655" s="167"/>
      <c r="E655" s="37"/>
      <c r="F655" s="167"/>
    </row>
    <row r="656" spans="1:6" x14ac:dyDescent="0.3">
      <c r="A656" s="76" t="s">
        <v>93</v>
      </c>
      <c r="B656" s="34" t="s">
        <v>94</v>
      </c>
      <c r="C656" s="93"/>
      <c r="D656" s="161"/>
      <c r="E656" s="7"/>
      <c r="F656" s="161"/>
    </row>
    <row r="657" spans="1:6" x14ac:dyDescent="0.3">
      <c r="A657" s="80" t="s">
        <v>351</v>
      </c>
      <c r="B657" s="38" t="s">
        <v>437</v>
      </c>
      <c r="C657" s="125" t="s">
        <v>235</v>
      </c>
      <c r="D657" s="192">
        <v>1</v>
      </c>
      <c r="E657" s="39"/>
      <c r="F657" s="194">
        <f>E657*D657</f>
        <v>0</v>
      </c>
    </row>
    <row r="658" spans="1:6" x14ac:dyDescent="0.3">
      <c r="A658" s="80" t="s">
        <v>352</v>
      </c>
      <c r="B658" s="38" t="s">
        <v>438</v>
      </c>
      <c r="C658" s="125" t="s">
        <v>235</v>
      </c>
      <c r="D658" s="192">
        <v>2</v>
      </c>
      <c r="E658" s="39"/>
      <c r="F658" s="194">
        <f>E658*D658</f>
        <v>0</v>
      </c>
    </row>
    <row r="659" spans="1:6" ht="27.6" x14ac:dyDescent="0.3">
      <c r="A659" s="121" t="s">
        <v>353</v>
      </c>
      <c r="B659" s="35" t="s">
        <v>439</v>
      </c>
      <c r="C659" s="125" t="s">
        <v>84</v>
      </c>
      <c r="D659" s="192">
        <v>260</v>
      </c>
      <c r="E659" s="39"/>
      <c r="F659" s="194">
        <f>E659*D659</f>
        <v>0</v>
      </c>
    </row>
    <row r="660" spans="1:6" x14ac:dyDescent="0.3">
      <c r="A660" s="26"/>
      <c r="B660" s="27" t="s">
        <v>126</v>
      </c>
      <c r="C660" s="94"/>
      <c r="D660" s="158"/>
      <c r="E660" s="1"/>
      <c r="F660" s="158">
        <f>SUM(F657:F659)</f>
        <v>0</v>
      </c>
    </row>
    <row r="661" spans="1:6" x14ac:dyDescent="0.3">
      <c r="A661" s="28"/>
      <c r="B661" s="29"/>
      <c r="C661" s="93"/>
      <c r="D661" s="161"/>
      <c r="E661" s="7"/>
      <c r="F661" s="161"/>
    </row>
    <row r="662" spans="1:6" x14ac:dyDescent="0.3">
      <c r="A662" s="56" t="s">
        <v>127</v>
      </c>
      <c r="B662" s="36" t="s">
        <v>128</v>
      </c>
      <c r="C662" s="40"/>
      <c r="D662" s="167"/>
      <c r="E662" s="37"/>
      <c r="F662" s="167"/>
    </row>
    <row r="663" spans="1:6" x14ac:dyDescent="0.3">
      <c r="A663" s="80" t="s">
        <v>132</v>
      </c>
      <c r="B663" s="35" t="s">
        <v>133</v>
      </c>
      <c r="C663" s="61" t="s">
        <v>12</v>
      </c>
      <c r="D663" s="164">
        <f>255*2*2.5</f>
        <v>1275</v>
      </c>
      <c r="E663" s="2"/>
      <c r="F663" s="164">
        <f>E663*D663</f>
        <v>0</v>
      </c>
    </row>
    <row r="664" spans="1:6" x14ac:dyDescent="0.3">
      <c r="A664" s="26"/>
      <c r="B664" s="27" t="s">
        <v>139</v>
      </c>
      <c r="C664" s="94" t="s">
        <v>140</v>
      </c>
      <c r="D664" s="158"/>
      <c r="E664" s="1"/>
      <c r="F664" s="158">
        <f>+F663</f>
        <v>0</v>
      </c>
    </row>
    <row r="665" spans="1:6" x14ac:dyDescent="0.3">
      <c r="A665" s="28"/>
      <c r="B665" s="29"/>
      <c r="C665" s="93"/>
      <c r="D665" s="161"/>
      <c r="E665" s="7"/>
      <c r="F665" s="161"/>
    </row>
    <row r="666" spans="1:6" x14ac:dyDescent="0.3">
      <c r="A666" s="56" t="s">
        <v>141</v>
      </c>
      <c r="B666" s="40" t="s">
        <v>142</v>
      </c>
      <c r="C666" s="96"/>
      <c r="D666" s="167"/>
      <c r="E666" s="37"/>
      <c r="F666" s="167"/>
    </row>
    <row r="667" spans="1:6" x14ac:dyDescent="0.3">
      <c r="A667" s="80" t="s">
        <v>354</v>
      </c>
      <c r="B667" s="41" t="s">
        <v>355</v>
      </c>
      <c r="C667" s="130" t="s">
        <v>97</v>
      </c>
      <c r="D667" s="168">
        <v>20</v>
      </c>
      <c r="E667" s="2"/>
      <c r="F667" s="164">
        <f>E667*D667</f>
        <v>0</v>
      </c>
    </row>
    <row r="668" spans="1:6" x14ac:dyDescent="0.3">
      <c r="A668" s="26"/>
      <c r="B668" s="27" t="s">
        <v>163</v>
      </c>
      <c r="C668" s="94" t="s">
        <v>140</v>
      </c>
      <c r="D668" s="158"/>
      <c r="E668" s="1"/>
      <c r="F668" s="158">
        <f>+SUM(F667)</f>
        <v>0</v>
      </c>
    </row>
    <row r="669" spans="1:6" x14ac:dyDescent="0.3">
      <c r="A669" s="28"/>
      <c r="B669" s="29"/>
      <c r="C669" s="93"/>
      <c r="D669" s="161"/>
      <c r="E669" s="7"/>
      <c r="F669" s="161"/>
    </row>
    <row r="670" spans="1:6" x14ac:dyDescent="0.3">
      <c r="A670" s="2"/>
      <c r="B670" s="35"/>
      <c r="C670" s="134"/>
      <c r="D670" s="173"/>
      <c r="E670" s="5"/>
      <c r="F670" s="172"/>
    </row>
    <row r="671" spans="1:6" x14ac:dyDescent="0.3">
      <c r="A671" s="73" t="s">
        <v>140</v>
      </c>
      <c r="B671" s="58" t="s">
        <v>440</v>
      </c>
      <c r="C671" s="128"/>
      <c r="D671" s="160"/>
      <c r="E671" s="59"/>
      <c r="F671" s="160">
        <f>SUM(F632:F669)/2</f>
        <v>0</v>
      </c>
    </row>
    <row r="672" spans="1:6" x14ac:dyDescent="0.3">
      <c r="A672" s="2"/>
      <c r="B672" s="107"/>
      <c r="C672" s="140"/>
      <c r="D672" s="152"/>
      <c r="E672" s="33"/>
      <c r="F672" s="152"/>
    </row>
    <row r="673" spans="1:6" ht="32.4" customHeight="1" x14ac:dyDescent="0.3">
      <c r="A673" s="122"/>
      <c r="B673" s="123" t="s">
        <v>441</v>
      </c>
      <c r="C673" s="150"/>
      <c r="D673" s="195"/>
      <c r="E673" s="124"/>
      <c r="F673" s="201">
        <f>F15+F150+F269+F375+F410+F450+F475+F497+F519+F529+F536+F625+F671</f>
        <v>0</v>
      </c>
    </row>
    <row r="674" spans="1:6" ht="33.6" customHeight="1" x14ac:dyDescent="0.3">
      <c r="A674" s="211" t="s">
        <v>442</v>
      </c>
      <c r="B674" s="211"/>
      <c r="C674" s="211"/>
      <c r="D674" s="211"/>
      <c r="E674" s="211"/>
      <c r="F674" s="202">
        <f>F673</f>
        <v>0</v>
      </c>
    </row>
    <row r="676" spans="1:6" x14ac:dyDescent="0.3">
      <c r="B676" s="15" t="s">
        <v>445</v>
      </c>
    </row>
    <row r="678" spans="1:6" x14ac:dyDescent="0.3">
      <c r="B678" s="15" t="s">
        <v>446</v>
      </c>
    </row>
  </sheetData>
  <mergeCells count="18">
    <mergeCell ref="A627:F627"/>
    <mergeCell ref="A674:E674"/>
    <mergeCell ref="A377:F377"/>
    <mergeCell ref="A412:F412"/>
    <mergeCell ref="A452:F452"/>
    <mergeCell ref="A477:F477"/>
    <mergeCell ref="A499:F499"/>
    <mergeCell ref="A521:F521"/>
    <mergeCell ref="A151:F152"/>
    <mergeCell ref="A153:F153"/>
    <mergeCell ref="A271:F271"/>
    <mergeCell ref="A531:F531"/>
    <mergeCell ref="A538:F538"/>
    <mergeCell ref="A1:F2"/>
    <mergeCell ref="A4:F4"/>
    <mergeCell ref="A16:F16"/>
    <mergeCell ref="A3:F3"/>
    <mergeCell ref="A17:F17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9B6AFABC839B48A3E6F728B9285FC0" ma:contentTypeVersion="26" ma:contentTypeDescription="Crée un document." ma:contentTypeScope="" ma:versionID="e5e2f7afdbfa7b6473c181fcc6af389a">
  <xsd:schema xmlns:xsd="http://www.w3.org/2001/XMLSchema" xmlns:xs="http://www.w3.org/2001/XMLSchema" xmlns:p="http://schemas.microsoft.com/office/2006/metadata/properties" xmlns:ns2="2988a375-6014-4440-b0c3-4b78d779195e" xmlns:ns3="a7726663-edd4-44b0-b096-004a72f6092b" targetNamespace="http://schemas.microsoft.com/office/2006/metadata/properties" ma:root="true" ma:fieldsID="553de3076d2db1c0beb89ecb98e352c8" ns2:_="" ns3:_="">
    <xsd:import namespace="2988a375-6014-4440-b0c3-4b78d779195e"/>
    <xsd:import namespace="a7726663-edd4-44b0-b096-004a72f609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Province" minOccurs="0"/>
                <xsd:element ref="ns2:Interventio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BEMOE" minOccurs="0"/>
                <xsd:element ref="ns2:Etat" minOccurs="0"/>
                <xsd:element ref="ns2:Volet" minOccurs="0"/>
                <xsd:element ref="ns2:MediaServiceObjectDetectorVersions" minOccurs="0"/>
                <xsd:element ref="ns2:MediaServiceSearchProperties" minOccurs="0"/>
                <xsd:element ref="ns2:Dossier" minOccurs="0"/>
                <xsd:element ref="ns2:Projet" minOccurs="0"/>
                <xsd:element ref="ns2:responsableInfra" minOccurs="0"/>
                <xsd:element ref="ns2:RespInfra" minOccurs="0"/>
                <xsd:element ref="ns2:th_x00e8_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88a375-6014-4440-b0c3-4b78d77919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rovince" ma:index="10" nillable="true" ma:displayName="Province" ma:format="Dropdown" ma:internalName="Province">
      <xsd:simpleType>
        <xsd:union memberTypes="dms:Text">
          <xsd:simpleType>
            <xsd:restriction base="dms:Choice">
              <xsd:enumeration value="SU/Mongala"/>
              <xsd:enumeration value="Tshopo"/>
              <xsd:enumeration value="KorLom"/>
              <xsd:enumeration value="HautKatanga-Lualaba"/>
              <xsd:enumeration value="Kinshasa"/>
              <xsd:enumeration value="RCA"/>
            </xsd:restriction>
          </xsd:simpleType>
        </xsd:union>
      </xsd:simpleType>
    </xsd:element>
    <xsd:element name="Intervention" ma:index="11" nillable="true" ma:displayName="Intervention" ma:format="Dropdown" ma:internalName="Intervention">
      <xsd:simpleType>
        <xsd:restriction base="dms:Choice">
          <xsd:enumeration value="CovidStJo_COD2000211"/>
          <xsd:enumeration value="DEVRURII_CAF1900511"/>
          <xsd:enumeration value="EDUKAT_RDC1216911"/>
          <xsd:enumeration value="EDUKOR_RDC1217211"/>
          <xsd:enumeration value="EDUMOSU_RDC1217511"/>
          <xsd:enumeration value="EDUT_RDC1217911"/>
          <xsd:enumeration value="PIREDDMong_RDC182081T"/>
          <xsd:enumeration value="PRODAKOR_RDC1217111"/>
          <xsd:enumeration value="PRODAT_RDC1217711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BEMOE" ma:index="24" nillable="true" ma:displayName="BE MOE" ma:format="Dropdown" ma:internalName="BEMOE">
      <xsd:simpleType>
        <xsd:union memberTypes="dms:Text">
          <xsd:simpleType>
            <xsd:restriction base="dms:Choice">
              <xsd:enumeration value="SGI"/>
              <xsd:enumeration value="ARTER"/>
              <xsd:enumeration value="SHER"/>
            </xsd:restriction>
          </xsd:simpleType>
        </xsd:union>
      </xsd:simpleType>
    </xsd:element>
    <xsd:element name="Etat" ma:index="25" nillable="true" ma:displayName="Etat" ma:format="Dropdown" ma:internalName="Etat">
      <xsd:simpleType>
        <xsd:restriction base="dms:Choice">
          <xsd:enumeration value="En cours"/>
          <xsd:enumeration value="Terminé"/>
        </xsd:restriction>
      </xsd:simpleType>
    </xsd:element>
    <xsd:element name="Volet" ma:index="26" nillable="true" ma:displayName="Volet" ma:format="Dropdown" ma:internalName="Volet">
      <xsd:simpleType>
        <xsd:union memberTypes="dms:Text">
          <xsd:simpleType>
            <xsd:restriction base="dms:Choice">
              <xsd:enumeration value="FEE"/>
              <xsd:enumeration value="EduBase"/>
              <xsd:enumeration value="Santé"/>
              <xsd:enumeration value="AGRI"/>
              <xsd:enumeration value="REP"/>
              <xsd:enumeration value="JCC"/>
              <xsd:enumeration value="SECU"/>
              <xsd:enumeration value="GIFT"/>
            </xsd:restriction>
          </xsd:simpleType>
        </xsd:union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ssier" ma:index="29" nillable="true" ma:displayName="Dossier" ma:format="Dropdown" ma:internalName="Dossier">
      <xsd:simpleType>
        <xsd:restriction base="dms:Text">
          <xsd:maxLength value="255"/>
        </xsd:restriction>
      </xsd:simpleType>
    </xsd:element>
    <xsd:element name="Projet" ma:index="30" nillable="true" ma:displayName="Projet" ma:format="Dropdown" ma:internalName="Projet">
      <xsd:simpleType>
        <xsd:restriction base="dms:Text">
          <xsd:maxLength value="255"/>
        </xsd:restriction>
      </xsd:simpleType>
    </xsd:element>
    <xsd:element name="responsableInfra" ma:index="31" nillable="true" ma:displayName="responsable Infra" ma:format="Dropdown" ma:list="UserInfo" ma:SharePointGroup="0" ma:internalName="responsableInfr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spInfra" ma:index="32" nillable="true" ma:displayName="Resp Infra" ma:format="Dropdown" ma:list="UserInfo" ma:SharePointGroup="0" ma:internalName="RespInfr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h_x00e8_me" ma:index="33" nillable="true" ma:displayName="thème" ma:format="Dropdown" ma:internalName="th_x00e8_me">
      <xsd:simpleType>
        <xsd:union memberTypes="dms:Text">
          <xsd:simpleType>
            <xsd:restriction base="dms:Choice">
              <xsd:enumeration value="materiaux"/>
              <xsd:enumeration value="technique"/>
              <xsd:enumeration value="guid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26663-edd4-44b0-b096-004a72f6092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e7c8723-040a-4328-8ec7-d94f50cc9a90}" ma:internalName="TaxCatchAll" ma:showField="CatchAllData" ma:web="a7726663-edd4-44b0-b096-004a72f609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726663-edd4-44b0-b096-004a72f6092b"/>
    <Province xmlns="2988a375-6014-4440-b0c3-4b78d779195e" xsi:nil="true"/>
    <Intervention xmlns="2988a375-6014-4440-b0c3-4b78d779195e" xsi:nil="true"/>
    <Etat xmlns="2988a375-6014-4440-b0c3-4b78d779195e" xsi:nil="true"/>
    <Dossier xmlns="2988a375-6014-4440-b0c3-4b78d779195e" xsi:nil="true"/>
    <Projet xmlns="2988a375-6014-4440-b0c3-4b78d779195e" xsi:nil="true"/>
    <Volet xmlns="2988a375-6014-4440-b0c3-4b78d779195e" xsi:nil="true"/>
    <th_x00e8_me xmlns="2988a375-6014-4440-b0c3-4b78d779195e" xsi:nil="true"/>
    <lcf76f155ced4ddcb4097134ff3c332f xmlns="2988a375-6014-4440-b0c3-4b78d779195e">
      <Terms xmlns="http://schemas.microsoft.com/office/infopath/2007/PartnerControls"/>
    </lcf76f155ced4ddcb4097134ff3c332f>
    <RespInfra xmlns="2988a375-6014-4440-b0c3-4b78d779195e">
      <UserInfo>
        <DisplayName/>
        <AccountId xsi:nil="true"/>
        <AccountType/>
      </UserInfo>
    </RespInfra>
    <BEMOE xmlns="2988a375-6014-4440-b0c3-4b78d779195e" xsi:nil="true"/>
    <responsableInfra xmlns="2988a375-6014-4440-b0c3-4b78d779195e">
      <UserInfo>
        <DisplayName/>
        <AccountId xsi:nil="true"/>
        <AccountType/>
      </UserInfo>
    </responsableInfra>
  </documentManagement>
</p:properties>
</file>

<file path=customXml/itemProps1.xml><?xml version="1.0" encoding="utf-8"?>
<ds:datastoreItem xmlns:ds="http://schemas.openxmlformats.org/officeDocument/2006/customXml" ds:itemID="{58D0AFC3-107B-4B3A-B4DE-9E8D059DFD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EC7854-5ECB-4A81-8BA8-766950C313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88a375-6014-4440-b0c3-4b78d779195e"/>
    <ds:schemaRef ds:uri="a7726663-edd4-44b0-b096-004a72f609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B6868-1B20-4B1B-837F-E9621A48676B}">
  <ds:schemaRefs>
    <ds:schemaRef ds:uri="http://schemas.microsoft.com/office/2006/metadata/properties"/>
    <ds:schemaRef ds:uri="http://schemas.microsoft.com/office/infopath/2007/PartnerControls"/>
    <ds:schemaRef ds:uri="a7726663-edd4-44b0-b096-004a72f6092b"/>
    <ds:schemaRef ds:uri="2988a375-6014-4440-b0c3-4b78d779195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Bordereau_Lot 2_Ferme</vt:lpstr>
      <vt:lpstr>'Bordereau_Lot 2_Ferme'!Zone_d_impression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CIRHIGIRI MUKASA, Modeste</dc:creator>
  <cp:keywords/>
  <dc:description/>
  <cp:lastModifiedBy>MUNGANGA SHUNGI, Rémy</cp:lastModifiedBy>
  <cp:revision/>
  <dcterms:created xsi:type="dcterms:W3CDTF">2024-04-15T08:55:03Z</dcterms:created>
  <dcterms:modified xsi:type="dcterms:W3CDTF">2025-04-23T10:55:54Z</dcterms:modified>
  <cp:category/>
  <cp:contentStatus/>
</cp:coreProperties>
</file>