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enabelbe.sharepoint.com/sites/SEN/Contracts/21_Marchés_Publics/SEN23001_ClimWal-ER/MP_plus30k/SEN23001-10009_Construction de 10 bâtiments dans les départements de Gossas, Guinguinéo et Birkelane/1_Préparation/"/>
    </mc:Choice>
  </mc:AlternateContent>
  <xr:revisionPtr revIDLastSave="2" documentId="8_{1BA80B11-1599-4C16-9418-3D89C9A6ECCD}" xr6:coauthVersionLast="47" xr6:coauthVersionMax="47" xr10:uidLastSave="{2B493277-7C49-4F65-AB94-95E89C81185A}"/>
  <bookViews>
    <workbookView xWindow="760" yWindow="760" windowWidth="14400" windowHeight="7270" activeTab="2" xr2:uid="{00000000-000D-0000-FFFF-FFFF00000000}"/>
  </bookViews>
  <sheets>
    <sheet name="Devis  Kiosque A" sheetId="3" r:id="rId1"/>
    <sheet name="Devis  Kiosque B" sheetId="5" r:id="rId2"/>
    <sheet name="Allotissements" sheetId="8" r:id="rId3"/>
  </sheets>
  <definedNames>
    <definedName name="_xlnm.Print_Area" localSheetId="0">'Devis  Kiosque A'!$B$1:$G$13</definedName>
    <definedName name="_xlnm.Print_Area" localSheetId="1">'Devis  Kiosque B'!$B$1:$G$13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8" l="1"/>
  <c r="H5" i="8"/>
  <c r="H6" i="8"/>
  <c r="H7" i="8"/>
  <c r="H8" i="8"/>
  <c r="H9" i="8"/>
  <c r="H10" i="8"/>
  <c r="H11" i="8"/>
  <c r="H12" i="8"/>
  <c r="H3" i="8"/>
  <c r="K3" i="8" s="1"/>
  <c r="G12" i="8"/>
  <c r="G11" i="8"/>
  <c r="G10" i="8"/>
  <c r="G9" i="8"/>
  <c r="G8" i="8"/>
  <c r="G7" i="8"/>
  <c r="G6" i="8"/>
  <c r="G5" i="8"/>
  <c r="G4" i="8"/>
  <c r="G3" i="8"/>
  <c r="J10" i="8" l="1"/>
  <c r="J6" i="8"/>
  <c r="J3" i="8"/>
  <c r="K10" i="8"/>
  <c r="K6" i="8"/>
  <c r="J13" i="8" l="1"/>
  <c r="K13" i="8"/>
  <c r="G35" i="5"/>
  <c r="G35" i="3"/>
  <c r="E35" i="3"/>
  <c r="G32" i="5"/>
  <c r="G32" i="3"/>
  <c r="G49" i="5"/>
  <c r="G48" i="5"/>
  <c r="G47" i="5"/>
  <c r="G46" i="5"/>
  <c r="G47" i="3"/>
  <c r="G48" i="3"/>
  <c r="G46" i="3"/>
  <c r="G49" i="3"/>
  <c r="G40" i="5"/>
  <c r="G40" i="3"/>
  <c r="G39" i="5"/>
  <c r="G39" i="3"/>
  <c r="G57" i="5" l="1"/>
  <c r="G56" i="5"/>
  <c r="G55" i="5"/>
  <c r="G54" i="5"/>
  <c r="G53" i="5"/>
  <c r="G54" i="3" l="1"/>
  <c r="G55" i="3"/>
  <c r="G56" i="3"/>
  <c r="G65" i="5" l="1"/>
  <c r="G68" i="5"/>
  <c r="G70" i="5"/>
  <c r="E76" i="3"/>
  <c r="E76" i="5"/>
  <c r="E69" i="5"/>
  <c r="G69" i="5" s="1"/>
  <c r="E67" i="5"/>
  <c r="G44" i="5"/>
  <c r="G44" i="3"/>
  <c r="E34" i="3"/>
  <c r="E34" i="5"/>
  <c r="G28" i="5"/>
  <c r="E27" i="5"/>
  <c r="E27" i="3"/>
  <c r="E26" i="5"/>
  <c r="E23" i="5"/>
  <c r="E15" i="5"/>
  <c r="E22" i="5"/>
  <c r="E21" i="5"/>
  <c r="E20" i="5"/>
  <c r="E20" i="3"/>
  <c r="E18" i="5"/>
  <c r="E18" i="3"/>
  <c r="E17" i="5"/>
  <c r="E16" i="5"/>
  <c r="E11" i="5"/>
  <c r="E16" i="3"/>
  <c r="E14" i="5"/>
  <c r="E13" i="5"/>
  <c r="E12" i="5"/>
  <c r="E9" i="5"/>
  <c r="E9" i="3"/>
  <c r="E8" i="3"/>
  <c r="E8" i="5"/>
  <c r="G28" i="3"/>
  <c r="E22" i="3"/>
  <c r="E10" i="5" l="1"/>
  <c r="G68" i="3"/>
  <c r="G70" i="3"/>
  <c r="G71" i="3"/>
  <c r="E69" i="3"/>
  <c r="G69" i="3" s="1"/>
  <c r="E67" i="3"/>
  <c r="G65" i="3"/>
  <c r="G34" i="3" l="1"/>
  <c r="G30" i="3"/>
  <c r="E26" i="3"/>
  <c r="G26" i="3" s="1"/>
  <c r="G18" i="3"/>
  <c r="G27" i="3"/>
  <c r="E23" i="3"/>
  <c r="G23" i="3" s="1"/>
  <c r="G22" i="3"/>
  <c r="E15" i="3"/>
  <c r="G15" i="3" s="1"/>
  <c r="E14" i="3"/>
  <c r="G14" i="3" s="1"/>
  <c r="E21" i="3"/>
  <c r="G21" i="3" s="1"/>
  <c r="G20" i="3"/>
  <c r="E17" i="3"/>
  <c r="G17" i="3" s="1"/>
  <c r="G16" i="3"/>
  <c r="E11" i="3"/>
  <c r="G11" i="3" s="1"/>
  <c r="E13" i="3"/>
  <c r="G13" i="3" s="1"/>
  <c r="E12" i="3"/>
  <c r="G12" i="3" s="1"/>
  <c r="G9" i="3"/>
  <c r="G8" i="3"/>
  <c r="G76" i="5"/>
  <c r="G75" i="5"/>
  <c r="G74" i="5"/>
  <c r="G72" i="5"/>
  <c r="G71" i="5"/>
  <c r="G67" i="5"/>
  <c r="G64" i="5"/>
  <c r="G63" i="5"/>
  <c r="G62" i="5"/>
  <c r="G61" i="5"/>
  <c r="G60" i="5"/>
  <c r="G51" i="5"/>
  <c r="G50" i="5"/>
  <c r="G43" i="5"/>
  <c r="G42" i="5"/>
  <c r="G38" i="5"/>
  <c r="G37" i="5" s="1"/>
  <c r="G34" i="5"/>
  <c r="G33" i="5"/>
  <c r="G31" i="5"/>
  <c r="G30" i="5"/>
  <c r="G27" i="5"/>
  <c r="G26" i="5"/>
  <c r="G25" i="5"/>
  <c r="G24" i="5"/>
  <c r="G23" i="5"/>
  <c r="G22" i="5"/>
  <c r="G21" i="5"/>
  <c r="G20" i="5"/>
  <c r="G18" i="5"/>
  <c r="G17" i="5"/>
  <c r="G16" i="5"/>
  <c r="G15" i="5"/>
  <c r="G14" i="5"/>
  <c r="G13" i="5"/>
  <c r="G12" i="5"/>
  <c r="G11" i="5"/>
  <c r="G10" i="5"/>
  <c r="G9" i="5"/>
  <c r="G8" i="5"/>
  <c r="G7" i="5"/>
  <c r="G5" i="5"/>
  <c r="G4" i="5"/>
  <c r="G75" i="3"/>
  <c r="G76" i="3"/>
  <c r="G74" i="3"/>
  <c r="G72" i="3"/>
  <c r="G67" i="3"/>
  <c r="G61" i="3"/>
  <c r="G62" i="3"/>
  <c r="G63" i="3"/>
  <c r="G64" i="3"/>
  <c r="G60" i="3"/>
  <c r="G53" i="3"/>
  <c r="G57" i="3" s="1"/>
  <c r="G51" i="3"/>
  <c r="G50" i="3"/>
  <c r="G43" i="3"/>
  <c r="G42" i="3"/>
  <c r="G38" i="3"/>
  <c r="G37" i="3" s="1"/>
  <c r="G31" i="3"/>
  <c r="G33" i="3"/>
  <c r="G24" i="3"/>
  <c r="G25" i="3"/>
  <c r="G7" i="3"/>
  <c r="G5" i="3"/>
  <c r="G4" i="3"/>
  <c r="G29" i="5" l="1"/>
  <c r="G29" i="3"/>
  <c r="G45" i="3"/>
  <c r="G59" i="5"/>
  <c r="G41" i="5"/>
  <c r="G52" i="3"/>
  <c r="G59" i="3"/>
  <c r="G52" i="5"/>
  <c r="G41" i="3"/>
  <c r="G19" i="3"/>
  <c r="G73" i="5"/>
  <c r="G19" i="5"/>
  <c r="G3" i="5"/>
  <c r="G6" i="5"/>
  <c r="G45" i="5"/>
  <c r="G36" i="5" s="1"/>
  <c r="G66" i="5"/>
  <c r="G58" i="5" s="1"/>
  <c r="G66" i="3"/>
  <c r="G73" i="3"/>
  <c r="E10" i="3"/>
  <c r="G10" i="3" s="1"/>
  <c r="G6" i="3" s="1"/>
  <c r="G3" i="3"/>
  <c r="G77" i="5" l="1"/>
  <c r="G36" i="3"/>
  <c r="G58" i="3"/>
  <c r="G78" i="5" l="1"/>
  <c r="G79" i="5" s="1"/>
  <c r="G77" i="3"/>
  <c r="G78" i="3" s="1"/>
  <c r="G79" i="3" l="1"/>
</calcChain>
</file>

<file path=xl/sharedStrings.xml><?xml version="1.0" encoding="utf-8"?>
<sst xmlns="http://schemas.openxmlformats.org/spreadsheetml/2006/main" count="350" uniqueCount="148">
  <si>
    <t>Désignation</t>
  </si>
  <si>
    <t>Unité</t>
  </si>
  <si>
    <t>FF</t>
  </si>
  <si>
    <t>TOTAL</t>
  </si>
  <si>
    <t>N°</t>
  </si>
  <si>
    <t>Sites</t>
  </si>
  <si>
    <t>Darou Bayré</t>
  </si>
  <si>
    <t xml:space="preserve"> Prix Unitaire </t>
  </si>
  <si>
    <t>Prix Total</t>
  </si>
  <si>
    <t>INSTALLATION DE CHANTIER</t>
  </si>
  <si>
    <t>Installation de chantier, amené matériel et repli de chantier, baraque et clôture de perimètres et abonnement provisoire de police pour eau et électricité y/c toutes sujétions</t>
  </si>
  <si>
    <t xml:space="preserve">TERRASSEMENTS ET FONDATIONS </t>
  </si>
  <si>
    <t xml:space="preserve">Préparation et implantation du bâtiment </t>
  </si>
  <si>
    <t>Études de structures et lots techniques + visa de plans par un bureau de contrôle agrée :
Plans de recollement</t>
  </si>
  <si>
    <t>Fouilles en puits pour semelles (à -1.00 m p/r TN)</t>
  </si>
  <si>
    <t>Maçonnerie de soubassement en BTC ou agglomérés pleins avec fibres typha</t>
  </si>
  <si>
    <t>Fouilles en rigoles pour soubassements</t>
  </si>
  <si>
    <t xml:space="preserve">ELEVATION RDC : </t>
  </si>
  <si>
    <t>Maçonnerie en BTC de 30x20x10</t>
  </si>
  <si>
    <t>Enduit sous plafond :</t>
  </si>
  <si>
    <t xml:space="preserve"> CARRELAGE ET REVETEMENTS :</t>
  </si>
  <si>
    <t>F/P de carreaux faïence 20 x 20 pour toilette sur 2.1 m :</t>
  </si>
  <si>
    <t>F/P de plinthe en carreaux de 8 x 30 assortie :</t>
  </si>
  <si>
    <t>ml</t>
  </si>
  <si>
    <t xml:space="preserve"> MENUISERIES :</t>
  </si>
  <si>
    <t>Menuiserie en bois</t>
  </si>
  <si>
    <t>U</t>
  </si>
  <si>
    <t>Menuiserie métallique</t>
  </si>
  <si>
    <t>F/P de carreaux grès cérame 30 x 30 pour sol intérieur</t>
  </si>
  <si>
    <t>F/P de Porte métallique simple battant ouvrant à la française. ; dim. 0.70 x 2.20 (M0)</t>
  </si>
  <si>
    <t>F/P de Porte métallique simple battant ouvrant à la française. ; dim. 0.90 x 2.20 (M3)</t>
  </si>
  <si>
    <t>F/P de chassi alu vitré 2,25x2,10</t>
  </si>
  <si>
    <t>F/P de chassi alu vitré 1,46x2,10</t>
  </si>
  <si>
    <t>Ensemble d'interrupteurs, de prises et de luminaires suivant plans et spécifications techniques</t>
  </si>
  <si>
    <t>Divers accessoires de montage (parafoudre, disjoncteur DC, attaches….)</t>
  </si>
  <si>
    <t>PLOMBERIE SANITAIRE :</t>
  </si>
  <si>
    <t>Installations F/P d'équipements</t>
  </si>
  <si>
    <t>Installation du réseau d'alimentation d'eau potable en pex y/c Toutes sujétions et branchement au puits réhabilité au forage ou au réseau d'adduction d'eau :</t>
  </si>
  <si>
    <t>Ens</t>
  </si>
  <si>
    <t>F/P de robinet de puisage :</t>
  </si>
  <si>
    <t>F/P de siphon de sol n° 23 :</t>
  </si>
  <si>
    <t>F/P de vanne d'arrêt :</t>
  </si>
  <si>
    <t>Fosse septique Regards et puits perdu</t>
  </si>
  <si>
    <t>ETANCHEITE :</t>
  </si>
  <si>
    <t>F et P d'un système d'étanchéité sur terrasse accessible</t>
  </si>
  <si>
    <t xml:space="preserve">F et P d'étanchéité monocouche dans les locaux humides </t>
  </si>
  <si>
    <t xml:space="preserve">Relevé d'étanchéité pour dito </t>
  </si>
  <si>
    <t>Quantité marché</t>
  </si>
  <si>
    <t>TOTAL GENERAL</t>
  </si>
  <si>
    <t>KIOSQUE DE TYPE A</t>
  </si>
  <si>
    <t>KIOSQUE DE TYPE B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</si>
  <si>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</si>
  <si>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</si>
  <si>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 xml:space="preserve">Remblais contre fondation et soubassements avec sable d'apport et sable provenant des fouilles : </t>
  </si>
  <si>
    <t>Enduit extérieur sur chainages et raidisseurs bas</t>
  </si>
  <si>
    <t>Dalle en encorbellement périphérique</t>
  </si>
  <si>
    <t>F/P de chaise anglaise y/c alimentation et vidange</t>
  </si>
  <si>
    <t>F/P d'un receveur de douche ou construction à l'italienne</t>
  </si>
  <si>
    <t>Fosse septique et puits perdu en BTC</t>
  </si>
  <si>
    <t>FP de Regards</t>
  </si>
  <si>
    <t>ens</t>
  </si>
  <si>
    <t xml:space="preserve">Ensemble raccordements </t>
  </si>
  <si>
    <t>Ensemble raccordements</t>
  </si>
  <si>
    <t>F et P d'un système d'étanchéité bicouche sur terrasse accessible</t>
  </si>
  <si>
    <t xml:space="preserve">Fourniture et mise en œuvre de remblais sous dallage et revers d'eau périphérique (50 cm) : </t>
  </si>
  <si>
    <t xml:space="preserve">Béton armé dosé à 350 kg/m3 pour Poutres y/c coffrage et ferraillage : </t>
  </si>
  <si>
    <t xml:space="preserve">Béton armé dosé à 350 kg/m3 pour Poutres  y/c coffrage et ferraillage : </t>
  </si>
  <si>
    <t xml:space="preserve">Maçonnerie en BTC de 10x20x40 </t>
  </si>
  <si>
    <t xml:space="preserve">Enduits extérieurs et intérieurs sur raidisseurs et chainages en béton armé :  </t>
  </si>
  <si>
    <t>Menuiserie aluminium</t>
  </si>
  <si>
    <t>FP de garde-corps métallique</t>
  </si>
  <si>
    <t xml:space="preserve">Coffret TGBT équipé au minimum d'un disjoncteur de tête, de 4 modulaires (10 A et 16 A) et de 2 interrupteurs différentiels </t>
  </si>
  <si>
    <t>Régions</t>
  </si>
  <si>
    <t>Départements</t>
  </si>
  <si>
    <t>Communes</t>
  </si>
  <si>
    <t>Villages</t>
  </si>
  <si>
    <t>Type de kiosque</t>
  </si>
  <si>
    <t>Montant TTC (F CFA)</t>
  </si>
  <si>
    <t>Allotissement</t>
  </si>
  <si>
    <t>FATICK</t>
  </si>
  <si>
    <t>GOSSAS</t>
  </si>
  <si>
    <t>Mbar</t>
  </si>
  <si>
    <t>Deguer Diamaguene</t>
  </si>
  <si>
    <t>Type B</t>
  </si>
  <si>
    <t>LOT 1</t>
  </si>
  <si>
    <t>KAOLACK</t>
  </si>
  <si>
    <t>GUINGUINEO</t>
  </si>
  <si>
    <t>Ndiago</t>
  </si>
  <si>
    <t>Type A</t>
  </si>
  <si>
    <t>Panal wolof</t>
  </si>
  <si>
    <t>Diatmel</t>
  </si>
  <si>
    <t>Dara mboss</t>
  </si>
  <si>
    <t>Dara Niassène</t>
  </si>
  <si>
    <t>Dara Palene</t>
  </si>
  <si>
    <t>Thiadia Mboss</t>
  </si>
  <si>
    <t>Diamageune</t>
  </si>
  <si>
    <t>Ngathie naoude</t>
  </si>
  <si>
    <t>Mbafaye</t>
  </si>
  <si>
    <t>LOT 2</t>
  </si>
  <si>
    <t>KAFFRINE</t>
  </si>
  <si>
    <t>MBIRKELANE</t>
  </si>
  <si>
    <t>Keur mbouki</t>
  </si>
  <si>
    <t>Tchicat Wolof</t>
  </si>
  <si>
    <t>Touba mbella</t>
  </si>
  <si>
    <t>Weynde</t>
  </si>
  <si>
    <t>Ngathie Thiarene</t>
  </si>
  <si>
    <t>Tchicat Boinguel</t>
  </si>
  <si>
    <t>Mboulougne Seno Wolof</t>
  </si>
  <si>
    <t>Diasssoum Diamageune</t>
  </si>
  <si>
    <t>TVA (18%)</t>
  </si>
  <si>
    <t>TTC</t>
  </si>
  <si>
    <t>Boucle de terre en fond de fouille y/c cuivre nu 29mm². piquet de terre. barrette de coupure</t>
  </si>
  <si>
    <t xml:space="preserve">Ngoloum </t>
  </si>
  <si>
    <t>ELECTRICITE : Installation et équipements batiment</t>
  </si>
  <si>
    <r>
      <t>m</t>
    </r>
    <r>
      <rPr>
        <vertAlign val="superscript"/>
        <sz val="11"/>
        <color theme="1"/>
        <rFont val="Arial"/>
        <family val="2"/>
      </rPr>
      <t>3</t>
    </r>
  </si>
  <si>
    <r>
      <t>m</t>
    </r>
    <r>
      <rPr>
        <vertAlign val="superscript"/>
        <sz val="11"/>
        <color theme="1"/>
        <rFont val="Arial"/>
        <family val="2"/>
      </rPr>
      <t>2</t>
    </r>
  </si>
  <si>
    <r>
      <t>Béton de propreté pour semelles dosé à 150 Kg/m</t>
    </r>
    <r>
      <rPr>
        <vertAlign val="superscript"/>
        <sz val="11"/>
        <color rgb="FF000000"/>
        <rFont val="Arial"/>
        <family val="2"/>
      </rPr>
      <t>2</t>
    </r>
    <r>
      <rPr>
        <sz val="11"/>
        <color theme="1"/>
        <rFont val="Arial"/>
        <family val="2"/>
      </rPr>
      <t xml:space="preserve"> y/c coffrage et ferraillage : </t>
    </r>
  </si>
  <si>
    <r>
      <t>Béton armé pour semelles isolées  dosées à 350 Kg/m</t>
    </r>
    <r>
      <rPr>
        <vertAlign val="superscript"/>
        <sz val="11"/>
        <color rgb="FF000000"/>
        <rFont val="Arial"/>
        <family val="2"/>
      </rPr>
      <t>3</t>
    </r>
    <r>
      <rPr>
        <sz val="11"/>
        <color theme="1"/>
        <rFont val="Arial"/>
        <family val="2"/>
      </rPr>
      <t xml:space="preserve"> y/c coffrage et ferraillage : </t>
    </r>
  </si>
  <si>
    <r>
      <t>Béton armé pour amorces poteaux dosées à 350 Kg/m</t>
    </r>
    <r>
      <rPr>
        <vertAlign val="superscript"/>
        <sz val="11"/>
        <color rgb="FF000000"/>
        <rFont val="Arial"/>
        <family val="2"/>
      </rPr>
      <t>3</t>
    </r>
    <r>
      <rPr>
        <sz val="11"/>
        <color theme="1"/>
        <rFont val="Arial"/>
        <family val="2"/>
      </rPr>
      <t xml:space="preserve"> y/c coffrage et ferraillage : </t>
    </r>
  </si>
  <si>
    <r>
      <t>Béton armé pour longrines dosées à 350 Kg/m</t>
    </r>
    <r>
      <rPr>
        <vertAlign val="superscript"/>
        <sz val="11"/>
        <color rgb="FF000000"/>
        <rFont val="Arial"/>
        <family val="2"/>
      </rPr>
      <t>3</t>
    </r>
    <r>
      <rPr>
        <sz val="11"/>
        <color theme="1"/>
        <rFont val="Arial"/>
        <family val="2"/>
      </rPr>
      <t xml:space="preserve"> y/c coffrage et ferraillage : </t>
    </r>
  </si>
  <si>
    <r>
      <t>Béton armé pour dallages ep. 15 + marches et rampes et revers d'eau dosées à 350 Kg/m</t>
    </r>
    <r>
      <rPr>
        <vertAlign val="superscript"/>
        <sz val="11"/>
        <color rgb="FF000000"/>
        <rFont val="Arial"/>
        <family val="2"/>
      </rPr>
      <t>3</t>
    </r>
  </si>
  <si>
    <r>
      <t>Béton armé dosé à 350 kg/m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pour poteaux, raidisseurs et linteaux  y/c coffrage et ferraillage : </t>
    </r>
  </si>
  <si>
    <r>
      <t xml:space="preserve">Plancher hourdis </t>
    </r>
    <r>
      <rPr>
        <b/>
        <sz val="11"/>
        <rFont val="Arial"/>
        <family val="2"/>
      </rPr>
      <t xml:space="preserve">Typha </t>
    </r>
    <r>
      <rPr>
        <sz val="11"/>
        <rFont val="Arial"/>
        <family val="2"/>
      </rPr>
      <t>de 12+5 y/c coffrage et ferraillage :</t>
    </r>
  </si>
  <si>
    <r>
      <t xml:space="preserve">Plancher hourdis </t>
    </r>
    <r>
      <rPr>
        <b/>
        <sz val="11"/>
        <rFont val="Arial"/>
        <family val="2"/>
      </rPr>
      <t xml:space="preserve">Typha </t>
    </r>
    <r>
      <rPr>
        <sz val="11"/>
        <rFont val="Arial"/>
        <family val="2"/>
      </rPr>
      <t>de 16+5 y/c coffrage et ferraillage :</t>
    </r>
  </si>
  <si>
    <r>
      <t>Fourreautage et filerie 1,5 mm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; 2,5 mm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; 4 à 6 mm</t>
    </r>
    <r>
      <rPr>
        <vertAlign val="superscript"/>
        <sz val="11"/>
        <rFont val="Arial"/>
        <family val="2"/>
      </rPr>
      <t>2</t>
    </r>
  </si>
  <si>
    <r>
      <t xml:space="preserve">Travaux FS y/c tuyauterie </t>
    </r>
    <r>
      <rPr>
        <b/>
        <sz val="11"/>
        <color theme="1"/>
        <rFont val="Arial"/>
        <family val="2"/>
      </rPr>
      <t xml:space="preserve">PVC </t>
    </r>
    <r>
      <rPr>
        <b/>
        <sz val="11"/>
        <color theme="1"/>
        <rFont val="Symbol"/>
        <family val="1"/>
        <charset val="2"/>
      </rPr>
      <t>f</t>
    </r>
    <r>
      <rPr>
        <b/>
        <sz val="11"/>
        <color theme="1"/>
        <rFont val="Arial"/>
        <family val="2"/>
      </rPr>
      <t>32</t>
    </r>
    <r>
      <rPr>
        <sz val="11"/>
        <color theme="1"/>
        <rFont val="Arial"/>
        <family val="2"/>
      </rPr>
      <t xml:space="preserve"> pour Raccordement au réseau d'assainissement de la fosse septique </t>
    </r>
  </si>
  <si>
    <r>
      <t xml:space="preserve">Travaux FS y/c tuyauterie </t>
    </r>
    <r>
      <rPr>
        <b/>
        <sz val="11"/>
        <color theme="1"/>
        <rFont val="Arial"/>
        <family val="2"/>
      </rPr>
      <t xml:space="preserve">PVC </t>
    </r>
    <r>
      <rPr>
        <b/>
        <sz val="11"/>
        <color theme="1"/>
        <rFont val="Symbol"/>
        <family val="1"/>
        <charset val="2"/>
      </rPr>
      <t>f</t>
    </r>
    <r>
      <rPr>
        <b/>
        <sz val="11"/>
        <color theme="1"/>
        <rFont val="Arial"/>
        <family val="2"/>
      </rPr>
      <t>40</t>
    </r>
    <r>
      <rPr>
        <sz val="11"/>
        <color theme="1"/>
        <rFont val="Arial"/>
        <family val="2"/>
      </rPr>
      <t xml:space="preserve"> pour Raccordement au réseau d'assainissement de la fosse septique </t>
    </r>
  </si>
  <si>
    <r>
      <t xml:space="preserve">Travaux FS y/c tuyauterie </t>
    </r>
    <r>
      <rPr>
        <b/>
        <sz val="11"/>
        <color theme="1"/>
        <rFont val="Arial"/>
        <family val="2"/>
      </rPr>
      <t xml:space="preserve">PVC </t>
    </r>
    <r>
      <rPr>
        <b/>
        <sz val="11"/>
        <color theme="1"/>
        <rFont val="Symbol"/>
        <family val="1"/>
        <charset val="2"/>
      </rPr>
      <t>f</t>
    </r>
    <r>
      <rPr>
        <b/>
        <sz val="11"/>
        <color theme="1"/>
        <rFont val="Arial"/>
        <family val="2"/>
      </rPr>
      <t>100</t>
    </r>
    <r>
      <rPr>
        <sz val="11"/>
        <color theme="1"/>
        <rFont val="Arial"/>
        <family val="2"/>
      </rPr>
      <t xml:space="preserve"> pour Raccordement au réseau d'assainissement de la fosse septique </t>
    </r>
  </si>
  <si>
    <t>F/P de Porte en bois isoplane simple battante (type salon) sur charnières, munie d’un verrou ; dim. 80/100 (B1)</t>
  </si>
  <si>
    <t>Placard pour rangements sous table de travail et comptoir</t>
  </si>
  <si>
    <t>Etagères d'exposition (boutique) avec des cornières en inox et en bois massif pour les produits d’épicerie</t>
  </si>
  <si>
    <t>F/P de Fenetre en aluminium vitrée équipées de moustiquaires, Imposte dim. 0.40 x 0.60 (M1)</t>
  </si>
  <si>
    <t>Fenetre en aluminium vitrée dim. 0.82 x 1.20 (M2) sans espaces ou écarts, équipées de moustiquaires, avec des systèmes sécurisés de fermetures et avec des barreaux,</t>
  </si>
  <si>
    <t>Fenetre en aluminium vitrée dim. 1,40 x 1.20 (M2) sans espaces ou écarts, équipées de moustiquaires, avec des systèmes sécurisés de fermetures et avec des barreaux</t>
  </si>
  <si>
    <t>Fenetre en aluminium vitrée dim. 1,60 x 1.20 (M2) sans espaces ou écarts, équipées de moustiquaires, avec des systèmes sécurisés de fermetures et avec des barreaux</t>
  </si>
  <si>
    <t>F/P de carreaux grès cérame 30 x 30 anti-dérappant pour espace d'accueil (ouvert), marches et rampes d'accès</t>
  </si>
  <si>
    <r>
      <t xml:space="preserve">F/P de carreaux grès cérame 30 x 30 anti-dérappant pour </t>
    </r>
    <r>
      <rPr>
        <b/>
        <sz val="11"/>
        <color theme="1"/>
        <rFont val="Arial"/>
        <family val="2"/>
      </rPr>
      <t>toil</t>
    </r>
  </si>
  <si>
    <t xml:space="preserve">F/P de carreaux faïence blanche 20 x 20 pour plan de travail (comptoirs) et parties extérieures des montants  </t>
  </si>
  <si>
    <t>F/P de châssis alu vitré 2,25x2,10</t>
  </si>
  <si>
    <t>F/P de châssis alu vitré 1,46x2,10</t>
  </si>
  <si>
    <t>Fenetre en aluminium vitrée dim. 1,40 x 1.20 (M4) sans espaces ou écarts, équipées de moustiquaires, avec des systèmes sécurisés de fermetures et avec des barreaux</t>
  </si>
  <si>
    <t>Fenetre en aluminium vitrée dim. 1,60 x 1.20 (M5) sans espaces ou écarts, équipées de moustiquaires, avec des systèmes sécurisés de fermetures et avec des barreaux</t>
  </si>
  <si>
    <t>Daga Daour</t>
  </si>
  <si>
    <t>Keur Daouda</t>
  </si>
  <si>
    <t>LOT 3</t>
  </si>
  <si>
    <t>Montant HTVA (F CFA)</t>
  </si>
  <si>
    <t>Montant du Lot (HTVA)</t>
  </si>
  <si>
    <t>Montant du Lot (TTC)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</si>
</sst>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000000"/>
      <name val="Calibri"/>
      <family val="2"/>
    </font>
    <font>
      <vertAlign val="superscript"/>
      <sz val="11"/>
      <color theme="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b/>
      <sz val="11"/>
      <color theme="1"/>
      <name val="Symbol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/>
    </xf>
    <xf numFmtId="164" fontId="3" fillId="5" borderId="19" xfId="1" applyNumberFormat="1" applyFont="1" applyFill="1" applyBorder="1" applyAlignment="1">
      <alignment horizont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6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164" fontId="14" fillId="0" borderId="9" xfId="1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164" fontId="14" fillId="0" borderId="9" xfId="1" applyNumberFormat="1" applyFont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/>
    <xf numFmtId="0" fontId="2" fillId="0" borderId="9" xfId="0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0" fontId="14" fillId="0" borderId="0" xfId="0" applyFont="1"/>
    <xf numFmtId="2" fontId="2" fillId="0" borderId="9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3" borderId="9" xfId="1" applyNumberFormat="1" applyFont="1" applyFill="1" applyBorder="1" applyAlignment="1">
      <alignment horizontal="center" vertical="center"/>
    </xf>
    <xf numFmtId="164" fontId="18" fillId="0" borderId="9" xfId="1" applyNumberFormat="1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164" fontId="18" fillId="0" borderId="9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 wrapText="1"/>
    </xf>
    <xf numFmtId="164" fontId="5" fillId="4" borderId="21" xfId="1" applyNumberFormat="1" applyFont="1" applyFill="1" applyBorder="1" applyAlignment="1">
      <alignment horizontal="center" vertical="center"/>
    </xf>
    <xf numFmtId="164" fontId="5" fillId="4" borderId="22" xfId="1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164" fontId="8" fillId="2" borderId="11" xfId="1" applyNumberFormat="1" applyFont="1" applyFill="1" applyBorder="1" applyAlignment="1">
      <alignment horizontal="center" vertical="center"/>
    </xf>
    <xf numFmtId="164" fontId="5" fillId="2" borderId="12" xfId="1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 wrapText="1"/>
    </xf>
    <xf numFmtId="164" fontId="2" fillId="0" borderId="14" xfId="1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164" fontId="8" fillId="2" borderId="9" xfId="1" applyNumberFormat="1" applyFont="1" applyFill="1" applyBorder="1" applyAlignment="1">
      <alignment horizontal="center" vertical="center"/>
    </xf>
    <xf numFmtId="164" fontId="5" fillId="2" borderId="14" xfId="1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/>
    </xf>
    <xf numFmtId="0" fontId="18" fillId="3" borderId="13" xfId="0" applyFont="1" applyFill="1" applyBorder="1" applyAlignment="1">
      <alignment horizontal="right" vertical="center"/>
    </xf>
    <xf numFmtId="0" fontId="20" fillId="3" borderId="9" xfId="0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center" vertical="center"/>
    </xf>
    <xf numFmtId="3" fontId="18" fillId="3" borderId="9" xfId="0" applyNumberFormat="1" applyFont="1" applyFill="1" applyBorder="1" applyAlignment="1">
      <alignment horizontal="center" vertical="center"/>
    </xf>
    <xf numFmtId="164" fontId="5" fillId="3" borderId="14" xfId="1" applyNumberFormat="1" applyFont="1" applyFill="1" applyBorder="1" applyAlignment="1">
      <alignment horizontal="center" vertical="center"/>
    </xf>
    <xf numFmtId="0" fontId="18" fillId="0" borderId="13" xfId="0" applyFont="1" applyBorder="1" applyAlignment="1">
      <alignment horizontal="right" vertical="center"/>
    </xf>
    <xf numFmtId="164" fontId="18" fillId="0" borderId="14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8" fillId="3" borderId="9" xfId="0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3" fontId="5" fillId="3" borderId="14" xfId="0" applyNumberFormat="1" applyFont="1" applyFill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/>
    </xf>
    <xf numFmtId="164" fontId="2" fillId="0" borderId="9" xfId="1" applyNumberFormat="1" applyFont="1" applyFill="1" applyBorder="1" applyAlignment="1">
      <alignment horizontal="center" vertical="center"/>
    </xf>
    <xf numFmtId="164" fontId="18" fillId="0" borderId="14" xfId="1" applyNumberFormat="1" applyFont="1" applyFill="1" applyBorder="1" applyAlignment="1">
      <alignment horizontal="center" vertical="center"/>
    </xf>
    <xf numFmtId="164" fontId="2" fillId="0" borderId="14" xfId="1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0" fillId="0" borderId="11" xfId="0" applyBorder="1"/>
    <xf numFmtId="0" fontId="7" fillId="0" borderId="11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/>
    </xf>
    <xf numFmtId="3" fontId="11" fillId="0" borderId="31" xfId="0" applyNumberFormat="1" applyFont="1" applyBorder="1" applyAlignment="1">
      <alignment horizontal="center"/>
    </xf>
    <xf numFmtId="3" fontId="11" fillId="0" borderId="32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right" vertical="center"/>
    </xf>
    <xf numFmtId="0" fontId="5" fillId="5" borderId="30" xfId="0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right" vertical="center"/>
    </xf>
    <xf numFmtId="0" fontId="11" fillId="5" borderId="2" xfId="0" applyFont="1" applyFill="1" applyBorder="1" applyAlignment="1">
      <alignment horizontal="right" vertical="center"/>
    </xf>
    <xf numFmtId="0" fontId="11" fillId="5" borderId="3" xfId="0" applyFont="1" applyFill="1" applyBorder="1" applyAlignment="1">
      <alignment horizontal="right" vertical="center"/>
    </xf>
    <xf numFmtId="0" fontId="16" fillId="5" borderId="1" xfId="0" applyFont="1" applyFill="1" applyBorder="1" applyAlignment="1">
      <alignment horizontal="right" vertical="center"/>
    </xf>
    <xf numFmtId="0" fontId="16" fillId="5" borderId="2" xfId="0" applyFont="1" applyFill="1" applyBorder="1" applyAlignment="1">
      <alignment horizontal="right" vertical="center"/>
    </xf>
    <xf numFmtId="0" fontId="16" fillId="5" borderId="30" xfId="0" applyFont="1" applyFill="1" applyBorder="1" applyAlignment="1">
      <alignment horizontal="right" vertical="center"/>
    </xf>
    <xf numFmtId="3" fontId="4" fillId="0" borderId="25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3" fontId="4" fillId="0" borderId="24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I79"/>
  <sheetViews>
    <sheetView zoomScale="70" zoomScaleNormal="70" workbookViewId="0">
      <selection activeCell="B1" sqref="B1:G1"/>
    </sheetView>
  </sheetViews>
  <sheetFormatPr baseColWidth="10" defaultRowHeight="14.5" x14ac:dyDescent="0.35"/>
  <cols>
    <col min="2" max="2" width="5.54296875" customWidth="1"/>
    <col min="3" max="3" width="49.81640625" customWidth="1"/>
    <col min="4" max="4" width="5.54296875" style="2" bestFit="1" customWidth="1"/>
    <col min="5" max="5" width="12.7265625" style="2" customWidth="1"/>
    <col min="6" max="6" width="12.7265625" style="7" customWidth="1"/>
    <col min="7" max="7" width="19.453125" style="3" customWidth="1"/>
    <col min="8" max="8" width="6.7265625" customWidth="1"/>
    <col min="9" max="9" width="16.81640625" customWidth="1"/>
  </cols>
  <sheetData>
    <row r="1" spans="2:9" ht="32.5" customHeight="1" thickBot="1" x14ac:dyDescent="0.4">
      <c r="B1" s="102" t="s">
        <v>49</v>
      </c>
      <c r="C1" s="102"/>
      <c r="D1" s="102"/>
      <c r="E1" s="102"/>
      <c r="F1" s="102"/>
      <c r="G1" s="102"/>
    </row>
    <row r="2" spans="2:9" ht="28.5" thickBot="1" x14ac:dyDescent="0.4">
      <c r="B2" s="33" t="s">
        <v>4</v>
      </c>
      <c r="C2" s="34" t="s">
        <v>0</v>
      </c>
      <c r="D2" s="34" t="s">
        <v>1</v>
      </c>
      <c r="E2" s="35" t="s">
        <v>47</v>
      </c>
      <c r="F2" s="36" t="s">
        <v>7</v>
      </c>
      <c r="G2" s="37" t="s">
        <v>8</v>
      </c>
    </row>
    <row r="3" spans="2:9" x14ac:dyDescent="0.35">
      <c r="B3" s="38">
        <v>100</v>
      </c>
      <c r="C3" s="39" t="s">
        <v>9</v>
      </c>
      <c r="D3" s="40"/>
      <c r="E3" s="40"/>
      <c r="F3" s="41"/>
      <c r="G3" s="42">
        <f>+SUM(G4:G5)</f>
        <v>0</v>
      </c>
    </row>
    <row r="4" spans="2:9" ht="56" x14ac:dyDescent="0.35">
      <c r="B4" s="43">
        <v>101</v>
      </c>
      <c r="C4" s="44" t="s">
        <v>10</v>
      </c>
      <c r="D4" s="14" t="s">
        <v>2</v>
      </c>
      <c r="E4" s="14">
        <v>1</v>
      </c>
      <c r="F4" s="15"/>
      <c r="G4" s="45">
        <f>+E4*F4</f>
        <v>0</v>
      </c>
    </row>
    <row r="5" spans="2:9" ht="42" x14ac:dyDescent="0.35">
      <c r="B5" s="43">
        <v>102</v>
      </c>
      <c r="C5" s="44" t="s">
        <v>13</v>
      </c>
      <c r="D5" s="14" t="s">
        <v>2</v>
      </c>
      <c r="E5" s="14">
        <v>1</v>
      </c>
      <c r="F5" s="15"/>
      <c r="G5" s="45">
        <f>+E5*F5</f>
        <v>0</v>
      </c>
    </row>
    <row r="6" spans="2:9" x14ac:dyDescent="0.35">
      <c r="B6" s="46">
        <v>200</v>
      </c>
      <c r="C6" s="47" t="s">
        <v>11</v>
      </c>
      <c r="D6" s="48"/>
      <c r="E6" s="48"/>
      <c r="F6" s="49"/>
      <c r="G6" s="50">
        <f>+SUM(G7:G18)</f>
        <v>0</v>
      </c>
      <c r="I6" s="13"/>
    </row>
    <row r="7" spans="2:9" x14ac:dyDescent="0.35">
      <c r="B7" s="43">
        <v>201</v>
      </c>
      <c r="C7" s="44" t="s">
        <v>12</v>
      </c>
      <c r="D7" s="14" t="s">
        <v>2</v>
      </c>
      <c r="E7" s="14">
        <v>1</v>
      </c>
      <c r="F7" s="15"/>
      <c r="G7" s="45">
        <f>+E7*F7</f>
        <v>0</v>
      </c>
    </row>
    <row r="8" spans="2:9" ht="16.5" x14ac:dyDescent="0.35">
      <c r="B8" s="43">
        <v>202</v>
      </c>
      <c r="C8" s="44" t="s">
        <v>14</v>
      </c>
      <c r="D8" s="14" t="s">
        <v>114</v>
      </c>
      <c r="E8" s="26">
        <f>(4*2.89+3.2+4+4.41+2*5.29)*1.1*1.25</f>
        <v>46.40625</v>
      </c>
      <c r="F8" s="15"/>
      <c r="G8" s="45">
        <f t="shared" ref="G8:G35" si="0">+E8*F8</f>
        <v>0</v>
      </c>
    </row>
    <row r="9" spans="2:9" ht="16.5" x14ac:dyDescent="0.35">
      <c r="B9" s="43">
        <v>203</v>
      </c>
      <c r="C9" s="44" t="s">
        <v>16</v>
      </c>
      <c r="D9" s="14" t="s">
        <v>114</v>
      </c>
      <c r="E9" s="26">
        <f>15.72*0.65*1.25</f>
        <v>12.772500000000001</v>
      </c>
      <c r="F9" s="15"/>
      <c r="G9" s="45">
        <f t="shared" si="0"/>
        <v>0</v>
      </c>
    </row>
    <row r="10" spans="2:9" ht="28" x14ac:dyDescent="0.35">
      <c r="B10" s="43">
        <v>204</v>
      </c>
      <c r="C10" s="44" t="s">
        <v>53</v>
      </c>
      <c r="D10" s="14" t="s">
        <v>114</v>
      </c>
      <c r="E10" s="26">
        <f>+(E8+E9)*1.15</f>
        <v>68.055562499999994</v>
      </c>
      <c r="F10" s="15"/>
      <c r="G10" s="45">
        <f t="shared" si="0"/>
        <v>0</v>
      </c>
      <c r="I10" s="12"/>
    </row>
    <row r="11" spans="2:9" ht="28" x14ac:dyDescent="0.35">
      <c r="B11" s="43">
        <v>205</v>
      </c>
      <c r="C11" s="44" t="s">
        <v>64</v>
      </c>
      <c r="D11" s="14" t="s">
        <v>114</v>
      </c>
      <c r="E11" s="14">
        <f>(62*0.45+(87-69))*0.45</f>
        <v>20.655000000000005</v>
      </c>
      <c r="F11" s="15"/>
      <c r="G11" s="45">
        <f t="shared" si="0"/>
        <v>0</v>
      </c>
    </row>
    <row r="12" spans="2:9" ht="30.5" x14ac:dyDescent="0.35">
      <c r="B12" s="43">
        <v>206</v>
      </c>
      <c r="C12" s="44" t="s">
        <v>116</v>
      </c>
      <c r="D12" s="14" t="s">
        <v>114</v>
      </c>
      <c r="E12" s="14">
        <f>(11.31+15.72)*0.05</f>
        <v>1.3515000000000001</v>
      </c>
      <c r="F12" s="15"/>
      <c r="G12" s="45">
        <f t="shared" si="0"/>
        <v>0</v>
      </c>
    </row>
    <row r="13" spans="2:9" ht="30.5" x14ac:dyDescent="0.35">
      <c r="B13" s="43">
        <v>207</v>
      </c>
      <c r="C13" s="44" t="s">
        <v>117</v>
      </c>
      <c r="D13" s="14" t="s">
        <v>114</v>
      </c>
      <c r="E13" s="14">
        <f>9.42*0.35</f>
        <v>3.2969999999999997</v>
      </c>
      <c r="F13" s="15"/>
      <c r="G13" s="45">
        <f t="shared" si="0"/>
        <v>0</v>
      </c>
    </row>
    <row r="14" spans="2:9" ht="30.5" x14ac:dyDescent="0.35">
      <c r="B14" s="43">
        <v>208</v>
      </c>
      <c r="C14" s="44" t="s">
        <v>118</v>
      </c>
      <c r="D14" s="14" t="s">
        <v>114</v>
      </c>
      <c r="E14" s="14">
        <f>+(8*0.3*0.3+0.3*0.2)*1.6</f>
        <v>1.2480000000000002</v>
      </c>
      <c r="F14" s="15"/>
      <c r="G14" s="45">
        <f t="shared" si="0"/>
        <v>0</v>
      </c>
    </row>
    <row r="15" spans="2:9" ht="30.5" x14ac:dyDescent="0.35">
      <c r="B15" s="43">
        <v>209</v>
      </c>
      <c r="C15" s="44" t="s">
        <v>119</v>
      </c>
      <c r="D15" s="14" t="s">
        <v>114</v>
      </c>
      <c r="E15" s="27">
        <f>+(7.75*3+7.68*3)*0.3*0.4</f>
        <v>5.5548000000000002</v>
      </c>
      <c r="F15" s="15"/>
      <c r="G15" s="45">
        <f t="shared" si="0"/>
        <v>0</v>
      </c>
    </row>
    <row r="16" spans="2:9" ht="30.5" x14ac:dyDescent="0.35">
      <c r="B16" s="43">
        <v>210</v>
      </c>
      <c r="C16" s="44" t="s">
        <v>120</v>
      </c>
      <c r="D16" s="14" t="s">
        <v>115</v>
      </c>
      <c r="E16" s="14">
        <f>+(62*0.45+(87-69))</f>
        <v>45.900000000000006</v>
      </c>
      <c r="F16" s="15"/>
      <c r="G16" s="45">
        <f t="shared" si="0"/>
        <v>0</v>
      </c>
      <c r="I16" s="13"/>
    </row>
    <row r="17" spans="2:9" ht="28" x14ac:dyDescent="0.35">
      <c r="B17" s="43">
        <v>211</v>
      </c>
      <c r="C17" s="44" t="s">
        <v>15</v>
      </c>
      <c r="D17" s="14" t="s">
        <v>115</v>
      </c>
      <c r="E17" s="14">
        <f>+(7.75*3+7.68*3)*0.6</f>
        <v>27.773999999999997</v>
      </c>
      <c r="F17" s="15"/>
      <c r="G17" s="45">
        <f t="shared" si="0"/>
        <v>0</v>
      </c>
      <c r="I17" s="13"/>
    </row>
    <row r="18" spans="2:9" ht="16.5" x14ac:dyDescent="0.35">
      <c r="B18" s="43">
        <v>212</v>
      </c>
      <c r="C18" s="51" t="s">
        <v>54</v>
      </c>
      <c r="D18" s="14" t="s">
        <v>115</v>
      </c>
      <c r="E18" s="14">
        <f>3.2*0.45+(7.75*3+7.68*3)*0.4</f>
        <v>19.956000000000003</v>
      </c>
      <c r="F18" s="15"/>
      <c r="G18" s="45">
        <f t="shared" si="0"/>
        <v>0</v>
      </c>
    </row>
    <row r="19" spans="2:9" x14ac:dyDescent="0.35">
      <c r="B19" s="46">
        <v>300</v>
      </c>
      <c r="C19" s="47" t="s">
        <v>17</v>
      </c>
      <c r="D19" s="48"/>
      <c r="E19" s="48"/>
      <c r="F19" s="49"/>
      <c r="G19" s="50">
        <f>+SUM(G20:G28)</f>
        <v>0</v>
      </c>
    </row>
    <row r="20" spans="2:9" ht="16.5" x14ac:dyDescent="0.35">
      <c r="B20" s="43">
        <v>301</v>
      </c>
      <c r="C20" s="52" t="s">
        <v>18</v>
      </c>
      <c r="D20" s="14" t="s">
        <v>115</v>
      </c>
      <c r="E20" s="14">
        <f>33.29*3.5</f>
        <v>116.515</v>
      </c>
      <c r="F20" s="15"/>
      <c r="G20" s="45">
        <f t="shared" si="0"/>
        <v>0</v>
      </c>
    </row>
    <row r="21" spans="2:9" ht="16.5" x14ac:dyDescent="0.35">
      <c r="B21" s="43">
        <v>302</v>
      </c>
      <c r="C21" s="52" t="s">
        <v>67</v>
      </c>
      <c r="D21" s="14" t="s">
        <v>115</v>
      </c>
      <c r="E21" s="14">
        <f>8.5*3.5</f>
        <v>29.75</v>
      </c>
      <c r="F21" s="15"/>
      <c r="G21" s="45">
        <f t="shared" si="0"/>
        <v>0</v>
      </c>
    </row>
    <row r="22" spans="2:9" ht="30.5" x14ac:dyDescent="0.35">
      <c r="B22" s="43">
        <v>303</v>
      </c>
      <c r="C22" s="52" t="s">
        <v>121</v>
      </c>
      <c r="D22" s="14" t="s">
        <v>114</v>
      </c>
      <c r="E22" s="14">
        <f>+(8*0.3*0.3+0.3*0.2)*3.5++(7.75*3+7.68*3)*0.3*0.2</f>
        <v>5.5074000000000005</v>
      </c>
      <c r="F22" s="15"/>
      <c r="G22" s="45">
        <f t="shared" si="0"/>
        <v>0</v>
      </c>
    </row>
    <row r="23" spans="2:9" ht="28" x14ac:dyDescent="0.35">
      <c r="B23" s="43">
        <v>304</v>
      </c>
      <c r="C23" s="52" t="s">
        <v>65</v>
      </c>
      <c r="D23" s="14" t="s">
        <v>114</v>
      </c>
      <c r="E23" s="14">
        <f>42.87*0.3*0.4</f>
        <v>5.1444000000000001</v>
      </c>
      <c r="F23" s="15"/>
      <c r="G23" s="45">
        <f t="shared" si="0"/>
        <v>0</v>
      </c>
    </row>
    <row r="24" spans="2:9" ht="28" x14ac:dyDescent="0.35">
      <c r="B24" s="43">
        <v>305</v>
      </c>
      <c r="C24" s="52" t="s">
        <v>122</v>
      </c>
      <c r="D24" s="14" t="s">
        <v>115</v>
      </c>
      <c r="E24" s="14">
        <v>27.65</v>
      </c>
      <c r="F24" s="15"/>
      <c r="G24" s="45">
        <f t="shared" si="0"/>
        <v>0</v>
      </c>
    </row>
    <row r="25" spans="2:9" ht="28" x14ac:dyDescent="0.35">
      <c r="B25" s="43">
        <v>306</v>
      </c>
      <c r="C25" s="52" t="s">
        <v>123</v>
      </c>
      <c r="D25" s="14" t="s">
        <v>115</v>
      </c>
      <c r="E25" s="14">
        <v>30.2</v>
      </c>
      <c r="F25" s="15"/>
      <c r="G25" s="45">
        <f t="shared" si="0"/>
        <v>0</v>
      </c>
    </row>
    <row r="26" spans="2:9" ht="28" x14ac:dyDescent="0.35">
      <c r="B26" s="43">
        <v>307</v>
      </c>
      <c r="C26" s="52" t="s">
        <v>68</v>
      </c>
      <c r="D26" s="14" t="s">
        <v>115</v>
      </c>
      <c r="E26" s="14">
        <f>6.4*0.45+(7.75*3+7.68*3)*0.4*2</f>
        <v>39.912000000000006</v>
      </c>
      <c r="F26" s="15"/>
      <c r="G26" s="45">
        <f t="shared" si="0"/>
        <v>0</v>
      </c>
    </row>
    <row r="27" spans="2:9" ht="16.5" x14ac:dyDescent="0.35">
      <c r="B27" s="43">
        <v>308</v>
      </c>
      <c r="C27" s="51" t="s">
        <v>19</v>
      </c>
      <c r="D27" s="14" t="s">
        <v>115</v>
      </c>
      <c r="E27" s="14">
        <f>+E24+E25+17</f>
        <v>74.849999999999994</v>
      </c>
      <c r="F27" s="15"/>
      <c r="G27" s="45">
        <f t="shared" si="0"/>
        <v>0</v>
      </c>
    </row>
    <row r="28" spans="2:9" ht="16.5" x14ac:dyDescent="0.35">
      <c r="B28" s="43">
        <v>309</v>
      </c>
      <c r="C28" s="51" t="s">
        <v>55</v>
      </c>
      <c r="D28" s="14" t="s">
        <v>115</v>
      </c>
      <c r="E28" s="14">
        <v>17</v>
      </c>
      <c r="F28" s="15"/>
      <c r="G28" s="45">
        <f t="shared" si="0"/>
        <v>0</v>
      </c>
    </row>
    <row r="29" spans="2:9" x14ac:dyDescent="0.35">
      <c r="B29" s="46">
        <v>400</v>
      </c>
      <c r="C29" s="47" t="s">
        <v>20</v>
      </c>
      <c r="D29" s="48"/>
      <c r="E29" s="48"/>
      <c r="F29" s="49"/>
      <c r="G29" s="50">
        <f>+SUM(G30:G35)</f>
        <v>0</v>
      </c>
    </row>
    <row r="30" spans="2:9" ht="16.5" x14ac:dyDescent="0.35">
      <c r="B30" s="43">
        <v>401</v>
      </c>
      <c r="C30" s="51" t="s">
        <v>28</v>
      </c>
      <c r="D30" s="14" t="s">
        <v>115</v>
      </c>
      <c r="E30" s="53">
        <v>43.05</v>
      </c>
      <c r="F30" s="15"/>
      <c r="G30" s="45">
        <f t="shared" si="0"/>
        <v>0</v>
      </c>
    </row>
    <row r="31" spans="2:9" x14ac:dyDescent="0.35">
      <c r="B31" s="43">
        <v>402</v>
      </c>
      <c r="C31" s="51" t="s">
        <v>22</v>
      </c>
      <c r="D31" s="14" t="s">
        <v>23</v>
      </c>
      <c r="E31" s="53">
        <v>46.22</v>
      </c>
      <c r="F31" s="15"/>
      <c r="G31" s="45">
        <f t="shared" si="0"/>
        <v>0</v>
      </c>
    </row>
    <row r="32" spans="2:9" ht="42" x14ac:dyDescent="0.35">
      <c r="B32" s="43">
        <v>403</v>
      </c>
      <c r="C32" s="51" t="s">
        <v>135</v>
      </c>
      <c r="D32" s="14" t="s">
        <v>115</v>
      </c>
      <c r="E32" s="53">
        <v>21.43</v>
      </c>
      <c r="F32" s="15"/>
      <c r="G32" s="45">
        <f t="shared" si="0"/>
        <v>0</v>
      </c>
    </row>
    <row r="33" spans="2:7" ht="28" x14ac:dyDescent="0.35">
      <c r="B33" s="43">
        <v>404</v>
      </c>
      <c r="C33" s="51" t="s">
        <v>136</v>
      </c>
      <c r="D33" s="14" t="s">
        <v>115</v>
      </c>
      <c r="E33" s="53">
        <v>5.6</v>
      </c>
      <c r="F33" s="15"/>
      <c r="G33" s="45">
        <f t="shared" si="0"/>
        <v>0</v>
      </c>
    </row>
    <row r="34" spans="2:7" ht="28" x14ac:dyDescent="0.35">
      <c r="B34" s="43">
        <v>405</v>
      </c>
      <c r="C34" s="51" t="s">
        <v>21</v>
      </c>
      <c r="D34" s="14" t="s">
        <v>115</v>
      </c>
      <c r="E34" s="26">
        <f>10.21*2.1</f>
        <v>21.441000000000003</v>
      </c>
      <c r="F34" s="15"/>
      <c r="G34" s="45">
        <f t="shared" si="0"/>
        <v>0</v>
      </c>
    </row>
    <row r="35" spans="2:7" ht="28" x14ac:dyDescent="0.35">
      <c r="B35" s="43">
        <v>406</v>
      </c>
      <c r="C35" s="52" t="s">
        <v>137</v>
      </c>
      <c r="D35" s="14" t="s">
        <v>115</v>
      </c>
      <c r="E35" s="26">
        <f>3.15+1.25</f>
        <v>4.4000000000000004</v>
      </c>
      <c r="F35" s="15"/>
      <c r="G35" s="45">
        <f t="shared" si="0"/>
        <v>0</v>
      </c>
    </row>
    <row r="36" spans="2:7" x14ac:dyDescent="0.35">
      <c r="B36" s="46">
        <v>500</v>
      </c>
      <c r="C36" s="47" t="s">
        <v>24</v>
      </c>
      <c r="D36" s="48"/>
      <c r="E36" s="48"/>
      <c r="F36" s="49"/>
      <c r="G36" s="50">
        <f>+SUM(G37,G41,G45)</f>
        <v>0</v>
      </c>
    </row>
    <row r="37" spans="2:7" x14ac:dyDescent="0.35">
      <c r="B37" s="54"/>
      <c r="C37" s="55" t="s">
        <v>25</v>
      </c>
      <c r="D37" s="56"/>
      <c r="E37" s="57"/>
      <c r="F37" s="28"/>
      <c r="G37" s="58">
        <f>+SUM(G38:G40)</f>
        <v>0</v>
      </c>
    </row>
    <row r="38" spans="2:7" ht="42" x14ac:dyDescent="0.35">
      <c r="B38" s="43">
        <v>501</v>
      </c>
      <c r="C38" s="51" t="s">
        <v>128</v>
      </c>
      <c r="D38" s="14" t="s">
        <v>26</v>
      </c>
      <c r="E38" s="14">
        <v>1</v>
      </c>
      <c r="F38" s="15"/>
      <c r="G38" s="45">
        <f t="shared" ref="G38:G40" si="1">+E38*F38</f>
        <v>0</v>
      </c>
    </row>
    <row r="39" spans="2:7" ht="28" x14ac:dyDescent="0.35">
      <c r="B39" s="43">
        <v>502</v>
      </c>
      <c r="C39" s="51" t="s">
        <v>129</v>
      </c>
      <c r="D39" s="14" t="s">
        <v>2</v>
      </c>
      <c r="E39" s="14">
        <v>1</v>
      </c>
      <c r="F39" s="80"/>
      <c r="G39" s="82">
        <f t="shared" si="1"/>
        <v>0</v>
      </c>
    </row>
    <row r="40" spans="2:7" ht="28" x14ac:dyDescent="0.35">
      <c r="B40" s="43">
        <v>503</v>
      </c>
      <c r="C40" s="51" t="s">
        <v>130</v>
      </c>
      <c r="D40" s="14" t="s">
        <v>26</v>
      </c>
      <c r="E40" s="14">
        <v>5</v>
      </c>
      <c r="F40" s="80"/>
      <c r="G40" s="82">
        <f t="shared" si="1"/>
        <v>0</v>
      </c>
    </row>
    <row r="41" spans="2:7" x14ac:dyDescent="0.35">
      <c r="B41" s="54"/>
      <c r="C41" s="55" t="s">
        <v>27</v>
      </c>
      <c r="D41" s="56"/>
      <c r="E41" s="57"/>
      <c r="F41" s="28"/>
      <c r="G41" s="58">
        <f>+SUM(G42:G44)</f>
        <v>0</v>
      </c>
    </row>
    <row r="42" spans="2:7" ht="28" x14ac:dyDescent="0.35">
      <c r="B42" s="43">
        <v>504</v>
      </c>
      <c r="C42" s="51" t="s">
        <v>29</v>
      </c>
      <c r="D42" s="14" t="s">
        <v>26</v>
      </c>
      <c r="E42" s="14">
        <v>1</v>
      </c>
      <c r="F42" s="15"/>
      <c r="G42" s="45">
        <f t="shared" ref="G42:G56" si="2">+E42*F42</f>
        <v>0</v>
      </c>
    </row>
    <row r="43" spans="2:7" ht="28" x14ac:dyDescent="0.35">
      <c r="B43" s="43">
        <v>505</v>
      </c>
      <c r="C43" s="51" t="s">
        <v>30</v>
      </c>
      <c r="D43" s="14" t="s">
        <v>26</v>
      </c>
      <c r="E43" s="14">
        <v>2</v>
      </c>
      <c r="F43" s="15"/>
      <c r="G43" s="45">
        <f t="shared" si="2"/>
        <v>0</v>
      </c>
    </row>
    <row r="44" spans="2:7" s="25" customFormat="1" x14ac:dyDescent="0.35">
      <c r="B44" s="59">
        <v>506</v>
      </c>
      <c r="C44" s="52" t="s">
        <v>70</v>
      </c>
      <c r="D44" s="53" t="s">
        <v>23</v>
      </c>
      <c r="E44" s="53">
        <v>10.26</v>
      </c>
      <c r="F44" s="31"/>
      <c r="G44" s="60">
        <f t="shared" si="2"/>
        <v>0</v>
      </c>
    </row>
    <row r="45" spans="2:7" x14ac:dyDescent="0.35">
      <c r="B45" s="54"/>
      <c r="C45" s="55" t="s">
        <v>69</v>
      </c>
      <c r="D45" s="56"/>
      <c r="E45" s="57"/>
      <c r="F45" s="28"/>
      <c r="G45" s="58">
        <f>+SUM(G46:G51)</f>
        <v>0</v>
      </c>
    </row>
    <row r="46" spans="2:7" ht="56" x14ac:dyDescent="0.35">
      <c r="B46" s="59">
        <v>507</v>
      </c>
      <c r="C46" s="51" t="s">
        <v>132</v>
      </c>
      <c r="D46" s="14" t="s">
        <v>26</v>
      </c>
      <c r="E46" s="79">
        <v>1</v>
      </c>
      <c r="F46" s="80"/>
      <c r="G46" s="81">
        <f t="shared" si="2"/>
        <v>0</v>
      </c>
    </row>
    <row r="47" spans="2:7" ht="56" x14ac:dyDescent="0.35">
      <c r="B47" s="59">
        <v>508</v>
      </c>
      <c r="C47" s="51" t="s">
        <v>140</v>
      </c>
      <c r="D47" s="14" t="s">
        <v>26</v>
      </c>
      <c r="E47" s="79">
        <v>2</v>
      </c>
      <c r="F47" s="80"/>
      <c r="G47" s="81">
        <f t="shared" si="2"/>
        <v>0</v>
      </c>
    </row>
    <row r="48" spans="2:7" ht="56" x14ac:dyDescent="0.35">
      <c r="B48" s="59">
        <v>509</v>
      </c>
      <c r="C48" s="51" t="s">
        <v>141</v>
      </c>
      <c r="D48" s="14" t="s">
        <v>26</v>
      </c>
      <c r="E48" s="79">
        <v>4</v>
      </c>
      <c r="F48" s="80"/>
      <c r="G48" s="81">
        <f t="shared" si="2"/>
        <v>0</v>
      </c>
    </row>
    <row r="49" spans="2:7" ht="28" x14ac:dyDescent="0.35">
      <c r="B49" s="59">
        <v>510</v>
      </c>
      <c r="C49" s="51" t="s">
        <v>131</v>
      </c>
      <c r="D49" s="14" t="s">
        <v>26</v>
      </c>
      <c r="E49" s="14">
        <v>2</v>
      </c>
      <c r="F49" s="80"/>
      <c r="G49" s="82">
        <f t="shared" ref="G49" si="3">+E49*F49</f>
        <v>0</v>
      </c>
    </row>
    <row r="50" spans="2:7" ht="15" thickBot="1" x14ac:dyDescent="0.4">
      <c r="B50" s="59">
        <v>511</v>
      </c>
      <c r="C50" s="84" t="s">
        <v>138</v>
      </c>
      <c r="D50" s="14" t="s">
        <v>26</v>
      </c>
      <c r="E50" s="14">
        <v>1</v>
      </c>
      <c r="F50" s="15"/>
      <c r="G50" s="45">
        <f t="shared" si="2"/>
        <v>0</v>
      </c>
    </row>
    <row r="51" spans="2:7" ht="15" thickBot="1" x14ac:dyDescent="0.4">
      <c r="B51" s="59">
        <v>512</v>
      </c>
      <c r="C51" s="84" t="s">
        <v>139</v>
      </c>
      <c r="D51" s="14" t="s">
        <v>26</v>
      </c>
      <c r="E51" s="14">
        <v>1</v>
      </c>
      <c r="F51" s="15"/>
      <c r="G51" s="45">
        <f t="shared" si="2"/>
        <v>0</v>
      </c>
    </row>
    <row r="52" spans="2:7" x14ac:dyDescent="0.35">
      <c r="B52" s="46">
        <v>600</v>
      </c>
      <c r="C52" s="47" t="s">
        <v>113</v>
      </c>
      <c r="D52" s="48"/>
      <c r="E52" s="48"/>
      <c r="F52" s="49"/>
      <c r="G52" s="50">
        <f>+SUM(G53:G57)</f>
        <v>0</v>
      </c>
    </row>
    <row r="53" spans="2:7" ht="16.5" x14ac:dyDescent="0.35">
      <c r="B53" s="59">
        <v>601</v>
      </c>
      <c r="C53" s="52" t="s">
        <v>124</v>
      </c>
      <c r="D53" s="53" t="s">
        <v>2</v>
      </c>
      <c r="E53" s="53">
        <v>1</v>
      </c>
      <c r="F53" s="29"/>
      <c r="G53" s="60">
        <f t="shared" si="2"/>
        <v>0</v>
      </c>
    </row>
    <row r="54" spans="2:7" ht="28" x14ac:dyDescent="0.35">
      <c r="B54" s="59">
        <v>602</v>
      </c>
      <c r="C54" s="52" t="s">
        <v>33</v>
      </c>
      <c r="D54" s="53" t="s">
        <v>2</v>
      </c>
      <c r="E54" s="53">
        <v>1</v>
      </c>
      <c r="F54" s="29"/>
      <c r="G54" s="60">
        <f t="shared" si="2"/>
        <v>0</v>
      </c>
    </row>
    <row r="55" spans="2:7" ht="42" x14ac:dyDescent="0.35">
      <c r="B55" s="59">
        <v>603</v>
      </c>
      <c r="C55" s="52" t="s">
        <v>71</v>
      </c>
      <c r="D55" s="53" t="s">
        <v>2</v>
      </c>
      <c r="E55" s="53">
        <v>1</v>
      </c>
      <c r="F55" s="29"/>
      <c r="G55" s="60">
        <f t="shared" si="2"/>
        <v>0</v>
      </c>
    </row>
    <row r="56" spans="2:7" ht="28" x14ac:dyDescent="0.35">
      <c r="B56" s="59">
        <v>604</v>
      </c>
      <c r="C56" s="52" t="s">
        <v>111</v>
      </c>
      <c r="D56" s="53" t="s">
        <v>2</v>
      </c>
      <c r="E56" s="30">
        <v>1</v>
      </c>
      <c r="F56" s="29"/>
      <c r="G56" s="60">
        <f t="shared" si="2"/>
        <v>0</v>
      </c>
    </row>
    <row r="57" spans="2:7" s="25" customFormat="1" ht="28" x14ac:dyDescent="0.35">
      <c r="B57" s="59">
        <v>605</v>
      </c>
      <c r="C57" s="52" t="s">
        <v>34</v>
      </c>
      <c r="D57" s="53" t="s">
        <v>2</v>
      </c>
      <c r="E57" s="53">
        <v>0</v>
      </c>
      <c r="F57" s="31"/>
      <c r="G57" s="60">
        <f>+E57*F57</f>
        <v>0</v>
      </c>
    </row>
    <row r="58" spans="2:7" x14ac:dyDescent="0.35">
      <c r="B58" s="46">
        <v>700</v>
      </c>
      <c r="C58" s="47" t="s">
        <v>35</v>
      </c>
      <c r="D58" s="48"/>
      <c r="E58" s="48"/>
      <c r="F58" s="49"/>
      <c r="G58" s="50">
        <f>+SUM(G59,G66)</f>
        <v>0</v>
      </c>
    </row>
    <row r="59" spans="2:7" x14ac:dyDescent="0.35">
      <c r="B59" s="54"/>
      <c r="C59" s="55" t="s">
        <v>36</v>
      </c>
      <c r="D59" s="56"/>
      <c r="E59" s="57"/>
      <c r="F59" s="28"/>
      <c r="G59" s="58">
        <f>+SUM(G60:G65)</f>
        <v>0</v>
      </c>
    </row>
    <row r="60" spans="2:7" ht="42" x14ac:dyDescent="0.35">
      <c r="B60" s="61">
        <v>701</v>
      </c>
      <c r="C60" s="51" t="s">
        <v>37</v>
      </c>
      <c r="D60" s="14" t="s">
        <v>38</v>
      </c>
      <c r="E60" s="14">
        <v>1</v>
      </c>
      <c r="F60" s="15"/>
      <c r="G60" s="45">
        <f t="shared" ref="G60:G76" si="4">+E60*F60</f>
        <v>0</v>
      </c>
    </row>
    <row r="61" spans="2:7" x14ac:dyDescent="0.35">
      <c r="B61" s="61">
        <v>702</v>
      </c>
      <c r="C61" s="51" t="s">
        <v>56</v>
      </c>
      <c r="D61" s="14" t="s">
        <v>26</v>
      </c>
      <c r="E61" s="14">
        <v>1</v>
      </c>
      <c r="F61" s="15"/>
      <c r="G61" s="45">
        <f t="shared" si="4"/>
        <v>0</v>
      </c>
    </row>
    <row r="62" spans="2:7" x14ac:dyDescent="0.35">
      <c r="B62" s="61">
        <v>703</v>
      </c>
      <c r="C62" s="51" t="s">
        <v>39</v>
      </c>
      <c r="D62" s="14" t="s">
        <v>26</v>
      </c>
      <c r="E62" s="14">
        <v>1</v>
      </c>
      <c r="F62" s="15"/>
      <c r="G62" s="45">
        <f t="shared" si="4"/>
        <v>0</v>
      </c>
    </row>
    <row r="63" spans="2:7" x14ac:dyDescent="0.35">
      <c r="B63" s="61">
        <v>704</v>
      </c>
      <c r="C63" s="51" t="s">
        <v>40</v>
      </c>
      <c r="D63" s="14" t="s">
        <v>26</v>
      </c>
      <c r="E63" s="14">
        <v>1</v>
      </c>
      <c r="F63" s="15"/>
      <c r="G63" s="45">
        <f t="shared" si="4"/>
        <v>0</v>
      </c>
    </row>
    <row r="64" spans="2:7" x14ac:dyDescent="0.35">
      <c r="B64" s="61">
        <v>705</v>
      </c>
      <c r="C64" s="51" t="s">
        <v>41</v>
      </c>
      <c r="D64" s="14" t="s">
        <v>26</v>
      </c>
      <c r="E64" s="14">
        <v>1</v>
      </c>
      <c r="F64" s="15"/>
      <c r="G64" s="45">
        <f t="shared" si="4"/>
        <v>0</v>
      </c>
    </row>
    <row r="65" spans="2:9" ht="28" x14ac:dyDescent="0.35">
      <c r="B65" s="61">
        <v>706</v>
      </c>
      <c r="C65" s="51" t="s">
        <v>57</v>
      </c>
      <c r="D65" s="14" t="s">
        <v>26</v>
      </c>
      <c r="E65" s="14">
        <v>1</v>
      </c>
      <c r="F65" s="15"/>
      <c r="G65" s="45">
        <f t="shared" si="4"/>
        <v>0</v>
      </c>
    </row>
    <row r="66" spans="2:9" x14ac:dyDescent="0.35">
      <c r="B66" s="54"/>
      <c r="C66" s="55" t="s">
        <v>42</v>
      </c>
      <c r="D66" s="56"/>
      <c r="E66" s="57"/>
      <c r="F66" s="28"/>
      <c r="G66" s="58">
        <f>+SUM(G67:G72)</f>
        <v>0</v>
      </c>
    </row>
    <row r="67" spans="2:9" ht="42" x14ac:dyDescent="0.35">
      <c r="B67" s="61">
        <v>707</v>
      </c>
      <c r="C67" s="51" t="s">
        <v>125</v>
      </c>
      <c r="D67" s="14" t="s">
        <v>23</v>
      </c>
      <c r="E67" s="14">
        <f>1.7+1.9</f>
        <v>3.5999999999999996</v>
      </c>
      <c r="F67" s="31"/>
      <c r="G67" s="45">
        <f t="shared" si="4"/>
        <v>0</v>
      </c>
    </row>
    <row r="68" spans="2:9" ht="42" x14ac:dyDescent="0.35">
      <c r="B68" s="61">
        <v>708</v>
      </c>
      <c r="C68" s="51" t="s">
        <v>126</v>
      </c>
      <c r="D68" s="14" t="s">
        <v>23</v>
      </c>
      <c r="E68" s="14">
        <v>2.8</v>
      </c>
      <c r="F68" s="31"/>
      <c r="G68" s="45">
        <f t="shared" si="4"/>
        <v>0</v>
      </c>
    </row>
    <row r="69" spans="2:9" ht="42" x14ac:dyDescent="0.35">
      <c r="B69" s="61">
        <v>709</v>
      </c>
      <c r="C69" s="51" t="s">
        <v>127</v>
      </c>
      <c r="D69" s="14" t="s">
        <v>23</v>
      </c>
      <c r="E69" s="14">
        <f>7.3+4.5</f>
        <v>11.8</v>
      </c>
      <c r="F69" s="31"/>
      <c r="G69" s="45">
        <f t="shared" si="4"/>
        <v>0</v>
      </c>
    </row>
    <row r="70" spans="2:9" x14ac:dyDescent="0.35">
      <c r="B70" s="61">
        <v>710</v>
      </c>
      <c r="C70" s="51" t="s">
        <v>62</v>
      </c>
      <c r="D70" s="14" t="s">
        <v>60</v>
      </c>
      <c r="E70" s="14">
        <v>1</v>
      </c>
      <c r="F70" s="15"/>
      <c r="G70" s="45">
        <f t="shared" si="4"/>
        <v>0</v>
      </c>
    </row>
    <row r="71" spans="2:9" x14ac:dyDescent="0.35">
      <c r="B71" s="61">
        <v>711</v>
      </c>
      <c r="C71" s="51" t="s">
        <v>59</v>
      </c>
      <c r="D71" s="14" t="s">
        <v>26</v>
      </c>
      <c r="E71" s="14">
        <v>5</v>
      </c>
      <c r="F71" s="15"/>
      <c r="G71" s="45">
        <f t="shared" si="4"/>
        <v>0</v>
      </c>
    </row>
    <row r="72" spans="2:9" x14ac:dyDescent="0.35">
      <c r="B72" s="61">
        <v>712</v>
      </c>
      <c r="C72" s="51" t="s">
        <v>58</v>
      </c>
      <c r="D72" s="14" t="s">
        <v>38</v>
      </c>
      <c r="E72" s="14">
        <v>1</v>
      </c>
      <c r="F72" s="15"/>
      <c r="G72" s="45">
        <f t="shared" si="4"/>
        <v>0</v>
      </c>
    </row>
    <row r="73" spans="2:9" x14ac:dyDescent="0.35">
      <c r="B73" s="46">
        <v>800</v>
      </c>
      <c r="C73" s="47" t="s">
        <v>43</v>
      </c>
      <c r="D73" s="48"/>
      <c r="E73" s="48"/>
      <c r="F73" s="49"/>
      <c r="G73" s="50">
        <f>+SUM(G74:G76)</f>
        <v>0</v>
      </c>
    </row>
    <row r="74" spans="2:9" ht="28" x14ac:dyDescent="0.35">
      <c r="B74" s="43">
        <v>801</v>
      </c>
      <c r="C74" s="51" t="s">
        <v>63</v>
      </c>
      <c r="D74" s="14" t="s">
        <v>115</v>
      </c>
      <c r="E74" s="14">
        <v>92</v>
      </c>
      <c r="F74" s="15"/>
      <c r="G74" s="45">
        <f t="shared" si="4"/>
        <v>0</v>
      </c>
    </row>
    <row r="75" spans="2:9" ht="28" x14ac:dyDescent="0.35">
      <c r="B75" s="43">
        <v>802</v>
      </c>
      <c r="C75" s="51" t="s">
        <v>45</v>
      </c>
      <c r="D75" s="14" t="s">
        <v>115</v>
      </c>
      <c r="E75" s="14">
        <v>5.6</v>
      </c>
      <c r="F75" s="15"/>
      <c r="G75" s="45">
        <f t="shared" si="4"/>
        <v>0</v>
      </c>
    </row>
    <row r="76" spans="2:9" ht="15" thickBot="1" x14ac:dyDescent="0.4">
      <c r="B76" s="62">
        <v>803</v>
      </c>
      <c r="C76" s="63" t="s">
        <v>46</v>
      </c>
      <c r="D76" s="64" t="s">
        <v>23</v>
      </c>
      <c r="E76" s="64">
        <f>32*0.4</f>
        <v>12.8</v>
      </c>
      <c r="F76" s="32"/>
      <c r="G76" s="65">
        <f t="shared" si="4"/>
        <v>0</v>
      </c>
    </row>
    <row r="77" spans="2:9" ht="15" thickBot="1" x14ac:dyDescent="0.4">
      <c r="B77" s="99" t="s">
        <v>48</v>
      </c>
      <c r="C77" s="100"/>
      <c r="D77" s="100"/>
      <c r="E77" s="100"/>
      <c r="F77" s="101"/>
      <c r="G77" s="4">
        <f>+G3+G6+G19+G29+G36+G52+G58+G73</f>
        <v>0</v>
      </c>
      <c r="I77" s="13"/>
    </row>
    <row r="78" spans="2:9" ht="15" thickBot="1" x14ac:dyDescent="0.4">
      <c r="B78" s="103" t="s">
        <v>109</v>
      </c>
      <c r="C78" s="104"/>
      <c r="D78" s="104"/>
      <c r="E78" s="104"/>
      <c r="F78" s="105"/>
      <c r="G78" s="4">
        <f>0.18*G77</f>
        <v>0</v>
      </c>
    </row>
    <row r="79" spans="2:9" ht="15" thickBot="1" x14ac:dyDescent="0.4">
      <c r="B79" s="103" t="s">
        <v>110</v>
      </c>
      <c r="C79" s="104"/>
      <c r="D79" s="104"/>
      <c r="E79" s="104"/>
      <c r="F79" s="105"/>
      <c r="G79" s="4">
        <f>+G77+G78</f>
        <v>0</v>
      </c>
    </row>
  </sheetData>
  <mergeCells count="4">
    <mergeCell ref="B77:F77"/>
    <mergeCell ref="B1:G1"/>
    <mergeCell ref="B78:F78"/>
    <mergeCell ref="B79:F79"/>
  </mergeCells>
  <phoneticPr fontId="12" type="noConversion"/>
  <pageMargins left="0.7" right="0.7" top="0.75" bottom="0.75" header="0.3" footer="0.3"/>
  <pageSetup paperSize="9" scale="89" orientation="portrait" r:id="rId1"/>
  <ignoredErrors>
    <ignoredError sqref="G6 G73 G66 G19 G52 G41 G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B1:G86"/>
  <sheetViews>
    <sheetView zoomScale="85" zoomScaleNormal="85" workbookViewId="0">
      <selection activeCell="B1" sqref="B1:G1"/>
    </sheetView>
  </sheetViews>
  <sheetFormatPr baseColWidth="10" defaultRowHeight="14.5" x14ac:dyDescent="0.35"/>
  <cols>
    <col min="1" max="1" width="8.26953125" customWidth="1"/>
    <col min="2" max="2" width="5.54296875" customWidth="1"/>
    <col min="3" max="3" width="49.7265625" customWidth="1"/>
    <col min="4" max="4" width="5.54296875" bestFit="1" customWidth="1"/>
    <col min="5" max="5" width="12.7265625" style="2" customWidth="1"/>
    <col min="6" max="6" width="12.7265625" style="1" customWidth="1"/>
    <col min="7" max="7" width="14.54296875" style="1" customWidth="1"/>
    <col min="8" max="8" width="8.26953125" customWidth="1"/>
  </cols>
  <sheetData>
    <row r="1" spans="2:7" ht="32.5" customHeight="1" thickBot="1" x14ac:dyDescent="0.4">
      <c r="B1" s="102" t="s">
        <v>50</v>
      </c>
      <c r="C1" s="102"/>
      <c r="D1" s="102"/>
      <c r="E1" s="102"/>
      <c r="F1" s="102"/>
      <c r="G1" s="102"/>
    </row>
    <row r="2" spans="2:7" ht="28.5" thickBot="1" x14ac:dyDescent="0.4">
      <c r="B2" s="33" t="s">
        <v>4</v>
      </c>
      <c r="C2" s="34" t="s">
        <v>0</v>
      </c>
      <c r="D2" s="34" t="s">
        <v>1</v>
      </c>
      <c r="E2" s="35" t="s">
        <v>47</v>
      </c>
      <c r="F2" s="34" t="s">
        <v>7</v>
      </c>
      <c r="G2" s="66" t="s">
        <v>8</v>
      </c>
    </row>
    <row r="3" spans="2:7" x14ac:dyDescent="0.35">
      <c r="B3" s="38">
        <v>100</v>
      </c>
      <c r="C3" s="39" t="s">
        <v>9</v>
      </c>
      <c r="D3" s="40"/>
      <c r="E3" s="40"/>
      <c r="F3" s="40"/>
      <c r="G3" s="67">
        <f>+SUM(G4:G5)</f>
        <v>0</v>
      </c>
    </row>
    <row r="4" spans="2:7" ht="56" x14ac:dyDescent="0.35">
      <c r="B4" s="43">
        <v>101</v>
      </c>
      <c r="C4" s="44" t="s">
        <v>10</v>
      </c>
      <c r="D4" s="14" t="s">
        <v>2</v>
      </c>
      <c r="E4" s="26">
        <v>1</v>
      </c>
      <c r="F4" s="15"/>
      <c r="G4" s="68">
        <f>+E4*F4</f>
        <v>0</v>
      </c>
    </row>
    <row r="5" spans="2:7" ht="42" x14ac:dyDescent="0.35">
      <c r="B5" s="43">
        <v>102</v>
      </c>
      <c r="C5" s="44" t="s">
        <v>13</v>
      </c>
      <c r="D5" s="14" t="s">
        <v>2</v>
      </c>
      <c r="E5" s="26">
        <v>1</v>
      </c>
      <c r="F5" s="15"/>
      <c r="G5" s="68">
        <f>+E5*F5</f>
        <v>0</v>
      </c>
    </row>
    <row r="6" spans="2:7" x14ac:dyDescent="0.35">
      <c r="B6" s="46">
        <v>200</v>
      </c>
      <c r="C6" s="47" t="s">
        <v>11</v>
      </c>
      <c r="D6" s="48"/>
      <c r="E6" s="69"/>
      <c r="F6" s="49"/>
      <c r="G6" s="70">
        <f>+SUM(G7:G18)</f>
        <v>0</v>
      </c>
    </row>
    <row r="7" spans="2:7" x14ac:dyDescent="0.35">
      <c r="B7" s="43">
        <v>201</v>
      </c>
      <c r="C7" s="44" t="s">
        <v>12</v>
      </c>
      <c r="D7" s="71" t="s">
        <v>2</v>
      </c>
      <c r="E7" s="72">
        <v>1</v>
      </c>
      <c r="F7" s="5"/>
      <c r="G7" s="68">
        <f>+E7*F7</f>
        <v>0</v>
      </c>
    </row>
    <row r="8" spans="2:7" ht="16.5" x14ac:dyDescent="0.35">
      <c r="B8" s="43">
        <v>202</v>
      </c>
      <c r="C8" s="44" t="s">
        <v>14</v>
      </c>
      <c r="D8" s="71" t="s">
        <v>51</v>
      </c>
      <c r="E8" s="72">
        <f>44.56*1.1*1.25</f>
        <v>61.27000000000001</v>
      </c>
      <c r="F8" s="5"/>
      <c r="G8" s="68">
        <f t="shared" ref="G8:G34" si="0">+E8*F8</f>
        <v>0</v>
      </c>
    </row>
    <row r="9" spans="2:7" ht="16.5" x14ac:dyDescent="0.35">
      <c r="B9" s="43">
        <v>203</v>
      </c>
      <c r="C9" s="44" t="s">
        <v>16</v>
      </c>
      <c r="D9" s="71" t="s">
        <v>51</v>
      </c>
      <c r="E9" s="8">
        <f>26.4*0.65*1.25</f>
        <v>21.45</v>
      </c>
      <c r="F9" s="5"/>
      <c r="G9" s="68">
        <f t="shared" si="0"/>
        <v>0</v>
      </c>
    </row>
    <row r="10" spans="2:7" ht="28" x14ac:dyDescent="0.35">
      <c r="B10" s="43">
        <v>204</v>
      </c>
      <c r="C10" s="44" t="s">
        <v>53</v>
      </c>
      <c r="D10" s="71" t="s">
        <v>51</v>
      </c>
      <c r="E10" s="72">
        <f>1.15*(E8+E9)</f>
        <v>95.128000000000014</v>
      </c>
      <c r="F10" s="5"/>
      <c r="G10" s="68">
        <f t="shared" si="0"/>
        <v>0</v>
      </c>
    </row>
    <row r="11" spans="2:7" ht="28" x14ac:dyDescent="0.35">
      <c r="B11" s="43">
        <v>205</v>
      </c>
      <c r="C11" s="44" t="s">
        <v>64</v>
      </c>
      <c r="D11" s="71" t="s">
        <v>51</v>
      </c>
      <c r="E11" s="72">
        <f>(93.35+(128.45-97.41))*0.45</f>
        <v>55.975499999999997</v>
      </c>
      <c r="F11" s="5"/>
      <c r="G11" s="68">
        <f t="shared" si="0"/>
        <v>0</v>
      </c>
    </row>
    <row r="12" spans="2:7" ht="30.5" x14ac:dyDescent="0.35">
      <c r="B12" s="43">
        <v>206</v>
      </c>
      <c r="C12" s="44" t="s">
        <v>116</v>
      </c>
      <c r="D12" s="71" t="s">
        <v>51</v>
      </c>
      <c r="E12" s="72">
        <f>(15.44+26.4)*0.05</f>
        <v>2.0920000000000001</v>
      </c>
      <c r="F12" s="5"/>
      <c r="G12" s="68">
        <f t="shared" si="0"/>
        <v>0</v>
      </c>
    </row>
    <row r="13" spans="2:7" ht="30.5" x14ac:dyDescent="0.35">
      <c r="B13" s="43">
        <v>207</v>
      </c>
      <c r="C13" s="44" t="s">
        <v>117</v>
      </c>
      <c r="D13" s="71" t="s">
        <v>51</v>
      </c>
      <c r="E13" s="72">
        <f>15.4*0.35</f>
        <v>5.39</v>
      </c>
      <c r="F13" s="5"/>
      <c r="G13" s="68">
        <f t="shared" si="0"/>
        <v>0</v>
      </c>
    </row>
    <row r="14" spans="2:7" ht="30.5" x14ac:dyDescent="0.35">
      <c r="B14" s="43">
        <v>208</v>
      </c>
      <c r="C14" s="44" t="s">
        <v>118</v>
      </c>
      <c r="D14" s="71" t="s">
        <v>51</v>
      </c>
      <c r="E14" s="72">
        <f>+(11*0.3*0.3+1*0.3*0.2)*1.6</f>
        <v>1.6799999999999997</v>
      </c>
      <c r="F14" s="5"/>
      <c r="G14" s="68">
        <f t="shared" si="0"/>
        <v>0</v>
      </c>
    </row>
    <row r="15" spans="2:7" ht="30.5" x14ac:dyDescent="0.35">
      <c r="B15" s="43">
        <v>209</v>
      </c>
      <c r="C15" s="44" t="s">
        <v>119</v>
      </c>
      <c r="D15" s="71" t="s">
        <v>51</v>
      </c>
      <c r="E15" s="72">
        <f>+(10.86*3+7.9*3+5)*0.3*0.4</f>
        <v>7.3536000000000001</v>
      </c>
      <c r="F15" s="5"/>
      <c r="G15" s="68">
        <f t="shared" si="0"/>
        <v>0</v>
      </c>
    </row>
    <row r="16" spans="2:7" ht="30.5" x14ac:dyDescent="0.35">
      <c r="B16" s="43">
        <v>210</v>
      </c>
      <c r="C16" s="44" t="s">
        <v>120</v>
      </c>
      <c r="D16" s="71" t="s">
        <v>52</v>
      </c>
      <c r="E16" s="72">
        <f>93.35+(128.45-97.41)</f>
        <v>124.38999999999999</v>
      </c>
      <c r="F16" s="5"/>
      <c r="G16" s="68">
        <f t="shared" si="0"/>
        <v>0</v>
      </c>
    </row>
    <row r="17" spans="2:7" ht="28" x14ac:dyDescent="0.35">
      <c r="B17" s="43">
        <v>211</v>
      </c>
      <c r="C17" s="44" t="s">
        <v>15</v>
      </c>
      <c r="D17" s="71" t="s">
        <v>52</v>
      </c>
      <c r="E17" s="72">
        <f>+(10.86*3+7.9*3+5)*0.65</f>
        <v>39.832000000000001</v>
      </c>
      <c r="F17" s="5"/>
      <c r="G17" s="68">
        <f t="shared" si="0"/>
        <v>0</v>
      </c>
    </row>
    <row r="18" spans="2:7" ht="16.5" x14ac:dyDescent="0.35">
      <c r="B18" s="43">
        <v>212</v>
      </c>
      <c r="C18" s="51" t="s">
        <v>54</v>
      </c>
      <c r="D18" s="71" t="s">
        <v>52</v>
      </c>
      <c r="E18" s="72">
        <f>17*0.3*0.4+40*0.4+(7.8+10.8+5)*2*0.4</f>
        <v>36.92</v>
      </c>
      <c r="F18" s="5"/>
      <c r="G18" s="68">
        <f t="shared" si="0"/>
        <v>0</v>
      </c>
    </row>
    <row r="19" spans="2:7" x14ac:dyDescent="0.35">
      <c r="B19" s="46">
        <v>300</v>
      </c>
      <c r="C19" s="47" t="s">
        <v>17</v>
      </c>
      <c r="D19" s="48"/>
      <c r="E19" s="69"/>
      <c r="F19" s="48"/>
      <c r="G19" s="70">
        <f>+SUM(G20:G28)</f>
        <v>0</v>
      </c>
    </row>
    <row r="20" spans="2:7" ht="16.5" x14ac:dyDescent="0.35">
      <c r="B20" s="43">
        <v>301</v>
      </c>
      <c r="C20" s="52" t="s">
        <v>18</v>
      </c>
      <c r="D20" s="71" t="s">
        <v>52</v>
      </c>
      <c r="E20" s="72">
        <f>75*3.5</f>
        <v>262.5</v>
      </c>
      <c r="F20" s="5"/>
      <c r="G20" s="68">
        <f t="shared" si="0"/>
        <v>0</v>
      </c>
    </row>
    <row r="21" spans="2:7" ht="16.5" x14ac:dyDescent="0.35">
      <c r="B21" s="43">
        <v>302</v>
      </c>
      <c r="C21" s="52" t="s">
        <v>67</v>
      </c>
      <c r="D21" s="71" t="s">
        <v>52</v>
      </c>
      <c r="E21" s="72">
        <f>13.5*3.5</f>
        <v>47.25</v>
      </c>
      <c r="F21" s="5"/>
      <c r="G21" s="68">
        <f t="shared" si="0"/>
        <v>0</v>
      </c>
    </row>
    <row r="22" spans="2:7" ht="30.5" x14ac:dyDescent="0.35">
      <c r="B22" s="43">
        <v>303</v>
      </c>
      <c r="C22" s="52" t="s">
        <v>121</v>
      </c>
      <c r="D22" s="71" t="s">
        <v>51</v>
      </c>
      <c r="E22" s="72">
        <f>+(11*0.3*0.3+0.2*0.3)*3.5+(10.86*3+7.9*3+5)*0.3*0.2</f>
        <v>7.351799999999999</v>
      </c>
      <c r="F22" s="5"/>
      <c r="G22" s="68">
        <f t="shared" si="0"/>
        <v>0</v>
      </c>
    </row>
    <row r="23" spans="2:7" ht="28" x14ac:dyDescent="0.35">
      <c r="B23" s="43">
        <v>304</v>
      </c>
      <c r="C23" s="52" t="s">
        <v>66</v>
      </c>
      <c r="D23" s="71" t="s">
        <v>51</v>
      </c>
      <c r="E23" s="72">
        <f>+(10.86*3+7.9*3+5)*0.3*0.45</f>
        <v>8.2728000000000002</v>
      </c>
      <c r="F23" s="5"/>
      <c r="G23" s="68">
        <f t="shared" si="0"/>
        <v>0</v>
      </c>
    </row>
    <row r="24" spans="2:7" ht="28" x14ac:dyDescent="0.35">
      <c r="B24" s="43">
        <v>305</v>
      </c>
      <c r="C24" s="52" t="s">
        <v>122</v>
      </c>
      <c r="D24" s="71" t="s">
        <v>52</v>
      </c>
      <c r="E24" s="72">
        <v>61</v>
      </c>
      <c r="F24" s="5"/>
      <c r="G24" s="68">
        <f t="shared" si="0"/>
        <v>0</v>
      </c>
    </row>
    <row r="25" spans="2:7" ht="28" x14ac:dyDescent="0.35">
      <c r="B25" s="43">
        <v>306</v>
      </c>
      <c r="C25" s="52" t="s">
        <v>123</v>
      </c>
      <c r="D25" s="71" t="s">
        <v>52</v>
      </c>
      <c r="E25" s="72">
        <v>19.399999999999999</v>
      </c>
      <c r="F25" s="5"/>
      <c r="G25" s="68">
        <f t="shared" si="0"/>
        <v>0</v>
      </c>
    </row>
    <row r="26" spans="2:7" ht="28" x14ac:dyDescent="0.35">
      <c r="B26" s="43">
        <v>307</v>
      </c>
      <c r="C26" s="52" t="s">
        <v>68</v>
      </c>
      <c r="D26" s="71" t="s">
        <v>52</v>
      </c>
      <c r="E26" s="72">
        <f>+(10.86*3+7.9*3+5)*0.45+15*0.3*3.5</f>
        <v>43.326000000000001</v>
      </c>
      <c r="F26" s="5"/>
      <c r="G26" s="68">
        <f t="shared" si="0"/>
        <v>0</v>
      </c>
    </row>
    <row r="27" spans="2:7" ht="16.5" x14ac:dyDescent="0.35">
      <c r="B27" s="43">
        <v>308</v>
      </c>
      <c r="C27" s="51" t="s">
        <v>19</v>
      </c>
      <c r="D27" s="71" t="s">
        <v>52</v>
      </c>
      <c r="E27" s="72">
        <f>+E24+E25+25.3</f>
        <v>105.7</v>
      </c>
      <c r="F27" s="5"/>
      <c r="G27" s="68">
        <f t="shared" si="0"/>
        <v>0</v>
      </c>
    </row>
    <row r="28" spans="2:7" ht="16.5" x14ac:dyDescent="0.35">
      <c r="B28" s="43">
        <v>309</v>
      </c>
      <c r="C28" s="51" t="s">
        <v>55</v>
      </c>
      <c r="D28" s="71" t="s">
        <v>52</v>
      </c>
      <c r="E28" s="72">
        <v>25.39</v>
      </c>
      <c r="F28" s="5"/>
      <c r="G28" s="68">
        <f t="shared" si="0"/>
        <v>0</v>
      </c>
    </row>
    <row r="29" spans="2:7" x14ac:dyDescent="0.35">
      <c r="B29" s="46">
        <v>400</v>
      </c>
      <c r="C29" s="47" t="s">
        <v>20</v>
      </c>
      <c r="D29" s="48"/>
      <c r="E29" s="69"/>
      <c r="F29" s="48"/>
      <c r="G29" s="70">
        <f>+SUM(G30:G35)</f>
        <v>0</v>
      </c>
    </row>
    <row r="30" spans="2:7" ht="16.5" x14ac:dyDescent="0.35">
      <c r="B30" s="43">
        <v>401</v>
      </c>
      <c r="C30" s="51" t="s">
        <v>28</v>
      </c>
      <c r="D30" s="14" t="s">
        <v>115</v>
      </c>
      <c r="E30" s="73">
        <v>63.65</v>
      </c>
      <c r="F30" s="5"/>
      <c r="G30" s="68">
        <f t="shared" si="0"/>
        <v>0</v>
      </c>
    </row>
    <row r="31" spans="2:7" x14ac:dyDescent="0.35">
      <c r="B31" s="43">
        <v>402</v>
      </c>
      <c r="C31" s="51" t="s">
        <v>22</v>
      </c>
      <c r="D31" s="14" t="s">
        <v>23</v>
      </c>
      <c r="E31" s="73">
        <v>65.19</v>
      </c>
      <c r="F31" s="5"/>
      <c r="G31" s="68">
        <f t="shared" si="0"/>
        <v>0</v>
      </c>
    </row>
    <row r="32" spans="2:7" ht="42" x14ac:dyDescent="0.35">
      <c r="B32" s="43">
        <v>403</v>
      </c>
      <c r="C32" s="51" t="s">
        <v>135</v>
      </c>
      <c r="D32" s="14" t="s">
        <v>115</v>
      </c>
      <c r="E32" s="53">
        <v>34.64</v>
      </c>
      <c r="F32" s="15"/>
      <c r="G32" s="45">
        <f t="shared" si="0"/>
        <v>0</v>
      </c>
    </row>
    <row r="33" spans="2:7" ht="28" x14ac:dyDescent="0.35">
      <c r="B33" s="43">
        <v>404</v>
      </c>
      <c r="C33" s="51" t="s">
        <v>136</v>
      </c>
      <c r="D33" s="14" t="s">
        <v>115</v>
      </c>
      <c r="E33" s="73">
        <v>5.6</v>
      </c>
      <c r="F33" s="5"/>
      <c r="G33" s="68">
        <f t="shared" si="0"/>
        <v>0</v>
      </c>
    </row>
    <row r="34" spans="2:7" ht="28" x14ac:dyDescent="0.35">
      <c r="B34" s="43">
        <v>405</v>
      </c>
      <c r="C34" s="51" t="s">
        <v>21</v>
      </c>
      <c r="D34" s="14" t="s">
        <v>115</v>
      </c>
      <c r="E34" s="26">
        <f>10.21*2.1</f>
        <v>21.441000000000003</v>
      </c>
      <c r="F34" s="5"/>
      <c r="G34" s="68">
        <f t="shared" si="0"/>
        <v>0</v>
      </c>
    </row>
    <row r="35" spans="2:7" ht="28" x14ac:dyDescent="0.35">
      <c r="B35" s="43">
        <v>406</v>
      </c>
      <c r="C35" s="52" t="s">
        <v>137</v>
      </c>
      <c r="D35" s="14" t="s">
        <v>115</v>
      </c>
      <c r="E35" s="26">
        <v>4.4000000000000004</v>
      </c>
      <c r="F35" s="5"/>
      <c r="G35" s="68">
        <f t="shared" ref="G35" si="1">+E35*F35</f>
        <v>0</v>
      </c>
    </row>
    <row r="36" spans="2:7" x14ac:dyDescent="0.35">
      <c r="B36" s="46">
        <v>500</v>
      </c>
      <c r="C36" s="47" t="s">
        <v>24</v>
      </c>
      <c r="D36" s="48"/>
      <c r="E36" s="69"/>
      <c r="F36" s="48"/>
      <c r="G36" s="70">
        <f>+SUM(G37,G41,G45)</f>
        <v>0</v>
      </c>
    </row>
    <row r="37" spans="2:7" x14ac:dyDescent="0.35">
      <c r="B37" s="54"/>
      <c r="C37" s="55" t="s">
        <v>25</v>
      </c>
      <c r="D37" s="56"/>
      <c r="E37" s="74"/>
      <c r="F37" s="75"/>
      <c r="G37" s="76">
        <f>+SUM(G38:G40)</f>
        <v>0</v>
      </c>
    </row>
    <row r="38" spans="2:7" ht="42" x14ac:dyDescent="0.35">
      <c r="B38" s="43">
        <v>501</v>
      </c>
      <c r="C38" s="51" t="s">
        <v>128</v>
      </c>
      <c r="D38" s="14" t="s">
        <v>26</v>
      </c>
      <c r="E38" s="26">
        <v>1</v>
      </c>
      <c r="F38" s="5"/>
      <c r="G38" s="68">
        <f t="shared" ref="G38:G40" si="2">+E38*F38</f>
        <v>0</v>
      </c>
    </row>
    <row r="39" spans="2:7" ht="28" x14ac:dyDescent="0.35">
      <c r="B39" s="43">
        <v>502</v>
      </c>
      <c r="C39" s="51" t="s">
        <v>129</v>
      </c>
      <c r="D39" s="14" t="s">
        <v>2</v>
      </c>
      <c r="E39" s="14">
        <v>1</v>
      </c>
      <c r="F39" s="80"/>
      <c r="G39" s="82">
        <f t="shared" si="2"/>
        <v>0</v>
      </c>
    </row>
    <row r="40" spans="2:7" ht="28" x14ac:dyDescent="0.35">
      <c r="B40" s="43">
        <v>503</v>
      </c>
      <c r="C40" s="51" t="s">
        <v>130</v>
      </c>
      <c r="D40" s="14" t="s">
        <v>26</v>
      </c>
      <c r="E40" s="14">
        <v>5</v>
      </c>
      <c r="F40" s="80"/>
      <c r="G40" s="82">
        <f t="shared" si="2"/>
        <v>0</v>
      </c>
    </row>
    <row r="41" spans="2:7" x14ac:dyDescent="0.35">
      <c r="B41" s="54"/>
      <c r="C41" s="55" t="s">
        <v>27</v>
      </c>
      <c r="D41" s="56"/>
      <c r="E41" s="74"/>
      <c r="F41" s="75"/>
      <c r="G41" s="76">
        <f>+SUM(G42:G44)</f>
        <v>0</v>
      </c>
    </row>
    <row r="42" spans="2:7" ht="28" x14ac:dyDescent="0.35">
      <c r="B42" s="43">
        <v>504</v>
      </c>
      <c r="C42" s="51" t="s">
        <v>29</v>
      </c>
      <c r="D42" s="14" t="s">
        <v>26</v>
      </c>
      <c r="E42" s="26">
        <v>1</v>
      </c>
      <c r="F42" s="15"/>
      <c r="G42" s="68">
        <f t="shared" ref="G42:G51" si="3">+E42*F42</f>
        <v>0</v>
      </c>
    </row>
    <row r="43" spans="2:7" ht="28" x14ac:dyDescent="0.35">
      <c r="B43" s="43">
        <v>505</v>
      </c>
      <c r="C43" s="51" t="s">
        <v>30</v>
      </c>
      <c r="D43" s="14" t="s">
        <v>26</v>
      </c>
      <c r="E43" s="26">
        <v>3</v>
      </c>
      <c r="F43" s="15"/>
      <c r="G43" s="68">
        <f t="shared" si="3"/>
        <v>0</v>
      </c>
    </row>
    <row r="44" spans="2:7" x14ac:dyDescent="0.35">
      <c r="B44" s="59">
        <v>506</v>
      </c>
      <c r="C44" s="51" t="s">
        <v>70</v>
      </c>
      <c r="D44" s="14" t="s">
        <v>23</v>
      </c>
      <c r="E44" s="26">
        <v>10.26</v>
      </c>
      <c r="F44" s="15"/>
      <c r="G44" s="68">
        <f t="shared" si="3"/>
        <v>0</v>
      </c>
    </row>
    <row r="45" spans="2:7" x14ac:dyDescent="0.35">
      <c r="B45" s="54"/>
      <c r="C45" s="55" t="s">
        <v>69</v>
      </c>
      <c r="D45" s="56"/>
      <c r="E45" s="74"/>
      <c r="F45" s="83"/>
      <c r="G45" s="76">
        <f>+SUM(G50:G51)</f>
        <v>0</v>
      </c>
    </row>
    <row r="46" spans="2:7" ht="56" x14ac:dyDescent="0.35">
      <c r="B46" s="59">
        <v>507</v>
      </c>
      <c r="C46" s="51" t="s">
        <v>132</v>
      </c>
      <c r="D46" s="14" t="s">
        <v>26</v>
      </c>
      <c r="E46" s="79">
        <v>1</v>
      </c>
      <c r="F46" s="80"/>
      <c r="G46" s="81">
        <f t="shared" ref="G46:G49" si="4">+E46*F46</f>
        <v>0</v>
      </c>
    </row>
    <row r="47" spans="2:7" ht="56" x14ac:dyDescent="0.35">
      <c r="B47" s="59">
        <v>508</v>
      </c>
      <c r="C47" s="51" t="s">
        <v>133</v>
      </c>
      <c r="D47" s="14" t="s">
        <v>26</v>
      </c>
      <c r="E47" s="79">
        <v>1</v>
      </c>
      <c r="F47" s="80"/>
      <c r="G47" s="81">
        <f t="shared" si="4"/>
        <v>0</v>
      </c>
    </row>
    <row r="48" spans="2:7" ht="56" x14ac:dyDescent="0.35">
      <c r="B48" s="59">
        <v>509</v>
      </c>
      <c r="C48" s="51" t="s">
        <v>134</v>
      </c>
      <c r="D48" s="14" t="s">
        <v>26</v>
      </c>
      <c r="E48" s="79">
        <v>4</v>
      </c>
      <c r="F48" s="80"/>
      <c r="G48" s="81">
        <f t="shared" si="4"/>
        <v>0</v>
      </c>
    </row>
    <row r="49" spans="2:7" ht="28" x14ac:dyDescent="0.35">
      <c r="B49" s="59">
        <v>510</v>
      </c>
      <c r="C49" s="51" t="s">
        <v>131</v>
      </c>
      <c r="D49" s="14" t="s">
        <v>26</v>
      </c>
      <c r="E49" s="14">
        <v>2</v>
      </c>
      <c r="F49" s="80"/>
      <c r="G49" s="82">
        <f t="shared" si="4"/>
        <v>0</v>
      </c>
    </row>
    <row r="50" spans="2:7" x14ac:dyDescent="0.35">
      <c r="B50" s="43">
        <v>511</v>
      </c>
      <c r="C50" s="51" t="s">
        <v>31</v>
      </c>
      <c r="D50" s="14" t="s">
        <v>26</v>
      </c>
      <c r="E50" s="26">
        <v>1</v>
      </c>
      <c r="F50" s="5"/>
      <c r="G50" s="68">
        <f t="shared" si="3"/>
        <v>0</v>
      </c>
    </row>
    <row r="51" spans="2:7" x14ac:dyDescent="0.35">
      <c r="B51" s="43">
        <v>512</v>
      </c>
      <c r="C51" s="51" t="s">
        <v>32</v>
      </c>
      <c r="D51" s="14" t="s">
        <v>26</v>
      </c>
      <c r="E51" s="26">
        <v>1</v>
      </c>
      <c r="F51" s="5"/>
      <c r="G51" s="68">
        <f t="shared" si="3"/>
        <v>0</v>
      </c>
    </row>
    <row r="52" spans="2:7" x14ac:dyDescent="0.35">
      <c r="B52" s="46">
        <v>600</v>
      </c>
      <c r="C52" s="47" t="s">
        <v>113</v>
      </c>
      <c r="D52" s="48"/>
      <c r="E52" s="69"/>
      <c r="F52" s="48"/>
      <c r="G52" s="70">
        <f>+SUM(G53:G57)</f>
        <v>0</v>
      </c>
    </row>
    <row r="53" spans="2:7" ht="16.5" x14ac:dyDescent="0.35">
      <c r="B53" s="59">
        <v>601</v>
      </c>
      <c r="C53" s="52" t="s">
        <v>124</v>
      </c>
      <c r="D53" s="53" t="s">
        <v>2</v>
      </c>
      <c r="E53" s="53">
        <v>1</v>
      </c>
      <c r="F53" s="9"/>
      <c r="G53" s="60">
        <f t="shared" ref="G53:G56" si="5">+E53*F53</f>
        <v>0</v>
      </c>
    </row>
    <row r="54" spans="2:7" ht="28" x14ac:dyDescent="0.35">
      <c r="B54" s="59">
        <v>602</v>
      </c>
      <c r="C54" s="52" t="s">
        <v>33</v>
      </c>
      <c r="D54" s="53" t="s">
        <v>2</v>
      </c>
      <c r="E54" s="53">
        <v>1</v>
      </c>
      <c r="F54" s="9"/>
      <c r="G54" s="60">
        <f t="shared" si="5"/>
        <v>0</v>
      </c>
    </row>
    <row r="55" spans="2:7" ht="42" x14ac:dyDescent="0.35">
      <c r="B55" s="59">
        <v>603</v>
      </c>
      <c r="C55" s="52" t="s">
        <v>71</v>
      </c>
      <c r="D55" s="53" t="s">
        <v>2</v>
      </c>
      <c r="E55" s="53">
        <v>1</v>
      </c>
      <c r="F55" s="9"/>
      <c r="G55" s="60">
        <f t="shared" si="5"/>
        <v>0</v>
      </c>
    </row>
    <row r="56" spans="2:7" ht="28" x14ac:dyDescent="0.35">
      <c r="B56" s="59">
        <v>604</v>
      </c>
      <c r="C56" s="52" t="s">
        <v>111</v>
      </c>
      <c r="D56" s="53" t="s">
        <v>2</v>
      </c>
      <c r="E56" s="10">
        <v>1</v>
      </c>
      <c r="F56" s="9"/>
      <c r="G56" s="60">
        <f t="shared" si="5"/>
        <v>0</v>
      </c>
    </row>
    <row r="57" spans="2:7" s="25" customFormat="1" ht="28" x14ac:dyDescent="0.35">
      <c r="B57" s="59">
        <v>605</v>
      </c>
      <c r="C57" s="52" t="s">
        <v>34</v>
      </c>
      <c r="D57" s="53" t="s">
        <v>2</v>
      </c>
      <c r="E57" s="53">
        <v>0</v>
      </c>
      <c r="F57" s="11"/>
      <c r="G57" s="60">
        <f>+E57*F57</f>
        <v>0</v>
      </c>
    </row>
    <row r="58" spans="2:7" x14ac:dyDescent="0.35">
      <c r="B58" s="46">
        <v>700</v>
      </c>
      <c r="C58" s="47" t="s">
        <v>35</v>
      </c>
      <c r="D58" s="48"/>
      <c r="E58" s="69"/>
      <c r="F58" s="48"/>
      <c r="G58" s="70">
        <f>+SUM(G59,G66)</f>
        <v>0</v>
      </c>
    </row>
    <row r="59" spans="2:7" x14ac:dyDescent="0.35">
      <c r="B59" s="54"/>
      <c r="C59" s="55" t="s">
        <v>36</v>
      </c>
      <c r="D59" s="56"/>
      <c r="E59" s="74"/>
      <c r="F59" s="75"/>
      <c r="G59" s="76">
        <f>+SUM(G60:G65)</f>
        <v>0</v>
      </c>
    </row>
    <row r="60" spans="2:7" ht="42" x14ac:dyDescent="0.35">
      <c r="B60" s="61">
        <v>701</v>
      </c>
      <c r="C60" s="51" t="s">
        <v>37</v>
      </c>
      <c r="D60" s="14" t="s">
        <v>38</v>
      </c>
      <c r="E60" s="26">
        <v>1</v>
      </c>
      <c r="F60" s="5"/>
      <c r="G60" s="68">
        <f t="shared" ref="G60:G76" si="6">+E60*F60</f>
        <v>0</v>
      </c>
    </row>
    <row r="61" spans="2:7" x14ac:dyDescent="0.35">
      <c r="B61" s="61">
        <v>702</v>
      </c>
      <c r="C61" s="51" t="s">
        <v>56</v>
      </c>
      <c r="D61" s="14" t="s">
        <v>26</v>
      </c>
      <c r="E61" s="26">
        <v>1</v>
      </c>
      <c r="F61" s="5"/>
      <c r="G61" s="68">
        <f t="shared" si="6"/>
        <v>0</v>
      </c>
    </row>
    <row r="62" spans="2:7" x14ac:dyDescent="0.35">
      <c r="B62" s="61">
        <v>703</v>
      </c>
      <c r="C62" s="51" t="s">
        <v>39</v>
      </c>
      <c r="D62" s="14" t="s">
        <v>26</v>
      </c>
      <c r="E62" s="26">
        <v>1</v>
      </c>
      <c r="F62" s="5"/>
      <c r="G62" s="68">
        <f t="shared" si="6"/>
        <v>0</v>
      </c>
    </row>
    <row r="63" spans="2:7" x14ac:dyDescent="0.35">
      <c r="B63" s="61">
        <v>704</v>
      </c>
      <c r="C63" s="51" t="s">
        <v>40</v>
      </c>
      <c r="D63" s="14" t="s">
        <v>26</v>
      </c>
      <c r="E63" s="26">
        <v>1</v>
      </c>
      <c r="F63" s="5"/>
      <c r="G63" s="68">
        <f t="shared" si="6"/>
        <v>0</v>
      </c>
    </row>
    <row r="64" spans="2:7" x14ac:dyDescent="0.35">
      <c r="B64" s="61">
        <v>705</v>
      </c>
      <c r="C64" s="51" t="s">
        <v>41</v>
      </c>
      <c r="D64" s="14" t="s">
        <v>26</v>
      </c>
      <c r="E64" s="26">
        <v>1</v>
      </c>
      <c r="F64" s="5"/>
      <c r="G64" s="68">
        <f t="shared" si="6"/>
        <v>0</v>
      </c>
    </row>
    <row r="65" spans="2:7" ht="28" x14ac:dyDescent="0.35">
      <c r="B65" s="61">
        <v>706</v>
      </c>
      <c r="C65" s="51" t="s">
        <v>57</v>
      </c>
      <c r="D65" s="14" t="s">
        <v>26</v>
      </c>
      <c r="E65" s="26">
        <v>1</v>
      </c>
      <c r="F65" s="5"/>
      <c r="G65" s="68">
        <f t="shared" si="6"/>
        <v>0</v>
      </c>
    </row>
    <row r="66" spans="2:7" x14ac:dyDescent="0.35">
      <c r="B66" s="54"/>
      <c r="C66" s="55" t="s">
        <v>42</v>
      </c>
      <c r="D66" s="56"/>
      <c r="E66" s="74"/>
      <c r="F66" s="75"/>
      <c r="G66" s="76">
        <f>+SUM(G67:G72)</f>
        <v>0</v>
      </c>
    </row>
    <row r="67" spans="2:7" ht="42" x14ac:dyDescent="0.35">
      <c r="B67" s="61">
        <v>707</v>
      </c>
      <c r="C67" s="51" t="s">
        <v>125</v>
      </c>
      <c r="D67" s="14" t="s">
        <v>26</v>
      </c>
      <c r="E67" s="26">
        <f>1.7+1.9</f>
        <v>3.5999999999999996</v>
      </c>
      <c r="F67" s="11"/>
      <c r="G67" s="68">
        <f t="shared" si="6"/>
        <v>0</v>
      </c>
    </row>
    <row r="68" spans="2:7" ht="42" x14ac:dyDescent="0.35">
      <c r="B68" s="61">
        <v>708</v>
      </c>
      <c r="C68" s="51" t="s">
        <v>126</v>
      </c>
      <c r="D68" s="14"/>
      <c r="E68" s="26">
        <v>2.8</v>
      </c>
      <c r="F68" s="11"/>
      <c r="G68" s="68">
        <f t="shared" si="6"/>
        <v>0</v>
      </c>
    </row>
    <row r="69" spans="2:7" ht="42" x14ac:dyDescent="0.35">
      <c r="B69" s="61">
        <v>709</v>
      </c>
      <c r="C69" s="51" t="s">
        <v>127</v>
      </c>
      <c r="D69" s="14"/>
      <c r="E69" s="26">
        <f>7.3+4.5</f>
        <v>11.8</v>
      </c>
      <c r="F69" s="11"/>
      <c r="G69" s="68">
        <f t="shared" si="6"/>
        <v>0</v>
      </c>
    </row>
    <row r="70" spans="2:7" x14ac:dyDescent="0.35">
      <c r="B70" s="61">
        <v>710</v>
      </c>
      <c r="C70" s="51" t="s">
        <v>61</v>
      </c>
      <c r="D70" s="14" t="s">
        <v>60</v>
      </c>
      <c r="E70" s="26">
        <v>1</v>
      </c>
      <c r="F70" s="5"/>
      <c r="G70" s="68">
        <f t="shared" si="6"/>
        <v>0</v>
      </c>
    </row>
    <row r="71" spans="2:7" x14ac:dyDescent="0.35">
      <c r="B71" s="61">
        <v>711</v>
      </c>
      <c r="C71" s="51" t="s">
        <v>59</v>
      </c>
      <c r="D71" s="14" t="s">
        <v>26</v>
      </c>
      <c r="E71" s="26">
        <v>5</v>
      </c>
      <c r="F71" s="5"/>
      <c r="G71" s="68">
        <f t="shared" si="6"/>
        <v>0</v>
      </c>
    </row>
    <row r="72" spans="2:7" x14ac:dyDescent="0.35">
      <c r="B72" s="61">
        <v>712</v>
      </c>
      <c r="C72" s="51" t="s">
        <v>58</v>
      </c>
      <c r="D72" s="14" t="s">
        <v>26</v>
      </c>
      <c r="E72" s="26">
        <v>1</v>
      </c>
      <c r="F72" s="5"/>
      <c r="G72" s="68">
        <f t="shared" si="6"/>
        <v>0</v>
      </c>
    </row>
    <row r="73" spans="2:7" x14ac:dyDescent="0.35">
      <c r="B73" s="46">
        <v>800</v>
      </c>
      <c r="C73" s="47" t="s">
        <v>43</v>
      </c>
      <c r="D73" s="48"/>
      <c r="E73" s="69"/>
      <c r="F73" s="48"/>
      <c r="G73" s="70">
        <f>+SUM(G74:G76)</f>
        <v>0</v>
      </c>
    </row>
    <row r="74" spans="2:7" ht="28" x14ac:dyDescent="0.35">
      <c r="B74" s="43">
        <v>801</v>
      </c>
      <c r="C74" s="51" t="s">
        <v>44</v>
      </c>
      <c r="D74" s="14" t="s">
        <v>115</v>
      </c>
      <c r="E74" s="26">
        <v>122.8</v>
      </c>
      <c r="F74" s="5"/>
      <c r="G74" s="68">
        <f t="shared" si="6"/>
        <v>0</v>
      </c>
    </row>
    <row r="75" spans="2:7" ht="28" x14ac:dyDescent="0.35">
      <c r="B75" s="43">
        <v>802</v>
      </c>
      <c r="C75" s="51" t="s">
        <v>45</v>
      </c>
      <c r="D75" s="14" t="s">
        <v>115</v>
      </c>
      <c r="E75" s="26">
        <v>5.6</v>
      </c>
      <c r="F75" s="5"/>
      <c r="G75" s="68">
        <f t="shared" si="6"/>
        <v>0</v>
      </c>
    </row>
    <row r="76" spans="2:7" ht="15" thickBot="1" x14ac:dyDescent="0.4">
      <c r="B76" s="62">
        <v>803</v>
      </c>
      <c r="C76" s="63" t="s">
        <v>46</v>
      </c>
      <c r="D76" s="64" t="s">
        <v>23</v>
      </c>
      <c r="E76" s="77">
        <f>44.72*0.4</f>
        <v>17.888000000000002</v>
      </c>
      <c r="F76" s="6"/>
      <c r="G76" s="78">
        <f t="shared" si="6"/>
        <v>0</v>
      </c>
    </row>
    <row r="77" spans="2:7" ht="15" thickBot="1" x14ac:dyDescent="0.4">
      <c r="B77" s="106" t="s">
        <v>48</v>
      </c>
      <c r="C77" s="107"/>
      <c r="D77" s="107"/>
      <c r="E77" s="107"/>
      <c r="F77" s="108"/>
      <c r="G77" s="4">
        <f>+G3+G6+G19+G29+G36+G52+G58+G73</f>
        <v>0</v>
      </c>
    </row>
    <row r="78" spans="2:7" ht="15" thickBot="1" x14ac:dyDescent="0.4">
      <c r="B78" s="109" t="s">
        <v>109</v>
      </c>
      <c r="C78" s="110"/>
      <c r="D78" s="110"/>
      <c r="E78" s="110"/>
      <c r="F78" s="111"/>
      <c r="G78" s="4">
        <f>0.18*G77</f>
        <v>0</v>
      </c>
    </row>
    <row r="79" spans="2:7" ht="15" thickBot="1" x14ac:dyDescent="0.4">
      <c r="B79" s="109" t="s">
        <v>110</v>
      </c>
      <c r="C79" s="110"/>
      <c r="D79" s="110"/>
      <c r="E79" s="110"/>
      <c r="F79" s="111"/>
      <c r="G79" s="4">
        <f>+G77+G78</f>
        <v>0</v>
      </c>
    </row>
    <row r="86" spans="5:7" x14ac:dyDescent="0.35">
      <c r="E86" s="24"/>
      <c r="G86" s="23"/>
    </row>
  </sheetData>
  <mergeCells count="4">
    <mergeCell ref="B1:G1"/>
    <mergeCell ref="B77:F77"/>
    <mergeCell ref="B78:F78"/>
    <mergeCell ref="B79:F79"/>
  </mergeCells>
  <phoneticPr fontId="12" type="noConversion"/>
  <pageMargins left="0.7" right="0.7" top="0.75" bottom="0.75" header="0.3" footer="0.3"/>
  <pageSetup paperSize="9" scale="88" orientation="portrait" r:id="rId1"/>
  <ignoredErrors>
    <ignoredError sqref="G66 G73 G45 G52 G19 G41 G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"/>
  <sheetViews>
    <sheetView tabSelected="1" zoomScale="103" workbookViewId="0">
      <selection activeCell="A2" sqref="A2:K13"/>
    </sheetView>
  </sheetViews>
  <sheetFormatPr baseColWidth="10" defaultRowHeight="14.5" x14ac:dyDescent="0.35"/>
  <cols>
    <col min="1" max="1" width="9.81640625" bestFit="1" customWidth="1"/>
    <col min="2" max="2" width="15" customWidth="1"/>
    <col min="3" max="3" width="13.7265625" bestFit="1" customWidth="1"/>
    <col min="4" max="4" width="24.54296875" customWidth="1"/>
    <col min="5" max="5" width="26.81640625" customWidth="1"/>
    <col min="7" max="8" width="15.26953125" bestFit="1" customWidth="1"/>
    <col min="9" max="9" width="14" customWidth="1"/>
    <col min="10" max="10" width="13.6328125" customWidth="1"/>
    <col min="11" max="11" width="12.26953125" bestFit="1" customWidth="1"/>
  </cols>
  <sheetData>
    <row r="1" spans="1:13" ht="15" thickBot="1" x14ac:dyDescent="0.4">
      <c r="D1" s="130"/>
      <c r="E1" s="130"/>
      <c r="F1" s="130"/>
    </row>
    <row r="2" spans="1:13" ht="26.5" thickBot="1" x14ac:dyDescent="0.4">
      <c r="A2" s="20" t="s">
        <v>72</v>
      </c>
      <c r="B2" s="21" t="s">
        <v>73</v>
      </c>
      <c r="C2" s="21" t="s">
        <v>74</v>
      </c>
      <c r="D2" s="21" t="s">
        <v>5</v>
      </c>
      <c r="E2" s="21" t="s">
        <v>75</v>
      </c>
      <c r="F2" s="21" t="s">
        <v>76</v>
      </c>
      <c r="G2" s="21" t="s">
        <v>145</v>
      </c>
      <c r="H2" s="21" t="s">
        <v>77</v>
      </c>
      <c r="I2" s="21" t="s">
        <v>78</v>
      </c>
      <c r="J2" s="22" t="s">
        <v>146</v>
      </c>
      <c r="K2" s="22" t="s">
        <v>147</v>
      </c>
      <c r="M2" s="12"/>
    </row>
    <row r="3" spans="1:13" ht="15" thickBot="1" x14ac:dyDescent="0.4">
      <c r="A3" s="85" t="s">
        <v>79</v>
      </c>
      <c r="B3" s="86" t="s">
        <v>80</v>
      </c>
      <c r="C3" s="87" t="s">
        <v>81</v>
      </c>
      <c r="D3" s="87" t="s">
        <v>82</v>
      </c>
      <c r="E3" s="87" t="s">
        <v>6</v>
      </c>
      <c r="F3" s="92" t="s">
        <v>83</v>
      </c>
      <c r="G3" s="88">
        <f>'Devis  Kiosque B'!G77</f>
        <v>0</v>
      </c>
      <c r="H3" s="88">
        <f>G3*1.18</f>
        <v>0</v>
      </c>
      <c r="I3" s="139" t="s">
        <v>84</v>
      </c>
      <c r="J3" s="131">
        <f>SUM(G3:G5)</f>
        <v>0</v>
      </c>
      <c r="K3" s="112">
        <f>SUM(H3:H5)</f>
        <v>0</v>
      </c>
    </row>
    <row r="4" spans="1:13" ht="15" thickBot="1" x14ac:dyDescent="0.4">
      <c r="A4" s="115" t="s">
        <v>85</v>
      </c>
      <c r="B4" s="124" t="s">
        <v>86</v>
      </c>
      <c r="C4" s="16" t="s">
        <v>91</v>
      </c>
      <c r="D4" s="16" t="s">
        <v>92</v>
      </c>
      <c r="E4" s="16" t="s">
        <v>93</v>
      </c>
      <c r="F4" s="91" t="s">
        <v>83</v>
      </c>
      <c r="G4" s="88">
        <f>'Devis  Kiosque B'!G77</f>
        <v>0</v>
      </c>
      <c r="H4" s="88">
        <f t="shared" ref="H4:H12" si="0">G4*1.18</f>
        <v>0</v>
      </c>
      <c r="I4" s="132"/>
      <c r="J4" s="132"/>
      <c r="K4" s="113"/>
    </row>
    <row r="5" spans="1:13" ht="15" thickBot="1" x14ac:dyDescent="0.4">
      <c r="A5" s="115"/>
      <c r="B5" s="125"/>
      <c r="C5" s="18" t="s">
        <v>91</v>
      </c>
      <c r="D5" s="18" t="s">
        <v>94</v>
      </c>
      <c r="E5" s="18" t="s">
        <v>95</v>
      </c>
      <c r="F5" s="89" t="s">
        <v>88</v>
      </c>
      <c r="G5" s="88">
        <f>'Devis  Kiosque A'!G77</f>
        <v>0</v>
      </c>
      <c r="H5" s="88">
        <f t="shared" si="0"/>
        <v>0</v>
      </c>
      <c r="I5" s="133"/>
      <c r="J5" s="133"/>
      <c r="K5" s="114"/>
    </row>
    <row r="6" spans="1:13" ht="15" thickBot="1" x14ac:dyDescent="0.4">
      <c r="A6" s="115"/>
      <c r="B6" s="126" t="s">
        <v>86</v>
      </c>
      <c r="C6" s="137" t="s">
        <v>96</v>
      </c>
      <c r="D6" s="87" t="s">
        <v>112</v>
      </c>
      <c r="E6" s="87" t="s">
        <v>112</v>
      </c>
      <c r="F6" s="92" t="s">
        <v>88</v>
      </c>
      <c r="G6" s="88">
        <f>'Devis  Kiosque A'!G77</f>
        <v>0</v>
      </c>
      <c r="H6" s="88">
        <f t="shared" si="0"/>
        <v>0</v>
      </c>
      <c r="I6" s="140" t="s">
        <v>98</v>
      </c>
      <c r="J6" s="134">
        <f>SUM(G6:G9)</f>
        <v>0</v>
      </c>
      <c r="K6" s="120">
        <f>SUM(H6:H9)</f>
        <v>0</v>
      </c>
    </row>
    <row r="7" spans="1:13" ht="17.5" customHeight="1" thickBot="1" x14ac:dyDescent="0.4">
      <c r="A7" s="115"/>
      <c r="B7" s="127"/>
      <c r="C7" s="138"/>
      <c r="D7" s="16" t="s">
        <v>142</v>
      </c>
      <c r="E7" s="17" t="s">
        <v>142</v>
      </c>
      <c r="F7" s="91" t="s">
        <v>83</v>
      </c>
      <c r="G7" s="88">
        <f>'Devis  Kiosque B'!G77</f>
        <v>0</v>
      </c>
      <c r="H7" s="88">
        <f t="shared" si="0"/>
        <v>0</v>
      </c>
      <c r="I7" s="135"/>
      <c r="J7" s="135"/>
      <c r="K7" s="121"/>
    </row>
    <row r="8" spans="1:13" ht="15" thickBot="1" x14ac:dyDescent="0.4">
      <c r="A8" s="115"/>
      <c r="B8" s="127"/>
      <c r="C8" s="90" t="s">
        <v>87</v>
      </c>
      <c r="D8" s="90" t="s">
        <v>143</v>
      </c>
      <c r="E8" s="90" t="s">
        <v>143</v>
      </c>
      <c r="F8" s="91" t="s">
        <v>88</v>
      </c>
      <c r="G8" s="88">
        <f>'Devis  Kiosque A'!G77</f>
        <v>0</v>
      </c>
      <c r="H8" s="88">
        <f t="shared" si="0"/>
        <v>0</v>
      </c>
      <c r="I8" s="135"/>
      <c r="J8" s="135"/>
      <c r="K8" s="121"/>
    </row>
    <row r="9" spans="1:13" ht="15" thickBot="1" x14ac:dyDescent="0.4">
      <c r="A9" s="115"/>
      <c r="B9" s="125"/>
      <c r="C9" s="18" t="s">
        <v>89</v>
      </c>
      <c r="D9" s="18" t="s">
        <v>90</v>
      </c>
      <c r="E9" s="19" t="s">
        <v>107</v>
      </c>
      <c r="F9" s="89" t="s">
        <v>83</v>
      </c>
      <c r="G9" s="88">
        <f>'Devis  Kiosque B'!G77</f>
        <v>0</v>
      </c>
      <c r="H9" s="88">
        <f t="shared" si="0"/>
        <v>0</v>
      </c>
      <c r="I9" s="136"/>
      <c r="J9" s="136"/>
      <c r="K9" s="122"/>
    </row>
    <row r="10" spans="1:13" ht="15" thickBot="1" x14ac:dyDescent="0.4">
      <c r="A10" s="115"/>
      <c r="B10" s="86" t="s">
        <v>86</v>
      </c>
      <c r="C10" s="93" t="s">
        <v>96</v>
      </c>
      <c r="D10" s="87" t="s">
        <v>97</v>
      </c>
      <c r="E10" s="94" t="s">
        <v>105</v>
      </c>
      <c r="F10" s="92" t="s">
        <v>83</v>
      </c>
      <c r="G10" s="88">
        <f>'Devis  Kiosque B'!G77</f>
        <v>0</v>
      </c>
      <c r="H10" s="88">
        <f t="shared" si="0"/>
        <v>0</v>
      </c>
      <c r="I10" s="117" t="s">
        <v>144</v>
      </c>
      <c r="J10" s="123">
        <f>SUM(G10:G12)</f>
        <v>0</v>
      </c>
      <c r="K10" s="123">
        <f>SUM(H10:H12)</f>
        <v>0</v>
      </c>
    </row>
    <row r="11" spans="1:13" ht="15" thickBot="1" x14ac:dyDescent="0.4">
      <c r="A11" s="115" t="s">
        <v>99</v>
      </c>
      <c r="B11" s="128" t="s">
        <v>100</v>
      </c>
      <c r="C11" s="16" t="s">
        <v>101</v>
      </c>
      <c r="D11" s="16" t="s">
        <v>102</v>
      </c>
      <c r="E11" s="17" t="s">
        <v>106</v>
      </c>
      <c r="F11" s="91" t="s">
        <v>83</v>
      </c>
      <c r="G11" s="88">
        <f>'Devis  Kiosque B'!G77</f>
        <v>0</v>
      </c>
      <c r="H11" s="88">
        <f t="shared" si="0"/>
        <v>0</v>
      </c>
      <c r="I11" s="118"/>
      <c r="J11" s="118"/>
      <c r="K11" s="118"/>
    </row>
    <row r="12" spans="1:13" ht="15" thickBot="1" x14ac:dyDescent="0.4">
      <c r="A12" s="116"/>
      <c r="B12" s="129"/>
      <c r="C12" s="18" t="s">
        <v>103</v>
      </c>
      <c r="D12" s="19" t="s">
        <v>108</v>
      </c>
      <c r="E12" s="18" t="s">
        <v>104</v>
      </c>
      <c r="F12" s="89" t="s">
        <v>83</v>
      </c>
      <c r="G12" s="98">
        <f>'Devis  Kiosque B'!G77</f>
        <v>0</v>
      </c>
      <c r="H12" s="98">
        <f t="shared" si="0"/>
        <v>0</v>
      </c>
      <c r="I12" s="119"/>
      <c r="J12" s="119"/>
      <c r="K12" s="119"/>
    </row>
    <row r="13" spans="1:13" ht="15" thickBot="1" x14ac:dyDescent="0.4">
      <c r="I13" s="95" t="s">
        <v>3</v>
      </c>
      <c r="J13" s="96">
        <f>J3+J6+J10</f>
        <v>0</v>
      </c>
      <c r="K13" s="97">
        <f>K3+K6+K10</f>
        <v>0</v>
      </c>
    </row>
  </sheetData>
  <mergeCells count="16">
    <mergeCell ref="D1:F1"/>
    <mergeCell ref="J3:J5"/>
    <mergeCell ref="J6:J9"/>
    <mergeCell ref="C6:C7"/>
    <mergeCell ref="I3:I5"/>
    <mergeCell ref="I6:I9"/>
    <mergeCell ref="K3:K5"/>
    <mergeCell ref="A4:A10"/>
    <mergeCell ref="A11:A12"/>
    <mergeCell ref="I10:I12"/>
    <mergeCell ref="K6:K9"/>
    <mergeCell ref="K10:K12"/>
    <mergeCell ref="B4:B5"/>
    <mergeCell ref="B6:B9"/>
    <mergeCell ref="B11:B12"/>
    <mergeCell ref="J10:J12"/>
  </mergeCells>
  <phoneticPr fontId="12" type="noConversion"/>
  <dataValidations disablePrompts="1" count="1">
    <dataValidation type="list" allowBlank="1" showInputMessage="1" showErrorMessage="1" sqref="F3:F12" xr:uid="{00000000-0002-0000-0500-000000000000}">
      <formula1>"Type A, Type B"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SEN23001</TermName>
          <TermId xmlns="http://schemas.microsoft.com/office/infopath/2007/PartnerControls">76828cdf-f476-4262-a0aa-48468daa32b6</TermId>
        </TermInfo>
      </Terms>
    </e2b781e9cad840cd89b90f5a7e989839>
    <TaxCatchAll xmlns="1c89b6ff-5735-4b3c-9dca-50e80957a65b">
      <Value>4</Value>
      <Value>619</Value>
      <Value>1</Value>
      <Value>504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</TermName>
          <TermId xmlns="http://schemas.microsoft.com/office/infopath/2007/PartnerControls">2b0d2337-59d1-468e-9a57-52ee80937861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SEN23001-10009</TermName>
          <TermId xmlns="http://schemas.microsoft.com/office/infopath/2007/PartnerControls">36aef6ba-4e6d-4e92-9c28-1f53e9c357d4</TermId>
        </TermInfo>
      </Terms>
    </l9d65098618b4a8fbbe87718e7187e6b>
    <lcf76f155ced4ddcb4097134ff3c332f xmlns="a1ddbe5a-88f5-4dcf-b333-bf73e2eddbd1">
      <Terms xmlns="http://schemas.microsoft.com/office/infopath/2007/PartnerControls"/>
    </lcf76f155ced4ddcb4097134ff3c332f>
    <_dlc_DocId xmlns="508ba6eb-9e09-4fd5-92f2-2d9921329f2d">SENENABEL-124183628-110106</_dlc_DocId>
    <_dlc_DocIdUrl xmlns="508ba6eb-9e09-4fd5-92f2-2d9921329f2d">
      <Url>https://enabelbe.sharepoint.com/sites/SEN/_layouts/15/DocIdRedir.aspx?ID=SENENABEL-124183628-110106</Url>
      <Description>SENENABEL-124183628-110106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40DEC2D9A4E8A943A61D3368400126BA" ma:contentTypeVersion="30" ma:contentTypeDescription="" ma:contentTypeScope="" ma:versionID="3d836dc862abb864b99f0d2dc978bb97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a1ddbe5a-88f5-4dcf-b333-bf73e2eddbd1" targetNamespace="http://schemas.microsoft.com/office/2006/metadata/properties" ma:root="true" ma:fieldsID="80dbad805a37998341942fb0c38deb14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a1ddbe5a-88f5-4dcf-b333-bf73e2eddbd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f8eb3ba-5ccf-4a22-a562-473d2c609d2e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f8eb3ba-5ccf-4a22-a562-473d2c609d2e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4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SEN|2b0d2337-59d1-468e-9a57-52ee80937861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dbe5a-88f5-4dcf-b333-bf73e2edd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D844C8-6F12-4496-BCD2-699E87BF69D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4a9c00f-d9e3-4eb9-aad3-f69239d17d9c"/>
    <ds:schemaRef ds:uri="1c89b6ff-5735-4b3c-9dca-50e80957a65b"/>
    <ds:schemaRef ds:uri="a1ddbe5a-88f5-4dcf-b333-bf73e2eddbd1"/>
    <ds:schemaRef ds:uri="508ba6eb-9e09-4fd5-92f2-2d9921329f2d"/>
  </ds:schemaRefs>
</ds:datastoreItem>
</file>

<file path=customXml/itemProps2.xml><?xml version="1.0" encoding="utf-8"?>
<ds:datastoreItem xmlns:ds="http://schemas.openxmlformats.org/officeDocument/2006/customXml" ds:itemID="{9E7AB80B-04DC-4117-A213-32FB775559A4}"/>
</file>

<file path=customXml/itemProps3.xml><?xml version="1.0" encoding="utf-8"?>
<ds:datastoreItem xmlns:ds="http://schemas.openxmlformats.org/officeDocument/2006/customXml" ds:itemID="{7A69AA8E-F783-4F9A-99C0-8C50B535FA6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AA295C6-FBB1-4258-8D9A-9371501BC4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Devis  Kiosque A</vt:lpstr>
      <vt:lpstr>Devis  Kiosque B</vt:lpstr>
      <vt:lpstr>Allotissements</vt:lpstr>
      <vt:lpstr>'Devis  Kiosque A'!Zone_d_impression</vt:lpstr>
      <vt:lpstr>'Devis  Kiosque B'!Zone_d_impression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DIARRA, Mamadou</cp:lastModifiedBy>
  <cp:lastPrinted>2025-03-26T04:37:21Z</cp:lastPrinted>
  <dcterms:created xsi:type="dcterms:W3CDTF">2025-03-24T21:59:58Z</dcterms:created>
  <dcterms:modified xsi:type="dcterms:W3CDTF">2025-05-06T12:40:01Z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0x01010084FDA68FEA25C847A6128BBA7C1A6EC10040DEC2D9A4E8A943A61D3368400126BA</vt:lpwstr>
  </property>
  <property fmtid="{D5CDD505-2E9C-101B-9397-08002B2CF9AE}" pid="3" name="Document_Language">
    <vt:lpwstr>4</vt:lpwstr>
  </property>
  <property fmtid="{D5CDD505-2E9C-101B-9397-08002B2CF9AE}" pid="4" name="Country">
    <vt:lpwstr>1;#SEN|2b0d2337-59d1-468e-9a57-52ee80937861</vt:lpwstr>
  </property>
  <property fmtid="{D5CDD505-2E9C-101B-9397-08002B2CF9AE}" pid="5" name="Contract_reference">
    <vt:lpwstr>619</vt:lpwstr>
  </property>
  <property fmtid="{D5CDD505-2E9C-101B-9397-08002B2CF9AE}" pid="6" name="Project_code">
    <vt:lpwstr>504</vt:lpwstr>
  </property>
  <property fmtid="{D5CDD505-2E9C-101B-9397-08002B2CF9AE}" pid="7" name="_dlc_DocIdItemGuid">
    <vt:lpwstr>4685bbd7-b169-46c8-afca-be2b566b57e7</vt:lpwstr>
  </property>
  <property fmtid="{D5CDD505-2E9C-101B-9397-08002B2CF9AE}" pid="8" name="_docset_NoMedatataSyncRequired">
    <vt:lpwstr>False</vt:lpwstr>
  </property>
  <property fmtid="{D5CDD505-2E9C-101B-9397-08002B2CF9AE}" pid="9" name="MediaServiceImageTags">
    <vt:lpwstr/>
  </property>
  <property fmtid="{D5CDD505-2E9C-101B-9397-08002B2CF9AE}" pid="10" name="Document_Type">
    <vt:lpwstr/>
  </property>
  <property fmtid="{D5CDD505-2E9C-101B-9397-08002B2CF9AE}" pid="11" name="Document_Status">
    <vt:lpwstr/>
  </property>
</Properties>
</file>