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enabelbe.sharepoint.com/sites/BFA/Contracts/21_Marchés_Publics/BFA2300411_Resil_Koup/BFA23004-10163 ETA Salle de classes/2_CSC/"/>
    </mc:Choice>
  </mc:AlternateContent>
  <xr:revisionPtr revIDLastSave="4" documentId="13_ncr:1_{E99DA003-425B-4D7A-9008-8356EA3CD939}" xr6:coauthVersionLast="47" xr6:coauthVersionMax="47" xr10:uidLastSave="{86FEE6B4-888D-401C-B961-1DAF11B02BE1}"/>
  <bookViews>
    <workbookView xWindow="-108" yWindow="-108" windowWidth="23256" windowHeight="12456" activeTab="3" xr2:uid="{00000000-000D-0000-FFFF-FFFF00000000}"/>
  </bookViews>
  <sheets>
    <sheet name="LOT 1 - Tranche Ferme " sheetId="12" r:id="rId1"/>
    <sheet name="LOT 2 - Tranche Ferme " sheetId="11" r:id="rId2"/>
    <sheet name="LOT 1 - Tranche Cond " sheetId="13" r:id="rId3"/>
    <sheet name="LOT 2 -Tranche cond " sheetId="1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5" i="14" l="1"/>
  <c r="F176" i="14"/>
  <c r="F170" i="14"/>
  <c r="F165" i="14"/>
  <c r="F142" i="14"/>
  <c r="D196" i="14"/>
  <c r="F196" i="14" s="1"/>
  <c r="D195" i="14"/>
  <c r="F195" i="14" s="1"/>
  <c r="D194" i="14"/>
  <c r="F194" i="14" s="1"/>
  <c r="F197" i="14" s="1"/>
  <c r="F193" i="14"/>
  <c r="D192" i="14"/>
  <c r="F192" i="14" s="1"/>
  <c r="F191" i="14"/>
  <c r="D204" i="14"/>
  <c r="F204" i="14" s="1"/>
  <c r="D203" i="14"/>
  <c r="F203" i="14" s="1"/>
  <c r="D202" i="14"/>
  <c r="F202" i="14" s="1"/>
  <c r="D201" i="14"/>
  <c r="F201" i="14" s="1"/>
  <c r="D200" i="14"/>
  <c r="F200" i="14" s="1"/>
  <c r="D199" i="14"/>
  <c r="F199" i="14" s="1"/>
  <c r="F219" i="14"/>
  <c r="D217" i="14"/>
  <c r="F217" i="14" s="1"/>
  <c r="D216" i="14"/>
  <c r="F216" i="14" s="1"/>
  <c r="D215" i="14"/>
  <c r="F215" i="14" s="1"/>
  <c r="F212" i="14"/>
  <c r="D211" i="14"/>
  <c r="F211" i="14" s="1"/>
  <c r="D210" i="14"/>
  <c r="F210" i="14" s="1"/>
  <c r="D209" i="14"/>
  <c r="F209" i="14" s="1"/>
  <c r="D208" i="14"/>
  <c r="F208" i="14" s="1"/>
  <c r="D207" i="14"/>
  <c r="F207" i="14" s="1"/>
  <c r="F227" i="14"/>
  <c r="D226" i="14"/>
  <c r="F226" i="14" s="1"/>
  <c r="D225" i="14"/>
  <c r="F225" i="14" s="1"/>
  <c r="D224" i="14"/>
  <c r="F224" i="14" s="1"/>
  <c r="D223" i="14"/>
  <c r="F223" i="14" s="1"/>
  <c r="F222" i="14"/>
  <c r="F228" i="14" s="1"/>
  <c r="D232" i="14"/>
  <c r="F232" i="14" s="1"/>
  <c r="F231" i="14"/>
  <c r="F230" i="14"/>
  <c r="F233" i="14" s="1"/>
  <c r="D238" i="14"/>
  <c r="F238" i="14" s="1"/>
  <c r="D237" i="14"/>
  <c r="F237" i="14" s="1"/>
  <c r="D236" i="14"/>
  <c r="F236" i="14" s="1"/>
  <c r="D235" i="14"/>
  <c r="F235" i="14" s="1"/>
  <c r="F239" i="14" s="1"/>
  <c r="D175" i="14"/>
  <c r="F175" i="14" s="1"/>
  <c r="D174" i="14"/>
  <c r="F174" i="14" s="1"/>
  <c r="D173" i="14"/>
  <c r="F173" i="14" s="1"/>
  <c r="D172" i="14"/>
  <c r="F172" i="14" s="1"/>
  <c r="D169" i="14"/>
  <c r="F169" i="14" s="1"/>
  <c r="F168" i="14"/>
  <c r="F167" i="14"/>
  <c r="F164" i="14"/>
  <c r="D163" i="14"/>
  <c r="F163" i="14" s="1"/>
  <c r="D162" i="14"/>
  <c r="F162" i="14" s="1"/>
  <c r="D161" i="14"/>
  <c r="F161" i="14" s="1"/>
  <c r="D160" i="14"/>
  <c r="F160" i="14" s="1"/>
  <c r="F159" i="14"/>
  <c r="F156" i="14"/>
  <c r="D154" i="14"/>
  <c r="F154" i="14" s="1"/>
  <c r="D153" i="14"/>
  <c r="F153" i="14" s="1"/>
  <c r="D152" i="14"/>
  <c r="F152" i="14" s="1"/>
  <c r="F149" i="14"/>
  <c r="D148" i="14"/>
  <c r="F148" i="14" s="1"/>
  <c r="D147" i="14"/>
  <c r="F147" i="14" s="1"/>
  <c r="D146" i="14"/>
  <c r="F146" i="14" s="1"/>
  <c r="D145" i="14"/>
  <c r="F145" i="14" s="1"/>
  <c r="D144" i="14"/>
  <c r="F144" i="14" s="1"/>
  <c r="D141" i="14"/>
  <c r="F141" i="14" s="1"/>
  <c r="D140" i="14"/>
  <c r="F140" i="14" s="1"/>
  <c r="D139" i="14"/>
  <c r="F139" i="14" s="1"/>
  <c r="D138" i="14"/>
  <c r="F138" i="14" s="1"/>
  <c r="D137" i="14"/>
  <c r="F137" i="14" s="1"/>
  <c r="D136" i="14"/>
  <c r="F136" i="14" s="1"/>
  <c r="D133" i="14"/>
  <c r="F133" i="14" s="1"/>
  <c r="D132" i="14"/>
  <c r="F132" i="14" s="1"/>
  <c r="D131" i="14"/>
  <c r="F131" i="14" s="1"/>
  <c r="F130" i="14"/>
  <c r="F134" i="14" s="1"/>
  <c r="D129" i="14"/>
  <c r="F129" i="14" s="1"/>
  <c r="F128" i="14"/>
  <c r="D112" i="14"/>
  <c r="F112" i="14" s="1"/>
  <c r="D111" i="14"/>
  <c r="F111" i="14" s="1"/>
  <c r="D110" i="14"/>
  <c r="F110" i="14" s="1"/>
  <c r="D109" i="14"/>
  <c r="F109" i="14" s="1"/>
  <c r="F113" i="14" s="1"/>
  <c r="D106" i="14"/>
  <c r="F106" i="14" s="1"/>
  <c r="F105" i="14"/>
  <c r="F104" i="14"/>
  <c r="F107" i="14" s="1"/>
  <c r="F101" i="14"/>
  <c r="D100" i="14"/>
  <c r="F100" i="14" s="1"/>
  <c r="D99" i="14"/>
  <c r="F99" i="14" s="1"/>
  <c r="D98" i="14"/>
  <c r="F98" i="14" s="1"/>
  <c r="D97" i="14"/>
  <c r="F97" i="14" s="1"/>
  <c r="D96" i="14"/>
  <c r="F96" i="14" s="1"/>
  <c r="D95" i="14"/>
  <c r="F95" i="14" s="1"/>
  <c r="F102" i="14" s="1"/>
  <c r="F92" i="14"/>
  <c r="D90" i="14"/>
  <c r="F90" i="14" s="1"/>
  <c r="D89" i="14"/>
  <c r="F89" i="14" s="1"/>
  <c r="D88" i="14"/>
  <c r="F88" i="14" s="1"/>
  <c r="D85" i="14"/>
  <c r="D86" i="14" s="1"/>
  <c r="F86" i="14" s="1"/>
  <c r="D84" i="14"/>
  <c r="F84" i="14" s="1"/>
  <c r="D83" i="14"/>
  <c r="F83" i="14" s="1"/>
  <c r="D80" i="14"/>
  <c r="F80" i="14" s="1"/>
  <c r="D79" i="14"/>
  <c r="F79" i="14" s="1"/>
  <c r="D78" i="14"/>
  <c r="F78" i="14" s="1"/>
  <c r="D77" i="14"/>
  <c r="F77" i="14" s="1"/>
  <c r="D76" i="14"/>
  <c r="F76" i="14" s="1"/>
  <c r="D75" i="14"/>
  <c r="F75" i="14" s="1"/>
  <c r="F81" i="14" s="1"/>
  <c r="D72" i="14"/>
  <c r="F72" i="14" s="1"/>
  <c r="D71" i="14"/>
  <c r="F71" i="14" s="1"/>
  <c r="F73" i="14" s="1"/>
  <c r="D70" i="14"/>
  <c r="F70" i="14" s="1"/>
  <c r="F69" i="14"/>
  <c r="D68" i="14"/>
  <c r="F68" i="14" s="1"/>
  <c r="F67" i="14"/>
  <c r="D51" i="14"/>
  <c r="F51" i="14" s="1"/>
  <c r="D50" i="14"/>
  <c r="F50" i="14" s="1"/>
  <c r="D49" i="14"/>
  <c r="F49" i="14" s="1"/>
  <c r="D48" i="14"/>
  <c r="F48" i="14" s="1"/>
  <c r="F52" i="14" s="1"/>
  <c r="D45" i="14"/>
  <c r="F45" i="14" s="1"/>
  <c r="F44" i="14"/>
  <c r="F43" i="14"/>
  <c r="F46" i="14" s="1"/>
  <c r="F40" i="14"/>
  <c r="D39" i="14"/>
  <c r="F39" i="14" s="1"/>
  <c r="D38" i="14"/>
  <c r="F38" i="14" s="1"/>
  <c r="D37" i="14"/>
  <c r="F37" i="14" s="1"/>
  <c r="D36" i="14"/>
  <c r="F36" i="14" s="1"/>
  <c r="F41" i="14" s="1"/>
  <c r="D35" i="14"/>
  <c r="F35" i="14" s="1"/>
  <c r="D34" i="14"/>
  <c r="F34" i="14" s="1"/>
  <c r="F31" i="14"/>
  <c r="D29" i="14"/>
  <c r="F29" i="14" s="1"/>
  <c r="D28" i="14"/>
  <c r="F28" i="14" s="1"/>
  <c r="D27" i="14"/>
  <c r="F27" i="14" s="1"/>
  <c r="D24" i="14"/>
  <c r="F24" i="14" s="1"/>
  <c r="D23" i="14"/>
  <c r="F23" i="14" s="1"/>
  <c r="D22" i="14"/>
  <c r="F22" i="14" s="1"/>
  <c r="D19" i="14"/>
  <c r="F19" i="14" s="1"/>
  <c r="D18" i="14"/>
  <c r="F18" i="14" s="1"/>
  <c r="D17" i="14"/>
  <c r="F17" i="14" s="1"/>
  <c r="D16" i="14"/>
  <c r="F16" i="14" s="1"/>
  <c r="D15" i="14"/>
  <c r="F15" i="14" s="1"/>
  <c r="D14" i="14"/>
  <c r="F14" i="14" s="1"/>
  <c r="F20" i="14" s="1"/>
  <c r="D11" i="14"/>
  <c r="F11" i="14" s="1"/>
  <c r="F12" i="14" s="1"/>
  <c r="D10" i="14"/>
  <c r="F10" i="14" s="1"/>
  <c r="D9" i="14"/>
  <c r="F9" i="14" s="1"/>
  <c r="F8" i="14"/>
  <c r="D7" i="14"/>
  <c r="F7" i="14" s="1"/>
  <c r="F6" i="14"/>
  <c r="F170" i="13"/>
  <c r="F144" i="13"/>
  <c r="D175" i="13"/>
  <c r="F175" i="13" s="1"/>
  <c r="D174" i="13"/>
  <c r="F174" i="13" s="1"/>
  <c r="D173" i="13"/>
  <c r="F173" i="13" s="1"/>
  <c r="D172" i="13"/>
  <c r="F172" i="13" s="1"/>
  <c r="F176" i="13" s="1"/>
  <c r="D169" i="13"/>
  <c r="F169" i="13" s="1"/>
  <c r="F168" i="13"/>
  <c r="F167" i="13"/>
  <c r="F164" i="13"/>
  <c r="D163" i="13"/>
  <c r="F163" i="13" s="1"/>
  <c r="D162" i="13"/>
  <c r="F162" i="13" s="1"/>
  <c r="D161" i="13"/>
  <c r="F161" i="13" s="1"/>
  <c r="D160" i="13"/>
  <c r="F160" i="13" s="1"/>
  <c r="D159" i="13"/>
  <c r="F159" i="13" s="1"/>
  <c r="D158" i="13"/>
  <c r="F158" i="13" s="1"/>
  <c r="F165" i="13" s="1"/>
  <c r="F155" i="13"/>
  <c r="D153" i="13"/>
  <c r="F153" i="13" s="1"/>
  <c r="D152" i="13"/>
  <c r="F152" i="13" s="1"/>
  <c r="D151" i="13"/>
  <c r="F151" i="13" s="1"/>
  <c r="D148" i="13"/>
  <c r="D150" i="13" s="1"/>
  <c r="D147" i="13"/>
  <c r="F147" i="13" s="1"/>
  <c r="D146" i="13"/>
  <c r="F146" i="13" s="1"/>
  <c r="D143" i="13"/>
  <c r="F143" i="13" s="1"/>
  <c r="D142" i="13"/>
  <c r="F142" i="13" s="1"/>
  <c r="D141" i="13"/>
  <c r="F141" i="13" s="1"/>
  <c r="D140" i="13"/>
  <c r="F140" i="13" s="1"/>
  <c r="D139" i="13"/>
  <c r="F139" i="13" s="1"/>
  <c r="D138" i="13"/>
  <c r="F138" i="13" s="1"/>
  <c r="D135" i="13"/>
  <c r="F135" i="13" s="1"/>
  <c r="D134" i="13"/>
  <c r="F134" i="13" s="1"/>
  <c r="D133" i="13"/>
  <c r="F133" i="13" s="1"/>
  <c r="F132" i="13"/>
  <c r="D131" i="13"/>
  <c r="F131" i="13" s="1"/>
  <c r="F130" i="13"/>
  <c r="F136" i="13" s="1"/>
  <c r="D114" i="13"/>
  <c r="F114" i="13" s="1"/>
  <c r="D113" i="13"/>
  <c r="F113" i="13" s="1"/>
  <c r="D112" i="13"/>
  <c r="F112" i="13" s="1"/>
  <c r="D111" i="13"/>
  <c r="F111" i="13" s="1"/>
  <c r="D108" i="13"/>
  <c r="F108" i="13" s="1"/>
  <c r="F107" i="13"/>
  <c r="F106" i="13"/>
  <c r="F103" i="13"/>
  <c r="D102" i="13"/>
  <c r="F102" i="13" s="1"/>
  <c r="D101" i="13"/>
  <c r="F101" i="13" s="1"/>
  <c r="D100" i="13"/>
  <c r="F100" i="13" s="1"/>
  <c r="D99" i="13"/>
  <c r="F99" i="13" s="1"/>
  <c r="F98" i="13"/>
  <c r="F95" i="13"/>
  <c r="D93" i="13"/>
  <c r="F93" i="13" s="1"/>
  <c r="D92" i="13"/>
  <c r="F92" i="13" s="1"/>
  <c r="D91" i="13"/>
  <c r="F91" i="13" s="1"/>
  <c r="F88" i="13"/>
  <c r="D87" i="13"/>
  <c r="F87" i="13" s="1"/>
  <c r="D86" i="13"/>
  <c r="F86" i="13" s="1"/>
  <c r="D85" i="13"/>
  <c r="F85" i="13" s="1"/>
  <c r="D84" i="13"/>
  <c r="F84" i="13" s="1"/>
  <c r="D83" i="13"/>
  <c r="F83" i="13" s="1"/>
  <c r="D80" i="13"/>
  <c r="F80" i="13" s="1"/>
  <c r="D79" i="13"/>
  <c r="F79" i="13" s="1"/>
  <c r="D78" i="13"/>
  <c r="F78" i="13" s="1"/>
  <c r="D77" i="13"/>
  <c r="F77" i="13" s="1"/>
  <c r="D76" i="13"/>
  <c r="F76" i="13" s="1"/>
  <c r="D75" i="13"/>
  <c r="F75" i="13" s="1"/>
  <c r="D72" i="13"/>
  <c r="F72" i="13" s="1"/>
  <c r="D71" i="13"/>
  <c r="F71" i="13" s="1"/>
  <c r="D70" i="13"/>
  <c r="F70" i="13" s="1"/>
  <c r="F69" i="13"/>
  <c r="D68" i="13"/>
  <c r="F68" i="13" s="1"/>
  <c r="F67" i="13"/>
  <c r="D51" i="13"/>
  <c r="F51" i="13" s="1"/>
  <c r="D50" i="13"/>
  <c r="F50" i="13" s="1"/>
  <c r="D49" i="13"/>
  <c r="F49" i="13" s="1"/>
  <c r="D48" i="13"/>
  <c r="F48" i="13" s="1"/>
  <c r="D45" i="13"/>
  <c r="F45" i="13" s="1"/>
  <c r="F44" i="13"/>
  <c r="F43" i="13"/>
  <c r="F40" i="13"/>
  <c r="D39" i="13"/>
  <c r="F39" i="13" s="1"/>
  <c r="D38" i="13"/>
  <c r="F38" i="13" s="1"/>
  <c r="D37" i="13"/>
  <c r="F37" i="13" s="1"/>
  <c r="D36" i="13"/>
  <c r="F36" i="13" s="1"/>
  <c r="D35" i="13"/>
  <c r="F35" i="13" s="1"/>
  <c r="D34" i="13"/>
  <c r="F34" i="13" s="1"/>
  <c r="F31" i="13"/>
  <c r="D29" i="13"/>
  <c r="F29" i="13" s="1"/>
  <c r="D28" i="13"/>
  <c r="F28" i="13" s="1"/>
  <c r="D27" i="13"/>
  <c r="F27" i="13" s="1"/>
  <c r="D24" i="13"/>
  <c r="D25" i="13" s="1"/>
  <c r="F25" i="13" s="1"/>
  <c r="D23" i="13"/>
  <c r="F23" i="13" s="1"/>
  <c r="D22" i="13"/>
  <c r="F22" i="13" s="1"/>
  <c r="D19" i="13"/>
  <c r="F19" i="13" s="1"/>
  <c r="D18" i="13"/>
  <c r="F18" i="13" s="1"/>
  <c r="D17" i="13"/>
  <c r="F17" i="13" s="1"/>
  <c r="D16" i="13"/>
  <c r="F16" i="13" s="1"/>
  <c r="D15" i="13"/>
  <c r="F15" i="13" s="1"/>
  <c r="D14" i="13"/>
  <c r="F14" i="13" s="1"/>
  <c r="D11" i="13"/>
  <c r="F11" i="13" s="1"/>
  <c r="D10" i="13"/>
  <c r="F10" i="13" s="1"/>
  <c r="D9" i="13"/>
  <c r="F9" i="13" s="1"/>
  <c r="F8" i="13"/>
  <c r="D7" i="13"/>
  <c r="F7" i="13" s="1"/>
  <c r="F6" i="13"/>
  <c r="F20" i="11"/>
  <c r="D51" i="11"/>
  <c r="F51" i="11" s="1"/>
  <c r="D50" i="11"/>
  <c r="F50" i="11" s="1"/>
  <c r="D49" i="11"/>
  <c r="F49" i="11" s="1"/>
  <c r="D48" i="11"/>
  <c r="F48" i="11" s="1"/>
  <c r="F52" i="11" s="1"/>
  <c r="D45" i="11"/>
  <c r="F45" i="11" s="1"/>
  <c r="F46" i="11" s="1"/>
  <c r="F44" i="11"/>
  <c r="F43" i="11"/>
  <c r="F40" i="11"/>
  <c r="D39" i="11"/>
  <c r="F39" i="11" s="1"/>
  <c r="D38" i="11"/>
  <c r="F38" i="11" s="1"/>
  <c r="D37" i="11"/>
  <c r="F37" i="11" s="1"/>
  <c r="D36" i="11"/>
  <c r="F36" i="11" s="1"/>
  <c r="D35" i="11"/>
  <c r="F35" i="11" s="1"/>
  <c r="D34" i="11"/>
  <c r="F34" i="11" s="1"/>
  <c r="F41" i="11" s="1"/>
  <c r="F31" i="11"/>
  <c r="D29" i="11"/>
  <c r="F29" i="11" s="1"/>
  <c r="D28" i="11"/>
  <c r="F28" i="11" s="1"/>
  <c r="D27" i="11"/>
  <c r="F27" i="11" s="1"/>
  <c r="D24" i="11"/>
  <c r="D25" i="11" s="1"/>
  <c r="F25" i="11" s="1"/>
  <c r="D23" i="11"/>
  <c r="F23" i="11" s="1"/>
  <c r="D22" i="11"/>
  <c r="F22" i="11" s="1"/>
  <c r="D19" i="11"/>
  <c r="F19" i="11" s="1"/>
  <c r="D18" i="11"/>
  <c r="F18" i="11" s="1"/>
  <c r="D17" i="11"/>
  <c r="F17" i="11" s="1"/>
  <c r="D16" i="11"/>
  <c r="F16" i="11" s="1"/>
  <c r="D15" i="11"/>
  <c r="F15" i="11" s="1"/>
  <c r="D14" i="11"/>
  <c r="F14" i="11" s="1"/>
  <c r="D11" i="11"/>
  <c r="F11" i="11" s="1"/>
  <c r="D10" i="11"/>
  <c r="F10" i="11" s="1"/>
  <c r="D9" i="11"/>
  <c r="F9" i="11" s="1"/>
  <c r="F8" i="11"/>
  <c r="D7" i="11"/>
  <c r="F7" i="11" s="1"/>
  <c r="F6" i="11"/>
  <c r="F12" i="11" s="1"/>
  <c r="F228" i="12"/>
  <c r="F205" i="12"/>
  <c r="F113" i="12"/>
  <c r="F92" i="12"/>
  <c r="D196" i="12"/>
  <c r="F196" i="12" s="1"/>
  <c r="D195" i="12"/>
  <c r="F195" i="12" s="1"/>
  <c r="D194" i="12"/>
  <c r="F194" i="12" s="1"/>
  <c r="F193" i="12"/>
  <c r="F197" i="12" s="1"/>
  <c r="D192" i="12"/>
  <c r="F192" i="12" s="1"/>
  <c r="F191" i="12"/>
  <c r="D204" i="12"/>
  <c r="F204" i="12" s="1"/>
  <c r="D203" i="12"/>
  <c r="F203" i="12" s="1"/>
  <c r="D202" i="12"/>
  <c r="F202" i="12" s="1"/>
  <c r="D201" i="12"/>
  <c r="F201" i="12" s="1"/>
  <c r="D200" i="12"/>
  <c r="F200" i="12" s="1"/>
  <c r="D199" i="12"/>
  <c r="F199" i="12" s="1"/>
  <c r="F219" i="12"/>
  <c r="D217" i="12"/>
  <c r="F217" i="12" s="1"/>
  <c r="D216" i="12"/>
  <c r="F216" i="12" s="1"/>
  <c r="D215" i="12"/>
  <c r="F215" i="12" s="1"/>
  <c r="F212" i="12"/>
  <c r="D211" i="12"/>
  <c r="D213" i="12" s="1"/>
  <c r="D210" i="12"/>
  <c r="F210" i="12" s="1"/>
  <c r="D209" i="12"/>
  <c r="F209" i="12" s="1"/>
  <c r="D208" i="12"/>
  <c r="F208" i="12" s="1"/>
  <c r="D207" i="12"/>
  <c r="F207" i="12" s="1"/>
  <c r="F227" i="12"/>
  <c r="D226" i="12"/>
  <c r="F226" i="12" s="1"/>
  <c r="D225" i="12"/>
  <c r="F225" i="12" s="1"/>
  <c r="D224" i="12"/>
  <c r="F224" i="12" s="1"/>
  <c r="D223" i="12"/>
  <c r="F223" i="12" s="1"/>
  <c r="F222" i="12"/>
  <c r="D232" i="12"/>
  <c r="F232" i="12" s="1"/>
  <c r="F231" i="12"/>
  <c r="F230" i="12"/>
  <c r="F233" i="12" s="1"/>
  <c r="D238" i="12"/>
  <c r="F238" i="12" s="1"/>
  <c r="D237" i="12"/>
  <c r="F237" i="12" s="1"/>
  <c r="D236" i="12"/>
  <c r="F236" i="12" s="1"/>
  <c r="D235" i="12"/>
  <c r="F235" i="12" s="1"/>
  <c r="F239" i="12" s="1"/>
  <c r="D175" i="12"/>
  <c r="F175" i="12" s="1"/>
  <c r="D174" i="12"/>
  <c r="F174" i="12" s="1"/>
  <c r="D173" i="12"/>
  <c r="F173" i="12" s="1"/>
  <c r="F176" i="12" s="1"/>
  <c r="D172" i="12"/>
  <c r="F172" i="12" s="1"/>
  <c r="D169" i="12"/>
  <c r="F169" i="12" s="1"/>
  <c r="F168" i="12"/>
  <c r="F167" i="12"/>
  <c r="F170" i="12" s="1"/>
  <c r="F164" i="12"/>
  <c r="D163" i="12"/>
  <c r="F163" i="12" s="1"/>
  <c r="D162" i="12"/>
  <c r="F162" i="12" s="1"/>
  <c r="D161" i="12"/>
  <c r="F161" i="12" s="1"/>
  <c r="D160" i="12"/>
  <c r="F160" i="12" s="1"/>
  <c r="F159" i="12"/>
  <c r="F165" i="12" s="1"/>
  <c r="F156" i="12"/>
  <c r="D154" i="12"/>
  <c r="F154" i="12" s="1"/>
  <c r="D153" i="12"/>
  <c r="F153" i="12" s="1"/>
  <c r="D152" i="12"/>
  <c r="F152" i="12" s="1"/>
  <c r="F149" i="12"/>
  <c r="D148" i="12"/>
  <c r="D150" i="12" s="1"/>
  <c r="D147" i="12"/>
  <c r="F147" i="12" s="1"/>
  <c r="D146" i="12"/>
  <c r="F146" i="12" s="1"/>
  <c r="D145" i="12"/>
  <c r="F145" i="12" s="1"/>
  <c r="D144" i="12"/>
  <c r="F144" i="12" s="1"/>
  <c r="D141" i="12"/>
  <c r="F141" i="12" s="1"/>
  <c r="D140" i="12"/>
  <c r="F140" i="12" s="1"/>
  <c r="D139" i="12"/>
  <c r="F139" i="12" s="1"/>
  <c r="D138" i="12"/>
  <c r="F138" i="12" s="1"/>
  <c r="D137" i="12"/>
  <c r="F137" i="12" s="1"/>
  <c r="D136" i="12"/>
  <c r="F136" i="12" s="1"/>
  <c r="F142" i="12" s="1"/>
  <c r="D133" i="12"/>
  <c r="F133" i="12" s="1"/>
  <c r="D132" i="12"/>
  <c r="F132" i="12" s="1"/>
  <c r="D131" i="12"/>
  <c r="F131" i="12" s="1"/>
  <c r="F130" i="12"/>
  <c r="F134" i="12" s="1"/>
  <c r="D129" i="12"/>
  <c r="F129" i="12" s="1"/>
  <c r="F128" i="12"/>
  <c r="D112" i="12"/>
  <c r="F112" i="12" s="1"/>
  <c r="D111" i="12"/>
  <c r="F111" i="12" s="1"/>
  <c r="D110" i="12"/>
  <c r="F110" i="12" s="1"/>
  <c r="D109" i="12"/>
  <c r="F109" i="12" s="1"/>
  <c r="F101" i="12"/>
  <c r="D100" i="12"/>
  <c r="F100" i="12" s="1"/>
  <c r="D99" i="12"/>
  <c r="F99" i="12" s="1"/>
  <c r="D98" i="12"/>
  <c r="F98" i="12" s="1"/>
  <c r="F41" i="12"/>
  <c r="D46" i="12"/>
  <c r="F46" i="12" s="1"/>
  <c r="D40" i="12"/>
  <c r="F40" i="12" s="1"/>
  <c r="D39" i="12"/>
  <c r="F39" i="12" s="1"/>
  <c r="D37" i="12"/>
  <c r="F37" i="12" s="1"/>
  <c r="F157" i="12" l="1"/>
  <c r="D213" i="14"/>
  <c r="D218" i="14" s="1"/>
  <c r="F218" i="14" s="1"/>
  <c r="D214" i="14"/>
  <c r="F214" i="14" s="1"/>
  <c r="D150" i="14"/>
  <c r="D155" i="14" s="1"/>
  <c r="F155" i="14" s="1"/>
  <c r="D151" i="14"/>
  <c r="F151" i="14" s="1"/>
  <c r="D87" i="14"/>
  <c r="D91" i="14" s="1"/>
  <c r="F91" i="14" s="1"/>
  <c r="F85" i="14"/>
  <c r="D25" i="14"/>
  <c r="F25" i="14" s="1"/>
  <c r="D26" i="14"/>
  <c r="F26" i="14" s="1"/>
  <c r="D154" i="13"/>
  <c r="F154" i="13" s="1"/>
  <c r="F150" i="13"/>
  <c r="F148" i="13"/>
  <c r="F156" i="13" s="1"/>
  <c r="D149" i="13"/>
  <c r="F149" i="13" s="1"/>
  <c r="F81" i="13"/>
  <c r="F115" i="13"/>
  <c r="F104" i="13"/>
  <c r="F73" i="13"/>
  <c r="F109" i="13"/>
  <c r="D89" i="13"/>
  <c r="D90" i="13"/>
  <c r="F90" i="13" s="1"/>
  <c r="F20" i="13"/>
  <c r="F52" i="13"/>
  <c r="F41" i="13"/>
  <c r="F46" i="13"/>
  <c r="F12" i="13"/>
  <c r="D26" i="13"/>
  <c r="D30" i="13" s="1"/>
  <c r="F30" i="13" s="1"/>
  <c r="F24" i="13"/>
  <c r="D26" i="11"/>
  <c r="D30" i="11" s="1"/>
  <c r="F30" i="11" s="1"/>
  <c r="F24" i="11"/>
  <c r="D214" i="12"/>
  <c r="F214" i="12" s="1"/>
  <c r="D218" i="12"/>
  <c r="F218" i="12" s="1"/>
  <c r="F213" i="12"/>
  <c r="F220" i="12" s="1"/>
  <c r="F211" i="12"/>
  <c r="D151" i="12"/>
  <c r="F151" i="12" s="1"/>
  <c r="F150" i="12"/>
  <c r="D155" i="12"/>
  <c r="F155" i="12" s="1"/>
  <c r="F148" i="12"/>
  <c r="F93" i="14" l="1"/>
  <c r="F32" i="14"/>
  <c r="F213" i="14"/>
  <c r="F220" i="14" s="1"/>
  <c r="F150" i="14"/>
  <c r="F157" i="14" s="1"/>
  <c r="F87" i="14"/>
  <c r="D30" i="14"/>
  <c r="F30" i="14" s="1"/>
  <c r="D94" i="13"/>
  <c r="F94" i="13" s="1"/>
  <c r="F89" i="13"/>
  <c r="F26" i="13"/>
  <c r="F32" i="13" s="1"/>
  <c r="F26" i="11"/>
  <c r="F32" i="11" s="1"/>
  <c r="F96" i="13" l="1"/>
  <c r="D30" i="12" l="1"/>
  <c r="F30" i="12" s="1"/>
  <c r="F241" i="14" l="1"/>
  <c r="F242" i="14" s="1"/>
  <c r="F243" i="14" s="1"/>
  <c r="F256" i="14" s="1"/>
  <c r="F178" i="14"/>
  <c r="F179" i="14" s="1"/>
  <c r="F115" i="14"/>
  <c r="F116" i="14" s="1"/>
  <c r="F54" i="14"/>
  <c r="F55" i="14" s="1"/>
  <c r="F178" i="13"/>
  <c r="F179" i="13" s="1"/>
  <c r="F117" i="13"/>
  <c r="F118" i="13" s="1"/>
  <c r="F119" i="13" s="1"/>
  <c r="F54" i="13"/>
  <c r="F55" i="13" s="1"/>
  <c r="F180" i="13" l="1"/>
  <c r="F191" i="13" s="1"/>
  <c r="F180" i="14"/>
  <c r="F254" i="14" s="1"/>
  <c r="F117" i="14"/>
  <c r="F56" i="14"/>
  <c r="F250" i="14" s="1"/>
  <c r="F189" i="13"/>
  <c r="F181" i="13" l="1"/>
  <c r="F182" i="13" s="1"/>
  <c r="F192" i="13" s="1"/>
  <c r="F244" i="14"/>
  <c r="F245" i="14" s="1"/>
  <c r="F257" i="14" s="1"/>
  <c r="F118" i="14"/>
  <c r="F119" i="14" s="1"/>
  <c r="F253" i="14" s="1"/>
  <c r="F252" i="14"/>
  <c r="F258" i="14" s="1"/>
  <c r="F57" i="14"/>
  <c r="F181" i="14"/>
  <c r="F120" i="13"/>
  <c r="F56" i="13"/>
  <c r="F58" i="14" l="1"/>
  <c r="F259" i="14"/>
  <c r="G259" i="14" s="1"/>
  <c r="F57" i="13"/>
  <c r="F194" i="13" s="1"/>
  <c r="G194" i="13" s="1"/>
  <c r="F187" i="13"/>
  <c r="F182" i="14"/>
  <c r="F255" i="14" s="1"/>
  <c r="G258" i="14"/>
  <c r="F121" i="13"/>
  <c r="F190" i="13" s="1"/>
  <c r="F193" i="13" l="1"/>
  <c r="G193" i="13" s="1"/>
  <c r="F251" i="14"/>
  <c r="F260" i="14" s="1"/>
  <c r="G260" i="14" s="1"/>
  <c r="F58" i="13"/>
  <c r="F188" i="13" s="1"/>
  <c r="F195" i="13" s="1"/>
  <c r="G195" i="13" s="1"/>
  <c r="F241" i="12" l="1"/>
  <c r="F242" i="12" s="1"/>
  <c r="F243" i="12" s="1"/>
  <c r="F256" i="12" s="1"/>
  <c r="F178" i="12"/>
  <c r="F179" i="12" s="1"/>
  <c r="F180" i="12" s="1"/>
  <c r="F115" i="12"/>
  <c r="F116" i="12" s="1"/>
  <c r="F106" i="12"/>
  <c r="F105" i="12"/>
  <c r="F104" i="12"/>
  <c r="D97" i="12"/>
  <c r="F97" i="12" s="1"/>
  <c r="F96" i="12"/>
  <c r="F102" i="12" s="1"/>
  <c r="F93" i="12"/>
  <c r="D90" i="12"/>
  <c r="F90" i="12" s="1"/>
  <c r="D89" i="12"/>
  <c r="F89" i="12" s="1"/>
  <c r="D86" i="12"/>
  <c r="D87" i="12" s="1"/>
  <c r="F91" i="12" s="1"/>
  <c r="D85" i="12"/>
  <c r="F85" i="12" s="1"/>
  <c r="D84" i="12"/>
  <c r="F84" i="12" s="1"/>
  <c r="D81" i="12"/>
  <c r="F81" i="12" s="1"/>
  <c r="D80" i="12"/>
  <c r="F80" i="12" s="1"/>
  <c r="D79" i="12"/>
  <c r="F79" i="12" s="1"/>
  <c r="D78" i="12"/>
  <c r="F78" i="12" s="1"/>
  <c r="D77" i="12"/>
  <c r="F77" i="12" s="1"/>
  <c r="D76" i="12"/>
  <c r="F76" i="12" s="1"/>
  <c r="D73" i="12"/>
  <c r="F73" i="12" s="1"/>
  <c r="D72" i="12"/>
  <c r="F72" i="12" s="1"/>
  <c r="D71" i="12"/>
  <c r="F71" i="12" s="1"/>
  <c r="F70" i="12"/>
  <c r="D69" i="12"/>
  <c r="F69" i="12" s="1"/>
  <c r="F68" i="12"/>
  <c r="F55" i="12"/>
  <c r="F56" i="12" s="1"/>
  <c r="D52" i="12"/>
  <c r="F52" i="12" s="1"/>
  <c r="D51" i="12"/>
  <c r="F51" i="12" s="1"/>
  <c r="D49" i="12"/>
  <c r="F49" i="12" s="1"/>
  <c r="F53" i="12" s="1"/>
  <c r="F45" i="12"/>
  <c r="F44" i="12"/>
  <c r="F47" i="12" s="1"/>
  <c r="D38" i="12"/>
  <c r="F38" i="12" s="1"/>
  <c r="D36" i="12"/>
  <c r="F36" i="12" s="1"/>
  <c r="D35" i="12"/>
  <c r="F35" i="12" s="1"/>
  <c r="F42" i="12" s="1"/>
  <c r="F32" i="12"/>
  <c r="D29" i="12"/>
  <c r="F29" i="12" s="1"/>
  <c r="D28" i="12"/>
  <c r="F28" i="12" s="1"/>
  <c r="D25" i="12"/>
  <c r="D26" i="12" s="1"/>
  <c r="F26" i="12" s="1"/>
  <c r="D24" i="12"/>
  <c r="F24" i="12" s="1"/>
  <c r="D23" i="12"/>
  <c r="F23" i="12" s="1"/>
  <c r="D20" i="12"/>
  <c r="F20" i="12" s="1"/>
  <c r="D19" i="12"/>
  <c r="F19" i="12" s="1"/>
  <c r="D18" i="12"/>
  <c r="F18" i="12" s="1"/>
  <c r="D17" i="12"/>
  <c r="F17" i="12" s="1"/>
  <c r="D16" i="12"/>
  <c r="F16" i="12" s="1"/>
  <c r="D15" i="12"/>
  <c r="F15" i="12" s="1"/>
  <c r="F21" i="12" s="1"/>
  <c r="D12" i="12"/>
  <c r="F12" i="12" s="1"/>
  <c r="D11" i="12"/>
  <c r="F11" i="12" s="1"/>
  <c r="D10" i="12"/>
  <c r="F10" i="12" s="1"/>
  <c r="F9" i="12"/>
  <c r="D8" i="12"/>
  <c r="F8" i="12" s="1"/>
  <c r="F7" i="12"/>
  <c r="F54" i="11"/>
  <c r="F55" i="11" s="1"/>
  <c r="F56" i="11" s="1"/>
  <c r="F62" i="11" s="1"/>
  <c r="F64" i="11" s="1"/>
  <c r="F74" i="12" l="1"/>
  <c r="F107" i="12"/>
  <c r="F117" i="12" s="1"/>
  <c r="F94" i="12"/>
  <c r="F13" i="12"/>
  <c r="F82" i="12"/>
  <c r="F181" i="12"/>
  <c r="F182" i="12"/>
  <c r="F255" i="12" s="1"/>
  <c r="F254" i="12"/>
  <c r="D88" i="12"/>
  <c r="F88" i="12" s="1"/>
  <c r="F86" i="12"/>
  <c r="F87" i="12"/>
  <c r="D27" i="12"/>
  <c r="F27" i="12" s="1"/>
  <c r="F25" i="12"/>
  <c r="F252" i="12" l="1"/>
  <c r="F118" i="12"/>
  <c r="F119" i="12" s="1"/>
  <c r="D31" i="12"/>
  <c r="F31" i="12" s="1"/>
  <c r="F33" i="12" s="1"/>
  <c r="F57" i="12" s="1"/>
  <c r="F250" i="12" l="1"/>
  <c r="F258" i="12" s="1"/>
  <c r="F58" i="12"/>
  <c r="F59" i="12" s="1"/>
  <c r="F251" i="12" s="1"/>
  <c r="F253" i="12"/>
  <c r="F244" i="12"/>
  <c r="F259" i="12" s="1"/>
  <c r="G64" i="11"/>
  <c r="G258" i="12" l="1"/>
  <c r="F245" i="12"/>
  <c r="F257" i="12" s="1"/>
  <c r="F260" i="12" s="1"/>
  <c r="F57" i="11"/>
  <c r="F65" i="11" s="1"/>
  <c r="G259" i="12" l="1"/>
  <c r="G260" i="12"/>
  <c r="F58" i="11"/>
  <c r="F63" i="11" s="1"/>
  <c r="F66" i="11" s="1"/>
  <c r="G66" i="11" s="1"/>
  <c r="G65" i="11"/>
</calcChain>
</file>

<file path=xl/sharedStrings.xml><?xml version="1.0" encoding="utf-8"?>
<sst xmlns="http://schemas.openxmlformats.org/spreadsheetml/2006/main" count="1723" uniqueCount="196">
  <si>
    <t>N°</t>
  </si>
  <si>
    <t>DÉSIGNATION</t>
  </si>
  <si>
    <t>Unité</t>
  </si>
  <si>
    <t>TRAVAUX PREPARATOIRES ET TERRASSEMENTS</t>
  </si>
  <si>
    <t>m²</t>
  </si>
  <si>
    <t>ff</t>
  </si>
  <si>
    <t>Remblai hydraulique (en sable) précédé d'un décapage de 20 cm minimum de la terre végétale résiduelle</t>
  </si>
  <si>
    <t>INFRASTRUCTURES</t>
  </si>
  <si>
    <t>SUPERSTRUCTURES</t>
  </si>
  <si>
    <t>Enduit  tyrolien sur murs extérieurs, teinte au choix du maître d'ouvrage</t>
  </si>
  <si>
    <t>Trou d'aérations grillagés</t>
  </si>
  <si>
    <t>u</t>
  </si>
  <si>
    <t>CHARPENTE-COUVERTURE</t>
  </si>
  <si>
    <t>ml</t>
  </si>
  <si>
    <t>PEINTURE</t>
  </si>
  <si>
    <t>Peinture Glycéro sur menuiserie métallique</t>
  </si>
  <si>
    <t>Quantité</t>
  </si>
  <si>
    <t>Sous-total 1: travaux préparatoires et terrassements</t>
  </si>
  <si>
    <t>Sous-total 2: infrastructures</t>
  </si>
  <si>
    <t xml:space="preserve">Sous-total 3 : superstructure </t>
  </si>
  <si>
    <t>Sous-total 4: charpente-couverture</t>
  </si>
  <si>
    <t>1.1</t>
  </si>
  <si>
    <t>1.2</t>
  </si>
  <si>
    <t>1.3</t>
  </si>
  <si>
    <t>1.4</t>
  </si>
  <si>
    <t>2.1</t>
  </si>
  <si>
    <t>2.2</t>
  </si>
  <si>
    <t>2.3</t>
  </si>
  <si>
    <t>2.4</t>
  </si>
  <si>
    <t>2.5</t>
  </si>
  <si>
    <t>2.6</t>
  </si>
  <si>
    <t>3.1</t>
  </si>
  <si>
    <t>3.2</t>
  </si>
  <si>
    <t>3.3</t>
  </si>
  <si>
    <t>3.4</t>
  </si>
  <si>
    <t>3.5</t>
  </si>
  <si>
    <t>3.6</t>
  </si>
  <si>
    <t>3.7</t>
  </si>
  <si>
    <t>3.8</t>
  </si>
  <si>
    <t>3.9</t>
  </si>
  <si>
    <t>3.10</t>
  </si>
  <si>
    <t>3.11</t>
  </si>
  <si>
    <t>4.1</t>
  </si>
  <si>
    <t>5.1</t>
  </si>
  <si>
    <t>5.2</t>
  </si>
  <si>
    <t>5.3</t>
  </si>
  <si>
    <t>6.1</t>
  </si>
  <si>
    <t>6.2</t>
  </si>
  <si>
    <t>6.3</t>
  </si>
  <si>
    <t>6.4</t>
  </si>
  <si>
    <t xml:space="preserve">MENUISERIE MÉTALLIQUE </t>
  </si>
  <si>
    <t xml:space="preserve">Sous-total 5: menuiserie métallique </t>
  </si>
  <si>
    <t>Ardoisine noire de préférence pour tableaux</t>
  </si>
  <si>
    <t>Sous-total 6 : peinture</t>
  </si>
  <si>
    <t>Démolition (jusqu'au niveau chainage bas) du mur de15 cm de part et d'autre de l'axe des tubes rond servant de poteaux</t>
  </si>
  <si>
    <t>Fouilles en rigole  pour semelles filante au  suivant les plans et les prescriptions techniques (40 x 40) cm</t>
  </si>
  <si>
    <t>Maçonnerie d'agglos plein de 20x20x40 (18 briques par sac de ciment)</t>
  </si>
  <si>
    <t>Béton de propreté de 5 cm dosé à 150 kg/ m3</t>
  </si>
  <si>
    <t>Béton armé pour terrasse d'accès dosé à 300 kg/m3 et socles  d'épaisseur 8 cm  y compris chape incorporée et bouchardée (armatures par quadrillage en HA 6, espacement 15 cm dans les deux directions)</t>
  </si>
  <si>
    <t>Béton armé pour rampes et marches d'accès dosé à 300 kg/m3, d'épaisseur 8 cm  (armatures par quadrillage en HA 6, espacement 15 cm dans les deux directions)</t>
  </si>
  <si>
    <t xml:space="preserve">Traitement anti termites y compris film polyéthylène </t>
  </si>
  <si>
    <t>Enduits  extérieurs esthétique d'épaisseur 2,5 cm dosé à 400kg/m3</t>
  </si>
  <si>
    <t>Enduits intérieurs bicouche d'épaisseur 2,5 cm dosé à 400kg/m3 (sur toute la hauteur du bâtiment)</t>
  </si>
  <si>
    <t xml:space="preserve">Enduit lisse sur grillage poulailler pour tableau "noir" d'épaisseur 6 cm dosé à 600kg/m3 </t>
  </si>
  <si>
    <t>Installation et repli de chantier</t>
  </si>
  <si>
    <t>Maçonnerie d'agglos creux de 15x20x40 cm (35 briques par sac de ciment)</t>
  </si>
  <si>
    <t>Enduits tyroliens au ciment blanc écrasés sur murs intérieurs (hauteur 1,60 m)</t>
  </si>
  <si>
    <t>Maçonnerie d'agglos creux de (15x20x40) cm (35 briques par sac de ciment)</t>
  </si>
  <si>
    <r>
      <t>m</t>
    </r>
    <r>
      <rPr>
        <vertAlign val="superscript"/>
        <sz val="11"/>
        <color theme="1"/>
        <rFont val="Times New Roman"/>
        <family val="1"/>
      </rPr>
      <t>3</t>
    </r>
  </si>
  <si>
    <r>
      <t>m</t>
    </r>
    <r>
      <rPr>
        <vertAlign val="superscript"/>
        <sz val="11"/>
        <color rgb="FF000000"/>
        <rFont val="Times New Roman"/>
        <family val="1"/>
      </rPr>
      <t>2</t>
    </r>
  </si>
  <si>
    <r>
      <t>m</t>
    </r>
    <r>
      <rPr>
        <vertAlign val="superscript"/>
        <sz val="11"/>
        <color rgb="FF000000"/>
        <rFont val="Times New Roman"/>
        <family val="1"/>
      </rPr>
      <t>3</t>
    </r>
  </si>
  <si>
    <r>
      <t>Béton armé dosé à 350 kg/m</t>
    </r>
    <r>
      <rPr>
        <vertAlign val="superscript"/>
        <sz val="11"/>
        <color rgb="FF000000"/>
        <rFont val="Times New Roman"/>
        <family val="1"/>
      </rPr>
      <t>3</t>
    </r>
    <r>
      <rPr>
        <sz val="11"/>
        <color rgb="FF000000"/>
        <rFont val="Times New Roman"/>
        <family val="1"/>
      </rPr>
      <t xml:space="preserve"> pour poteaux avec des HA10 et des cadres en HA 6 espacé de 15 cm</t>
    </r>
  </si>
  <si>
    <r>
      <t>Béton armé dosé à 350 kg/m</t>
    </r>
    <r>
      <rPr>
        <vertAlign val="superscript"/>
        <sz val="11"/>
        <color rgb="FF000000"/>
        <rFont val="Times New Roman"/>
        <family val="1"/>
      </rPr>
      <t>3</t>
    </r>
    <r>
      <rPr>
        <sz val="11"/>
        <color rgb="FF000000"/>
        <rFont val="Times New Roman"/>
        <family val="1"/>
      </rPr>
      <t xml:space="preserve"> pour  chaînage haut avec des HA10 et des cadres en HA 6 espacé de 15 cm</t>
    </r>
  </si>
  <si>
    <r>
      <t>Béton armé dosé à 350 kg/m</t>
    </r>
    <r>
      <rPr>
        <vertAlign val="superscript"/>
        <sz val="11"/>
        <color rgb="FF000000"/>
        <rFont val="Times New Roman"/>
        <family val="1"/>
      </rPr>
      <t>3</t>
    </r>
    <r>
      <rPr>
        <sz val="11"/>
        <color rgb="FF000000"/>
        <rFont val="Times New Roman"/>
        <family val="1"/>
      </rPr>
      <t xml:space="preserve"> pour  chaînages rampant avec des HA10 et des cadres en HA 6 espacé de 15 cm</t>
    </r>
  </si>
  <si>
    <r>
      <t>Béton banché dosé à 300 kg/m</t>
    </r>
    <r>
      <rPr>
        <vertAlign val="superscript"/>
        <sz val="11"/>
        <color rgb="FF000000"/>
        <rFont val="Times New Roman"/>
        <family val="1"/>
      </rPr>
      <t xml:space="preserve">3   </t>
    </r>
    <r>
      <rPr>
        <sz val="11"/>
        <color rgb="FF000000"/>
        <rFont val="Times New Roman"/>
        <family val="1"/>
      </rPr>
      <t xml:space="preserve">pour acrotère </t>
    </r>
  </si>
  <si>
    <r>
      <t> </t>
    </r>
    <r>
      <rPr>
        <b/>
        <sz val="10"/>
        <color rgb="FF000000"/>
        <rFont val="Times New Roman"/>
        <family val="1"/>
      </rPr>
      <t>TOTAL I ( HORS TVA)</t>
    </r>
  </si>
  <si>
    <t>TVA I (18%)</t>
  </si>
  <si>
    <t>TOTAL I (TTC)</t>
  </si>
  <si>
    <t>I</t>
  </si>
  <si>
    <t>TOTAL I  (TTC)</t>
  </si>
  <si>
    <t>RECAPULATIF DES MONTANTS HORS TVA ET TTC</t>
  </si>
  <si>
    <t xml:space="preserve">Prix Unitaire </t>
  </si>
  <si>
    <t xml:space="preserve">Montant Total  </t>
  </si>
  <si>
    <t xml:space="preserve">Montant Total </t>
  </si>
  <si>
    <t>4.2</t>
  </si>
  <si>
    <t>4.3</t>
  </si>
  <si>
    <t>1.5</t>
  </si>
  <si>
    <t>Traitement des micro fissures de l'ETA avec du sikalite</t>
  </si>
  <si>
    <t>Béton armé pour dallage dosé à 300 kg/m3 et socles d'épaisseur 10 cm  y compris chape incorporée et bouchardée (armatures par quadrillage en HA 6, espacement 15 cm dans les deux directions)</t>
  </si>
  <si>
    <t>3.12</t>
  </si>
  <si>
    <t>Joint de dilation en polystyrène de 2,5 cm</t>
  </si>
  <si>
    <t>PLANTATION D'ARBRES</t>
  </si>
  <si>
    <t>7.1</t>
  </si>
  <si>
    <t>Fourniture, plantation d'arbres et protection avec grilles y compris toutes sujétions</t>
  </si>
  <si>
    <t>Sous-total 7 : plantation d'arbres</t>
  </si>
  <si>
    <t>TRAVAUX DE TRANFORMATION DE (04) ETA EN  QUATRE (04) SALLE DE CLASSE - ECOLE POGNINI</t>
  </si>
  <si>
    <t>DEVIS ESTIMATIF DU TYPE D : ETA QUATRE (04) SALLES DE CLASSE - ECOLE POGNINI</t>
  </si>
  <si>
    <t>II</t>
  </si>
  <si>
    <t xml:space="preserve">TRAVAUX DE TRANFORMATION DE QUATRE (04) ETA EN  QUATRE (04) SALLES DE CLASSES - TYPE D (Ecole Nord A) </t>
  </si>
  <si>
    <t>III</t>
  </si>
  <si>
    <t xml:space="preserve">TRAVAUX DE TRANFORMATION DE  TROIS (03) ETA EN  TROIS (03) SALLES DE CLASSES - TYPE C (Ecole Sud A) </t>
  </si>
  <si>
    <t xml:space="preserve">TRAVAUX DE TRANFORMATION D'UN (01) ETA EN UNE (01) SALLE DE CLASSE - TYPE A2 (Ecole Gorbokin A) </t>
  </si>
  <si>
    <t>IV</t>
  </si>
  <si>
    <t xml:space="preserve">TRAVAUX DE TRANFORMATION D'UN (01) ETA EN UNE (01) SALLE DE CLASSE - TYPE A2 (Ecole Donsin) </t>
  </si>
  <si>
    <t>TVA GENERAL 18 %</t>
  </si>
  <si>
    <t>TOTAL I (HTVA)</t>
  </si>
  <si>
    <t>TOTAL II (HTVA)</t>
  </si>
  <si>
    <t>TOTAL II (TTC)</t>
  </si>
  <si>
    <t>TOTAL III (HTVA)</t>
  </si>
  <si>
    <t>TOTAL III (TTC)</t>
  </si>
  <si>
    <t>TOTAL IV (HTVA)</t>
  </si>
  <si>
    <t>TOTAL IV (TTC)</t>
  </si>
  <si>
    <r>
      <t> </t>
    </r>
    <r>
      <rPr>
        <b/>
        <sz val="10"/>
        <color rgb="FF000000"/>
        <rFont val="Times New Roman"/>
        <family val="1"/>
      </rPr>
      <t>TOTAL IV ( HORS TVA)</t>
    </r>
  </si>
  <si>
    <t>TOTAL III. TTC</t>
  </si>
  <si>
    <t>TVA IV (18%)</t>
  </si>
  <si>
    <t>TOTAL IV TTC</t>
  </si>
  <si>
    <t>TVA III (18%)</t>
  </si>
  <si>
    <r>
      <t> </t>
    </r>
    <r>
      <rPr>
        <b/>
        <sz val="10"/>
        <color rgb="FF000000"/>
        <rFont val="Times New Roman"/>
        <family val="1"/>
      </rPr>
      <t>TOTAL III ( HORS TVA)</t>
    </r>
  </si>
  <si>
    <t>TVA II (18%)</t>
  </si>
  <si>
    <r>
      <t> </t>
    </r>
    <r>
      <rPr>
        <b/>
        <sz val="10"/>
        <color rgb="FF000000"/>
        <rFont val="Times New Roman"/>
        <family val="1"/>
      </rPr>
      <t>TOTAL II ( HORS TVA)</t>
    </r>
  </si>
  <si>
    <t>TOTAL GENERAL (I + II + III + IV) en HTVA - Tranche Conditionnelle</t>
  </si>
  <si>
    <t>TOTAL GENERAL (I + II + III + IV) en TTC - Tranche Conditionnelle</t>
  </si>
  <si>
    <t>TOTAL GENERAL (1) HTVA - TRANCHE FERME</t>
  </si>
  <si>
    <t>TVA GENERAL 18%</t>
  </si>
  <si>
    <t>TOTAL GENERAL (1) TTC - TRANCHE FERME</t>
  </si>
  <si>
    <t>RECAPULATIF DES MONTANTS HTVA ET TTC</t>
  </si>
  <si>
    <t>TOTAL GENERAL (I + II + III + IV) en TTC - Tranche Ferme</t>
  </si>
  <si>
    <t>TOTAL GENERAL (I + II + III + IV) en HTVA - Tranche Ferme</t>
  </si>
  <si>
    <r>
      <t xml:space="preserve">                    </t>
    </r>
    <r>
      <rPr>
        <b/>
        <sz val="11"/>
        <color rgb="FF000000"/>
        <rFont val="Times New Roman"/>
        <family val="1"/>
      </rPr>
      <t>I.</t>
    </r>
    <r>
      <rPr>
        <b/>
        <sz val="7"/>
        <color rgb="FF000000"/>
        <rFont val="Times New Roman"/>
        <family val="1"/>
      </rPr>
      <t xml:space="preserve">            </t>
    </r>
    <r>
      <rPr>
        <b/>
        <sz val="11"/>
        <color rgb="FF000000"/>
        <rFont val="Times New Roman"/>
        <family val="1"/>
      </rPr>
      <t>TRAVAUX DE TRANFORMATION DE TROIS (03) ETA EN  TROIS (03) SALLES DE CLASSE (ECOLE KAKOMTENGA)</t>
    </r>
  </si>
  <si>
    <r>
      <t xml:space="preserve">                    </t>
    </r>
    <r>
      <rPr>
        <b/>
        <sz val="11"/>
        <color rgb="FF000000"/>
        <rFont val="Times New Roman"/>
        <family val="1"/>
      </rPr>
      <t>III.</t>
    </r>
    <r>
      <rPr>
        <b/>
        <sz val="7"/>
        <color rgb="FF000000"/>
        <rFont val="Times New Roman"/>
        <family val="1"/>
      </rPr>
      <t xml:space="preserve">            </t>
    </r>
    <r>
      <rPr>
        <b/>
        <sz val="11"/>
        <color rgb="FF000000"/>
        <rFont val="Times New Roman"/>
        <family val="1"/>
      </rPr>
      <t>TRAVAUX DE TRANFORMATION DE TROIS (03) ETA EN  TROIS (03) SALLES DE CLASSE (ECOLE BACKA SECTEUR 3)</t>
    </r>
  </si>
  <si>
    <t xml:space="preserve">TRAVAUX DE TRANFORMATION DE TROIS (03) ETA EN  TROIS (03) SALLES DE CLASSES - TYPE C (Ecole Kakomtenga) </t>
  </si>
  <si>
    <t xml:space="preserve">TRAVAUX DE TRANFORMATION D'UN (01) ETA EN  UNE (01) SALLE DE CLASSE - TYPE A2 (Ecole Tangzugu A) </t>
  </si>
  <si>
    <t xml:space="preserve">TRAVAUX DE TRANFORMATION DE TROIS (03) ETA EN  TROIS (03) SALLES DE CLASSES - TYPE C (Ecole Backa Secteur 3) </t>
  </si>
  <si>
    <t>TOTAL GENERAL (I + II + III) en HTVA - Tranche Conditionnelle)</t>
  </si>
  <si>
    <t>TOTAL GENERAL (I + II + III) en TTC - Tranche Conditionnelle</t>
  </si>
  <si>
    <r>
      <t xml:space="preserve">                    </t>
    </r>
    <r>
      <rPr>
        <b/>
        <sz val="11"/>
        <color rgb="FF000000"/>
        <rFont val="Times New Roman"/>
        <family val="1"/>
      </rPr>
      <t>I.</t>
    </r>
    <r>
      <rPr>
        <b/>
        <sz val="7"/>
        <color rgb="FF000000"/>
        <rFont val="Times New Roman"/>
        <family val="1"/>
      </rPr>
      <t xml:space="preserve">            </t>
    </r>
    <r>
      <rPr>
        <b/>
        <sz val="11"/>
        <color rgb="FF000000"/>
        <rFont val="Times New Roman"/>
        <family val="1"/>
      </rPr>
      <t>TRAVAUX DE TRANFORMATION DE QUATRE (04) ETA EN  QUATRE (04) SALLES DE CLASSE (ECOLE NORD A)</t>
    </r>
  </si>
  <si>
    <r>
      <t xml:space="preserve">                    </t>
    </r>
    <r>
      <rPr>
        <b/>
        <sz val="11"/>
        <color rgb="FF000000"/>
        <rFont val="Times New Roman"/>
        <family val="1"/>
      </rPr>
      <t>III.</t>
    </r>
    <r>
      <rPr>
        <b/>
        <sz val="7"/>
        <color rgb="FF000000"/>
        <rFont val="Times New Roman"/>
        <family val="1"/>
      </rPr>
      <t xml:space="preserve">            </t>
    </r>
    <r>
      <rPr>
        <b/>
        <sz val="11"/>
        <color rgb="FF000000"/>
        <rFont val="Times New Roman"/>
        <family val="1"/>
      </rPr>
      <t>TRAVAUX DE TRANFORMATION D'UN (01) ETA EN  UNE (01) SALLE DE CLASSE + AJOUT D'UN MUR SEPARATEUR + JOINT DE DILATATION (ECOLE POECE EST)</t>
    </r>
  </si>
  <si>
    <r>
      <t xml:space="preserve">                    </t>
    </r>
    <r>
      <rPr>
        <b/>
        <sz val="11"/>
        <color rgb="FF000000"/>
        <rFont val="Times New Roman"/>
        <family val="1"/>
      </rPr>
      <t>I.</t>
    </r>
    <r>
      <rPr>
        <b/>
        <sz val="7"/>
        <color rgb="FF000000"/>
        <rFont val="Times New Roman"/>
        <family val="1"/>
      </rPr>
      <t xml:space="preserve">            </t>
    </r>
    <r>
      <rPr>
        <b/>
        <sz val="11"/>
        <color rgb="FF000000"/>
        <rFont val="Times New Roman"/>
        <family val="1"/>
      </rPr>
      <t>TRAVAUX DE TRANFORMATION DE DEUX (02) ETA EN  DEUX (02) SALLES DE CLASSE (ECOLE YARGO A)</t>
    </r>
  </si>
  <si>
    <t xml:space="preserve">Fouilles en rigole  (536 x 40 x 40) cm pour semelles filante de la terrasse ;  de (503 x 40 x 40) cm pour rampe et de (393 x 40 x 40) cm pour marche </t>
  </si>
  <si>
    <t>m3</t>
  </si>
  <si>
    <t>1.6</t>
  </si>
  <si>
    <t xml:space="preserve">Decapage de la chape et évacuation des gravats  hors du site </t>
  </si>
  <si>
    <t>m2</t>
  </si>
  <si>
    <t>4.4</t>
  </si>
  <si>
    <t>Fourniture et pose d'un panneau sandwich pour l'isolation acoustique entre les salles de classes</t>
  </si>
  <si>
    <r>
      <t xml:space="preserve">Porte  métallique persiennée à deux battants de (120 x 220) cm avec cadres en double H (PCMPF-01)  y compris antirouille, cadenas et chaine pour fermeture. </t>
    </r>
    <r>
      <rPr>
        <sz val="11"/>
        <color theme="1"/>
        <rFont val="Times New Roman"/>
        <family val="1"/>
      </rPr>
      <t>Epaisseur de tôle en 10/12</t>
    </r>
  </si>
  <si>
    <r>
      <t xml:space="preserve">                    </t>
    </r>
    <r>
      <rPr>
        <b/>
        <sz val="11"/>
        <color rgb="FF000000"/>
        <rFont val="Times New Roman"/>
        <family val="1"/>
      </rPr>
      <t>I.</t>
    </r>
    <r>
      <rPr>
        <b/>
        <sz val="7"/>
        <color rgb="FF000000"/>
        <rFont val="Times New Roman"/>
        <family val="1"/>
      </rPr>
      <t xml:space="preserve">            </t>
    </r>
    <r>
      <rPr>
        <b/>
        <sz val="11"/>
        <color rgb="FF000000"/>
        <rFont val="Times New Roman"/>
        <family val="1"/>
      </rPr>
      <t>TRAVAUX DE TRANFORMATION DE QUATRE (04) ETA EN  QUATRE (04) SALLES DE CLASSE (ECOLE POGNINI)</t>
    </r>
  </si>
  <si>
    <t xml:space="preserve">Decapage de la chape et évacuation des gravats sur le site </t>
  </si>
  <si>
    <r>
      <t>m</t>
    </r>
    <r>
      <rPr>
        <vertAlign val="superscript"/>
        <sz val="11"/>
        <color theme="1"/>
        <rFont val="Times New Roman"/>
        <family val="1"/>
      </rPr>
      <t>2</t>
    </r>
  </si>
  <si>
    <t>DEVIS ESTIMATIF DU TYPE B : ETA DEUX (02) SALLES DE CLASSE (ECOLE YARGO A)</t>
  </si>
  <si>
    <r>
      <t>Porte  métallique persiennée à deux battants de (120 x 220) cm avec cadres en double H (PCMPF-01)  y compris antirouille, cadenas et chaine pour fermeture.</t>
    </r>
    <r>
      <rPr>
        <sz val="11"/>
        <color theme="1"/>
        <rFont val="Times New Roman"/>
        <family val="1"/>
      </rPr>
      <t xml:space="preserve"> Epaisseur de tôle en 10/12</t>
    </r>
  </si>
  <si>
    <t>DEVIS ESTIMATIF DU TYPE A1: ETA UNE (01) SALLE DE CLASSE A 04 MURS (ECOLE YARGO A - SUITE)</t>
  </si>
  <si>
    <r>
      <t xml:space="preserve">                    </t>
    </r>
    <r>
      <rPr>
        <b/>
        <sz val="11"/>
        <color rgb="FF000000"/>
        <rFont val="Times New Roman"/>
        <family val="1"/>
      </rPr>
      <t>II.</t>
    </r>
    <r>
      <rPr>
        <b/>
        <sz val="7"/>
        <color rgb="FF000000"/>
        <rFont val="Times New Roman"/>
        <family val="1"/>
      </rPr>
      <t xml:space="preserve">            </t>
    </r>
    <r>
      <rPr>
        <b/>
        <sz val="11"/>
        <color rgb="FF000000"/>
        <rFont val="Times New Roman"/>
        <family val="1"/>
      </rPr>
      <t>TRAVAUX DE TRANFORMATION D'UN (01) ETA EN  UNE (01) SALLE DE CLASSE (ECOLE YARGO A - SUITE)</t>
    </r>
  </si>
  <si>
    <t>TOTAL II. TTC</t>
  </si>
  <si>
    <t>DEVIS ESTIMATIF DU TYPE A2: ETA UNE (01) SALLE DE CLASSE COLLE A UN MUR (ECOLE POECE EST)</t>
  </si>
  <si>
    <t>TOTAL IV. TTC</t>
  </si>
  <si>
    <r>
      <t xml:space="preserve">                    </t>
    </r>
    <r>
      <rPr>
        <b/>
        <sz val="11"/>
        <color rgb="FF000000"/>
        <rFont val="Times New Roman"/>
        <family val="1"/>
      </rPr>
      <t>IV.</t>
    </r>
    <r>
      <rPr>
        <b/>
        <sz val="7"/>
        <color rgb="FF000000"/>
        <rFont val="Times New Roman"/>
        <family val="1"/>
      </rPr>
      <t xml:space="preserve">            </t>
    </r>
    <r>
      <rPr>
        <b/>
        <sz val="11"/>
        <color rgb="FF000000"/>
        <rFont val="Times New Roman"/>
        <family val="1"/>
      </rPr>
      <t>TRAVAUX DE TRANFORMATION D'UN (01) ETA EN  UNE (01) SALLE DE CLASSE + AJOUT D'UN MUR SEPARATEUR + JOINT DE DILATATION (ECOLE KOMBOUBO A)</t>
    </r>
  </si>
  <si>
    <t>DEVIS ESTIMATIF DU TYPE A2: ETA UNE (01) SALLE DE CLASSE COLLE A UN MUR (ECOLE KOMBOUBO A)</t>
  </si>
  <si>
    <t>DEVIS ESTIMATIF DU TYPE C : ETA TROIS (03) SALLES DE CLASSE (ECOLE KAKOMTENGA)</t>
  </si>
  <si>
    <t>DEVIS ESTIMATIF DU TYPE A2: ETA UNE (01) SALLE DE CLASSE COLLE A UN MUR (ECOLE TANGZUGU A)</t>
  </si>
  <si>
    <r>
      <t xml:space="preserve">                    </t>
    </r>
    <r>
      <rPr>
        <b/>
        <sz val="11"/>
        <color rgb="FF000000"/>
        <rFont val="Times New Roman"/>
        <family val="1"/>
      </rPr>
      <t>II.</t>
    </r>
    <r>
      <rPr>
        <b/>
        <sz val="7"/>
        <color rgb="FF000000"/>
        <rFont val="Times New Roman"/>
        <family val="1"/>
      </rPr>
      <t xml:space="preserve">            </t>
    </r>
    <r>
      <rPr>
        <b/>
        <sz val="11"/>
        <color rgb="FF000000"/>
        <rFont val="Times New Roman"/>
        <family val="1"/>
      </rPr>
      <t>TRAVAUX DE TRANFORMATION D'UN (01) ETA EN  UNE (01) SALLE DE CLASSE + AJOUT D'UN MUR SEPARATEUR + JOINT DE DILATATION (ECOLE TANGZUGU A)</t>
    </r>
  </si>
  <si>
    <t>DEVIS ESTIMATIF DU TYPE C : ETA TROIS (03) SALLES DE CLASSE (ECOLE BACKA SECTEUR 3)</t>
  </si>
  <si>
    <t>DEVIS ESTIMATIF DU TYPE D : ETA QUATRE (04) SALLES DE CLASSE - ECOLE NORD A</t>
  </si>
  <si>
    <t>DEVIS ESTIMATIF DU TYPE C : ETA TROIS (03) SALLES DE CLASSE (ECOLE SUD A)</t>
  </si>
  <si>
    <r>
      <t xml:space="preserve">                    </t>
    </r>
    <r>
      <rPr>
        <b/>
        <sz val="11"/>
        <color rgb="FF000000"/>
        <rFont val="Times New Roman"/>
        <family val="1"/>
      </rPr>
      <t>II.</t>
    </r>
    <r>
      <rPr>
        <b/>
        <sz val="7"/>
        <color rgb="FF000000"/>
        <rFont val="Times New Roman"/>
        <family val="1"/>
      </rPr>
      <t xml:space="preserve">            </t>
    </r>
    <r>
      <rPr>
        <b/>
        <sz val="11"/>
        <color rgb="FF000000"/>
        <rFont val="Times New Roman"/>
        <family val="1"/>
      </rPr>
      <t>TRAVAUX DE TRANFORMATION DE TROIS (03) ETA EN  TROIS (03) SALLES DE CLASSE (ECOLE SUD A)</t>
    </r>
  </si>
  <si>
    <t>DEVIS ESTIMATIF DU TYPE A2: ETA UNE (01) SALLE DE CLASSE COLLE A UN MUR (ECOLE GORBOKIN A)</t>
  </si>
  <si>
    <r>
      <t xml:space="preserve">                    </t>
    </r>
    <r>
      <rPr>
        <b/>
        <sz val="11"/>
        <color rgb="FF000000"/>
        <rFont val="Times New Roman"/>
        <family val="1"/>
      </rPr>
      <t>III.</t>
    </r>
    <r>
      <rPr>
        <b/>
        <sz val="7"/>
        <color rgb="FF000000"/>
        <rFont val="Times New Roman"/>
        <family val="1"/>
      </rPr>
      <t xml:space="preserve">            </t>
    </r>
    <r>
      <rPr>
        <b/>
        <sz val="11"/>
        <color rgb="FF000000"/>
        <rFont val="Times New Roman"/>
        <family val="1"/>
      </rPr>
      <t>TRAVAUX DE TRANFORMATION D'UN (01) ETA EN  UNE (01) SALLE DE CLASSE + AJOUT D'UN MUR SEPARATEUR + JOINT DE DILATATION (ECOLE GORBOKIN A)</t>
    </r>
  </si>
  <si>
    <t>DEVIS ESTIMATIF DU TYPE A2: ETA UNE (01) SALLE DE CLASSE COLLE A UN MUR (ECOLE DONSIN)</t>
  </si>
  <si>
    <r>
      <t xml:space="preserve">                    </t>
    </r>
    <r>
      <rPr>
        <b/>
        <sz val="11"/>
        <color rgb="FF000000"/>
        <rFont val="Times New Roman"/>
        <family val="1"/>
      </rPr>
      <t>IV.</t>
    </r>
    <r>
      <rPr>
        <b/>
        <sz val="7"/>
        <color rgb="FF000000"/>
        <rFont val="Times New Roman"/>
        <family val="1"/>
      </rPr>
      <t xml:space="preserve">            </t>
    </r>
    <r>
      <rPr>
        <b/>
        <sz val="11"/>
        <color rgb="FF000000"/>
        <rFont val="Times New Roman"/>
        <family val="1"/>
      </rPr>
      <t>TRAVAUX DE TRANFORMATION D'UN (01) ETA EN  UNE (01) SALLE DE CLASSE + AJOUT D'UN MUR SEPARATEUR + JOINT DE DILATATION (ECOLE DONSIN)</t>
    </r>
  </si>
  <si>
    <t xml:space="preserve">TRAVAUX DE TRANFORMATION DE DEUX (02) ETA EN  DEUX (02) SALLES DE CLASSES - TYPE B (ECOLE YARGO A) </t>
  </si>
  <si>
    <t xml:space="preserve">TRAVAUX DE TRANFORMATION D'UN (01) ETA EN  UNE (01) SALLE DE CLASSE - TYPE A1 (ECOLE YARGO A - Suite) </t>
  </si>
  <si>
    <t xml:space="preserve">TRAVAUX DE TRANFORMATION D'UN (01) ETA EN UNE (01) SALLE DE CLASSE - TYPE A2 (ECOLE POECE EST) </t>
  </si>
  <si>
    <t xml:space="preserve">TRAVAUX DE TRANFORMATION D'UN (01) ETA EN UNE (01) SALLE DE CLASSE - TYPE A2 (ECOLE KOMBOUBO A) </t>
  </si>
  <si>
    <t>Grattage, nettoyage de l'ancien enduit tyrolien sur murs extérieurs</t>
  </si>
  <si>
    <t>Gouttière principale sous la forme demi-ronde en tôle prélaquée (35/100) y compris toutes sujétions pour évacuation des eaux pluviales provenat de la toiture</t>
  </si>
  <si>
    <t xml:space="preserve">Gouttière secondaire (descente de la gouttière princcipale) / tuyaux PVC  de  diamètre 100 mm (02  par salle de classe) y compris toutes sujétions pour évacuation des eaux pluviales de la gouttière principale jusqu'au sol </t>
  </si>
  <si>
    <t xml:space="preserve">Bardage en tôle acier galvanisé prélaqué (0,5 mm d'épaisseur) y compris toutes sujétions </t>
  </si>
  <si>
    <t>4.5</t>
  </si>
  <si>
    <t>Protection des tuyaux PVC en briques alvéolée / briques creuses</t>
  </si>
  <si>
    <t>4.6</t>
  </si>
  <si>
    <t xml:space="preserve">Support en béton armé (40 x 40 x 40) cm dosé à 350 kg/m3 pour  brique creuses </t>
  </si>
  <si>
    <t>4.7</t>
  </si>
  <si>
    <t>U</t>
  </si>
  <si>
    <t>Réceptacle infiltrant enterré pour eaux pluviales ( 60 x 60 x30) cm  y compris toutes sujétions (fouille; remplissage 80 cm en pierres puis 20 cm en sable;</t>
  </si>
  <si>
    <r>
      <t xml:space="preserve">Fenêtre à châssis métallique persiennée à lames orientables comportant 03 volets dont celui du milieu est fixe tandis que les deux extrémitées s'ouvrent à la française (FCMPF.01)  avec des cadres en double H de (180x120) cm, </t>
    </r>
    <r>
      <rPr>
        <sz val="11"/>
        <color theme="1"/>
        <rFont val="Times New Roman"/>
        <family val="1"/>
      </rPr>
      <t xml:space="preserve">Epaisseur de tôle en 10/12 </t>
    </r>
    <r>
      <rPr>
        <sz val="11"/>
        <color rgb="FF000000"/>
        <rFont val="Times New Roman"/>
        <family val="1"/>
      </rPr>
      <t>compris antirouille, câle de fenêtres et  toutes sujétions</t>
    </r>
  </si>
  <si>
    <t>Main courante / garde fou suivant plan (hauteur = 60 cm) en tube rond galvanisé de diamètre 25 mm (espacé dans le sens vertical de 15 cm axe en axe) et de diamètre 32 mm (espacé dans le sens horizontal de 20 cm axe en axe)</t>
  </si>
  <si>
    <t>Peinture vinylique 2 couches sur murs intérieurs y compris toutes sujétions</t>
  </si>
  <si>
    <t>Peinture faume sur murs intérieurs y compris toutes sujétions</t>
  </si>
  <si>
    <t>Béton armé dosé à 350 kg/m3 pour poteaux avec des HA10 et des cadres en HA 6 espacé de 15 cm</t>
  </si>
  <si>
    <t>Enduit  tyrolien sur murs extérieurs (ancienne maçonnerie + nouvelle maçonnerie), teinte au choix du maître d'ouvrage</t>
  </si>
  <si>
    <r>
      <t xml:space="preserve">Fenêtre à châssis métallique persiennée à lames orientables comportant 03 volets dont celui du milieu est fixe tandis que les deux extrémitées s'ouvrent à la française (FCMPF.01)  avec des cadres en double H de (180x120) cm, </t>
    </r>
    <r>
      <rPr>
        <sz val="11"/>
        <color theme="1"/>
        <rFont val="Times New Roman"/>
        <family val="1"/>
      </rPr>
      <t>Epaisseur de tôle en 10/12</t>
    </r>
    <r>
      <rPr>
        <sz val="11"/>
        <color rgb="FF000000"/>
        <rFont val="Times New Roman"/>
        <family val="1"/>
      </rPr>
      <t xml:space="preserve"> compris antirouille, câle de fenêtres et  toutes sujétions</t>
    </r>
  </si>
  <si>
    <t>3.13</t>
  </si>
  <si>
    <t>Réceptacle infiltrant enterré pour eaux pluviales ( 60 x 60 x 120) cm  y compris toutes sujétions (fouille; remplissage 80 cm en pierres puis 20 cm en sable;</t>
  </si>
  <si>
    <r>
      <t>Fenêtre à châssis métallique persiennée à lames orientables comportant 03 volets dont celui du milieu est fixe tandis que les deux extrémitées s'ouvrent à la française (FCMPF.01)  avec des cadres en double H de (180x120) cm, é</t>
    </r>
    <r>
      <rPr>
        <sz val="11"/>
        <color theme="1"/>
        <rFont val="Times New Roman"/>
        <family val="1"/>
      </rPr>
      <t>paisseur de tôle en 10/12</t>
    </r>
    <r>
      <rPr>
        <sz val="11"/>
        <color rgb="FF000000"/>
        <rFont val="Times New Roman"/>
        <family val="1"/>
      </rPr>
      <t xml:space="preserve"> y compris antirouille, câle de fenêtres et  toutes sujétions</t>
    </r>
  </si>
  <si>
    <r>
      <t xml:space="preserve">Réceptacle infiltrant enterré pour eaux pluviales ( 60 x 60 x 30 </t>
    </r>
    <r>
      <rPr>
        <strike/>
        <sz val="11"/>
        <color rgb="FFFF0000"/>
        <rFont val="Times New Roman"/>
        <family val="1"/>
      </rPr>
      <t>120</t>
    </r>
    <r>
      <rPr>
        <sz val="11"/>
        <color rgb="FF000000"/>
        <rFont val="Times New Roman"/>
        <family val="1"/>
      </rPr>
      <t>) cm  y compris toutes sujétions (fouille; remplissage 80 cm en pierres puis 20 cm en sable;</t>
    </r>
  </si>
  <si>
    <t>Réceptacle infiltrant enterré pour eaux pluviales ( 60 x 60 x 30) cm  y compris toutes sujétions (fouille; remplissage 80 cm en pierres puis 20 cm en 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</si>
</sst>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 &quot;CHF&quot;_-;\-* #,##0.00\ &quot;CHF&quot;_-;_-* &quot;-&quot;??\ &quot;CHF&quot;_-;_-@_-"/>
    <numFmt numFmtId="165" formatCode="0.000"/>
    <numFmt numFmtId="166" formatCode="_-* #,##0\ [$CFA-340C]_-;\-* #,##0\ [$CFA-340C]_-;_-* &quot;-&quot;??\ [$CFA-340C]_-;_-@_-"/>
    <numFmt numFmtId="167" formatCode="_-* #,##0.00\ [$€-40C]_-;\-* #,##0.00\ [$€-40C]_-;_-* &quot;-&quot;??\ [$€-40C]_-;_-@_-"/>
  </numFmts>
  <fonts count="17" x14ac:knownFonts="1">
    <font>
      <sz val="11"/>
      <color theme="1"/>
      <name val="Calibri"/>
      <family val="2"/>
      <scheme val="minor"/>
    </font>
    <font>
      <sz val="11"/>
      <color theme="1"/>
      <name val="Calibri"/>
      <family val="2"/>
      <scheme val="minor"/>
    </font>
    <font>
      <b/>
      <sz val="7"/>
      <color rgb="FF000000"/>
      <name val="Times New Roman"/>
      <family val="1"/>
    </font>
    <font>
      <b/>
      <sz val="11"/>
      <color theme="1"/>
      <name val="Times New Roman"/>
      <family val="1"/>
    </font>
    <font>
      <sz val="11"/>
      <color theme="1"/>
      <name val="Times New Roman"/>
      <family val="1"/>
    </font>
    <font>
      <b/>
      <sz val="11"/>
      <color rgb="FF000000"/>
      <name val="Times New Roman"/>
      <family val="1"/>
    </font>
    <font>
      <sz val="11"/>
      <color rgb="FF000000"/>
      <name val="Times New Roman"/>
      <family val="1"/>
    </font>
    <font>
      <sz val="11"/>
      <color rgb="FFFF0000"/>
      <name val="Times New Roman"/>
      <family val="1"/>
    </font>
    <font>
      <vertAlign val="superscript"/>
      <sz val="11"/>
      <color theme="1"/>
      <name val="Times New Roman"/>
      <family val="1"/>
    </font>
    <font>
      <vertAlign val="superscript"/>
      <sz val="11"/>
      <color rgb="FF000000"/>
      <name val="Times New Roman"/>
      <family val="1"/>
    </font>
    <font>
      <b/>
      <sz val="10"/>
      <color rgb="FF000000"/>
      <name val="Times New Roman"/>
      <family val="1"/>
    </font>
    <font>
      <b/>
      <sz val="11"/>
      <color theme="1"/>
      <name val="Calibri"/>
      <family val="2"/>
      <scheme val="minor"/>
    </font>
    <font>
      <b/>
      <sz val="14"/>
      <color theme="1"/>
      <name val="Calibri"/>
      <family val="2"/>
      <scheme val="minor"/>
    </font>
    <font>
      <b/>
      <sz val="12"/>
      <color theme="1"/>
      <name val="Calibri"/>
      <family val="2"/>
      <scheme val="minor"/>
    </font>
    <font>
      <strike/>
      <sz val="11"/>
      <color rgb="FFFF0000"/>
      <name val="Times New Roman"/>
      <family val="1"/>
    </font>
    <font>
      <sz val="8"/>
      <name val="Calibri"/>
      <family val="2"/>
      <scheme val="minor"/>
    </font>
    <font>
      <sz val="11"/>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1" fontId="1" fillId="0" borderId="0" applyFont="0" applyFill="0" applyBorder="0" applyAlignment="0" applyProtection="0"/>
  </cellStyleXfs>
  <cellXfs count="77">
    <xf numFmtId="0" fontId="0" fillId="0" borderId="0" xfId="0"/>
    <xf numFmtId="0" fontId="4" fillId="0" borderId="0" xfId="0" applyFont="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66" fontId="3" fillId="0" borderId="1" xfId="1" applyNumberFormat="1" applyFont="1" applyBorder="1" applyAlignment="1">
      <alignment horizontal="center" vertical="center" wrapText="1"/>
    </xf>
    <xf numFmtId="49" fontId="6" fillId="0" borderId="1" xfId="0" applyNumberFormat="1"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166" fontId="6" fillId="0" borderId="1" xfId="1" applyNumberFormat="1" applyFont="1" applyBorder="1" applyAlignment="1">
      <alignment horizontal="right" vertical="center"/>
    </xf>
    <xf numFmtId="0" fontId="6" fillId="0" borderId="1" xfId="0" applyFont="1" applyBorder="1" applyAlignment="1">
      <alignment horizontal="center" vertical="center" wrapText="1"/>
    </xf>
    <xf numFmtId="166" fontId="6" fillId="0" borderId="1" xfId="1" applyNumberFormat="1" applyFont="1" applyBorder="1" applyAlignment="1">
      <alignment horizontal="right" vertical="center" wrapText="1"/>
    </xf>
    <xf numFmtId="0" fontId="7" fillId="0" borderId="0" xfId="0" applyFont="1"/>
    <xf numFmtId="166" fontId="5" fillId="0" borderId="1" xfId="1" applyNumberFormat="1" applyFont="1" applyBorder="1" applyAlignment="1">
      <alignment horizontal="right" vertical="center"/>
    </xf>
    <xf numFmtId="49" fontId="6"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166" fontId="5" fillId="0" borderId="0" xfId="1" applyNumberFormat="1" applyFont="1" applyBorder="1" applyAlignment="1">
      <alignment horizontal="right" vertical="center" wrapText="1"/>
    </xf>
    <xf numFmtId="166" fontId="5" fillId="0" borderId="0" xfId="1" applyNumberFormat="1" applyFont="1" applyBorder="1" applyAlignment="1">
      <alignment horizontal="right" vertical="center"/>
    </xf>
    <xf numFmtId="166" fontId="5" fillId="0" borderId="1" xfId="1" applyNumberFormat="1" applyFont="1" applyBorder="1" applyAlignment="1">
      <alignment horizontal="center" vertical="center"/>
    </xf>
    <xf numFmtId="166" fontId="3" fillId="0" borderId="1" xfId="0" applyNumberFormat="1" applyFont="1" applyBorder="1" applyAlignment="1">
      <alignment horizontal="center" vertical="center"/>
    </xf>
    <xf numFmtId="0" fontId="5" fillId="0" borderId="1" xfId="0" applyFont="1" applyBorder="1" applyAlignment="1">
      <alignment horizontal="right" vertical="center" wrapText="1"/>
    </xf>
    <xf numFmtId="41" fontId="6" fillId="0" borderId="1" xfId="2"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167" fontId="0" fillId="0" borderId="0" xfId="0" applyNumberFormat="1"/>
    <xf numFmtId="166" fontId="12" fillId="0" borderId="1" xfId="0" applyNumberFormat="1" applyFont="1" applyBorder="1"/>
    <xf numFmtId="167" fontId="12" fillId="0" borderId="1" xfId="0" applyNumberFormat="1" applyFont="1" applyBorder="1"/>
    <xf numFmtId="165" fontId="6" fillId="0" borderId="1" xfId="0" applyNumberFormat="1" applyFont="1" applyBorder="1" applyAlignment="1">
      <alignment horizontal="center" vertical="center" wrapText="1"/>
    </xf>
    <xf numFmtId="0" fontId="7" fillId="0" borderId="0" xfId="0" applyFont="1" applyAlignment="1">
      <alignment vertical="top" wrapText="1"/>
    </xf>
    <xf numFmtId="49" fontId="4" fillId="0" borderId="1" xfId="0" applyNumberFormat="1" applyFont="1" applyBorder="1" applyAlignment="1">
      <alignment horizontal="left" vertical="center"/>
    </xf>
    <xf numFmtId="0" fontId="4" fillId="0" borderId="1" xfId="0" applyFont="1" applyBorder="1" applyAlignment="1">
      <alignment horizontal="left" vertical="center" wrapText="1"/>
    </xf>
    <xf numFmtId="166" fontId="4" fillId="0" borderId="1" xfId="1" applyNumberFormat="1" applyFont="1" applyBorder="1" applyAlignment="1">
      <alignment horizontal="right" vertical="center" wrapText="1"/>
    </xf>
    <xf numFmtId="0" fontId="4" fillId="0" borderId="0" xfId="0" applyFont="1" applyAlignment="1">
      <alignment wrapText="1"/>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166" fontId="4" fillId="0" borderId="1" xfId="1" applyNumberFormat="1" applyFont="1" applyBorder="1" applyAlignment="1">
      <alignment horizontal="right" vertical="center"/>
    </xf>
    <xf numFmtId="0" fontId="7" fillId="0" borderId="0" xfId="0" applyFont="1" applyAlignment="1">
      <alignment wrapText="1"/>
    </xf>
    <xf numFmtId="0" fontId="4" fillId="0" borderId="0" xfId="0" applyFont="1" applyAlignment="1">
      <alignment vertical="top" wrapText="1"/>
    </xf>
    <xf numFmtId="0" fontId="4" fillId="0" borderId="0" xfId="0" applyFont="1" applyAlignment="1">
      <alignment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66" fontId="6" fillId="2" borderId="1" xfId="1" applyNumberFormat="1" applyFont="1" applyFill="1" applyBorder="1" applyAlignment="1">
      <alignment horizontal="right" vertical="center"/>
    </xf>
    <xf numFmtId="0" fontId="4" fillId="0" borderId="0" xfId="0" applyFont="1" applyAlignment="1">
      <alignment horizontal="center" vertical="center"/>
    </xf>
    <xf numFmtId="166" fontId="4" fillId="0" borderId="1" xfId="1" applyNumberFormat="1" applyFont="1" applyFill="1" applyBorder="1" applyAlignment="1">
      <alignment horizontal="right" vertical="center"/>
    </xf>
    <xf numFmtId="166" fontId="7" fillId="0" borderId="1" xfId="1" applyNumberFormat="1" applyFont="1" applyFill="1" applyBorder="1" applyAlignment="1">
      <alignment horizontal="right" vertical="center"/>
    </xf>
    <xf numFmtId="0" fontId="4" fillId="0" borderId="0" xfId="0" applyFont="1" applyAlignment="1">
      <alignment horizontal="center"/>
    </xf>
    <xf numFmtId="166" fontId="4" fillId="0" borderId="0" xfId="1" applyNumberFormat="1" applyFont="1" applyAlignment="1">
      <alignment horizontal="right"/>
    </xf>
    <xf numFmtId="166" fontId="16" fillId="0" borderId="1" xfId="1" applyNumberFormat="1" applyFont="1" applyFill="1" applyBorder="1" applyAlignment="1">
      <alignment horizontal="right" vertical="center"/>
    </xf>
    <xf numFmtId="166" fontId="6" fillId="0" borderId="1" xfId="1" applyNumberFormat="1" applyFont="1" applyFill="1" applyBorder="1" applyAlignment="1">
      <alignment horizontal="right" vertical="center"/>
    </xf>
    <xf numFmtId="0" fontId="5" fillId="0" borderId="1" xfId="0" applyFont="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1" xfId="0" applyFont="1" applyBorder="1" applyAlignment="1">
      <alignment horizontal="center"/>
    </xf>
    <xf numFmtId="0" fontId="0" fillId="0" borderId="1" xfId="0" applyBorder="1" applyAlignment="1">
      <alignment horizont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cellXfs>
  <cellStyles count="3">
    <cellStyle name="Milliers [0]" xfId="2" builtinId="6"/>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DC1FA-CE42-4812-AA5C-052625463497}">
  <dimension ref="A2:H260"/>
  <sheetViews>
    <sheetView zoomScaleNormal="100" workbookViewId="0">
      <selection activeCell="F258" sqref="F258"/>
    </sheetView>
  </sheetViews>
  <sheetFormatPr baseColWidth="10" defaultRowHeight="14.4" x14ac:dyDescent="0.3"/>
  <cols>
    <col min="1" max="1" width="5.77734375" customWidth="1"/>
    <col min="2" max="2" width="41.6640625" customWidth="1"/>
    <col min="3" max="3" width="7.5546875" customWidth="1"/>
    <col min="4" max="4" width="9.44140625" customWidth="1"/>
    <col min="5" max="5" width="22" customWidth="1"/>
    <col min="6" max="6" width="21.5546875" customWidth="1"/>
    <col min="7" max="7" width="19.5546875" customWidth="1"/>
  </cols>
  <sheetData>
    <row r="2" spans="1:7" s="1" customFormat="1" ht="13.8" x14ac:dyDescent="0.25">
      <c r="A2" s="58" t="s">
        <v>149</v>
      </c>
      <c r="B2" s="58"/>
      <c r="C2" s="58"/>
      <c r="D2" s="58"/>
      <c r="E2" s="58"/>
      <c r="F2" s="58"/>
    </row>
    <row r="3" spans="1:7" s="1" customFormat="1" ht="13.8" x14ac:dyDescent="0.25">
      <c r="A3" s="19"/>
      <c r="B3" s="19"/>
      <c r="C3" s="19"/>
      <c r="D3" s="19"/>
      <c r="E3" s="19"/>
      <c r="F3" s="19"/>
    </row>
    <row r="4" spans="1:7" s="1" customFormat="1" ht="30" customHeight="1" x14ac:dyDescent="0.25">
      <c r="A4" s="59" t="s">
        <v>137</v>
      </c>
      <c r="B4" s="59"/>
      <c r="C4" s="59"/>
      <c r="D4" s="59"/>
      <c r="E4" s="59"/>
      <c r="F4" s="59"/>
    </row>
    <row r="5" spans="1:7" s="1" customFormat="1" ht="13.8" x14ac:dyDescent="0.25">
      <c r="A5" s="2" t="s">
        <v>0</v>
      </c>
      <c r="B5" s="3" t="s">
        <v>1</v>
      </c>
      <c r="C5" s="3" t="s">
        <v>2</v>
      </c>
      <c r="D5" s="3" t="s">
        <v>16</v>
      </c>
      <c r="E5" s="4" t="s">
        <v>81</v>
      </c>
      <c r="F5" s="4" t="s">
        <v>83</v>
      </c>
      <c r="G5" s="11"/>
    </row>
    <row r="6" spans="1:7" s="1" customFormat="1" ht="13.8" x14ac:dyDescent="0.25">
      <c r="A6" s="2">
        <v>1</v>
      </c>
      <c r="B6" s="57" t="s">
        <v>3</v>
      </c>
      <c r="C6" s="57"/>
      <c r="D6" s="57"/>
      <c r="E6" s="57"/>
      <c r="F6" s="57"/>
    </row>
    <row r="7" spans="1:7" s="1" customFormat="1" ht="41.4" x14ac:dyDescent="0.25">
      <c r="A7" s="5" t="s">
        <v>21</v>
      </c>
      <c r="B7" s="6" t="s">
        <v>64</v>
      </c>
      <c r="C7" s="9" t="s">
        <v>5</v>
      </c>
      <c r="D7" s="7">
        <v>1</v>
      </c>
      <c r="E7" s="8"/>
      <c r="F7" s="8">
        <f>+E7*D7</f>
        <v>0</v>
      </c>
    </row>
    <row r="8" spans="1:7" s="11" customFormat="1" ht="60" customHeight="1" x14ac:dyDescent="0.25">
      <c r="A8" s="5" t="s">
        <v>22</v>
      </c>
      <c r="B8" s="6" t="s">
        <v>54</v>
      </c>
      <c r="C8" s="9" t="s">
        <v>4</v>
      </c>
      <c r="D8" s="9">
        <f>0.3*1*17</f>
        <v>5.0999999999999996</v>
      </c>
      <c r="E8" s="10"/>
      <c r="F8" s="8">
        <f t="shared" ref="F8:F12" si="0">+E8*D8</f>
        <v>0</v>
      </c>
    </row>
    <row r="9" spans="1:7" s="11" customFormat="1" ht="30" customHeight="1" x14ac:dyDescent="0.25">
      <c r="A9" s="5" t="s">
        <v>23</v>
      </c>
      <c r="B9" s="6" t="s">
        <v>87</v>
      </c>
      <c r="C9" s="9" t="s">
        <v>5</v>
      </c>
      <c r="D9" s="9">
        <v>1</v>
      </c>
      <c r="E9" s="10"/>
      <c r="F9" s="8">
        <f t="shared" si="0"/>
        <v>0</v>
      </c>
    </row>
    <row r="10" spans="1:7" s="11" customFormat="1" ht="60.6" customHeight="1" x14ac:dyDescent="0.25">
      <c r="A10" s="5" t="s">
        <v>24</v>
      </c>
      <c r="B10" s="6" t="s">
        <v>138</v>
      </c>
      <c r="C10" s="15" t="s">
        <v>68</v>
      </c>
      <c r="D10" s="32">
        <f>((5.36+5.03*3.93)*0.4*0.4)*4</f>
        <v>16.081856000000002</v>
      </c>
      <c r="E10" s="10"/>
      <c r="F10" s="8">
        <f t="shared" si="0"/>
        <v>0</v>
      </c>
      <c r="G10" s="41"/>
    </row>
    <row r="11" spans="1:7" s="11" customFormat="1" ht="56.4" customHeight="1" x14ac:dyDescent="0.25">
      <c r="A11" s="5" t="s">
        <v>86</v>
      </c>
      <c r="B11" s="6" t="s">
        <v>6</v>
      </c>
      <c r="C11" s="15" t="s">
        <v>68</v>
      </c>
      <c r="D11" s="9">
        <f>3.2*1*0.45*4</f>
        <v>5.7600000000000007</v>
      </c>
      <c r="E11" s="10"/>
      <c r="F11" s="8">
        <f t="shared" si="0"/>
        <v>0</v>
      </c>
      <c r="G11" s="41"/>
    </row>
    <row r="12" spans="1:7" s="1" customFormat="1" ht="36.6" customHeight="1" x14ac:dyDescent="0.25">
      <c r="A12" s="34" t="s">
        <v>140</v>
      </c>
      <c r="B12" s="35" t="s">
        <v>147</v>
      </c>
      <c r="C12" s="9" t="s">
        <v>4</v>
      </c>
      <c r="D12" s="15">
        <f>(7*9)*2</f>
        <v>126</v>
      </c>
      <c r="E12" s="36"/>
      <c r="F12" s="8">
        <f t="shared" si="0"/>
        <v>0</v>
      </c>
    </row>
    <row r="13" spans="1:7" s="1" customFormat="1" ht="13.8" x14ac:dyDescent="0.25">
      <c r="A13" s="55" t="s">
        <v>17</v>
      </c>
      <c r="B13" s="55"/>
      <c r="C13" s="55"/>
      <c r="D13" s="55"/>
      <c r="E13" s="55"/>
      <c r="F13" s="12">
        <f>SUM(F7:F12)</f>
        <v>0</v>
      </c>
    </row>
    <row r="14" spans="1:7" s="1" customFormat="1" ht="13.8" x14ac:dyDescent="0.25">
      <c r="A14" s="2">
        <v>2</v>
      </c>
      <c r="B14" s="57" t="s">
        <v>7</v>
      </c>
      <c r="C14" s="57"/>
      <c r="D14" s="57"/>
      <c r="E14" s="57"/>
      <c r="F14" s="57"/>
    </row>
    <row r="15" spans="1:7" s="1" customFormat="1" ht="33" customHeight="1" x14ac:dyDescent="0.25">
      <c r="A15" s="13" t="s">
        <v>25</v>
      </c>
      <c r="B15" s="6" t="s">
        <v>57</v>
      </c>
      <c r="C15" s="15" t="s">
        <v>68</v>
      </c>
      <c r="D15" s="9">
        <f>5.2*0.4*0.05*4</f>
        <v>0.41600000000000004</v>
      </c>
      <c r="E15" s="8"/>
      <c r="F15" s="8">
        <f t="shared" ref="F15:F20" si="1">+E15*D15</f>
        <v>0</v>
      </c>
    </row>
    <row r="16" spans="1:7" s="1" customFormat="1" ht="41.4" customHeight="1" x14ac:dyDescent="0.25">
      <c r="A16" s="13" t="s">
        <v>26</v>
      </c>
      <c r="B16" s="6" t="s">
        <v>56</v>
      </c>
      <c r="C16" s="9" t="s">
        <v>4</v>
      </c>
      <c r="D16" s="9">
        <f>5.2*0.69*4</f>
        <v>14.351999999999999</v>
      </c>
      <c r="E16" s="8"/>
      <c r="F16" s="8">
        <f t="shared" si="1"/>
        <v>0</v>
      </c>
    </row>
    <row r="17" spans="1:6" s="1" customFormat="1" ht="34.799999999999997" customHeight="1" x14ac:dyDescent="0.25">
      <c r="A17" s="13" t="s">
        <v>27</v>
      </c>
      <c r="B17" s="6" t="s">
        <v>60</v>
      </c>
      <c r="C17" s="9" t="s">
        <v>69</v>
      </c>
      <c r="D17" s="7">
        <f>9.4*7.4*2</f>
        <v>139.12</v>
      </c>
      <c r="E17" s="8"/>
      <c r="F17" s="8">
        <f t="shared" si="1"/>
        <v>0</v>
      </c>
    </row>
    <row r="18" spans="1:6" s="1" customFormat="1" ht="87.6" customHeight="1" x14ac:dyDescent="0.25">
      <c r="A18" s="13" t="s">
        <v>28</v>
      </c>
      <c r="B18" s="6" t="s">
        <v>88</v>
      </c>
      <c r="C18" s="9" t="s">
        <v>70</v>
      </c>
      <c r="D18" s="7">
        <f>9*7*0.1*2</f>
        <v>12.600000000000001</v>
      </c>
      <c r="E18" s="8"/>
      <c r="F18" s="8">
        <f t="shared" si="1"/>
        <v>0</v>
      </c>
    </row>
    <row r="19" spans="1:6" s="1" customFormat="1" ht="88.8" customHeight="1" x14ac:dyDescent="0.25">
      <c r="A19" s="13" t="s">
        <v>29</v>
      </c>
      <c r="B19" s="6" t="s">
        <v>58</v>
      </c>
      <c r="C19" s="9" t="s">
        <v>70</v>
      </c>
      <c r="D19" s="7">
        <f>3.2*1*0.08*4</f>
        <v>1.024</v>
      </c>
      <c r="E19" s="8"/>
      <c r="F19" s="8">
        <f t="shared" si="1"/>
        <v>0</v>
      </c>
    </row>
    <row r="20" spans="1:6" s="1" customFormat="1" ht="75.599999999999994" customHeight="1" x14ac:dyDescent="0.25">
      <c r="A20" s="13" t="s">
        <v>30</v>
      </c>
      <c r="B20" s="6" t="s">
        <v>59</v>
      </c>
      <c r="C20" s="9" t="s">
        <v>70</v>
      </c>
      <c r="D20" s="14">
        <f>4*(((1.03*2)+(2.16*0.9))*0.45)/2</f>
        <v>3.6036000000000006</v>
      </c>
      <c r="E20" s="8"/>
      <c r="F20" s="8">
        <f t="shared" si="1"/>
        <v>0</v>
      </c>
    </row>
    <row r="21" spans="1:6" s="1" customFormat="1" ht="13.8" x14ac:dyDescent="0.25">
      <c r="A21" s="55" t="s">
        <v>18</v>
      </c>
      <c r="B21" s="55"/>
      <c r="C21" s="55"/>
      <c r="D21" s="55"/>
      <c r="E21" s="55"/>
      <c r="F21" s="12">
        <f>SUM(F15:F20)</f>
        <v>0</v>
      </c>
    </row>
    <row r="22" spans="1:6" s="1" customFormat="1" ht="13.8" x14ac:dyDescent="0.25">
      <c r="A22" s="2">
        <v>3</v>
      </c>
      <c r="B22" s="57" t="s">
        <v>8</v>
      </c>
      <c r="C22" s="57"/>
      <c r="D22" s="57"/>
      <c r="E22" s="57"/>
      <c r="F22" s="57"/>
    </row>
    <row r="23" spans="1:6" s="1" customFormat="1" ht="57" customHeight="1" x14ac:dyDescent="0.25">
      <c r="A23" s="13" t="s">
        <v>31</v>
      </c>
      <c r="B23" s="6" t="s">
        <v>71</v>
      </c>
      <c r="C23" s="9" t="s">
        <v>70</v>
      </c>
      <c r="D23" s="7">
        <f>17*0.15*0.15*4</f>
        <v>1.5299999999999998</v>
      </c>
      <c r="E23" s="8"/>
      <c r="F23" s="8">
        <f>+E23*D23</f>
        <v>0</v>
      </c>
    </row>
    <row r="24" spans="1:6" s="1" customFormat="1" ht="51.6" customHeight="1" x14ac:dyDescent="0.25">
      <c r="A24" s="13" t="s">
        <v>32</v>
      </c>
      <c r="B24" s="6" t="s">
        <v>72</v>
      </c>
      <c r="C24" s="9" t="s">
        <v>70</v>
      </c>
      <c r="D24" s="7">
        <f>58.05*0.15*0.2</f>
        <v>1.7415</v>
      </c>
      <c r="E24" s="8"/>
      <c r="F24" s="8">
        <f t="shared" ref="F24:F32" si="2">+E24*D24</f>
        <v>0</v>
      </c>
    </row>
    <row r="25" spans="1:6" s="1" customFormat="1" ht="51" customHeight="1" x14ac:dyDescent="0.25">
      <c r="A25" s="13" t="s">
        <v>33</v>
      </c>
      <c r="B25" s="6" t="s">
        <v>67</v>
      </c>
      <c r="C25" s="9" t="s">
        <v>69</v>
      </c>
      <c r="D25" s="7">
        <f>+((58.05*2.9)-((8*1.8*1.2)+(4*1.2*1.1)))</f>
        <v>145.785</v>
      </c>
      <c r="E25" s="8"/>
      <c r="F25" s="8">
        <f t="shared" si="2"/>
        <v>0</v>
      </c>
    </row>
    <row r="26" spans="1:6" s="1" customFormat="1" ht="49.2" customHeight="1" x14ac:dyDescent="0.25">
      <c r="A26" s="13" t="s">
        <v>34</v>
      </c>
      <c r="B26" s="6" t="s">
        <v>62</v>
      </c>
      <c r="C26" s="9" t="s">
        <v>69</v>
      </c>
      <c r="D26" s="7">
        <f>+D25+(7*2.9)</f>
        <v>166.08500000000001</v>
      </c>
      <c r="E26" s="8"/>
      <c r="F26" s="8">
        <f t="shared" si="2"/>
        <v>0</v>
      </c>
    </row>
    <row r="27" spans="1:6" s="1" customFormat="1" ht="41.4" customHeight="1" x14ac:dyDescent="0.25">
      <c r="A27" s="13" t="s">
        <v>35</v>
      </c>
      <c r="B27" s="6" t="s">
        <v>61</v>
      </c>
      <c r="C27" s="9" t="s">
        <v>69</v>
      </c>
      <c r="D27" s="7">
        <f>+D25-(7*2.9)</f>
        <v>125.485</v>
      </c>
      <c r="E27" s="8"/>
      <c r="F27" s="8">
        <f t="shared" si="2"/>
        <v>0</v>
      </c>
    </row>
    <row r="28" spans="1:6" s="1" customFormat="1" ht="42" customHeight="1" x14ac:dyDescent="0.25">
      <c r="A28" s="13" t="s">
        <v>36</v>
      </c>
      <c r="B28" s="6" t="s">
        <v>66</v>
      </c>
      <c r="C28" s="9" t="s">
        <v>69</v>
      </c>
      <c r="D28" s="7">
        <f>+((58.05*1.6)-((4*1.6*1.2)+(1.8*0.6*8)))</f>
        <v>76.56</v>
      </c>
      <c r="E28" s="8"/>
      <c r="F28" s="8">
        <f t="shared" si="2"/>
        <v>0</v>
      </c>
    </row>
    <row r="29" spans="1:6" s="1" customFormat="1" ht="51.6" customHeight="1" x14ac:dyDescent="0.25">
      <c r="A29" s="13" t="s">
        <v>37</v>
      </c>
      <c r="B29" s="6" t="s">
        <v>63</v>
      </c>
      <c r="C29" s="9" t="s">
        <v>69</v>
      </c>
      <c r="D29" s="7">
        <f>6*1.4*4</f>
        <v>33.599999999999994</v>
      </c>
      <c r="E29" s="8"/>
      <c r="F29" s="8">
        <f t="shared" si="2"/>
        <v>0</v>
      </c>
    </row>
    <row r="30" spans="1:6" s="1" customFormat="1" ht="27.6" x14ac:dyDescent="0.25">
      <c r="A30" s="13" t="s">
        <v>38</v>
      </c>
      <c r="B30" s="6" t="s">
        <v>173</v>
      </c>
      <c r="C30" s="9" t="s">
        <v>69</v>
      </c>
      <c r="D30" s="7">
        <f>+((50.9)-(1.2*2))*1</f>
        <v>48.5</v>
      </c>
      <c r="E30" s="8"/>
      <c r="F30" s="8">
        <f t="shared" si="2"/>
        <v>0</v>
      </c>
    </row>
    <row r="31" spans="1:6" s="1" customFormat="1" ht="40.799999999999997" customHeight="1" x14ac:dyDescent="0.25">
      <c r="A31" s="13" t="s">
        <v>39</v>
      </c>
      <c r="B31" s="6" t="s">
        <v>9</v>
      </c>
      <c r="C31" s="9" t="s">
        <v>69</v>
      </c>
      <c r="D31" s="7">
        <f>+D27</f>
        <v>125.485</v>
      </c>
      <c r="E31" s="8"/>
      <c r="F31" s="8">
        <f t="shared" si="2"/>
        <v>0</v>
      </c>
    </row>
    <row r="32" spans="1:6" s="1" customFormat="1" ht="27.6" customHeight="1" x14ac:dyDescent="0.25">
      <c r="A32" s="13" t="s">
        <v>40</v>
      </c>
      <c r="B32" s="6" t="s">
        <v>10</v>
      </c>
      <c r="C32" s="9" t="s">
        <v>11</v>
      </c>
      <c r="D32" s="7">
        <v>24</v>
      </c>
      <c r="E32" s="8"/>
      <c r="F32" s="8">
        <f t="shared" si="2"/>
        <v>0</v>
      </c>
    </row>
    <row r="33" spans="1:8" s="1" customFormat="1" ht="13.8" x14ac:dyDescent="0.25">
      <c r="A33" s="55" t="s">
        <v>19</v>
      </c>
      <c r="B33" s="55"/>
      <c r="C33" s="55"/>
      <c r="D33" s="55"/>
      <c r="E33" s="55"/>
      <c r="F33" s="12">
        <f>SUM(F23:F32)</f>
        <v>0</v>
      </c>
    </row>
    <row r="34" spans="1:8" s="1" customFormat="1" ht="13.8" x14ac:dyDescent="0.25">
      <c r="A34" s="2">
        <v>4</v>
      </c>
      <c r="B34" s="57" t="s">
        <v>12</v>
      </c>
      <c r="C34" s="57"/>
      <c r="D34" s="57"/>
      <c r="E34" s="57"/>
      <c r="F34" s="57"/>
    </row>
    <row r="35" spans="1:8" s="1" customFormat="1" ht="66.599999999999994" customHeight="1" x14ac:dyDescent="0.25">
      <c r="A35" s="13" t="s">
        <v>42</v>
      </c>
      <c r="B35" s="6" t="s">
        <v>174</v>
      </c>
      <c r="C35" s="9" t="s">
        <v>13</v>
      </c>
      <c r="D35" s="9">
        <f>9.7+9.15</f>
        <v>18.850000000000001</v>
      </c>
      <c r="E35" s="8"/>
      <c r="F35" s="8">
        <f t="shared" ref="F35:F41" si="3">+E35*D35</f>
        <v>0</v>
      </c>
    </row>
    <row r="36" spans="1:8" s="1" customFormat="1" ht="76.8" customHeight="1" x14ac:dyDescent="0.25">
      <c r="A36" s="13" t="s">
        <v>84</v>
      </c>
      <c r="B36" s="6" t="s">
        <v>175</v>
      </c>
      <c r="C36" s="9" t="s">
        <v>13</v>
      </c>
      <c r="D36" s="9">
        <f>(4*2)*2</f>
        <v>16</v>
      </c>
      <c r="E36" s="8"/>
      <c r="F36" s="8">
        <f t="shared" si="3"/>
        <v>0</v>
      </c>
      <c r="G36" s="33"/>
    </row>
    <row r="37" spans="1:8" s="1" customFormat="1" ht="43.5" customHeight="1" x14ac:dyDescent="0.25">
      <c r="A37" s="13" t="s">
        <v>85</v>
      </c>
      <c r="B37" s="6" t="s">
        <v>176</v>
      </c>
      <c r="C37" s="9" t="s">
        <v>13</v>
      </c>
      <c r="D37" s="7">
        <f>18.3+7.15*2</f>
        <v>32.6</v>
      </c>
      <c r="E37" s="8"/>
      <c r="F37" s="8">
        <f t="shared" si="3"/>
        <v>0</v>
      </c>
      <c r="G37" s="41"/>
      <c r="H37" s="37"/>
    </row>
    <row r="38" spans="1:8" s="1" customFormat="1" ht="43.8" customHeight="1" x14ac:dyDescent="0.25">
      <c r="A38" s="38" t="s">
        <v>143</v>
      </c>
      <c r="B38" s="35" t="s">
        <v>144</v>
      </c>
      <c r="C38" s="15" t="s">
        <v>148</v>
      </c>
      <c r="D38" s="39">
        <f>7*2*0.6</f>
        <v>8.4</v>
      </c>
      <c r="E38" s="40"/>
      <c r="F38" s="8">
        <f t="shared" si="3"/>
        <v>0</v>
      </c>
      <c r="G38" s="42"/>
    </row>
    <row r="39" spans="1:8" s="1" customFormat="1" ht="27.6" x14ac:dyDescent="0.25">
      <c r="A39" s="38" t="s">
        <v>177</v>
      </c>
      <c r="B39" s="6" t="s">
        <v>178</v>
      </c>
      <c r="C39" s="9" t="s">
        <v>69</v>
      </c>
      <c r="D39" s="7">
        <f>1.98*4*4</f>
        <v>31.68</v>
      </c>
      <c r="E39" s="50"/>
      <c r="F39" s="8">
        <f t="shared" si="3"/>
        <v>0</v>
      </c>
    </row>
    <row r="40" spans="1:8" s="1" customFormat="1" ht="27.6" x14ac:dyDescent="0.25">
      <c r="A40" s="38" t="s">
        <v>179</v>
      </c>
      <c r="B40" s="6" t="s">
        <v>180</v>
      </c>
      <c r="C40" s="9" t="s">
        <v>70</v>
      </c>
      <c r="D40" s="7">
        <f>0.4*0.4*0.4*4</f>
        <v>0.25600000000000006</v>
      </c>
      <c r="E40" s="40"/>
      <c r="F40" s="8">
        <f t="shared" si="3"/>
        <v>0</v>
      </c>
    </row>
    <row r="41" spans="1:8" s="1" customFormat="1" ht="55.2" x14ac:dyDescent="0.25">
      <c r="A41" s="38" t="s">
        <v>181</v>
      </c>
      <c r="B41" s="6" t="s">
        <v>183</v>
      </c>
      <c r="C41" s="9" t="s">
        <v>182</v>
      </c>
      <c r="D41" s="7">
        <v>4</v>
      </c>
      <c r="E41" s="49"/>
      <c r="F41" s="8">
        <f t="shared" si="3"/>
        <v>0</v>
      </c>
    </row>
    <row r="42" spans="1:8" s="1" customFormat="1" ht="13.8" x14ac:dyDescent="0.25">
      <c r="A42" s="55" t="s">
        <v>20</v>
      </c>
      <c r="B42" s="55"/>
      <c r="C42" s="55"/>
      <c r="D42" s="55"/>
      <c r="E42" s="55"/>
      <c r="F42" s="12">
        <f>SUM(F35:F41)</f>
        <v>0</v>
      </c>
    </row>
    <row r="43" spans="1:8" s="1" customFormat="1" ht="13.8" x14ac:dyDescent="0.25">
      <c r="A43" s="2">
        <v>5</v>
      </c>
      <c r="B43" s="57" t="s">
        <v>50</v>
      </c>
      <c r="C43" s="57"/>
      <c r="D43" s="57"/>
      <c r="E43" s="57"/>
      <c r="F43" s="57"/>
    </row>
    <row r="44" spans="1:8" s="1" customFormat="1" ht="81.599999999999994" customHeight="1" x14ac:dyDescent="0.25">
      <c r="A44" s="13" t="s">
        <v>43</v>
      </c>
      <c r="B44" s="6" t="s">
        <v>145</v>
      </c>
      <c r="C44" s="9" t="s">
        <v>11</v>
      </c>
      <c r="D44" s="7">
        <v>4</v>
      </c>
      <c r="E44" s="8"/>
      <c r="F44" s="8">
        <f>+E44*D44</f>
        <v>0</v>
      </c>
    </row>
    <row r="45" spans="1:8" s="1" customFormat="1" ht="96.6" x14ac:dyDescent="0.25">
      <c r="A45" s="13" t="s">
        <v>44</v>
      </c>
      <c r="B45" s="6" t="s">
        <v>184</v>
      </c>
      <c r="C45" s="9" t="s">
        <v>11</v>
      </c>
      <c r="D45" s="7">
        <v>8</v>
      </c>
      <c r="E45" s="8"/>
      <c r="F45" s="8">
        <f t="shared" ref="F45" si="4">+E45*D45</f>
        <v>0</v>
      </c>
    </row>
    <row r="46" spans="1:8" s="1" customFormat="1" ht="107.25" customHeight="1" x14ac:dyDescent="0.25">
      <c r="A46" s="13" t="s">
        <v>45</v>
      </c>
      <c r="B46" s="6" t="s">
        <v>185</v>
      </c>
      <c r="C46" s="9" t="s">
        <v>13</v>
      </c>
      <c r="D46" s="7">
        <f>4*(((2.05*2)+1.1)*3)+(0.6*34)</f>
        <v>82.799999999999983</v>
      </c>
      <c r="E46" s="8"/>
      <c r="F46" s="8">
        <f>+E46*D46</f>
        <v>0</v>
      </c>
      <c r="G46" s="41"/>
    </row>
    <row r="47" spans="1:8" s="1" customFormat="1" ht="13.8" x14ac:dyDescent="0.25">
      <c r="A47" s="55" t="s">
        <v>51</v>
      </c>
      <c r="B47" s="55"/>
      <c r="C47" s="55"/>
      <c r="D47" s="55"/>
      <c r="E47" s="55"/>
      <c r="F47" s="12">
        <f>SUM(F44:F46)</f>
        <v>0</v>
      </c>
    </row>
    <row r="48" spans="1:8" s="1" customFormat="1" ht="13.8" x14ac:dyDescent="0.25">
      <c r="A48" s="2">
        <v>6</v>
      </c>
      <c r="B48" s="57" t="s">
        <v>14</v>
      </c>
      <c r="C48" s="57"/>
      <c r="D48" s="57"/>
      <c r="E48" s="57"/>
      <c r="F48" s="57"/>
    </row>
    <row r="49" spans="1:7" s="1" customFormat="1" ht="35.4" customHeight="1" x14ac:dyDescent="0.25">
      <c r="A49" s="13" t="s">
        <v>46</v>
      </c>
      <c r="B49" s="6" t="s">
        <v>15</v>
      </c>
      <c r="C49" s="9" t="s">
        <v>69</v>
      </c>
      <c r="D49" s="7">
        <f>2*((4*1.2*2.2)+(8*1.8*1.2))</f>
        <v>55.680000000000007</v>
      </c>
      <c r="E49" s="8"/>
      <c r="F49" s="8">
        <f t="shared" ref="F49:F52" si="5">+E49*D49</f>
        <v>0</v>
      </c>
    </row>
    <row r="50" spans="1:7" s="1" customFormat="1" ht="35.4" customHeight="1" x14ac:dyDescent="0.25">
      <c r="A50" s="13" t="s">
        <v>47</v>
      </c>
      <c r="B50" s="6" t="s">
        <v>187</v>
      </c>
      <c r="C50" s="9" t="s">
        <v>69</v>
      </c>
      <c r="D50" s="7">
        <v>127.8</v>
      </c>
      <c r="E50" s="8"/>
      <c r="F50" s="8"/>
    </row>
    <row r="51" spans="1:7" s="1" customFormat="1" ht="39" customHeight="1" x14ac:dyDescent="0.25">
      <c r="A51" s="13" t="s">
        <v>48</v>
      </c>
      <c r="B51" s="6" t="s">
        <v>186</v>
      </c>
      <c r="C51" s="9" t="s">
        <v>69</v>
      </c>
      <c r="D51" s="7">
        <f>+(58.05*2.4)-((4*1.2*0.6)+(8*1.8*0.6))</f>
        <v>127.8</v>
      </c>
      <c r="E51" s="8"/>
      <c r="F51" s="8">
        <f t="shared" si="5"/>
        <v>0</v>
      </c>
      <c r="G51" s="41"/>
    </row>
    <row r="52" spans="1:7" s="1" customFormat="1" ht="36" customHeight="1" x14ac:dyDescent="0.25">
      <c r="A52" s="13" t="s">
        <v>49</v>
      </c>
      <c r="B52" s="6" t="s">
        <v>52</v>
      </c>
      <c r="C52" s="9" t="s">
        <v>69</v>
      </c>
      <c r="D52" s="7">
        <f>6*1.4*4</f>
        <v>33.599999999999994</v>
      </c>
      <c r="E52" s="8"/>
      <c r="F52" s="8">
        <f t="shared" si="5"/>
        <v>0</v>
      </c>
    </row>
    <row r="53" spans="1:7" s="1" customFormat="1" ht="13.8" x14ac:dyDescent="0.25">
      <c r="A53" s="55" t="s">
        <v>53</v>
      </c>
      <c r="B53" s="55"/>
      <c r="C53" s="55"/>
      <c r="D53" s="55"/>
      <c r="E53" s="55"/>
      <c r="F53" s="12">
        <f>SUM(F49:F52)</f>
        <v>0</v>
      </c>
    </row>
    <row r="54" spans="1:7" s="1" customFormat="1" ht="13.8" x14ac:dyDescent="0.25">
      <c r="A54" s="2">
        <v>7</v>
      </c>
      <c r="B54" s="57" t="s">
        <v>91</v>
      </c>
      <c r="C54" s="57"/>
      <c r="D54" s="57"/>
      <c r="E54" s="57"/>
      <c r="F54" s="57"/>
    </row>
    <row r="55" spans="1:7" s="1" customFormat="1" ht="27.6" x14ac:dyDescent="0.25">
      <c r="A55" s="25" t="s">
        <v>92</v>
      </c>
      <c r="B55" s="6" t="s">
        <v>93</v>
      </c>
      <c r="C55" s="9" t="s">
        <v>11</v>
      </c>
      <c r="D55" s="9">
        <v>100</v>
      </c>
      <c r="E55" s="26"/>
      <c r="F55" s="8">
        <f>D55*E55</f>
        <v>0</v>
      </c>
    </row>
    <row r="56" spans="1:7" s="1" customFormat="1" ht="13.8" x14ac:dyDescent="0.25">
      <c r="A56" s="55" t="s">
        <v>94</v>
      </c>
      <c r="B56" s="55"/>
      <c r="C56" s="55"/>
      <c r="D56" s="55"/>
      <c r="E56" s="55"/>
      <c r="F56" s="12">
        <f>F55</f>
        <v>0</v>
      </c>
    </row>
    <row r="57" spans="1:7" s="1" customFormat="1" ht="13.8" x14ac:dyDescent="0.25">
      <c r="A57" s="56" t="s">
        <v>75</v>
      </c>
      <c r="B57" s="56"/>
      <c r="C57" s="56"/>
      <c r="D57" s="56"/>
      <c r="E57" s="56"/>
      <c r="F57" s="23">
        <f>SUM(F56,F53,F47,F42,F33,F21,F13)</f>
        <v>0</v>
      </c>
    </row>
    <row r="58" spans="1:7" s="1" customFormat="1" ht="13.8" x14ac:dyDescent="0.25">
      <c r="A58" s="56" t="s">
        <v>76</v>
      </c>
      <c r="B58" s="56"/>
      <c r="C58" s="56"/>
      <c r="D58" s="56"/>
      <c r="E58" s="56"/>
      <c r="F58" s="23">
        <f>+F57*0.18</f>
        <v>0</v>
      </c>
    </row>
    <row r="59" spans="1:7" s="1" customFormat="1" ht="13.8" x14ac:dyDescent="0.25">
      <c r="A59" s="56" t="s">
        <v>77</v>
      </c>
      <c r="B59" s="56"/>
      <c r="C59" s="56"/>
      <c r="D59" s="56"/>
      <c r="E59" s="56"/>
      <c r="F59" s="23">
        <f>+F57+F58</f>
        <v>0</v>
      </c>
    </row>
    <row r="63" spans="1:7" s="1" customFormat="1" ht="33.6" customHeight="1" x14ac:dyDescent="0.25">
      <c r="A63" s="58" t="s">
        <v>151</v>
      </c>
      <c r="B63" s="58"/>
      <c r="C63" s="58"/>
      <c r="D63" s="58"/>
      <c r="E63" s="58"/>
      <c r="F63" s="58"/>
    </row>
    <row r="64" spans="1:7" s="1" customFormat="1" ht="13.8" x14ac:dyDescent="0.25">
      <c r="A64" s="19"/>
      <c r="B64" s="19"/>
      <c r="C64" s="19"/>
      <c r="D64" s="19"/>
      <c r="E64" s="19"/>
      <c r="F64" s="19"/>
    </row>
    <row r="65" spans="1:7" s="1" customFormat="1" ht="38.25" customHeight="1" x14ac:dyDescent="0.25">
      <c r="A65" s="59" t="s">
        <v>152</v>
      </c>
      <c r="B65" s="59"/>
      <c r="C65" s="59"/>
      <c r="D65" s="59"/>
      <c r="E65" s="59"/>
      <c r="F65" s="59"/>
    </row>
    <row r="66" spans="1:7" s="1" customFormat="1" ht="13.8" x14ac:dyDescent="0.25">
      <c r="A66" s="2" t="s">
        <v>0</v>
      </c>
      <c r="B66" s="3" t="s">
        <v>1</v>
      </c>
      <c r="C66" s="3" t="s">
        <v>2</v>
      </c>
      <c r="D66" s="3" t="s">
        <v>16</v>
      </c>
      <c r="E66" s="4" t="s">
        <v>81</v>
      </c>
      <c r="F66" s="4" t="s">
        <v>82</v>
      </c>
      <c r="G66" s="11"/>
    </row>
    <row r="67" spans="1:7" s="1" customFormat="1" ht="13.8" x14ac:dyDescent="0.25">
      <c r="A67" s="2">
        <v>1</v>
      </c>
      <c r="B67" s="57" t="s">
        <v>3</v>
      </c>
      <c r="C67" s="57"/>
      <c r="D67" s="57"/>
      <c r="E67" s="57"/>
      <c r="F67" s="57"/>
    </row>
    <row r="68" spans="1:7" s="1" customFormat="1" ht="13.8" x14ac:dyDescent="0.25">
      <c r="A68" s="5" t="s">
        <v>21</v>
      </c>
      <c r="B68" s="6" t="s">
        <v>64</v>
      </c>
      <c r="C68" s="9" t="s">
        <v>5</v>
      </c>
      <c r="D68" s="7">
        <v>1</v>
      </c>
      <c r="E68" s="8"/>
      <c r="F68" s="8">
        <f t="shared" ref="F68:F73" si="6">+E68*D68</f>
        <v>0</v>
      </c>
    </row>
    <row r="69" spans="1:7" s="11" customFormat="1" ht="41.4" x14ac:dyDescent="0.25">
      <c r="A69" s="5" t="s">
        <v>22</v>
      </c>
      <c r="B69" s="6" t="s">
        <v>54</v>
      </c>
      <c r="C69" s="9" t="s">
        <v>4</v>
      </c>
      <c r="D69" s="9">
        <f>0.3*1*10</f>
        <v>3</v>
      </c>
      <c r="E69" s="10"/>
      <c r="F69" s="8">
        <f t="shared" si="6"/>
        <v>0</v>
      </c>
    </row>
    <row r="70" spans="1:7" s="11" customFormat="1" ht="27.6" x14ac:dyDescent="0.25">
      <c r="A70" s="5" t="s">
        <v>23</v>
      </c>
      <c r="B70" s="6" t="s">
        <v>87</v>
      </c>
      <c r="C70" s="9" t="s">
        <v>5</v>
      </c>
      <c r="D70" s="9">
        <v>1</v>
      </c>
      <c r="E70" s="10"/>
      <c r="F70" s="8">
        <f t="shared" si="6"/>
        <v>0</v>
      </c>
    </row>
    <row r="71" spans="1:7" s="11" customFormat="1" ht="65.25" customHeight="1" x14ac:dyDescent="0.25">
      <c r="A71" s="5" t="s">
        <v>24</v>
      </c>
      <c r="B71" s="6" t="s">
        <v>138</v>
      </c>
      <c r="C71" s="15" t="s">
        <v>68</v>
      </c>
      <c r="D71" s="32">
        <f>((5.36+5.03*3.93)*0.4*0.4)*2</f>
        <v>8.040928000000001</v>
      </c>
      <c r="E71" s="10"/>
      <c r="F71" s="8">
        <f t="shared" si="6"/>
        <v>0</v>
      </c>
      <c r="G71" s="41"/>
    </row>
    <row r="72" spans="1:7" s="11" customFormat="1" ht="57.6" customHeight="1" x14ac:dyDescent="0.25">
      <c r="A72" s="5" t="s">
        <v>86</v>
      </c>
      <c r="B72" s="6" t="s">
        <v>6</v>
      </c>
      <c r="C72" s="15" t="s">
        <v>68</v>
      </c>
      <c r="D72" s="9">
        <f>3.2*1*0.45*2</f>
        <v>2.8800000000000003</v>
      </c>
      <c r="E72" s="10"/>
      <c r="F72" s="8">
        <f t="shared" si="6"/>
        <v>0</v>
      </c>
      <c r="G72" s="41"/>
    </row>
    <row r="73" spans="1:7" s="11" customFormat="1" ht="27.6" x14ac:dyDescent="0.25">
      <c r="A73" s="34" t="s">
        <v>140</v>
      </c>
      <c r="B73" s="35" t="s">
        <v>147</v>
      </c>
      <c r="C73" s="15" t="s">
        <v>148</v>
      </c>
      <c r="D73" s="15">
        <f>9*7</f>
        <v>63</v>
      </c>
      <c r="E73" s="36"/>
      <c r="F73" s="8">
        <f t="shared" si="6"/>
        <v>0</v>
      </c>
      <c r="G73" s="41"/>
    </row>
    <row r="74" spans="1:7" s="1" customFormat="1" ht="13.8" x14ac:dyDescent="0.25">
      <c r="A74" s="55" t="s">
        <v>17</v>
      </c>
      <c r="B74" s="55"/>
      <c r="C74" s="55"/>
      <c r="D74" s="55"/>
      <c r="E74" s="55"/>
      <c r="F74" s="12">
        <f>SUM(F68:F73)</f>
        <v>0</v>
      </c>
    </row>
    <row r="75" spans="1:7" s="1" customFormat="1" ht="13.8" x14ac:dyDescent="0.25">
      <c r="A75" s="2">
        <v>2</v>
      </c>
      <c r="B75" s="57" t="s">
        <v>7</v>
      </c>
      <c r="C75" s="57"/>
      <c r="D75" s="57"/>
      <c r="E75" s="57"/>
      <c r="F75" s="57"/>
    </row>
    <row r="76" spans="1:7" s="1" customFormat="1" ht="16.8" x14ac:dyDescent="0.25">
      <c r="A76" s="13" t="s">
        <v>25</v>
      </c>
      <c r="B76" s="6" t="s">
        <v>57</v>
      </c>
      <c r="C76" s="15" t="s">
        <v>68</v>
      </c>
      <c r="D76" s="9">
        <f>5.2*0.4*0.05*2</f>
        <v>0.20800000000000002</v>
      </c>
      <c r="E76" s="8"/>
      <c r="F76" s="8">
        <f t="shared" ref="F76:F81" si="7">+E76*D76</f>
        <v>0</v>
      </c>
    </row>
    <row r="77" spans="1:7" s="1" customFormat="1" ht="27.6" x14ac:dyDescent="0.25">
      <c r="A77" s="13" t="s">
        <v>26</v>
      </c>
      <c r="B77" s="6" t="s">
        <v>56</v>
      </c>
      <c r="C77" s="9" t="s">
        <v>4</v>
      </c>
      <c r="D77" s="9">
        <f>5.2*0.69*2</f>
        <v>7.1759999999999993</v>
      </c>
      <c r="E77" s="8"/>
      <c r="F77" s="8">
        <f t="shared" si="7"/>
        <v>0</v>
      </c>
    </row>
    <row r="78" spans="1:7" s="1" customFormat="1" ht="27.6" x14ac:dyDescent="0.25">
      <c r="A78" s="13" t="s">
        <v>27</v>
      </c>
      <c r="B78" s="6" t="s">
        <v>60</v>
      </c>
      <c r="C78" s="9" t="s">
        <v>69</v>
      </c>
      <c r="D78" s="7">
        <f>9.4*7.4</f>
        <v>69.56</v>
      </c>
      <c r="E78" s="8"/>
      <c r="F78" s="8">
        <f t="shared" si="7"/>
        <v>0</v>
      </c>
    </row>
    <row r="79" spans="1:7" s="1" customFormat="1" ht="69" x14ac:dyDescent="0.25">
      <c r="A79" s="13" t="s">
        <v>28</v>
      </c>
      <c r="B79" s="6" t="s">
        <v>88</v>
      </c>
      <c r="C79" s="9" t="s">
        <v>70</v>
      </c>
      <c r="D79" s="7">
        <f>9*7*0.1</f>
        <v>6.3000000000000007</v>
      </c>
      <c r="E79" s="8"/>
      <c r="F79" s="8">
        <f t="shared" si="7"/>
        <v>0</v>
      </c>
    </row>
    <row r="80" spans="1:7" s="1" customFormat="1" ht="69" x14ac:dyDescent="0.25">
      <c r="A80" s="13" t="s">
        <v>29</v>
      </c>
      <c r="B80" s="6" t="s">
        <v>58</v>
      </c>
      <c r="C80" s="9" t="s">
        <v>70</v>
      </c>
      <c r="D80" s="7">
        <f>3.2*1*0.08*2</f>
        <v>0.51200000000000001</v>
      </c>
      <c r="E80" s="8"/>
      <c r="F80" s="8">
        <f t="shared" si="7"/>
        <v>0</v>
      </c>
    </row>
    <row r="81" spans="1:6" s="1" customFormat="1" ht="55.2" x14ac:dyDescent="0.25">
      <c r="A81" s="13" t="s">
        <v>30</v>
      </c>
      <c r="B81" s="6" t="s">
        <v>59</v>
      </c>
      <c r="C81" s="9" t="s">
        <v>70</v>
      </c>
      <c r="D81" s="14">
        <f>2*(((1.03*2)+(2.16*0.9))*0.45)/2</f>
        <v>1.8018000000000003</v>
      </c>
      <c r="E81" s="8"/>
      <c r="F81" s="8">
        <f t="shared" si="7"/>
        <v>0</v>
      </c>
    </row>
    <row r="82" spans="1:6" s="1" customFormat="1" ht="13.8" x14ac:dyDescent="0.25">
      <c r="A82" s="55" t="s">
        <v>18</v>
      </c>
      <c r="B82" s="55"/>
      <c r="C82" s="55"/>
      <c r="D82" s="55"/>
      <c r="E82" s="55"/>
      <c r="F82" s="12">
        <f>SUM(F76:F81)</f>
        <v>0</v>
      </c>
    </row>
    <row r="83" spans="1:6" s="1" customFormat="1" ht="13.8" x14ac:dyDescent="0.25">
      <c r="A83" s="2">
        <v>3</v>
      </c>
      <c r="B83" s="57" t="s">
        <v>8</v>
      </c>
      <c r="C83" s="57"/>
      <c r="D83" s="57"/>
      <c r="E83" s="57"/>
      <c r="F83" s="57"/>
    </row>
    <row r="84" spans="1:6" s="1" customFormat="1" ht="45" customHeight="1" x14ac:dyDescent="0.25">
      <c r="A84" s="13" t="s">
        <v>31</v>
      </c>
      <c r="B84" s="6" t="s">
        <v>188</v>
      </c>
      <c r="C84" s="9" t="s">
        <v>70</v>
      </c>
      <c r="D84" s="7">
        <f>10*0.15*0.15*4</f>
        <v>0.89999999999999991</v>
      </c>
      <c r="E84" s="8"/>
      <c r="F84" s="8">
        <f t="shared" ref="F84:F93" si="8">+E84*D84</f>
        <v>0</v>
      </c>
    </row>
    <row r="85" spans="1:6" s="1" customFormat="1" ht="44.4" x14ac:dyDescent="0.25">
      <c r="A85" s="13" t="s">
        <v>32</v>
      </c>
      <c r="B85" s="6" t="s">
        <v>72</v>
      </c>
      <c r="C85" s="9" t="s">
        <v>70</v>
      </c>
      <c r="D85" s="7">
        <f>32.6*0.15*0.2</f>
        <v>0.97799999999999998</v>
      </c>
      <c r="E85" s="8"/>
      <c r="F85" s="8">
        <f t="shared" si="8"/>
        <v>0</v>
      </c>
    </row>
    <row r="86" spans="1:6" s="1" customFormat="1" ht="27.6" x14ac:dyDescent="0.25">
      <c r="A86" s="13" t="s">
        <v>33</v>
      </c>
      <c r="B86" s="6" t="s">
        <v>65</v>
      </c>
      <c r="C86" s="9" t="s">
        <v>69</v>
      </c>
      <c r="D86" s="7">
        <f>+((32.6*2.9)-((4*1.8*1.2)+(2*1.2*1.1)))</f>
        <v>83.26</v>
      </c>
      <c r="E86" s="8"/>
      <c r="F86" s="8">
        <f t="shared" si="8"/>
        <v>0</v>
      </c>
    </row>
    <row r="87" spans="1:6" s="1" customFormat="1" ht="41.4" x14ac:dyDescent="0.25">
      <c r="A87" s="13" t="s">
        <v>34</v>
      </c>
      <c r="B87" s="6" t="s">
        <v>62</v>
      </c>
      <c r="C87" s="9" t="s">
        <v>69</v>
      </c>
      <c r="D87" s="7">
        <f>+D86</f>
        <v>83.26</v>
      </c>
      <c r="E87" s="8"/>
      <c r="F87" s="8">
        <f t="shared" si="8"/>
        <v>0</v>
      </c>
    </row>
    <row r="88" spans="1:6" s="1" customFormat="1" ht="27.6" x14ac:dyDescent="0.25">
      <c r="A88" s="13" t="s">
        <v>35</v>
      </c>
      <c r="B88" s="6" t="s">
        <v>61</v>
      </c>
      <c r="C88" s="9" t="s">
        <v>69</v>
      </c>
      <c r="D88" s="7">
        <f>+D86</f>
        <v>83.26</v>
      </c>
      <c r="E88" s="8"/>
      <c r="F88" s="8">
        <f t="shared" si="8"/>
        <v>0</v>
      </c>
    </row>
    <row r="89" spans="1:6" s="1" customFormat="1" ht="27.6" x14ac:dyDescent="0.25">
      <c r="A89" s="13" t="s">
        <v>36</v>
      </c>
      <c r="B89" s="6" t="s">
        <v>66</v>
      </c>
      <c r="C89" s="9" t="s">
        <v>69</v>
      </c>
      <c r="D89" s="7">
        <f>+((32.6*1.6)-((2*1.6*1.2)+(1.8*0.6*4)))</f>
        <v>44</v>
      </c>
      <c r="E89" s="8"/>
      <c r="F89" s="8">
        <f t="shared" si="8"/>
        <v>0</v>
      </c>
    </row>
    <row r="90" spans="1:6" s="1" customFormat="1" ht="27.6" x14ac:dyDescent="0.25">
      <c r="A90" s="13" t="s">
        <v>37</v>
      </c>
      <c r="B90" s="6" t="s">
        <v>63</v>
      </c>
      <c r="C90" s="9" t="s">
        <v>69</v>
      </c>
      <c r="D90" s="7">
        <f>6*1.4*2</f>
        <v>16.799999999999997</v>
      </c>
      <c r="E90" s="8"/>
      <c r="F90" s="8">
        <f t="shared" si="8"/>
        <v>0</v>
      </c>
    </row>
    <row r="91" spans="1:6" s="1" customFormat="1" ht="27.6" x14ac:dyDescent="0.25">
      <c r="A91" s="13" t="s">
        <v>38</v>
      </c>
      <c r="B91" s="6" t="s">
        <v>173</v>
      </c>
      <c r="C91" s="9" t="s">
        <v>69</v>
      </c>
      <c r="D91" s="7">
        <v>31.4</v>
      </c>
      <c r="E91" s="8"/>
      <c r="F91" s="8">
        <f t="shared" si="8"/>
        <v>0</v>
      </c>
    </row>
    <row r="92" spans="1:6" s="1" customFormat="1" ht="39.6" customHeight="1" x14ac:dyDescent="0.25">
      <c r="A92" s="13" t="s">
        <v>39</v>
      </c>
      <c r="B92" s="6" t="s">
        <v>189</v>
      </c>
      <c r="C92" s="9" t="s">
        <v>69</v>
      </c>
      <c r="D92" s="7">
        <v>114.66</v>
      </c>
      <c r="E92" s="8"/>
      <c r="F92" s="8">
        <f>+E92*D92</f>
        <v>0</v>
      </c>
    </row>
    <row r="93" spans="1:6" s="1" customFormat="1" ht="13.8" x14ac:dyDescent="0.25">
      <c r="A93" s="13" t="s">
        <v>40</v>
      </c>
      <c r="B93" s="6" t="s">
        <v>10</v>
      </c>
      <c r="C93" s="9" t="s">
        <v>11</v>
      </c>
      <c r="D93" s="7">
        <v>12</v>
      </c>
      <c r="E93" s="8"/>
      <c r="F93" s="8">
        <f t="shared" si="8"/>
        <v>0</v>
      </c>
    </row>
    <row r="94" spans="1:6" s="1" customFormat="1" ht="13.8" x14ac:dyDescent="0.25">
      <c r="A94" s="55" t="s">
        <v>19</v>
      </c>
      <c r="B94" s="55"/>
      <c r="C94" s="55"/>
      <c r="D94" s="55"/>
      <c r="E94" s="55"/>
      <c r="F94" s="12">
        <f>SUM(F84:F93)</f>
        <v>0</v>
      </c>
    </row>
    <row r="95" spans="1:6" s="1" customFormat="1" ht="13.8" x14ac:dyDescent="0.25">
      <c r="A95" s="2">
        <v>4</v>
      </c>
      <c r="B95" s="57" t="s">
        <v>12</v>
      </c>
      <c r="C95" s="57"/>
      <c r="D95" s="57"/>
      <c r="E95" s="57"/>
      <c r="F95" s="57"/>
    </row>
    <row r="96" spans="1:6" s="1" customFormat="1" ht="55.2" x14ac:dyDescent="0.25">
      <c r="A96" s="13" t="s">
        <v>42</v>
      </c>
      <c r="B96" s="6" t="s">
        <v>174</v>
      </c>
      <c r="C96" s="9" t="s">
        <v>13</v>
      </c>
      <c r="D96" s="9">
        <v>9.6999999999999993</v>
      </c>
      <c r="E96" s="8"/>
      <c r="F96" s="8">
        <f t="shared" ref="F96:F101" si="9">+E96*D96</f>
        <v>0</v>
      </c>
    </row>
    <row r="97" spans="1:8" s="1" customFormat="1" ht="69" x14ac:dyDescent="0.25">
      <c r="A97" s="13" t="s">
        <v>84</v>
      </c>
      <c r="B97" s="6" t="s">
        <v>175</v>
      </c>
      <c r="C97" s="9" t="s">
        <v>13</v>
      </c>
      <c r="D97" s="9">
        <f>4*2</f>
        <v>8</v>
      </c>
      <c r="E97" s="8"/>
      <c r="F97" s="8">
        <f t="shared" si="9"/>
        <v>0</v>
      </c>
      <c r="G97" s="33"/>
      <c r="H97" s="43"/>
    </row>
    <row r="98" spans="1:8" s="1" customFormat="1" ht="48" customHeight="1" x14ac:dyDescent="0.25">
      <c r="A98" s="13" t="s">
        <v>85</v>
      </c>
      <c r="B98" s="6" t="s">
        <v>176</v>
      </c>
      <c r="C98" s="9" t="s">
        <v>13</v>
      </c>
      <c r="D98" s="7">
        <f>7.15*2+9.15</f>
        <v>23.450000000000003</v>
      </c>
      <c r="E98" s="8"/>
      <c r="F98" s="8">
        <f t="shared" si="9"/>
        <v>0</v>
      </c>
      <c r="G98" s="41"/>
      <c r="H98" s="37"/>
    </row>
    <row r="99" spans="1:8" s="1" customFormat="1" ht="27.6" x14ac:dyDescent="0.25">
      <c r="A99" s="13" t="s">
        <v>143</v>
      </c>
      <c r="B99" s="6" t="s">
        <v>178</v>
      </c>
      <c r="C99" s="9" t="s">
        <v>69</v>
      </c>
      <c r="D99" s="7">
        <f>1.98*4*2</f>
        <v>15.84</v>
      </c>
      <c r="E99" s="50"/>
      <c r="F99" s="8">
        <f t="shared" si="9"/>
        <v>0</v>
      </c>
    </row>
    <row r="100" spans="1:8" s="1" customFormat="1" ht="47.25" customHeight="1" x14ac:dyDescent="0.25">
      <c r="A100" s="13" t="s">
        <v>177</v>
      </c>
      <c r="B100" s="6" t="s">
        <v>180</v>
      </c>
      <c r="C100" s="9" t="s">
        <v>70</v>
      </c>
      <c r="D100" s="7">
        <f>0.4*0.4*0.4*2</f>
        <v>0.12800000000000003</v>
      </c>
      <c r="E100" s="8"/>
      <c r="F100" s="8">
        <f t="shared" si="9"/>
        <v>0</v>
      </c>
    </row>
    <row r="101" spans="1:8" s="1" customFormat="1" ht="55.2" x14ac:dyDescent="0.25">
      <c r="A101" s="13" t="s">
        <v>179</v>
      </c>
      <c r="B101" s="6" t="s">
        <v>183</v>
      </c>
      <c r="C101" s="9" t="s">
        <v>182</v>
      </c>
      <c r="D101" s="7">
        <v>2</v>
      </c>
      <c r="E101" s="50"/>
      <c r="F101" s="8">
        <f t="shared" si="9"/>
        <v>0</v>
      </c>
    </row>
    <row r="102" spans="1:8" s="1" customFormat="1" ht="13.8" x14ac:dyDescent="0.25">
      <c r="A102" s="55" t="s">
        <v>20</v>
      </c>
      <c r="B102" s="55"/>
      <c r="C102" s="55"/>
      <c r="D102" s="55"/>
      <c r="E102" s="55"/>
      <c r="F102" s="12">
        <f>SUM(F96:F101)</f>
        <v>0</v>
      </c>
    </row>
    <row r="103" spans="1:8" s="1" customFormat="1" ht="13.8" x14ac:dyDescent="0.25">
      <c r="A103" s="2">
        <v>5</v>
      </c>
      <c r="B103" s="57" t="s">
        <v>50</v>
      </c>
      <c r="C103" s="57"/>
      <c r="D103" s="57"/>
      <c r="E103" s="57"/>
      <c r="F103" s="57"/>
    </row>
    <row r="104" spans="1:8" s="1" customFormat="1" ht="87.6" customHeight="1" x14ac:dyDescent="0.25">
      <c r="A104" s="13" t="s">
        <v>43</v>
      </c>
      <c r="B104" s="6" t="s">
        <v>150</v>
      </c>
      <c r="C104" s="9" t="s">
        <v>11</v>
      </c>
      <c r="D104" s="7">
        <v>2</v>
      </c>
      <c r="E104" s="8"/>
      <c r="F104" s="8">
        <f>+E104*D104</f>
        <v>0</v>
      </c>
    </row>
    <row r="105" spans="1:8" s="1" customFormat="1" ht="96.6" x14ac:dyDescent="0.25">
      <c r="A105" s="13" t="s">
        <v>44</v>
      </c>
      <c r="B105" s="6" t="s">
        <v>190</v>
      </c>
      <c r="C105" s="9" t="s">
        <v>11</v>
      </c>
      <c r="D105" s="7">
        <v>4</v>
      </c>
      <c r="E105" s="8"/>
      <c r="F105" s="8">
        <f t="shared" ref="F105:F106" si="10">+E105*D105</f>
        <v>0</v>
      </c>
    </row>
    <row r="106" spans="1:8" s="1" customFormat="1" ht="81" customHeight="1" x14ac:dyDescent="0.25">
      <c r="A106" s="13" t="s">
        <v>45</v>
      </c>
      <c r="B106" s="6" t="s">
        <v>185</v>
      </c>
      <c r="C106" s="9" t="s">
        <v>13</v>
      </c>
      <c r="D106" s="7">
        <v>51.6</v>
      </c>
      <c r="E106" s="8"/>
      <c r="F106" s="8">
        <f t="shared" si="10"/>
        <v>0</v>
      </c>
      <c r="G106" s="41"/>
    </row>
    <row r="107" spans="1:8" s="1" customFormat="1" ht="13.8" x14ac:dyDescent="0.25">
      <c r="A107" s="55" t="s">
        <v>51</v>
      </c>
      <c r="B107" s="55"/>
      <c r="C107" s="55"/>
      <c r="D107" s="55"/>
      <c r="E107" s="55"/>
      <c r="F107" s="12">
        <f>SUM(F104:F106)</f>
        <v>0</v>
      </c>
    </row>
    <row r="108" spans="1:8" s="1" customFormat="1" ht="13.8" x14ac:dyDescent="0.25">
      <c r="A108" s="2">
        <v>6</v>
      </c>
      <c r="B108" s="57" t="s">
        <v>14</v>
      </c>
      <c r="C108" s="57"/>
      <c r="D108" s="57"/>
      <c r="E108" s="57"/>
      <c r="F108" s="57"/>
    </row>
    <row r="109" spans="1:8" s="1" customFormat="1" ht="16.8" x14ac:dyDescent="0.25">
      <c r="A109" s="13" t="s">
        <v>46</v>
      </c>
      <c r="B109" s="6" t="s">
        <v>15</v>
      </c>
      <c r="C109" s="9" t="s">
        <v>69</v>
      </c>
      <c r="D109" s="7">
        <f>2*((2*1.2*2.2)+(4*1.8*1.2))</f>
        <v>27.840000000000003</v>
      </c>
      <c r="E109" s="47"/>
      <c r="F109" s="8">
        <f>+E109*D109</f>
        <v>0</v>
      </c>
    </row>
    <row r="110" spans="1:8" s="1" customFormat="1" ht="27.6" x14ac:dyDescent="0.25">
      <c r="A110" s="13" t="s">
        <v>47</v>
      </c>
      <c r="B110" s="44" t="s">
        <v>187</v>
      </c>
      <c r="C110" s="45" t="s">
        <v>69</v>
      </c>
      <c r="D110" s="46">
        <f>+(32.6*2.4)-((2*1.2*0.6)+(4*1.8*0.6))</f>
        <v>72.47999999999999</v>
      </c>
      <c r="E110" s="47"/>
      <c r="F110" s="8">
        <f t="shared" ref="F110:F112" si="11">+E110*D110</f>
        <v>0</v>
      </c>
      <c r="G110" s="41"/>
      <c r="H110" s="48"/>
    </row>
    <row r="111" spans="1:8" s="1" customFormat="1" ht="27.6" x14ac:dyDescent="0.25">
      <c r="A111" s="13" t="s">
        <v>48</v>
      </c>
      <c r="B111" s="44" t="s">
        <v>186</v>
      </c>
      <c r="C111" s="45" t="s">
        <v>69</v>
      </c>
      <c r="D111" s="46">
        <f>+(32.6*2.4)-((2*1.2*0.6)+(4*1.8*0.6))</f>
        <v>72.47999999999999</v>
      </c>
      <c r="E111" s="47"/>
      <c r="F111" s="8">
        <f t="shared" si="11"/>
        <v>0</v>
      </c>
      <c r="G111" s="41"/>
      <c r="H111" s="48"/>
    </row>
    <row r="112" spans="1:8" s="1" customFormat="1" ht="16.8" x14ac:dyDescent="0.25">
      <c r="A112" s="13" t="s">
        <v>49</v>
      </c>
      <c r="B112" s="6" t="s">
        <v>52</v>
      </c>
      <c r="C112" s="9" t="s">
        <v>69</v>
      </c>
      <c r="D112" s="7">
        <f>6*1.4*2</f>
        <v>16.799999999999997</v>
      </c>
      <c r="E112" s="8"/>
      <c r="F112" s="8">
        <f t="shared" si="11"/>
        <v>0</v>
      </c>
    </row>
    <row r="113" spans="1:6" s="1" customFormat="1" ht="13.8" x14ac:dyDescent="0.25">
      <c r="A113" s="55" t="s">
        <v>53</v>
      </c>
      <c r="B113" s="55"/>
      <c r="C113" s="55"/>
      <c r="D113" s="55"/>
      <c r="E113" s="55"/>
      <c r="F113" s="12">
        <f>SUM(F109:F112)</f>
        <v>0</v>
      </c>
    </row>
    <row r="114" spans="1:6" s="1" customFormat="1" ht="13.8" x14ac:dyDescent="0.25">
      <c r="A114" s="2">
        <v>7</v>
      </c>
      <c r="B114" s="57" t="s">
        <v>91</v>
      </c>
      <c r="C114" s="57"/>
      <c r="D114" s="57"/>
      <c r="E114" s="57"/>
      <c r="F114" s="57"/>
    </row>
    <row r="115" spans="1:6" s="1" customFormat="1" ht="27.6" x14ac:dyDescent="0.25">
      <c r="A115" s="25" t="s">
        <v>92</v>
      </c>
      <c r="B115" s="6" t="s">
        <v>93</v>
      </c>
      <c r="C115" s="9" t="s">
        <v>11</v>
      </c>
      <c r="D115" s="9">
        <v>100</v>
      </c>
      <c r="E115" s="26"/>
      <c r="F115" s="8">
        <f>D115*E115</f>
        <v>0</v>
      </c>
    </row>
    <row r="116" spans="1:6" s="1" customFormat="1" ht="13.8" x14ac:dyDescent="0.25">
      <c r="A116" s="55" t="s">
        <v>94</v>
      </c>
      <c r="B116" s="55"/>
      <c r="C116" s="55"/>
      <c r="D116" s="55"/>
      <c r="E116" s="55"/>
      <c r="F116" s="12">
        <f>F115</f>
        <v>0</v>
      </c>
    </row>
    <row r="117" spans="1:6" s="1" customFormat="1" ht="13.8" x14ac:dyDescent="0.25">
      <c r="A117" s="56" t="s">
        <v>119</v>
      </c>
      <c r="B117" s="56"/>
      <c r="C117" s="56"/>
      <c r="D117" s="56"/>
      <c r="E117" s="56"/>
      <c r="F117" s="23">
        <f>SUM(F116,F113,F107,F102,F94,F82,F74)</f>
        <v>0</v>
      </c>
    </row>
    <row r="118" spans="1:6" s="1" customFormat="1" ht="13.8" x14ac:dyDescent="0.25">
      <c r="A118" s="56" t="s">
        <v>118</v>
      </c>
      <c r="B118" s="56"/>
      <c r="C118" s="56"/>
      <c r="D118" s="56"/>
      <c r="E118" s="56"/>
      <c r="F118" s="23">
        <f>+F117*0.18</f>
        <v>0</v>
      </c>
    </row>
    <row r="119" spans="1:6" s="1" customFormat="1" ht="13.8" x14ac:dyDescent="0.25">
      <c r="A119" s="56" t="s">
        <v>153</v>
      </c>
      <c r="B119" s="56"/>
      <c r="C119" s="56"/>
      <c r="D119" s="56"/>
      <c r="E119" s="56"/>
      <c r="F119" s="23">
        <f>+F117+F118</f>
        <v>0</v>
      </c>
    </row>
    <row r="123" spans="1:6" s="1" customFormat="1" ht="29.25" customHeight="1" x14ac:dyDescent="0.25">
      <c r="A123" s="58" t="s">
        <v>154</v>
      </c>
      <c r="B123" s="58"/>
      <c r="C123" s="58"/>
      <c r="D123" s="58"/>
      <c r="E123" s="58"/>
      <c r="F123" s="58"/>
    </row>
    <row r="124" spans="1:6" s="1" customFormat="1" ht="13.8" x14ac:dyDescent="0.25">
      <c r="A124" s="19"/>
      <c r="B124" s="19"/>
      <c r="C124" s="19"/>
      <c r="D124" s="19"/>
      <c r="E124" s="19"/>
      <c r="F124" s="19"/>
    </row>
    <row r="125" spans="1:6" s="1" customFormat="1" ht="34.5" customHeight="1" x14ac:dyDescent="0.25">
      <c r="A125" s="59" t="s">
        <v>136</v>
      </c>
      <c r="B125" s="59"/>
      <c r="C125" s="59"/>
      <c r="D125" s="59"/>
      <c r="E125" s="59"/>
      <c r="F125" s="59"/>
    </row>
    <row r="126" spans="1:6" s="1" customFormat="1" ht="13.8" x14ac:dyDescent="0.25">
      <c r="A126" s="2" t="s">
        <v>0</v>
      </c>
      <c r="B126" s="3" t="s">
        <v>1</v>
      </c>
      <c r="C126" s="3" t="s">
        <v>2</v>
      </c>
      <c r="D126" s="3" t="s">
        <v>16</v>
      </c>
      <c r="E126" s="4" t="s">
        <v>81</v>
      </c>
      <c r="F126" s="4" t="s">
        <v>82</v>
      </c>
    </row>
    <row r="127" spans="1:6" s="1" customFormat="1" ht="13.8" x14ac:dyDescent="0.25">
      <c r="A127" s="2">
        <v>1</v>
      </c>
      <c r="B127" s="57" t="s">
        <v>3</v>
      </c>
      <c r="C127" s="57"/>
      <c r="D127" s="57"/>
      <c r="E127" s="57"/>
      <c r="F127" s="57"/>
    </row>
    <row r="128" spans="1:6" s="1" customFormat="1" ht="13.8" x14ac:dyDescent="0.25">
      <c r="A128" s="5" t="s">
        <v>21</v>
      </c>
      <c r="B128" s="6" t="s">
        <v>64</v>
      </c>
      <c r="C128" s="9" t="s">
        <v>5</v>
      </c>
      <c r="D128" s="7">
        <v>1</v>
      </c>
      <c r="E128" s="8"/>
      <c r="F128" s="8">
        <f>+E128*D128</f>
        <v>0</v>
      </c>
    </row>
    <row r="129" spans="1:7" s="11" customFormat="1" ht="41.4" x14ac:dyDescent="0.25">
      <c r="A129" s="5" t="s">
        <v>22</v>
      </c>
      <c r="B129" s="6" t="s">
        <v>54</v>
      </c>
      <c r="C129" s="9" t="s">
        <v>4</v>
      </c>
      <c r="D129" s="9">
        <f>0.3*1*9</f>
        <v>2.6999999999999997</v>
      </c>
      <c r="E129" s="10"/>
      <c r="F129" s="8">
        <f t="shared" ref="F129:F133" si="12">+E129*D129</f>
        <v>0</v>
      </c>
    </row>
    <row r="130" spans="1:7" s="11" customFormat="1" ht="27.6" x14ac:dyDescent="0.25">
      <c r="A130" s="5" t="s">
        <v>23</v>
      </c>
      <c r="B130" s="6" t="s">
        <v>87</v>
      </c>
      <c r="C130" s="9" t="s">
        <v>5</v>
      </c>
      <c r="D130" s="9">
        <v>1</v>
      </c>
      <c r="E130" s="10"/>
      <c r="F130" s="8">
        <f t="shared" si="12"/>
        <v>0</v>
      </c>
    </row>
    <row r="131" spans="1:7" s="11" customFormat="1" ht="41.4" x14ac:dyDescent="0.25">
      <c r="A131" s="5" t="s">
        <v>24</v>
      </c>
      <c r="B131" s="6" t="s">
        <v>55</v>
      </c>
      <c r="C131" s="15" t="s">
        <v>68</v>
      </c>
      <c r="D131" s="9">
        <f>5.2*0.4*0.4*2+7.15*0.4*0.4</f>
        <v>2.8080000000000003</v>
      </c>
      <c r="E131" s="10"/>
      <c r="F131" s="8">
        <f t="shared" si="12"/>
        <v>0</v>
      </c>
    </row>
    <row r="132" spans="1:7" s="11" customFormat="1" ht="41.4" x14ac:dyDescent="0.25">
      <c r="A132" s="5" t="s">
        <v>86</v>
      </c>
      <c r="B132" s="6" t="s">
        <v>6</v>
      </c>
      <c r="C132" s="15" t="s">
        <v>68</v>
      </c>
      <c r="D132" s="9">
        <f>3.2*1*0.45*2</f>
        <v>2.8800000000000003</v>
      </c>
      <c r="E132" s="10"/>
      <c r="F132" s="8">
        <f t="shared" si="12"/>
        <v>0</v>
      </c>
    </row>
    <row r="133" spans="1:7" s="1" customFormat="1" ht="27.6" x14ac:dyDescent="0.25">
      <c r="A133" s="34" t="s">
        <v>140</v>
      </c>
      <c r="B133" s="35" t="s">
        <v>141</v>
      </c>
      <c r="C133" s="15" t="s">
        <v>148</v>
      </c>
      <c r="D133" s="15">
        <f>9*7</f>
        <v>63</v>
      </c>
      <c r="E133" s="36"/>
      <c r="F133" s="8">
        <f t="shared" si="12"/>
        <v>0</v>
      </c>
      <c r="G133" s="37"/>
    </row>
    <row r="134" spans="1:7" s="1" customFormat="1" ht="13.8" x14ac:dyDescent="0.25">
      <c r="A134" s="55" t="s">
        <v>17</v>
      </c>
      <c r="B134" s="55"/>
      <c r="C134" s="55"/>
      <c r="D134" s="55"/>
      <c r="E134" s="55"/>
      <c r="F134" s="12">
        <f>SUM(F128:F133)</f>
        <v>0</v>
      </c>
    </row>
    <row r="135" spans="1:7" s="1" customFormat="1" ht="13.8" x14ac:dyDescent="0.25">
      <c r="A135" s="2">
        <v>2</v>
      </c>
      <c r="B135" s="57" t="s">
        <v>7</v>
      </c>
      <c r="C135" s="57"/>
      <c r="D135" s="57"/>
      <c r="E135" s="57"/>
      <c r="F135" s="57"/>
    </row>
    <row r="136" spans="1:7" s="1" customFormat="1" ht="16.8" x14ac:dyDescent="0.25">
      <c r="A136" s="13" t="s">
        <v>25</v>
      </c>
      <c r="B136" s="6" t="s">
        <v>57</v>
      </c>
      <c r="C136" s="15" t="s">
        <v>68</v>
      </c>
      <c r="D136" s="9">
        <f>5.2*0.4*0.05*2+7.15*0.4*0.05</f>
        <v>0.35100000000000003</v>
      </c>
      <c r="E136" s="8"/>
      <c r="F136" s="8">
        <f t="shared" ref="F136:F141" si="13">+E136*D136</f>
        <v>0</v>
      </c>
    </row>
    <row r="137" spans="1:7" s="1" customFormat="1" ht="27.6" x14ac:dyDescent="0.25">
      <c r="A137" s="13" t="s">
        <v>26</v>
      </c>
      <c r="B137" s="6" t="s">
        <v>56</v>
      </c>
      <c r="C137" s="9" t="s">
        <v>4</v>
      </c>
      <c r="D137" s="9">
        <f>5.2*0.69*2+7.15*0.69</f>
        <v>12.109499999999999</v>
      </c>
      <c r="E137" s="8"/>
      <c r="F137" s="8">
        <f t="shared" si="13"/>
        <v>0</v>
      </c>
    </row>
    <row r="138" spans="1:7" s="1" customFormat="1" ht="27.6" x14ac:dyDescent="0.25">
      <c r="A138" s="13" t="s">
        <v>27</v>
      </c>
      <c r="B138" s="6" t="s">
        <v>60</v>
      </c>
      <c r="C138" s="9" t="s">
        <v>69</v>
      </c>
      <c r="D138" s="7">
        <f>9.4*7.4</f>
        <v>69.56</v>
      </c>
      <c r="E138" s="8"/>
      <c r="F138" s="8">
        <f t="shared" si="13"/>
        <v>0</v>
      </c>
    </row>
    <row r="139" spans="1:7" s="1" customFormat="1" ht="69" x14ac:dyDescent="0.25">
      <c r="A139" s="13" t="s">
        <v>28</v>
      </c>
      <c r="B139" s="6" t="s">
        <v>88</v>
      </c>
      <c r="C139" s="9" t="s">
        <v>70</v>
      </c>
      <c r="D139" s="7">
        <f>9*7*0.1</f>
        <v>6.3000000000000007</v>
      </c>
      <c r="E139" s="8"/>
      <c r="F139" s="8">
        <f t="shared" si="13"/>
        <v>0</v>
      </c>
    </row>
    <row r="140" spans="1:7" s="1" customFormat="1" ht="69" x14ac:dyDescent="0.25">
      <c r="A140" s="13" t="s">
        <v>29</v>
      </c>
      <c r="B140" s="6" t="s">
        <v>58</v>
      </c>
      <c r="C140" s="9" t="s">
        <v>70</v>
      </c>
      <c r="D140" s="7">
        <f>3.2*1*0.08*2</f>
        <v>0.51200000000000001</v>
      </c>
      <c r="E140" s="8"/>
      <c r="F140" s="8">
        <f t="shared" si="13"/>
        <v>0</v>
      </c>
    </row>
    <row r="141" spans="1:7" s="1" customFormat="1" ht="55.2" x14ac:dyDescent="0.25">
      <c r="A141" s="13" t="s">
        <v>30</v>
      </c>
      <c r="B141" s="6" t="s">
        <v>59</v>
      </c>
      <c r="C141" s="9" t="s">
        <v>70</v>
      </c>
      <c r="D141" s="14">
        <f>2*(((1.03*2)+(2.16*0.9))*0.45)/2</f>
        <v>1.8018000000000003</v>
      </c>
      <c r="E141" s="8"/>
      <c r="F141" s="8">
        <f t="shared" si="13"/>
        <v>0</v>
      </c>
    </row>
    <row r="142" spans="1:7" s="1" customFormat="1" ht="13.8" x14ac:dyDescent="0.25">
      <c r="A142" s="55" t="s">
        <v>18</v>
      </c>
      <c r="B142" s="55"/>
      <c r="C142" s="55"/>
      <c r="D142" s="55"/>
      <c r="E142" s="55"/>
      <c r="F142" s="12">
        <f>SUM(F136:F141)</f>
        <v>0</v>
      </c>
    </row>
    <row r="143" spans="1:7" s="1" customFormat="1" ht="13.8" x14ac:dyDescent="0.25">
      <c r="A143" s="2">
        <v>3</v>
      </c>
      <c r="B143" s="57" t="s">
        <v>8</v>
      </c>
      <c r="C143" s="57"/>
      <c r="D143" s="57"/>
      <c r="E143" s="57"/>
      <c r="F143" s="57"/>
    </row>
    <row r="144" spans="1:7" s="1" customFormat="1" ht="44.4" x14ac:dyDescent="0.25">
      <c r="A144" s="13" t="s">
        <v>31</v>
      </c>
      <c r="B144" s="6" t="s">
        <v>71</v>
      </c>
      <c r="C144" s="9" t="s">
        <v>70</v>
      </c>
      <c r="D144" s="7">
        <f>10*0.15*0.15*4</f>
        <v>0.89999999999999991</v>
      </c>
      <c r="E144" s="8"/>
      <c r="F144" s="8">
        <f>+E144*D144</f>
        <v>0</v>
      </c>
    </row>
    <row r="145" spans="1:6" s="1" customFormat="1" ht="44.4" x14ac:dyDescent="0.25">
      <c r="A145" s="13" t="s">
        <v>32</v>
      </c>
      <c r="B145" s="6" t="s">
        <v>72</v>
      </c>
      <c r="C145" s="9" t="s">
        <v>70</v>
      </c>
      <c r="D145" s="7">
        <f>32.6*0.15*0.2</f>
        <v>0.97799999999999998</v>
      </c>
      <c r="E145" s="8"/>
      <c r="F145" s="8">
        <f t="shared" ref="F145:F156" si="14">+E145*D145</f>
        <v>0</v>
      </c>
    </row>
    <row r="146" spans="1:6" s="1" customFormat="1" ht="44.4" x14ac:dyDescent="0.25">
      <c r="A146" s="13" t="s">
        <v>33</v>
      </c>
      <c r="B146" s="6" t="s">
        <v>73</v>
      </c>
      <c r="C146" s="9" t="s">
        <v>70</v>
      </c>
      <c r="D146" s="7">
        <f>23.45*0.15*0.2</f>
        <v>0.70350000000000001</v>
      </c>
      <c r="E146" s="8"/>
      <c r="F146" s="8">
        <f t="shared" si="14"/>
        <v>0</v>
      </c>
    </row>
    <row r="147" spans="1:6" s="1" customFormat="1" ht="16.8" x14ac:dyDescent="0.25">
      <c r="A147" s="13" t="s">
        <v>34</v>
      </c>
      <c r="B147" s="6" t="s">
        <v>74</v>
      </c>
      <c r="C147" s="9" t="s">
        <v>70</v>
      </c>
      <c r="D147" s="7">
        <f>23.45*0.15*0.2</f>
        <v>0.70350000000000001</v>
      </c>
      <c r="E147" s="8"/>
      <c r="F147" s="8">
        <f t="shared" si="14"/>
        <v>0</v>
      </c>
    </row>
    <row r="148" spans="1:6" s="1" customFormat="1" ht="27.6" x14ac:dyDescent="0.25">
      <c r="A148" s="13" t="s">
        <v>35</v>
      </c>
      <c r="B148" s="6" t="s">
        <v>65</v>
      </c>
      <c r="C148" s="9" t="s">
        <v>69</v>
      </c>
      <c r="D148" s="7">
        <f>+((32.6*2.9)-((4*1.8*1.2)+(2*1.2*1.1)))+(7.15*1)</f>
        <v>90.410000000000011</v>
      </c>
      <c r="E148" s="8"/>
      <c r="F148" s="8">
        <f t="shared" si="14"/>
        <v>0</v>
      </c>
    </row>
    <row r="149" spans="1:6" s="1" customFormat="1" ht="13.8" x14ac:dyDescent="0.25">
      <c r="A149" s="13" t="s">
        <v>36</v>
      </c>
      <c r="B149" s="6" t="s">
        <v>90</v>
      </c>
      <c r="C149" s="9" t="s">
        <v>13</v>
      </c>
      <c r="D149" s="7">
        <v>7.3</v>
      </c>
      <c r="E149" s="8"/>
      <c r="F149" s="8">
        <f t="shared" si="14"/>
        <v>0</v>
      </c>
    </row>
    <row r="150" spans="1:6" s="1" customFormat="1" ht="41.4" x14ac:dyDescent="0.25">
      <c r="A150" s="13" t="s">
        <v>37</v>
      </c>
      <c r="B150" s="6" t="s">
        <v>62</v>
      </c>
      <c r="C150" s="9" t="s">
        <v>69</v>
      </c>
      <c r="D150" s="7">
        <f>+D148</f>
        <v>90.410000000000011</v>
      </c>
      <c r="E150" s="8"/>
      <c r="F150" s="8">
        <f t="shared" si="14"/>
        <v>0</v>
      </c>
    </row>
    <row r="151" spans="1:6" s="1" customFormat="1" ht="27.6" x14ac:dyDescent="0.25">
      <c r="A151" s="13" t="s">
        <v>38</v>
      </c>
      <c r="B151" s="6" t="s">
        <v>61</v>
      </c>
      <c r="C151" s="9" t="s">
        <v>69</v>
      </c>
      <c r="D151" s="7">
        <f>+D148</f>
        <v>90.410000000000011</v>
      </c>
      <c r="E151" s="8"/>
      <c r="F151" s="8">
        <f t="shared" si="14"/>
        <v>0</v>
      </c>
    </row>
    <row r="152" spans="1:6" s="1" customFormat="1" ht="27.6" x14ac:dyDescent="0.25">
      <c r="A152" s="13" t="s">
        <v>39</v>
      </c>
      <c r="B152" s="6" t="s">
        <v>66</v>
      </c>
      <c r="C152" s="9" t="s">
        <v>69</v>
      </c>
      <c r="D152" s="7">
        <f>+((32.6*1.6)-((2*1.6*1.2)+(1.8*0.6*4)))</f>
        <v>44</v>
      </c>
      <c r="E152" s="8"/>
      <c r="F152" s="8">
        <f t="shared" si="14"/>
        <v>0</v>
      </c>
    </row>
    <row r="153" spans="1:6" s="1" customFormat="1" ht="27.6" x14ac:dyDescent="0.25">
      <c r="A153" s="13" t="s">
        <v>40</v>
      </c>
      <c r="B153" s="6" t="s">
        <v>63</v>
      </c>
      <c r="C153" s="9" t="s">
        <v>69</v>
      </c>
      <c r="D153" s="7">
        <f>6*1.4*2</f>
        <v>16.799999999999997</v>
      </c>
      <c r="E153" s="8"/>
      <c r="F153" s="8">
        <f t="shared" si="14"/>
        <v>0</v>
      </c>
    </row>
    <row r="154" spans="1:6" s="1" customFormat="1" ht="27.6" x14ac:dyDescent="0.25">
      <c r="A154" s="13" t="s">
        <v>41</v>
      </c>
      <c r="B154" s="6" t="s">
        <v>173</v>
      </c>
      <c r="C154" s="9" t="s">
        <v>69</v>
      </c>
      <c r="D154" s="7">
        <f>+(32.6-1.2)*1</f>
        <v>31.400000000000002</v>
      </c>
      <c r="E154" s="8"/>
      <c r="F154" s="8">
        <f t="shared" si="14"/>
        <v>0</v>
      </c>
    </row>
    <row r="155" spans="1:6" s="1" customFormat="1" ht="41.4" x14ac:dyDescent="0.25">
      <c r="A155" s="13" t="s">
        <v>89</v>
      </c>
      <c r="B155" s="6" t="s">
        <v>189</v>
      </c>
      <c r="C155" s="9" t="s">
        <v>69</v>
      </c>
      <c r="D155" s="7">
        <f>+D150+D154</f>
        <v>121.81000000000002</v>
      </c>
      <c r="E155" s="8"/>
      <c r="F155" s="8">
        <f t="shared" si="14"/>
        <v>0</v>
      </c>
    </row>
    <row r="156" spans="1:6" s="1" customFormat="1" ht="13.8" x14ac:dyDescent="0.25">
      <c r="A156" s="13" t="s">
        <v>191</v>
      </c>
      <c r="B156" s="6" t="s">
        <v>10</v>
      </c>
      <c r="C156" s="9" t="s">
        <v>11</v>
      </c>
      <c r="D156" s="7">
        <v>12</v>
      </c>
      <c r="E156" s="8"/>
      <c r="F156" s="8">
        <f t="shared" si="14"/>
        <v>0</v>
      </c>
    </row>
    <row r="157" spans="1:6" s="1" customFormat="1" ht="13.8" x14ac:dyDescent="0.25">
      <c r="A157" s="55" t="s">
        <v>19</v>
      </c>
      <c r="B157" s="55"/>
      <c r="C157" s="55"/>
      <c r="D157" s="55"/>
      <c r="E157" s="55"/>
      <c r="F157" s="12">
        <f>SUM(F144:F156)</f>
        <v>0</v>
      </c>
    </row>
    <row r="158" spans="1:6" s="1" customFormat="1" ht="13.8" x14ac:dyDescent="0.25">
      <c r="A158" s="2">
        <v>4</v>
      </c>
      <c r="B158" s="57" t="s">
        <v>12</v>
      </c>
      <c r="C158" s="57"/>
      <c r="D158" s="57"/>
      <c r="E158" s="57"/>
      <c r="F158" s="57"/>
    </row>
    <row r="159" spans="1:6" s="1" customFormat="1" ht="55.2" x14ac:dyDescent="0.25">
      <c r="A159" s="13" t="s">
        <v>42</v>
      </c>
      <c r="B159" s="6" t="s">
        <v>174</v>
      </c>
      <c r="C159" s="9" t="s">
        <v>13</v>
      </c>
      <c r="D159" s="9">
        <v>9.6999999999999993</v>
      </c>
      <c r="E159" s="8"/>
      <c r="F159" s="8">
        <f t="shared" ref="F159:F164" si="15">+E159*D159</f>
        <v>0</v>
      </c>
    </row>
    <row r="160" spans="1:6" s="1" customFormat="1" ht="69" x14ac:dyDescent="0.25">
      <c r="A160" s="13" t="s">
        <v>84</v>
      </c>
      <c r="B160" s="6" t="s">
        <v>175</v>
      </c>
      <c r="C160" s="9" t="s">
        <v>13</v>
      </c>
      <c r="D160" s="9">
        <f>4*1</f>
        <v>4</v>
      </c>
      <c r="E160" s="8"/>
      <c r="F160" s="8">
        <f t="shared" si="15"/>
        <v>0</v>
      </c>
    </row>
    <row r="161" spans="1:8" s="1" customFormat="1" ht="48.75" customHeight="1" x14ac:dyDescent="0.25">
      <c r="A161" s="13" t="s">
        <v>85</v>
      </c>
      <c r="B161" s="6" t="s">
        <v>176</v>
      </c>
      <c r="C161" s="9" t="s">
        <v>13</v>
      </c>
      <c r="D161" s="7">
        <f>7.15*2+9.15</f>
        <v>23.450000000000003</v>
      </c>
      <c r="E161" s="8"/>
      <c r="F161" s="8">
        <f t="shared" si="15"/>
        <v>0</v>
      </c>
      <c r="G161" s="41"/>
      <c r="H161" s="37"/>
    </row>
    <row r="162" spans="1:8" s="1" customFormat="1" ht="27.6" x14ac:dyDescent="0.25">
      <c r="A162" s="13" t="s">
        <v>143</v>
      </c>
      <c r="B162" s="6" t="s">
        <v>178</v>
      </c>
      <c r="C162" s="9" t="s">
        <v>69</v>
      </c>
      <c r="D162" s="7">
        <f>1.98*4*2</f>
        <v>15.84</v>
      </c>
      <c r="E162" s="8"/>
      <c r="F162" s="8">
        <f t="shared" si="15"/>
        <v>0</v>
      </c>
    </row>
    <row r="163" spans="1:8" s="1" customFormat="1" ht="27.6" x14ac:dyDescent="0.25">
      <c r="A163" s="13" t="s">
        <v>177</v>
      </c>
      <c r="B163" s="6" t="s">
        <v>180</v>
      </c>
      <c r="C163" s="9" t="s">
        <v>70</v>
      </c>
      <c r="D163" s="7">
        <f>0.4*0.4*0.4*2</f>
        <v>0.12800000000000003</v>
      </c>
      <c r="E163" s="8"/>
      <c r="F163" s="8">
        <f t="shared" si="15"/>
        <v>0</v>
      </c>
    </row>
    <row r="164" spans="1:8" s="1" customFormat="1" ht="55.2" x14ac:dyDescent="0.25">
      <c r="A164" s="13" t="s">
        <v>179</v>
      </c>
      <c r="B164" s="6" t="s">
        <v>192</v>
      </c>
      <c r="C164" s="9" t="s">
        <v>182</v>
      </c>
      <c r="D164" s="7">
        <v>2</v>
      </c>
      <c r="E164" s="8"/>
      <c r="F164" s="8">
        <f t="shared" si="15"/>
        <v>0</v>
      </c>
    </row>
    <row r="165" spans="1:8" s="1" customFormat="1" ht="13.8" x14ac:dyDescent="0.25">
      <c r="A165" s="55" t="s">
        <v>20</v>
      </c>
      <c r="B165" s="55"/>
      <c r="C165" s="55"/>
      <c r="D165" s="55"/>
      <c r="E165" s="55"/>
      <c r="F165" s="12">
        <f>SUM(F159:F164)</f>
        <v>0</v>
      </c>
    </row>
    <row r="166" spans="1:8" s="1" customFormat="1" ht="13.8" x14ac:dyDescent="0.25">
      <c r="A166" s="2">
        <v>5</v>
      </c>
      <c r="B166" s="57" t="s">
        <v>50</v>
      </c>
      <c r="C166" s="57"/>
      <c r="D166" s="57"/>
      <c r="E166" s="57"/>
      <c r="F166" s="57"/>
    </row>
    <row r="167" spans="1:8" s="1" customFormat="1" ht="55.2" x14ac:dyDescent="0.25">
      <c r="A167" s="13" t="s">
        <v>43</v>
      </c>
      <c r="B167" s="6" t="s">
        <v>150</v>
      </c>
      <c r="C167" s="9" t="s">
        <v>11</v>
      </c>
      <c r="D167" s="7">
        <v>2</v>
      </c>
      <c r="E167" s="8"/>
      <c r="F167" s="8">
        <f>+E167*D167</f>
        <v>0</v>
      </c>
    </row>
    <row r="168" spans="1:8" s="1" customFormat="1" ht="96.6" x14ac:dyDescent="0.25">
      <c r="A168" s="13" t="s">
        <v>44</v>
      </c>
      <c r="B168" s="6" t="s">
        <v>193</v>
      </c>
      <c r="C168" s="9" t="s">
        <v>11</v>
      </c>
      <c r="D168" s="7">
        <v>4</v>
      </c>
      <c r="E168" s="8"/>
      <c r="F168" s="8">
        <f t="shared" ref="F168:F169" si="16">+E168*D168</f>
        <v>0</v>
      </c>
    </row>
    <row r="169" spans="1:8" s="1" customFormat="1" ht="107.25" customHeight="1" x14ac:dyDescent="0.25">
      <c r="A169" s="13" t="s">
        <v>45</v>
      </c>
      <c r="B169" s="6" t="s">
        <v>185</v>
      </c>
      <c r="C169" s="9" t="s">
        <v>13</v>
      </c>
      <c r="D169" s="7">
        <f>2*(((2.05*2)+1.1)*3)+(0.6*34)</f>
        <v>51.599999999999994</v>
      </c>
      <c r="E169" s="8"/>
      <c r="F169" s="8">
        <f t="shared" si="16"/>
        <v>0</v>
      </c>
      <c r="G169" s="41"/>
    </row>
    <row r="170" spans="1:8" s="1" customFormat="1" ht="13.8" x14ac:dyDescent="0.25">
      <c r="A170" s="55" t="s">
        <v>51</v>
      </c>
      <c r="B170" s="55"/>
      <c r="C170" s="55"/>
      <c r="D170" s="55"/>
      <c r="E170" s="55"/>
      <c r="F170" s="12">
        <f>SUM(F167:F169)</f>
        <v>0</v>
      </c>
    </row>
    <row r="171" spans="1:8" s="1" customFormat="1" ht="13.8" x14ac:dyDescent="0.25">
      <c r="A171" s="2">
        <v>6</v>
      </c>
      <c r="B171" s="57" t="s">
        <v>14</v>
      </c>
      <c r="C171" s="57"/>
      <c r="D171" s="57"/>
      <c r="E171" s="57"/>
      <c r="F171" s="57"/>
    </row>
    <row r="172" spans="1:8" s="1" customFormat="1" ht="16.8" x14ac:dyDescent="0.25">
      <c r="A172" s="13" t="s">
        <v>46</v>
      </c>
      <c r="B172" s="6" t="s">
        <v>15</v>
      </c>
      <c r="C172" s="9" t="s">
        <v>69</v>
      </c>
      <c r="D172" s="7">
        <f>2*((2*1.2*2.2)+(4*1.8*1.2))</f>
        <v>27.840000000000003</v>
      </c>
      <c r="E172" s="8"/>
      <c r="F172" s="8">
        <f>+E172*D172</f>
        <v>0</v>
      </c>
    </row>
    <row r="173" spans="1:8" s="1" customFormat="1" ht="27.6" x14ac:dyDescent="0.25">
      <c r="A173" s="13" t="s">
        <v>47</v>
      </c>
      <c r="B173" s="44" t="s">
        <v>187</v>
      </c>
      <c r="C173" s="45" t="s">
        <v>69</v>
      </c>
      <c r="D173" s="46">
        <f>+(32.6*4)-((2*1.2*2.2)+(4*1.8*1.2))</f>
        <v>116.48</v>
      </c>
      <c r="E173" s="47"/>
      <c r="F173" s="8">
        <f t="shared" ref="F173:F175" si="17">+E173*D173</f>
        <v>0</v>
      </c>
      <c r="G173" s="41"/>
      <c r="H173" s="48"/>
    </row>
    <row r="174" spans="1:8" s="1" customFormat="1" ht="27.6" x14ac:dyDescent="0.25">
      <c r="A174" s="13" t="s">
        <v>48</v>
      </c>
      <c r="B174" s="44" t="s">
        <v>186</v>
      </c>
      <c r="C174" s="9" t="s">
        <v>69</v>
      </c>
      <c r="D174" s="7">
        <f>+(32.6*4)-((2*1.2*2.2)+(4*1.8*1.2))</f>
        <v>116.48</v>
      </c>
      <c r="E174" s="8"/>
      <c r="F174" s="8">
        <f t="shared" si="17"/>
        <v>0</v>
      </c>
    </row>
    <row r="175" spans="1:8" s="1" customFormat="1" ht="16.8" x14ac:dyDescent="0.25">
      <c r="A175" s="13" t="s">
        <v>49</v>
      </c>
      <c r="B175" s="6" t="s">
        <v>52</v>
      </c>
      <c r="C175" s="9" t="s">
        <v>69</v>
      </c>
      <c r="D175" s="7">
        <f>6*1.4*2</f>
        <v>16.799999999999997</v>
      </c>
      <c r="E175" s="8"/>
      <c r="F175" s="8">
        <f t="shared" si="17"/>
        <v>0</v>
      </c>
    </row>
    <row r="176" spans="1:8" s="1" customFormat="1" ht="13.8" x14ac:dyDescent="0.25">
      <c r="A176" s="55" t="s">
        <v>53</v>
      </c>
      <c r="B176" s="55"/>
      <c r="C176" s="55"/>
      <c r="D176" s="55"/>
      <c r="E176" s="55"/>
      <c r="F176" s="12">
        <f>SUM(F172:F175)</f>
        <v>0</v>
      </c>
    </row>
    <row r="177" spans="1:6" x14ac:dyDescent="0.3">
      <c r="A177" s="2">
        <v>7</v>
      </c>
      <c r="B177" s="57" t="s">
        <v>91</v>
      </c>
      <c r="C177" s="57"/>
      <c r="D177" s="57"/>
      <c r="E177" s="57"/>
      <c r="F177" s="57"/>
    </row>
    <row r="178" spans="1:6" ht="27.6" x14ac:dyDescent="0.3">
      <c r="A178" s="25" t="s">
        <v>92</v>
      </c>
      <c r="B178" s="6" t="s">
        <v>93</v>
      </c>
      <c r="C178" s="9" t="s">
        <v>11</v>
      </c>
      <c r="D178" s="9">
        <v>100</v>
      </c>
      <c r="E178" s="26"/>
      <c r="F178" s="8">
        <f>D178*E178</f>
        <v>0</v>
      </c>
    </row>
    <row r="179" spans="1:6" x14ac:dyDescent="0.3">
      <c r="A179" s="55" t="s">
        <v>94</v>
      </c>
      <c r="B179" s="55"/>
      <c r="C179" s="55"/>
      <c r="D179" s="55"/>
      <c r="E179" s="55"/>
      <c r="F179" s="12">
        <f>F178</f>
        <v>0</v>
      </c>
    </row>
    <row r="180" spans="1:6" s="1" customFormat="1" ht="13.8" x14ac:dyDescent="0.25">
      <c r="A180" s="56" t="s">
        <v>117</v>
      </c>
      <c r="B180" s="56"/>
      <c r="C180" s="56"/>
      <c r="D180" s="56"/>
      <c r="E180" s="56"/>
      <c r="F180" s="23">
        <f>SUM(F179,F176,F170,F165,F157,F142,F134)</f>
        <v>0</v>
      </c>
    </row>
    <row r="181" spans="1:6" s="1" customFormat="1" ht="13.8" x14ac:dyDescent="0.25">
      <c r="A181" s="56" t="s">
        <v>116</v>
      </c>
      <c r="B181" s="56"/>
      <c r="C181" s="56"/>
      <c r="D181" s="56"/>
      <c r="E181" s="56"/>
      <c r="F181" s="23">
        <f>+F180*0.18</f>
        <v>0</v>
      </c>
    </row>
    <row r="182" spans="1:6" s="1" customFormat="1" ht="13.8" x14ac:dyDescent="0.25">
      <c r="A182" s="56" t="s">
        <v>113</v>
      </c>
      <c r="B182" s="56"/>
      <c r="C182" s="56"/>
      <c r="D182" s="56"/>
      <c r="E182" s="56"/>
      <c r="F182" s="23">
        <f>+F180+F181</f>
        <v>0</v>
      </c>
    </row>
    <row r="186" spans="1:6" s="1" customFormat="1" ht="29.25" customHeight="1" x14ac:dyDescent="0.25">
      <c r="A186" s="58" t="s">
        <v>157</v>
      </c>
      <c r="B186" s="58"/>
      <c r="C186" s="58"/>
      <c r="D186" s="58"/>
      <c r="E186" s="58"/>
      <c r="F186" s="58"/>
    </row>
    <row r="187" spans="1:6" s="1" customFormat="1" ht="13.8" x14ac:dyDescent="0.25">
      <c r="A187" s="19"/>
      <c r="B187" s="19"/>
      <c r="C187" s="19"/>
      <c r="D187" s="19"/>
      <c r="E187" s="19"/>
      <c r="F187" s="19"/>
    </row>
    <row r="188" spans="1:6" s="1" customFormat="1" ht="34.5" customHeight="1" x14ac:dyDescent="0.25">
      <c r="A188" s="59" t="s">
        <v>156</v>
      </c>
      <c r="B188" s="59"/>
      <c r="C188" s="59"/>
      <c r="D188" s="59"/>
      <c r="E188" s="59"/>
      <c r="F188" s="59"/>
    </row>
    <row r="189" spans="1:6" s="1" customFormat="1" ht="13.8" x14ac:dyDescent="0.25">
      <c r="A189" s="2" t="s">
        <v>0</v>
      </c>
      <c r="B189" s="3" t="s">
        <v>1</v>
      </c>
      <c r="C189" s="3" t="s">
        <v>2</v>
      </c>
      <c r="D189" s="3" t="s">
        <v>16</v>
      </c>
      <c r="E189" s="4" t="s">
        <v>81</v>
      </c>
      <c r="F189" s="4" t="s">
        <v>82</v>
      </c>
    </row>
    <row r="190" spans="1:6" s="1" customFormat="1" ht="13.8" x14ac:dyDescent="0.25">
      <c r="A190" s="2">
        <v>1</v>
      </c>
      <c r="B190" s="57" t="s">
        <v>3</v>
      </c>
      <c r="C190" s="57"/>
      <c r="D190" s="57"/>
      <c r="E190" s="57"/>
      <c r="F190" s="57"/>
    </row>
    <row r="191" spans="1:6" s="1" customFormat="1" ht="13.8" x14ac:dyDescent="0.25">
      <c r="A191" s="5" t="s">
        <v>21</v>
      </c>
      <c r="B191" s="6" t="s">
        <v>64</v>
      </c>
      <c r="C191" s="9" t="s">
        <v>5</v>
      </c>
      <c r="D191" s="7">
        <v>1</v>
      </c>
      <c r="E191" s="8"/>
      <c r="F191" s="8">
        <f>+E191*D191</f>
        <v>0</v>
      </c>
    </row>
    <row r="192" spans="1:6" s="11" customFormat="1" ht="41.4" x14ac:dyDescent="0.25">
      <c r="A192" s="5" t="s">
        <v>22</v>
      </c>
      <c r="B192" s="6" t="s">
        <v>54</v>
      </c>
      <c r="C192" s="9" t="s">
        <v>4</v>
      </c>
      <c r="D192" s="9">
        <f>0.3*1*9</f>
        <v>2.6999999999999997</v>
      </c>
      <c r="E192" s="10"/>
      <c r="F192" s="8">
        <f t="shared" ref="F192:F196" si="18">+E192*D192</f>
        <v>0</v>
      </c>
    </row>
    <row r="193" spans="1:7" s="11" customFormat="1" ht="27.6" x14ac:dyDescent="0.25">
      <c r="A193" s="5" t="s">
        <v>23</v>
      </c>
      <c r="B193" s="6" t="s">
        <v>87</v>
      </c>
      <c r="C193" s="9" t="s">
        <v>5</v>
      </c>
      <c r="D193" s="9">
        <v>1</v>
      </c>
      <c r="E193" s="10"/>
      <c r="F193" s="8">
        <f t="shared" si="18"/>
        <v>0</v>
      </c>
    </row>
    <row r="194" spans="1:7" s="11" customFormat="1" ht="41.4" x14ac:dyDescent="0.25">
      <c r="A194" s="5" t="s">
        <v>24</v>
      </c>
      <c r="B194" s="6" t="s">
        <v>55</v>
      </c>
      <c r="C194" s="15" t="s">
        <v>68</v>
      </c>
      <c r="D194" s="9">
        <f>5.2*0.4*0.4*2+7.15*0.4*0.4</f>
        <v>2.8080000000000003</v>
      </c>
      <c r="E194" s="10"/>
      <c r="F194" s="8">
        <f t="shared" si="18"/>
        <v>0</v>
      </c>
    </row>
    <row r="195" spans="1:7" s="11" customFormat="1" ht="41.4" x14ac:dyDescent="0.25">
      <c r="A195" s="5" t="s">
        <v>86</v>
      </c>
      <c r="B195" s="6" t="s">
        <v>6</v>
      </c>
      <c r="C195" s="15" t="s">
        <v>68</v>
      </c>
      <c r="D195" s="9">
        <f>3.2*1*0.45*2</f>
        <v>2.8800000000000003</v>
      </c>
      <c r="E195" s="10"/>
      <c r="F195" s="8">
        <f t="shared" si="18"/>
        <v>0</v>
      </c>
    </row>
    <row r="196" spans="1:7" s="1" customFormat="1" ht="27.6" x14ac:dyDescent="0.25">
      <c r="A196" s="34" t="s">
        <v>140</v>
      </c>
      <c r="B196" s="35" t="s">
        <v>141</v>
      </c>
      <c r="C196" s="15" t="s">
        <v>148</v>
      </c>
      <c r="D196" s="15">
        <f>9*7</f>
        <v>63</v>
      </c>
      <c r="E196" s="36"/>
      <c r="F196" s="8">
        <f t="shared" si="18"/>
        <v>0</v>
      </c>
      <c r="G196" s="37"/>
    </row>
    <row r="197" spans="1:7" s="1" customFormat="1" ht="13.8" x14ac:dyDescent="0.25">
      <c r="A197" s="55" t="s">
        <v>17</v>
      </c>
      <c r="B197" s="55"/>
      <c r="C197" s="55"/>
      <c r="D197" s="55"/>
      <c r="E197" s="55"/>
      <c r="F197" s="12">
        <f>SUM(F191:F196)</f>
        <v>0</v>
      </c>
    </row>
    <row r="198" spans="1:7" s="1" customFormat="1" ht="13.8" x14ac:dyDescent="0.25">
      <c r="A198" s="2">
        <v>2</v>
      </c>
      <c r="B198" s="57" t="s">
        <v>7</v>
      </c>
      <c r="C198" s="57"/>
      <c r="D198" s="57"/>
      <c r="E198" s="57"/>
      <c r="F198" s="57"/>
    </row>
    <row r="199" spans="1:7" s="1" customFormat="1" ht="16.8" x14ac:dyDescent="0.25">
      <c r="A199" s="13" t="s">
        <v>25</v>
      </c>
      <c r="B199" s="6" t="s">
        <v>57</v>
      </c>
      <c r="C199" s="15" t="s">
        <v>68</v>
      </c>
      <c r="D199" s="9">
        <f>5.2*0.4*0.05*2+7.15*0.4*0.05</f>
        <v>0.35100000000000003</v>
      </c>
      <c r="E199" s="8"/>
      <c r="F199" s="8">
        <f t="shared" ref="F199:F204" si="19">+E199*D199</f>
        <v>0</v>
      </c>
    </row>
    <row r="200" spans="1:7" s="1" customFormat="1" ht="27.6" x14ac:dyDescent="0.25">
      <c r="A200" s="13" t="s">
        <v>26</v>
      </c>
      <c r="B200" s="6" t="s">
        <v>56</v>
      </c>
      <c r="C200" s="9" t="s">
        <v>4</v>
      </c>
      <c r="D200" s="9">
        <f>5.2*0.69*2+7.15*0.69</f>
        <v>12.109499999999999</v>
      </c>
      <c r="E200" s="8"/>
      <c r="F200" s="8">
        <f t="shared" si="19"/>
        <v>0</v>
      </c>
    </row>
    <row r="201" spans="1:7" s="1" customFormat="1" ht="27.6" x14ac:dyDescent="0.25">
      <c r="A201" s="13" t="s">
        <v>27</v>
      </c>
      <c r="B201" s="6" t="s">
        <v>60</v>
      </c>
      <c r="C201" s="9" t="s">
        <v>69</v>
      </c>
      <c r="D201" s="7">
        <f>9.4*7.4</f>
        <v>69.56</v>
      </c>
      <c r="E201" s="8"/>
      <c r="F201" s="8">
        <f t="shared" si="19"/>
        <v>0</v>
      </c>
    </row>
    <row r="202" spans="1:7" s="1" customFormat="1" ht="69" x14ac:dyDescent="0.25">
      <c r="A202" s="13" t="s">
        <v>28</v>
      </c>
      <c r="B202" s="6" t="s">
        <v>88</v>
      </c>
      <c r="C202" s="9" t="s">
        <v>70</v>
      </c>
      <c r="D202" s="7">
        <f>9*7*0.1</f>
        <v>6.3000000000000007</v>
      </c>
      <c r="E202" s="8"/>
      <c r="F202" s="8">
        <f t="shared" si="19"/>
        <v>0</v>
      </c>
    </row>
    <row r="203" spans="1:7" s="1" customFormat="1" ht="69" x14ac:dyDescent="0.25">
      <c r="A203" s="13" t="s">
        <v>29</v>
      </c>
      <c r="B203" s="6" t="s">
        <v>58</v>
      </c>
      <c r="C203" s="9" t="s">
        <v>70</v>
      </c>
      <c r="D203" s="7">
        <f>3.2*1*0.08*2</f>
        <v>0.51200000000000001</v>
      </c>
      <c r="E203" s="8"/>
      <c r="F203" s="8">
        <f t="shared" si="19"/>
        <v>0</v>
      </c>
    </row>
    <row r="204" spans="1:7" s="1" customFormat="1" ht="55.2" x14ac:dyDescent="0.25">
      <c r="A204" s="13" t="s">
        <v>30</v>
      </c>
      <c r="B204" s="6" t="s">
        <v>59</v>
      </c>
      <c r="C204" s="9" t="s">
        <v>70</v>
      </c>
      <c r="D204" s="14">
        <f>2*(((1.03*2)+(2.16*0.9))*0.45)/2</f>
        <v>1.8018000000000003</v>
      </c>
      <c r="E204" s="8"/>
      <c r="F204" s="8">
        <f t="shared" si="19"/>
        <v>0</v>
      </c>
    </row>
    <row r="205" spans="1:7" s="1" customFormat="1" ht="13.8" x14ac:dyDescent="0.25">
      <c r="A205" s="55" t="s">
        <v>18</v>
      </c>
      <c r="B205" s="55"/>
      <c r="C205" s="55"/>
      <c r="D205" s="55"/>
      <c r="E205" s="55"/>
      <c r="F205" s="12">
        <f>SUM(F199:F204)</f>
        <v>0</v>
      </c>
    </row>
    <row r="206" spans="1:7" s="1" customFormat="1" ht="13.8" x14ac:dyDescent="0.25">
      <c r="A206" s="2">
        <v>3</v>
      </c>
      <c r="B206" s="57" t="s">
        <v>8</v>
      </c>
      <c r="C206" s="57"/>
      <c r="D206" s="57"/>
      <c r="E206" s="57"/>
      <c r="F206" s="57"/>
    </row>
    <row r="207" spans="1:7" s="1" customFormat="1" ht="44.4" x14ac:dyDescent="0.25">
      <c r="A207" s="13" t="s">
        <v>31</v>
      </c>
      <c r="B207" s="6" t="s">
        <v>71</v>
      </c>
      <c r="C207" s="9" t="s">
        <v>70</v>
      </c>
      <c r="D207" s="7">
        <f>10*0.15*0.15*4</f>
        <v>0.89999999999999991</v>
      </c>
      <c r="E207" s="8"/>
      <c r="F207" s="8">
        <f>+E207*D207</f>
        <v>0</v>
      </c>
    </row>
    <row r="208" spans="1:7" s="1" customFormat="1" ht="44.4" x14ac:dyDescent="0.25">
      <c r="A208" s="13" t="s">
        <v>32</v>
      </c>
      <c r="B208" s="6" t="s">
        <v>72</v>
      </c>
      <c r="C208" s="9" t="s">
        <v>70</v>
      </c>
      <c r="D208" s="7">
        <f>32.6*0.15*0.2</f>
        <v>0.97799999999999998</v>
      </c>
      <c r="E208" s="8"/>
      <c r="F208" s="8">
        <f t="shared" ref="F208:F219" si="20">+E208*D208</f>
        <v>0</v>
      </c>
    </row>
    <row r="209" spans="1:8" s="1" customFormat="1" ht="44.4" x14ac:dyDescent="0.25">
      <c r="A209" s="13" t="s">
        <v>33</v>
      </c>
      <c r="B209" s="6" t="s">
        <v>73</v>
      </c>
      <c r="C209" s="9" t="s">
        <v>70</v>
      </c>
      <c r="D209" s="7">
        <f>23.45*0.15*0.2</f>
        <v>0.70350000000000001</v>
      </c>
      <c r="E209" s="8"/>
      <c r="F209" s="8">
        <f t="shared" si="20"/>
        <v>0</v>
      </c>
    </row>
    <row r="210" spans="1:8" s="1" customFormat="1" ht="16.8" x14ac:dyDescent="0.25">
      <c r="A210" s="13" t="s">
        <v>34</v>
      </c>
      <c r="B210" s="6" t="s">
        <v>74</v>
      </c>
      <c r="C210" s="9" t="s">
        <v>70</v>
      </c>
      <c r="D210" s="7">
        <f>23.45*0.15*0.2</f>
        <v>0.70350000000000001</v>
      </c>
      <c r="E210" s="8"/>
      <c r="F210" s="8">
        <f t="shared" si="20"/>
        <v>0</v>
      </c>
    </row>
    <row r="211" spans="1:8" s="1" customFormat="1" ht="27.6" x14ac:dyDescent="0.25">
      <c r="A211" s="13" t="s">
        <v>35</v>
      </c>
      <c r="B211" s="6" t="s">
        <v>65</v>
      </c>
      <c r="C211" s="9" t="s">
        <v>69</v>
      </c>
      <c r="D211" s="7">
        <f>+((32.6*2.9)-((4*1.8*1.2)+(2*1.2*1.1)))+(7.15*1)</f>
        <v>90.410000000000011</v>
      </c>
      <c r="E211" s="8"/>
      <c r="F211" s="8">
        <f t="shared" si="20"/>
        <v>0</v>
      </c>
    </row>
    <row r="212" spans="1:8" s="1" customFormat="1" ht="13.8" x14ac:dyDescent="0.25">
      <c r="A212" s="13" t="s">
        <v>36</v>
      </c>
      <c r="B212" s="6" t="s">
        <v>90</v>
      </c>
      <c r="C212" s="9" t="s">
        <v>13</v>
      </c>
      <c r="D212" s="7">
        <v>7.3</v>
      </c>
      <c r="E212" s="8"/>
      <c r="F212" s="8">
        <f t="shared" si="20"/>
        <v>0</v>
      </c>
    </row>
    <row r="213" spans="1:8" s="1" customFormat="1" ht="41.4" x14ac:dyDescent="0.25">
      <c r="A213" s="13" t="s">
        <v>37</v>
      </c>
      <c r="B213" s="6" t="s">
        <v>62</v>
      </c>
      <c r="C213" s="9" t="s">
        <v>69</v>
      </c>
      <c r="D213" s="7">
        <f>+D211</f>
        <v>90.410000000000011</v>
      </c>
      <c r="E213" s="8"/>
      <c r="F213" s="8">
        <f t="shared" si="20"/>
        <v>0</v>
      </c>
    </row>
    <row r="214" spans="1:8" s="1" customFormat="1" ht="27.6" x14ac:dyDescent="0.25">
      <c r="A214" s="13" t="s">
        <v>38</v>
      </c>
      <c r="B214" s="6" t="s">
        <v>61</v>
      </c>
      <c r="C214" s="9" t="s">
        <v>69</v>
      </c>
      <c r="D214" s="7">
        <f>+D211</f>
        <v>90.410000000000011</v>
      </c>
      <c r="E214" s="8"/>
      <c r="F214" s="8">
        <f t="shared" si="20"/>
        <v>0</v>
      </c>
    </row>
    <row r="215" spans="1:8" s="1" customFormat="1" ht="27.6" x14ac:dyDescent="0.25">
      <c r="A215" s="13" t="s">
        <v>39</v>
      </c>
      <c r="B215" s="6" t="s">
        <v>66</v>
      </c>
      <c r="C215" s="9" t="s">
        <v>69</v>
      </c>
      <c r="D215" s="7">
        <f>+((32.6*1.6)-((2*1.6*1.2)+(1.8*0.6*4)))</f>
        <v>44</v>
      </c>
      <c r="E215" s="8"/>
      <c r="F215" s="8">
        <f t="shared" si="20"/>
        <v>0</v>
      </c>
    </row>
    <row r="216" spans="1:8" s="1" customFormat="1" ht="27.6" x14ac:dyDescent="0.25">
      <c r="A216" s="13" t="s">
        <v>40</v>
      </c>
      <c r="B216" s="6" t="s">
        <v>63</v>
      </c>
      <c r="C216" s="9" t="s">
        <v>69</v>
      </c>
      <c r="D216" s="7">
        <f>6*1.4*2</f>
        <v>16.799999999999997</v>
      </c>
      <c r="E216" s="8"/>
      <c r="F216" s="8">
        <f t="shared" si="20"/>
        <v>0</v>
      </c>
    </row>
    <row r="217" spans="1:8" s="1" customFormat="1" ht="27.6" x14ac:dyDescent="0.25">
      <c r="A217" s="13" t="s">
        <v>41</v>
      </c>
      <c r="B217" s="6" t="s">
        <v>173</v>
      </c>
      <c r="C217" s="9" t="s">
        <v>69</v>
      </c>
      <c r="D217" s="7">
        <f>+(32.6-1.2)*1</f>
        <v>31.400000000000002</v>
      </c>
      <c r="E217" s="8"/>
      <c r="F217" s="8">
        <f t="shared" si="20"/>
        <v>0</v>
      </c>
    </row>
    <row r="218" spans="1:8" s="1" customFormat="1" ht="41.4" x14ac:dyDescent="0.25">
      <c r="A218" s="13" t="s">
        <v>89</v>
      </c>
      <c r="B218" s="6" t="s">
        <v>189</v>
      </c>
      <c r="C218" s="9" t="s">
        <v>69</v>
      </c>
      <c r="D218" s="7">
        <f>+D213+D217</f>
        <v>121.81000000000002</v>
      </c>
      <c r="E218" s="8"/>
      <c r="F218" s="8">
        <f t="shared" si="20"/>
        <v>0</v>
      </c>
    </row>
    <row r="219" spans="1:8" s="1" customFormat="1" ht="13.8" x14ac:dyDescent="0.25">
      <c r="A219" s="13" t="s">
        <v>191</v>
      </c>
      <c r="B219" s="6" t="s">
        <v>10</v>
      </c>
      <c r="C219" s="9" t="s">
        <v>11</v>
      </c>
      <c r="D219" s="7">
        <v>12</v>
      </c>
      <c r="E219" s="8"/>
      <c r="F219" s="8">
        <f t="shared" si="20"/>
        <v>0</v>
      </c>
    </row>
    <row r="220" spans="1:8" s="1" customFormat="1" ht="13.8" x14ac:dyDescent="0.25">
      <c r="A220" s="55" t="s">
        <v>19</v>
      </c>
      <c r="B220" s="55"/>
      <c r="C220" s="55"/>
      <c r="D220" s="55"/>
      <c r="E220" s="55"/>
      <c r="F220" s="12">
        <f>SUM(F207:F219)</f>
        <v>0</v>
      </c>
    </row>
    <row r="221" spans="1:8" s="1" customFormat="1" ht="13.8" x14ac:dyDescent="0.25">
      <c r="A221" s="2">
        <v>4</v>
      </c>
      <c r="B221" s="57" t="s">
        <v>12</v>
      </c>
      <c r="C221" s="57"/>
      <c r="D221" s="57"/>
      <c r="E221" s="57"/>
      <c r="F221" s="57"/>
    </row>
    <row r="222" spans="1:8" s="1" customFormat="1" ht="55.2" x14ac:dyDescent="0.25">
      <c r="A222" s="13" t="s">
        <v>42</v>
      </c>
      <c r="B222" s="6" t="s">
        <v>174</v>
      </c>
      <c r="C222" s="9" t="s">
        <v>13</v>
      </c>
      <c r="D222" s="9">
        <v>9.6999999999999993</v>
      </c>
      <c r="E222" s="8"/>
      <c r="F222" s="8">
        <f t="shared" ref="F222:F227" si="21">+E222*D222</f>
        <v>0</v>
      </c>
    </row>
    <row r="223" spans="1:8" s="1" customFormat="1" ht="69" x14ac:dyDescent="0.25">
      <c r="A223" s="13" t="s">
        <v>84</v>
      </c>
      <c r="B223" s="6" t="s">
        <v>175</v>
      </c>
      <c r="C223" s="9" t="s">
        <v>13</v>
      </c>
      <c r="D223" s="9">
        <f>4*1</f>
        <v>4</v>
      </c>
      <c r="E223" s="8"/>
      <c r="F223" s="8">
        <f t="shared" si="21"/>
        <v>0</v>
      </c>
    </row>
    <row r="224" spans="1:8" s="1" customFormat="1" ht="48.75" customHeight="1" x14ac:dyDescent="0.25">
      <c r="A224" s="13" t="s">
        <v>85</v>
      </c>
      <c r="B224" s="6" t="s">
        <v>176</v>
      </c>
      <c r="C224" s="9" t="s">
        <v>13</v>
      </c>
      <c r="D224" s="7">
        <f>7.15*2+9.15</f>
        <v>23.450000000000003</v>
      </c>
      <c r="E224" s="8"/>
      <c r="F224" s="8">
        <f t="shared" si="21"/>
        <v>0</v>
      </c>
      <c r="G224" s="41"/>
      <c r="H224" s="37"/>
    </row>
    <row r="225" spans="1:8" s="1" customFormat="1" ht="27.6" x14ac:dyDescent="0.25">
      <c r="A225" s="13" t="s">
        <v>143</v>
      </c>
      <c r="B225" s="6" t="s">
        <v>178</v>
      </c>
      <c r="C225" s="9" t="s">
        <v>69</v>
      </c>
      <c r="D225" s="7">
        <f>1.98*4*2</f>
        <v>15.84</v>
      </c>
      <c r="E225" s="8"/>
      <c r="F225" s="8">
        <f t="shared" si="21"/>
        <v>0</v>
      </c>
    </row>
    <row r="226" spans="1:8" s="1" customFormat="1" ht="27.6" x14ac:dyDescent="0.25">
      <c r="A226" s="13" t="s">
        <v>177</v>
      </c>
      <c r="B226" s="6" t="s">
        <v>180</v>
      </c>
      <c r="C226" s="9" t="s">
        <v>70</v>
      </c>
      <c r="D226" s="7">
        <f>0.4*0.4*0.4*2</f>
        <v>0.12800000000000003</v>
      </c>
      <c r="E226" s="8"/>
      <c r="F226" s="8">
        <f t="shared" si="21"/>
        <v>0</v>
      </c>
    </row>
    <row r="227" spans="1:8" s="1" customFormat="1" ht="55.2" x14ac:dyDescent="0.25">
      <c r="A227" s="13" t="s">
        <v>179</v>
      </c>
      <c r="B227" s="6" t="s">
        <v>192</v>
      </c>
      <c r="C227" s="9" t="s">
        <v>182</v>
      </c>
      <c r="D227" s="7">
        <v>2</v>
      </c>
      <c r="E227" s="8"/>
      <c r="F227" s="8">
        <f t="shared" si="21"/>
        <v>0</v>
      </c>
    </row>
    <row r="228" spans="1:8" s="1" customFormat="1" ht="13.8" x14ac:dyDescent="0.25">
      <c r="A228" s="55" t="s">
        <v>20</v>
      </c>
      <c r="B228" s="55"/>
      <c r="C228" s="55"/>
      <c r="D228" s="55"/>
      <c r="E228" s="55"/>
      <c r="F228" s="12">
        <f>SUM(F222:F227)</f>
        <v>0</v>
      </c>
    </row>
    <row r="229" spans="1:8" s="1" customFormat="1" ht="13.8" x14ac:dyDescent="0.25">
      <c r="A229" s="2">
        <v>5</v>
      </c>
      <c r="B229" s="57" t="s">
        <v>50</v>
      </c>
      <c r="C229" s="57"/>
      <c r="D229" s="57"/>
      <c r="E229" s="57"/>
      <c r="F229" s="57"/>
    </row>
    <row r="230" spans="1:8" s="1" customFormat="1" ht="55.2" x14ac:dyDescent="0.25">
      <c r="A230" s="13" t="s">
        <v>43</v>
      </c>
      <c r="B230" s="6" t="s">
        <v>150</v>
      </c>
      <c r="C230" s="9" t="s">
        <v>11</v>
      </c>
      <c r="D230" s="7">
        <v>2</v>
      </c>
      <c r="E230" s="8"/>
      <c r="F230" s="8">
        <f>+E230*D230</f>
        <v>0</v>
      </c>
    </row>
    <row r="231" spans="1:8" s="1" customFormat="1" ht="96.6" x14ac:dyDescent="0.25">
      <c r="A231" s="13" t="s">
        <v>44</v>
      </c>
      <c r="B231" s="6" t="s">
        <v>193</v>
      </c>
      <c r="C231" s="9" t="s">
        <v>11</v>
      </c>
      <c r="D231" s="7">
        <v>4</v>
      </c>
      <c r="E231" s="8"/>
      <c r="F231" s="8">
        <f t="shared" ref="F231:F232" si="22">+E231*D231</f>
        <v>0</v>
      </c>
    </row>
    <row r="232" spans="1:8" s="1" customFormat="1" ht="83.4" customHeight="1" x14ac:dyDescent="0.25">
      <c r="A232" s="13" t="s">
        <v>45</v>
      </c>
      <c r="B232" s="6" t="s">
        <v>185</v>
      </c>
      <c r="C232" s="9" t="s">
        <v>13</v>
      </c>
      <c r="D232" s="7">
        <f>2*(((2.05*2)+1.1)*3)+(0.6*34)</f>
        <v>51.599999999999994</v>
      </c>
      <c r="E232" s="8"/>
      <c r="F232" s="8">
        <f t="shared" si="22"/>
        <v>0</v>
      </c>
      <c r="G232" s="41"/>
    </row>
    <row r="233" spans="1:8" s="1" customFormat="1" ht="13.8" x14ac:dyDescent="0.25">
      <c r="A233" s="55" t="s">
        <v>51</v>
      </c>
      <c r="B233" s="55"/>
      <c r="C233" s="55"/>
      <c r="D233" s="55"/>
      <c r="E233" s="55"/>
      <c r="F233" s="12">
        <f>SUM(F230:F232)</f>
        <v>0</v>
      </c>
    </row>
    <row r="234" spans="1:8" s="1" customFormat="1" ht="13.8" x14ac:dyDescent="0.25">
      <c r="A234" s="2">
        <v>6</v>
      </c>
      <c r="B234" s="57" t="s">
        <v>14</v>
      </c>
      <c r="C234" s="57"/>
      <c r="D234" s="57"/>
      <c r="E234" s="57"/>
      <c r="F234" s="57"/>
    </row>
    <row r="235" spans="1:8" s="1" customFormat="1" ht="16.8" x14ac:dyDescent="0.25">
      <c r="A235" s="13" t="s">
        <v>46</v>
      </c>
      <c r="B235" s="6" t="s">
        <v>15</v>
      </c>
      <c r="C235" s="9" t="s">
        <v>69</v>
      </c>
      <c r="D235" s="7">
        <f>2*((2*1.2*2.2)+(4*1.8*1.2))</f>
        <v>27.840000000000003</v>
      </c>
      <c r="E235" s="8"/>
      <c r="F235" s="8">
        <f>+E235*D235</f>
        <v>0</v>
      </c>
    </row>
    <row r="236" spans="1:8" s="1" customFormat="1" ht="27.6" x14ac:dyDescent="0.25">
      <c r="A236" s="13" t="s">
        <v>47</v>
      </c>
      <c r="B236" s="44" t="s">
        <v>187</v>
      </c>
      <c r="C236" s="45" t="s">
        <v>69</v>
      </c>
      <c r="D236" s="46">
        <f>+(32.6*4)-((2*1.2*2.2)+(4*1.8*1.2))</f>
        <v>116.48</v>
      </c>
      <c r="E236" s="47"/>
      <c r="F236" s="8">
        <f t="shared" ref="F236:F238" si="23">+E236*D236</f>
        <v>0</v>
      </c>
      <c r="G236" s="41"/>
      <c r="H236" s="48"/>
    </row>
    <row r="237" spans="1:8" s="1" customFormat="1" ht="27.6" x14ac:dyDescent="0.25">
      <c r="A237" s="13" t="s">
        <v>48</v>
      </c>
      <c r="B237" s="44" t="s">
        <v>186</v>
      </c>
      <c r="C237" s="9" t="s">
        <v>69</v>
      </c>
      <c r="D237" s="7">
        <f>+(32.6*4)-((2*1.2*2.2)+(4*1.8*1.2))</f>
        <v>116.48</v>
      </c>
      <c r="E237" s="8"/>
      <c r="F237" s="8">
        <f t="shared" si="23"/>
        <v>0</v>
      </c>
    </row>
    <row r="238" spans="1:8" s="1" customFormat="1" ht="16.8" x14ac:dyDescent="0.25">
      <c r="A238" s="13" t="s">
        <v>49</v>
      </c>
      <c r="B238" s="6" t="s">
        <v>52</v>
      </c>
      <c r="C238" s="9" t="s">
        <v>69</v>
      </c>
      <c r="D238" s="7">
        <f>6*1.4*2</f>
        <v>16.799999999999997</v>
      </c>
      <c r="E238" s="8"/>
      <c r="F238" s="8">
        <f t="shared" si="23"/>
        <v>0</v>
      </c>
    </row>
    <row r="239" spans="1:8" s="1" customFormat="1" ht="13.8" x14ac:dyDescent="0.25">
      <c r="A239" s="55" t="s">
        <v>53</v>
      </c>
      <c r="B239" s="55"/>
      <c r="C239" s="55"/>
      <c r="D239" s="55"/>
      <c r="E239" s="55"/>
      <c r="F239" s="12">
        <f>SUM(F235:F238)</f>
        <v>0</v>
      </c>
    </row>
    <row r="240" spans="1:8" x14ac:dyDescent="0.3">
      <c r="A240" s="2">
        <v>7</v>
      </c>
      <c r="B240" s="57" t="s">
        <v>91</v>
      </c>
      <c r="C240" s="57"/>
      <c r="D240" s="57"/>
      <c r="E240" s="57"/>
      <c r="F240" s="57"/>
    </row>
    <row r="241" spans="1:6" ht="27.6" x14ac:dyDescent="0.3">
      <c r="A241" s="25" t="s">
        <v>92</v>
      </c>
      <c r="B241" s="6" t="s">
        <v>93</v>
      </c>
      <c r="C241" s="9" t="s">
        <v>11</v>
      </c>
      <c r="D241" s="9">
        <v>100</v>
      </c>
      <c r="E241" s="26"/>
      <c r="F241" s="8">
        <f>D241*E241</f>
        <v>0</v>
      </c>
    </row>
    <row r="242" spans="1:6" x14ac:dyDescent="0.3">
      <c r="A242" s="55" t="s">
        <v>94</v>
      </c>
      <c r="B242" s="55"/>
      <c r="C242" s="55"/>
      <c r="D242" s="55"/>
      <c r="E242" s="55"/>
      <c r="F242" s="12">
        <f>F241</f>
        <v>0</v>
      </c>
    </row>
    <row r="243" spans="1:6" s="1" customFormat="1" ht="13.8" x14ac:dyDescent="0.25">
      <c r="A243" s="56" t="s">
        <v>112</v>
      </c>
      <c r="B243" s="56"/>
      <c r="C243" s="56"/>
      <c r="D243" s="56"/>
      <c r="E243" s="56"/>
      <c r="F243" s="23">
        <f>SUM(F242,F239,F233,F228,F220,F205,F197)</f>
        <v>0</v>
      </c>
    </row>
    <row r="244" spans="1:6" s="1" customFormat="1" ht="13.8" x14ac:dyDescent="0.25">
      <c r="A244" s="56" t="s">
        <v>114</v>
      </c>
      <c r="B244" s="56"/>
      <c r="C244" s="56"/>
      <c r="D244" s="56"/>
      <c r="E244" s="56"/>
      <c r="F244" s="23">
        <f>+F243*0.18</f>
        <v>0</v>
      </c>
    </row>
    <row r="245" spans="1:6" s="1" customFormat="1" ht="13.8" x14ac:dyDescent="0.25">
      <c r="A245" s="56" t="s">
        <v>155</v>
      </c>
      <c r="B245" s="56"/>
      <c r="C245" s="56"/>
      <c r="D245" s="56"/>
      <c r="E245" s="56"/>
      <c r="F245" s="23">
        <f>+F243+F244</f>
        <v>0</v>
      </c>
    </row>
    <row r="249" spans="1:6" x14ac:dyDescent="0.3">
      <c r="A249" s="60" t="s">
        <v>125</v>
      </c>
      <c r="B249" s="60"/>
      <c r="C249" s="60"/>
      <c r="D249" s="60"/>
      <c r="E249" s="60"/>
      <c r="F249" s="60"/>
    </row>
    <row r="250" spans="1:6" ht="31.2" customHeight="1" x14ac:dyDescent="0.3">
      <c r="A250" s="61" t="s">
        <v>78</v>
      </c>
      <c r="B250" s="62" t="s">
        <v>169</v>
      </c>
      <c r="C250" s="62"/>
      <c r="D250" s="62"/>
      <c r="E250" s="17" t="s">
        <v>105</v>
      </c>
      <c r="F250" s="24">
        <f>F57</f>
        <v>0</v>
      </c>
    </row>
    <row r="251" spans="1:6" ht="28.2" customHeight="1" x14ac:dyDescent="0.3">
      <c r="A251" s="61"/>
      <c r="B251" s="62"/>
      <c r="C251" s="62"/>
      <c r="D251" s="62"/>
      <c r="E251" s="18" t="s">
        <v>79</v>
      </c>
      <c r="F251" s="24">
        <f>F59</f>
        <v>0</v>
      </c>
    </row>
    <row r="252" spans="1:6" ht="27.6" customHeight="1" x14ac:dyDescent="0.3">
      <c r="A252" s="61" t="s">
        <v>97</v>
      </c>
      <c r="B252" s="62" t="s">
        <v>170</v>
      </c>
      <c r="C252" s="62"/>
      <c r="D252" s="62"/>
      <c r="E252" s="17" t="s">
        <v>106</v>
      </c>
      <c r="F252" s="24">
        <f>F117</f>
        <v>0</v>
      </c>
    </row>
    <row r="253" spans="1:6" ht="31.2" customHeight="1" x14ac:dyDescent="0.3">
      <c r="A253" s="61"/>
      <c r="B253" s="62"/>
      <c r="C253" s="62"/>
      <c r="D253" s="62"/>
      <c r="E253" s="18" t="s">
        <v>107</v>
      </c>
      <c r="F253" s="24">
        <f>F119</f>
        <v>0</v>
      </c>
    </row>
    <row r="254" spans="1:6" ht="27.6" customHeight="1" x14ac:dyDescent="0.3">
      <c r="A254" s="61" t="s">
        <v>99</v>
      </c>
      <c r="B254" s="62" t="s">
        <v>171</v>
      </c>
      <c r="C254" s="62"/>
      <c r="D254" s="62"/>
      <c r="E254" s="17" t="s">
        <v>108</v>
      </c>
      <c r="F254" s="24">
        <f>F180</f>
        <v>0</v>
      </c>
    </row>
    <row r="255" spans="1:6" ht="28.8" customHeight="1" x14ac:dyDescent="0.3">
      <c r="A255" s="61"/>
      <c r="B255" s="62"/>
      <c r="C255" s="62"/>
      <c r="D255" s="62"/>
      <c r="E255" s="18" t="s">
        <v>109</v>
      </c>
      <c r="F255" s="24">
        <f>F182</f>
        <v>0</v>
      </c>
    </row>
    <row r="256" spans="1:6" ht="25.2" customHeight="1" x14ac:dyDescent="0.3">
      <c r="A256" s="61" t="s">
        <v>102</v>
      </c>
      <c r="B256" s="62" t="s">
        <v>172</v>
      </c>
      <c r="C256" s="62"/>
      <c r="D256" s="62"/>
      <c r="E256" s="17" t="s">
        <v>110</v>
      </c>
      <c r="F256" s="24">
        <f>F243</f>
        <v>0</v>
      </c>
    </row>
    <row r="257" spans="1:7" ht="25.2" customHeight="1" x14ac:dyDescent="0.3">
      <c r="A257" s="61"/>
      <c r="B257" s="62"/>
      <c r="C257" s="62"/>
      <c r="D257" s="62"/>
      <c r="E257" s="18" t="s">
        <v>111</v>
      </c>
      <c r="F257" s="24">
        <f>F245</f>
        <v>0</v>
      </c>
    </row>
    <row r="258" spans="1:7" ht="18" x14ac:dyDescent="0.35">
      <c r="A258" s="63" t="s">
        <v>127</v>
      </c>
      <c r="B258" s="64"/>
      <c r="C258" s="64"/>
      <c r="D258" s="64"/>
      <c r="E258" s="65"/>
      <c r="F258" s="30">
        <f>SUM(F250,F252,F254,F256)</f>
        <v>0</v>
      </c>
      <c r="G258" s="31">
        <f>F258/655.957</f>
        <v>0</v>
      </c>
    </row>
    <row r="259" spans="1:7" ht="18" x14ac:dyDescent="0.35">
      <c r="A259" s="66" t="s">
        <v>104</v>
      </c>
      <c r="B259" s="67"/>
      <c r="C259" s="67"/>
      <c r="D259" s="67"/>
      <c r="E259" s="68"/>
      <c r="F259" s="30">
        <f>SUM(F244,F181,F118,F58)</f>
        <v>0</v>
      </c>
      <c r="G259" s="31">
        <f t="shared" ref="G259:G260" si="24">F259/655.957</f>
        <v>0</v>
      </c>
    </row>
    <row r="260" spans="1:7" ht="18" x14ac:dyDescent="0.35">
      <c r="A260" s="63" t="s">
        <v>126</v>
      </c>
      <c r="B260" s="64"/>
      <c r="C260" s="64"/>
      <c r="D260" s="64"/>
      <c r="E260" s="65"/>
      <c r="F260" s="30">
        <f>SUM(F251,F253,F255,F257)</f>
        <v>0</v>
      </c>
      <c r="G260" s="31">
        <f t="shared" si="24"/>
        <v>0</v>
      </c>
    </row>
  </sheetData>
  <mergeCells count="88">
    <mergeCell ref="A260:E260"/>
    <mergeCell ref="A254:A255"/>
    <mergeCell ref="B254:D255"/>
    <mergeCell ref="A256:A257"/>
    <mergeCell ref="B256:D257"/>
    <mergeCell ref="A258:E258"/>
    <mergeCell ref="A259:E259"/>
    <mergeCell ref="A245:E245"/>
    <mergeCell ref="A249:F249"/>
    <mergeCell ref="A250:A251"/>
    <mergeCell ref="B250:D251"/>
    <mergeCell ref="A252:A253"/>
    <mergeCell ref="B252:D253"/>
    <mergeCell ref="A244:E244"/>
    <mergeCell ref="B206:F206"/>
    <mergeCell ref="A220:E220"/>
    <mergeCell ref="B221:F221"/>
    <mergeCell ref="A228:E228"/>
    <mergeCell ref="B229:F229"/>
    <mergeCell ref="A233:E233"/>
    <mergeCell ref="B234:F234"/>
    <mergeCell ref="A239:E239"/>
    <mergeCell ref="B240:F240"/>
    <mergeCell ref="A242:E242"/>
    <mergeCell ref="A243:E243"/>
    <mergeCell ref="A205:E205"/>
    <mergeCell ref="A176:E176"/>
    <mergeCell ref="A180:E180"/>
    <mergeCell ref="A181:E181"/>
    <mergeCell ref="A182:E182"/>
    <mergeCell ref="B177:F177"/>
    <mergeCell ref="A179:E179"/>
    <mergeCell ref="A186:F186"/>
    <mergeCell ref="A188:F188"/>
    <mergeCell ref="B190:F190"/>
    <mergeCell ref="A197:E197"/>
    <mergeCell ref="B198:F198"/>
    <mergeCell ref="B171:F171"/>
    <mergeCell ref="A125:F125"/>
    <mergeCell ref="B127:F127"/>
    <mergeCell ref="A134:E134"/>
    <mergeCell ref="B135:F135"/>
    <mergeCell ref="A142:E142"/>
    <mergeCell ref="B143:F143"/>
    <mergeCell ref="A157:E157"/>
    <mergeCell ref="B158:F158"/>
    <mergeCell ref="A165:E165"/>
    <mergeCell ref="B166:F166"/>
    <mergeCell ref="A170:E170"/>
    <mergeCell ref="A123:F123"/>
    <mergeCell ref="B95:F95"/>
    <mergeCell ref="A102:E102"/>
    <mergeCell ref="B103:F103"/>
    <mergeCell ref="A107:E107"/>
    <mergeCell ref="B108:F108"/>
    <mergeCell ref="A113:E113"/>
    <mergeCell ref="A117:E117"/>
    <mergeCell ref="A118:E118"/>
    <mergeCell ref="A119:E119"/>
    <mergeCell ref="B114:F114"/>
    <mergeCell ref="A116:E116"/>
    <mergeCell ref="A94:E94"/>
    <mergeCell ref="B54:F54"/>
    <mergeCell ref="A56:E56"/>
    <mergeCell ref="A63:F63"/>
    <mergeCell ref="A65:F65"/>
    <mergeCell ref="B67:F67"/>
    <mergeCell ref="A74:E74"/>
    <mergeCell ref="B75:F75"/>
    <mergeCell ref="A82:E82"/>
    <mergeCell ref="B83:F83"/>
    <mergeCell ref="A21:E21"/>
    <mergeCell ref="B22:F22"/>
    <mergeCell ref="A33:E33"/>
    <mergeCell ref="B34:F34"/>
    <mergeCell ref="A47:E47"/>
    <mergeCell ref="A2:F2"/>
    <mergeCell ref="A4:F4"/>
    <mergeCell ref="B6:F6"/>
    <mergeCell ref="A13:E13"/>
    <mergeCell ref="B14:F14"/>
    <mergeCell ref="A53:E53"/>
    <mergeCell ref="A57:E57"/>
    <mergeCell ref="A58:E58"/>
    <mergeCell ref="A59:E59"/>
    <mergeCell ref="A42:E42"/>
    <mergeCell ref="B43:F43"/>
    <mergeCell ref="B48:F48"/>
  </mergeCells>
  <phoneticPr fontId="1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E4111-F680-4873-AE7E-B508BBDBA64D}">
  <dimension ref="A1:H66"/>
  <sheetViews>
    <sheetView topLeftCell="A49" workbookViewId="0">
      <selection activeCell="F63" sqref="F63"/>
    </sheetView>
  </sheetViews>
  <sheetFormatPr baseColWidth="10" defaultRowHeight="14.4" x14ac:dyDescent="0.3"/>
  <cols>
    <col min="1" max="1" width="5.109375" customWidth="1"/>
    <col min="2" max="2" width="40.33203125" customWidth="1"/>
    <col min="3" max="3" width="8.5546875" customWidth="1"/>
    <col min="5" max="5" width="17.33203125" customWidth="1"/>
    <col min="6" max="6" width="24.33203125" customWidth="1"/>
    <col min="7" max="7" width="20.88671875" customWidth="1"/>
  </cols>
  <sheetData>
    <row r="1" spans="1:7" s="1" customFormat="1" ht="13.8" x14ac:dyDescent="0.25">
      <c r="A1" s="58" t="s">
        <v>96</v>
      </c>
      <c r="B1" s="58"/>
      <c r="C1" s="58"/>
      <c r="D1" s="58"/>
      <c r="E1" s="58"/>
      <c r="F1" s="58"/>
    </row>
    <row r="2" spans="1:7" s="1" customFormat="1" ht="13.8" x14ac:dyDescent="0.25">
      <c r="A2" s="19"/>
      <c r="B2" s="19"/>
      <c r="C2" s="19"/>
      <c r="D2" s="19"/>
      <c r="E2" s="19"/>
      <c r="F2" s="19"/>
    </row>
    <row r="3" spans="1:7" s="1" customFormat="1" ht="31.5" customHeight="1" x14ac:dyDescent="0.25">
      <c r="A3" s="59" t="s">
        <v>146</v>
      </c>
      <c r="B3" s="59"/>
      <c r="C3" s="59"/>
      <c r="D3" s="59"/>
      <c r="E3" s="59"/>
      <c r="F3" s="59"/>
    </row>
    <row r="4" spans="1:7" s="1" customFormat="1" ht="13.8" x14ac:dyDescent="0.25">
      <c r="A4" s="2" t="s">
        <v>0</v>
      </c>
      <c r="B4" s="3" t="s">
        <v>1</v>
      </c>
      <c r="C4" s="3" t="s">
        <v>2</v>
      </c>
      <c r="D4" s="3" t="s">
        <v>16</v>
      </c>
      <c r="E4" s="4" t="s">
        <v>81</v>
      </c>
      <c r="F4" s="4" t="s">
        <v>83</v>
      </c>
      <c r="G4" s="11"/>
    </row>
    <row r="5" spans="1:7" s="1" customFormat="1" ht="13.8" x14ac:dyDescent="0.25">
      <c r="A5" s="2">
        <v>1</v>
      </c>
      <c r="B5" s="57" t="s">
        <v>3</v>
      </c>
      <c r="C5" s="57"/>
      <c r="D5" s="57"/>
      <c r="E5" s="57"/>
      <c r="F5" s="57"/>
    </row>
    <row r="6" spans="1:7" s="1" customFormat="1" ht="13.8" x14ac:dyDescent="0.25">
      <c r="A6" s="5" t="s">
        <v>21</v>
      </c>
      <c r="B6" s="6" t="s">
        <v>64</v>
      </c>
      <c r="C6" s="9" t="s">
        <v>5</v>
      </c>
      <c r="D6" s="7">
        <v>1</v>
      </c>
      <c r="E6" s="8"/>
      <c r="F6" s="8">
        <f>+E6*D6</f>
        <v>0</v>
      </c>
    </row>
    <row r="7" spans="1:7" s="11" customFormat="1" ht="41.4" x14ac:dyDescent="0.25">
      <c r="A7" s="5" t="s">
        <v>22</v>
      </c>
      <c r="B7" s="6" t="s">
        <v>54</v>
      </c>
      <c r="C7" s="9" t="s">
        <v>4</v>
      </c>
      <c r="D7" s="9">
        <f>0.3*1*31</f>
        <v>9.2999999999999989</v>
      </c>
      <c r="E7" s="10"/>
      <c r="F7" s="8">
        <f t="shared" ref="F7:F11" si="0">+E7*D7</f>
        <v>0</v>
      </c>
    </row>
    <row r="8" spans="1:7" s="11" customFormat="1" ht="30" customHeight="1" x14ac:dyDescent="0.25">
      <c r="A8" s="5" t="s">
        <v>23</v>
      </c>
      <c r="B8" s="6" t="s">
        <v>87</v>
      </c>
      <c r="C8" s="9" t="s">
        <v>5</v>
      </c>
      <c r="D8" s="9">
        <v>1</v>
      </c>
      <c r="E8" s="10"/>
      <c r="F8" s="8">
        <f t="shared" si="0"/>
        <v>0</v>
      </c>
    </row>
    <row r="9" spans="1:7" s="11" customFormat="1" ht="70.5" customHeight="1" x14ac:dyDescent="0.25">
      <c r="A9" s="5" t="s">
        <v>24</v>
      </c>
      <c r="B9" s="6" t="s">
        <v>138</v>
      </c>
      <c r="C9" s="15" t="s">
        <v>68</v>
      </c>
      <c r="D9" s="32">
        <f>((5.36+5.03*3.93)*0.4*0.4)*8</f>
        <v>32.163712000000004</v>
      </c>
      <c r="E9" s="10"/>
      <c r="F9" s="8">
        <f t="shared" si="0"/>
        <v>0</v>
      </c>
      <c r="G9" s="33"/>
    </row>
    <row r="10" spans="1:7" s="11" customFormat="1" ht="63.75" customHeight="1" x14ac:dyDescent="0.25">
      <c r="A10" s="5" t="s">
        <v>86</v>
      </c>
      <c r="B10" s="6" t="s">
        <v>6</v>
      </c>
      <c r="C10" s="15" t="s">
        <v>139</v>
      </c>
      <c r="D10" s="9">
        <f>3.2*1*0.45*8</f>
        <v>11.520000000000001</v>
      </c>
      <c r="E10" s="10"/>
      <c r="F10" s="8">
        <f t="shared" si="0"/>
        <v>0</v>
      </c>
      <c r="G10" s="33"/>
    </row>
    <row r="11" spans="1:7" s="1" customFormat="1" ht="30.75" customHeight="1" x14ac:dyDescent="0.25">
      <c r="A11" s="34" t="s">
        <v>140</v>
      </c>
      <c r="B11" s="35" t="s">
        <v>141</v>
      </c>
      <c r="C11" s="15" t="s">
        <v>142</v>
      </c>
      <c r="D11" s="15">
        <f>63*4</f>
        <v>252</v>
      </c>
      <c r="E11" s="36"/>
      <c r="F11" s="8">
        <f t="shared" si="0"/>
        <v>0</v>
      </c>
    </row>
    <row r="12" spans="1:7" s="1" customFormat="1" ht="13.8" x14ac:dyDescent="0.25">
      <c r="A12" s="55" t="s">
        <v>17</v>
      </c>
      <c r="B12" s="55"/>
      <c r="C12" s="55"/>
      <c r="D12" s="55"/>
      <c r="E12" s="55"/>
      <c r="F12" s="12">
        <f>SUM(F6:F11)</f>
        <v>0</v>
      </c>
    </row>
    <row r="13" spans="1:7" s="1" customFormat="1" ht="13.8" x14ac:dyDescent="0.25">
      <c r="A13" s="2">
        <v>2</v>
      </c>
      <c r="B13" s="57" t="s">
        <v>7</v>
      </c>
      <c r="C13" s="57"/>
      <c r="D13" s="57"/>
      <c r="E13" s="57"/>
      <c r="F13" s="57"/>
    </row>
    <row r="14" spans="1:7" s="1" customFormat="1" ht="16.8" x14ac:dyDescent="0.25">
      <c r="A14" s="13" t="s">
        <v>25</v>
      </c>
      <c r="B14" s="6" t="s">
        <v>57</v>
      </c>
      <c r="C14" s="15" t="s">
        <v>68</v>
      </c>
      <c r="D14" s="9">
        <f>5.2*0.4*0.05*8</f>
        <v>0.83200000000000007</v>
      </c>
      <c r="E14" s="8"/>
      <c r="F14" s="8">
        <f t="shared" ref="F14:F19" si="1">+E14*D14</f>
        <v>0</v>
      </c>
    </row>
    <row r="15" spans="1:7" s="1" customFormat="1" ht="27.6" x14ac:dyDescent="0.25">
      <c r="A15" s="13" t="s">
        <v>26</v>
      </c>
      <c r="B15" s="6" t="s">
        <v>56</v>
      </c>
      <c r="C15" s="9" t="s">
        <v>4</v>
      </c>
      <c r="D15" s="9">
        <f>5.2*0.69*8</f>
        <v>28.703999999999997</v>
      </c>
      <c r="E15" s="8"/>
      <c r="F15" s="8">
        <f t="shared" si="1"/>
        <v>0</v>
      </c>
    </row>
    <row r="16" spans="1:7" s="1" customFormat="1" ht="27.6" x14ac:dyDescent="0.25">
      <c r="A16" s="13" t="s">
        <v>27</v>
      </c>
      <c r="B16" s="6" t="s">
        <v>60</v>
      </c>
      <c r="C16" s="9" t="s">
        <v>69</v>
      </c>
      <c r="D16" s="7">
        <f>9.4*7.4*4</f>
        <v>278.24</v>
      </c>
      <c r="E16" s="8"/>
      <c r="F16" s="8">
        <f t="shared" si="1"/>
        <v>0</v>
      </c>
    </row>
    <row r="17" spans="1:6" s="1" customFormat="1" ht="69" x14ac:dyDescent="0.25">
      <c r="A17" s="13" t="s">
        <v>28</v>
      </c>
      <c r="B17" s="6" t="s">
        <v>88</v>
      </c>
      <c r="C17" s="9" t="s">
        <v>70</v>
      </c>
      <c r="D17" s="7">
        <f>9*7*0.1*4</f>
        <v>25.200000000000003</v>
      </c>
      <c r="E17" s="8"/>
      <c r="F17" s="8">
        <f t="shared" si="1"/>
        <v>0</v>
      </c>
    </row>
    <row r="18" spans="1:6" s="1" customFormat="1" ht="69" x14ac:dyDescent="0.25">
      <c r="A18" s="13" t="s">
        <v>29</v>
      </c>
      <c r="B18" s="6" t="s">
        <v>58</v>
      </c>
      <c r="C18" s="9" t="s">
        <v>70</v>
      </c>
      <c r="D18" s="7">
        <f>3.2*1*0.08*8</f>
        <v>2.048</v>
      </c>
      <c r="E18" s="8"/>
      <c r="F18" s="8">
        <f t="shared" si="1"/>
        <v>0</v>
      </c>
    </row>
    <row r="19" spans="1:6" s="1" customFormat="1" ht="55.2" x14ac:dyDescent="0.25">
      <c r="A19" s="13" t="s">
        <v>30</v>
      </c>
      <c r="B19" s="6" t="s">
        <v>59</v>
      </c>
      <c r="C19" s="9" t="s">
        <v>70</v>
      </c>
      <c r="D19" s="14">
        <f>8*(((1.03*2)+(2.16*0.9))*0.45)/2</f>
        <v>7.2072000000000012</v>
      </c>
      <c r="E19" s="8"/>
      <c r="F19" s="8">
        <f t="shared" si="1"/>
        <v>0</v>
      </c>
    </row>
    <row r="20" spans="1:6" s="1" customFormat="1" ht="13.8" x14ac:dyDescent="0.25">
      <c r="A20" s="55" t="s">
        <v>18</v>
      </c>
      <c r="B20" s="55"/>
      <c r="C20" s="55"/>
      <c r="D20" s="55"/>
      <c r="E20" s="55"/>
      <c r="F20" s="12">
        <f>SUM(F14:F19)</f>
        <v>0</v>
      </c>
    </row>
    <row r="21" spans="1:6" s="1" customFormat="1" ht="13.8" x14ac:dyDescent="0.25">
      <c r="A21" s="2">
        <v>3</v>
      </c>
      <c r="B21" s="57" t="s">
        <v>8</v>
      </c>
      <c r="C21" s="57"/>
      <c r="D21" s="57"/>
      <c r="E21" s="57"/>
      <c r="F21" s="57"/>
    </row>
    <row r="22" spans="1:6" s="1" customFormat="1" ht="51.75" customHeight="1" x14ac:dyDescent="0.25">
      <c r="A22" s="13" t="s">
        <v>31</v>
      </c>
      <c r="B22" s="6" t="s">
        <v>71</v>
      </c>
      <c r="C22" s="9" t="s">
        <v>70</v>
      </c>
      <c r="D22" s="7">
        <f>31*0.15*0.15*4</f>
        <v>2.7899999999999996</v>
      </c>
      <c r="E22" s="8"/>
      <c r="F22" s="8">
        <f>+E22*D22</f>
        <v>0</v>
      </c>
    </row>
    <row r="23" spans="1:6" s="1" customFormat="1" ht="44.4" x14ac:dyDescent="0.25">
      <c r="A23" s="13" t="s">
        <v>32</v>
      </c>
      <c r="B23" s="6" t="s">
        <v>72</v>
      </c>
      <c r="C23" s="9" t="s">
        <v>70</v>
      </c>
      <c r="D23" s="14">
        <f>108.95*0.15*0.2</f>
        <v>3.2685000000000004</v>
      </c>
      <c r="E23" s="8"/>
      <c r="F23" s="8">
        <f t="shared" ref="F23:F31" si="2">+E23*D23</f>
        <v>0</v>
      </c>
    </row>
    <row r="24" spans="1:6" s="1" customFormat="1" ht="27.6" x14ac:dyDescent="0.25">
      <c r="A24" s="13" t="s">
        <v>33</v>
      </c>
      <c r="B24" s="6" t="s">
        <v>67</v>
      </c>
      <c r="C24" s="9" t="s">
        <v>69</v>
      </c>
      <c r="D24" s="7">
        <f>+((108.95*2.9)-((4*1.8*1.2)+(2*1.2*1.1)))</f>
        <v>304.67499999999995</v>
      </c>
      <c r="E24" s="8"/>
      <c r="F24" s="8">
        <f t="shared" si="2"/>
        <v>0</v>
      </c>
    </row>
    <row r="25" spans="1:6" s="1" customFormat="1" ht="41.4" x14ac:dyDescent="0.25">
      <c r="A25" s="13" t="s">
        <v>34</v>
      </c>
      <c r="B25" s="6" t="s">
        <v>62</v>
      </c>
      <c r="C25" s="9" t="s">
        <v>69</v>
      </c>
      <c r="D25" s="7">
        <f>+D24+(7*2.9*3)</f>
        <v>365.57499999999993</v>
      </c>
      <c r="E25" s="8"/>
      <c r="F25" s="8">
        <f t="shared" si="2"/>
        <v>0</v>
      </c>
    </row>
    <row r="26" spans="1:6" s="1" customFormat="1" ht="27.6" x14ac:dyDescent="0.25">
      <c r="A26" s="13" t="s">
        <v>35</v>
      </c>
      <c r="B26" s="6" t="s">
        <v>61</v>
      </c>
      <c r="C26" s="9" t="s">
        <v>69</v>
      </c>
      <c r="D26" s="7">
        <f>+D24-(7*2.9*3)</f>
        <v>243.77499999999995</v>
      </c>
      <c r="E26" s="8"/>
      <c r="F26" s="8">
        <f t="shared" si="2"/>
        <v>0</v>
      </c>
    </row>
    <row r="27" spans="1:6" s="1" customFormat="1" ht="27.6" x14ac:dyDescent="0.25">
      <c r="A27" s="13" t="s">
        <v>36</v>
      </c>
      <c r="B27" s="6" t="s">
        <v>66</v>
      </c>
      <c r="C27" s="9" t="s">
        <v>69</v>
      </c>
      <c r="D27" s="7">
        <f>+((108.95*1.6)-((6*1.6*1.2)+(1.8*0.6*12)))</f>
        <v>149.84000000000003</v>
      </c>
      <c r="E27" s="8"/>
      <c r="F27" s="8">
        <f t="shared" si="2"/>
        <v>0</v>
      </c>
    </row>
    <row r="28" spans="1:6" s="1" customFormat="1" ht="27.6" x14ac:dyDescent="0.25">
      <c r="A28" s="13" t="s">
        <v>37</v>
      </c>
      <c r="B28" s="6" t="s">
        <v>63</v>
      </c>
      <c r="C28" s="9" t="s">
        <v>69</v>
      </c>
      <c r="D28" s="7">
        <f>6*1.4*8</f>
        <v>67.199999999999989</v>
      </c>
      <c r="E28" s="8"/>
      <c r="F28" s="8">
        <f t="shared" si="2"/>
        <v>0</v>
      </c>
    </row>
    <row r="29" spans="1:6" s="1" customFormat="1" ht="27.6" x14ac:dyDescent="0.25">
      <c r="A29" s="13" t="s">
        <v>38</v>
      </c>
      <c r="B29" s="6" t="s">
        <v>173</v>
      </c>
      <c r="C29" s="9" t="s">
        <v>69</v>
      </c>
      <c r="D29" s="7">
        <f>+((87.5)-(1.2*3))*1</f>
        <v>83.9</v>
      </c>
      <c r="E29" s="8"/>
      <c r="F29" s="8">
        <f t="shared" si="2"/>
        <v>0</v>
      </c>
    </row>
    <row r="30" spans="1:6" s="1" customFormat="1" ht="41.4" x14ac:dyDescent="0.25">
      <c r="A30" s="13" t="s">
        <v>39</v>
      </c>
      <c r="B30" s="6" t="s">
        <v>189</v>
      </c>
      <c r="C30" s="9" t="s">
        <v>69</v>
      </c>
      <c r="D30" s="7">
        <f>+D26+D29</f>
        <v>327.67499999999995</v>
      </c>
      <c r="E30" s="8"/>
      <c r="F30" s="8">
        <f t="shared" si="2"/>
        <v>0</v>
      </c>
    </row>
    <row r="31" spans="1:6" s="1" customFormat="1" ht="13.8" x14ac:dyDescent="0.25">
      <c r="A31" s="13" t="s">
        <v>40</v>
      </c>
      <c r="B31" s="6" t="s">
        <v>10</v>
      </c>
      <c r="C31" s="9" t="s">
        <v>11</v>
      </c>
      <c r="D31" s="7">
        <v>48</v>
      </c>
      <c r="E31" s="8"/>
      <c r="F31" s="8">
        <f t="shared" si="2"/>
        <v>0</v>
      </c>
    </row>
    <row r="32" spans="1:6" s="1" customFormat="1" ht="13.8" x14ac:dyDescent="0.25">
      <c r="A32" s="55" t="s">
        <v>19</v>
      </c>
      <c r="B32" s="55"/>
      <c r="C32" s="55"/>
      <c r="D32" s="55"/>
      <c r="E32" s="55"/>
      <c r="F32" s="12">
        <f>SUM(F22:F31)</f>
        <v>0</v>
      </c>
    </row>
    <row r="33" spans="1:8" s="1" customFormat="1" ht="13.8" x14ac:dyDescent="0.25">
      <c r="A33" s="2">
        <v>4</v>
      </c>
      <c r="B33" s="57" t="s">
        <v>12</v>
      </c>
      <c r="C33" s="57"/>
      <c r="D33" s="57"/>
      <c r="E33" s="57"/>
      <c r="F33" s="57"/>
    </row>
    <row r="34" spans="1:8" s="1" customFormat="1" ht="55.2" x14ac:dyDescent="0.25">
      <c r="A34" s="13" t="s">
        <v>42</v>
      </c>
      <c r="B34" s="6" t="s">
        <v>174</v>
      </c>
      <c r="C34" s="9" t="s">
        <v>13</v>
      </c>
      <c r="D34" s="9">
        <f>9.7+9.15+9.15+9.15</f>
        <v>37.15</v>
      </c>
      <c r="E34" s="8"/>
      <c r="F34" s="8">
        <f t="shared" ref="F34:F40" si="3">+E34*D34</f>
        <v>0</v>
      </c>
    </row>
    <row r="35" spans="1:8" s="1" customFormat="1" ht="69" x14ac:dyDescent="0.25">
      <c r="A35" s="13" t="s">
        <v>84</v>
      </c>
      <c r="B35" s="6" t="s">
        <v>175</v>
      </c>
      <c r="C35" s="9" t="s">
        <v>13</v>
      </c>
      <c r="D35" s="9">
        <f>(4*2)*4</f>
        <v>32</v>
      </c>
      <c r="E35" s="50"/>
      <c r="F35" s="8">
        <f t="shared" si="3"/>
        <v>0</v>
      </c>
    </row>
    <row r="36" spans="1:8" s="1" customFormat="1" ht="27.6" x14ac:dyDescent="0.25">
      <c r="A36" s="13" t="s">
        <v>85</v>
      </c>
      <c r="B36" s="6" t="s">
        <v>176</v>
      </c>
      <c r="C36" s="9" t="s">
        <v>13</v>
      </c>
      <c r="D36" s="7">
        <f>36.6+7.15*2</f>
        <v>50.900000000000006</v>
      </c>
      <c r="E36" s="8"/>
      <c r="F36" s="8">
        <f t="shared" si="3"/>
        <v>0</v>
      </c>
      <c r="H36" s="37"/>
    </row>
    <row r="37" spans="1:8" s="1" customFormat="1" ht="27.6" x14ac:dyDescent="0.25">
      <c r="A37" s="38" t="s">
        <v>143</v>
      </c>
      <c r="B37" s="35" t="s">
        <v>144</v>
      </c>
      <c r="C37" s="15" t="s">
        <v>142</v>
      </c>
      <c r="D37" s="39">
        <f>7*6*0.6</f>
        <v>25.2</v>
      </c>
      <c r="E37" s="40"/>
      <c r="F37" s="8">
        <f t="shared" si="3"/>
        <v>0</v>
      </c>
      <c r="G37" s="37"/>
    </row>
    <row r="38" spans="1:8" s="1" customFormat="1" ht="27.6" x14ac:dyDescent="0.25">
      <c r="A38" s="38" t="s">
        <v>177</v>
      </c>
      <c r="B38" s="6" t="s">
        <v>178</v>
      </c>
      <c r="C38" s="9" t="s">
        <v>69</v>
      </c>
      <c r="D38" s="7">
        <f>1.98*4*8</f>
        <v>63.36</v>
      </c>
      <c r="E38" s="49"/>
      <c r="F38" s="8">
        <f t="shared" si="3"/>
        <v>0</v>
      </c>
    </row>
    <row r="39" spans="1:8" s="1" customFormat="1" ht="27.6" x14ac:dyDescent="0.25">
      <c r="A39" s="38" t="s">
        <v>179</v>
      </c>
      <c r="B39" s="6" t="s">
        <v>180</v>
      </c>
      <c r="C39" s="9" t="s">
        <v>70</v>
      </c>
      <c r="D39" s="7">
        <f>0.4*0.4*0.4*8</f>
        <v>0.51200000000000012</v>
      </c>
      <c r="E39" s="40"/>
      <c r="F39" s="8">
        <f t="shared" si="3"/>
        <v>0</v>
      </c>
    </row>
    <row r="40" spans="1:8" s="1" customFormat="1" ht="55.2" x14ac:dyDescent="0.25">
      <c r="A40" s="38" t="s">
        <v>181</v>
      </c>
      <c r="B40" s="6" t="s">
        <v>194</v>
      </c>
      <c r="C40" s="9" t="s">
        <v>182</v>
      </c>
      <c r="D40" s="7">
        <v>8</v>
      </c>
      <c r="E40" s="49"/>
      <c r="F40" s="8">
        <f t="shared" si="3"/>
        <v>0</v>
      </c>
    </row>
    <row r="41" spans="1:8" s="1" customFormat="1" ht="13.8" x14ac:dyDescent="0.25">
      <c r="A41" s="55" t="s">
        <v>20</v>
      </c>
      <c r="B41" s="55"/>
      <c r="C41" s="55"/>
      <c r="D41" s="55"/>
      <c r="E41" s="55"/>
      <c r="F41" s="12">
        <f>SUM(F34:F40)</f>
        <v>0</v>
      </c>
    </row>
    <row r="42" spans="1:8" s="1" customFormat="1" ht="13.8" x14ac:dyDescent="0.25">
      <c r="A42" s="2">
        <v>5</v>
      </c>
      <c r="B42" s="57" t="s">
        <v>50</v>
      </c>
      <c r="C42" s="57"/>
      <c r="D42" s="57"/>
      <c r="E42" s="57"/>
      <c r="F42" s="57"/>
    </row>
    <row r="43" spans="1:8" s="1" customFormat="1" ht="69" x14ac:dyDescent="0.25">
      <c r="A43" s="13" t="s">
        <v>43</v>
      </c>
      <c r="B43" s="6" t="s">
        <v>150</v>
      </c>
      <c r="C43" s="9" t="s">
        <v>11</v>
      </c>
      <c r="D43" s="7">
        <v>8</v>
      </c>
      <c r="E43" s="8"/>
      <c r="F43" s="8">
        <f>+E43*D43</f>
        <v>0</v>
      </c>
    </row>
    <row r="44" spans="1:8" s="1" customFormat="1" ht="96.6" x14ac:dyDescent="0.25">
      <c r="A44" s="13" t="s">
        <v>44</v>
      </c>
      <c r="B44" s="6" t="s">
        <v>193</v>
      </c>
      <c r="C44" s="9" t="s">
        <v>11</v>
      </c>
      <c r="D44" s="7">
        <v>16</v>
      </c>
      <c r="E44" s="8"/>
      <c r="F44" s="8">
        <f t="shared" ref="F44:F45" si="4">+E44*D44</f>
        <v>0</v>
      </c>
    </row>
    <row r="45" spans="1:8" s="1" customFormat="1" ht="69" x14ac:dyDescent="0.25">
      <c r="A45" s="13" t="s">
        <v>45</v>
      </c>
      <c r="B45" s="6" t="s">
        <v>185</v>
      </c>
      <c r="C45" s="9" t="s">
        <v>13</v>
      </c>
      <c r="D45" s="7">
        <f>8*(((2.05*2)+1.1)*3)+(0.6*34)</f>
        <v>145.19999999999999</v>
      </c>
      <c r="E45" s="8"/>
      <c r="F45" s="8">
        <f t="shared" si="4"/>
        <v>0</v>
      </c>
      <c r="G45" s="41"/>
    </row>
    <row r="46" spans="1:8" s="1" customFormat="1" ht="13.8" x14ac:dyDescent="0.25">
      <c r="A46" s="55" t="s">
        <v>51</v>
      </c>
      <c r="B46" s="55"/>
      <c r="C46" s="55"/>
      <c r="D46" s="55"/>
      <c r="E46" s="55"/>
      <c r="F46" s="12">
        <f>SUM(F43:F45)</f>
        <v>0</v>
      </c>
    </row>
    <row r="47" spans="1:8" s="1" customFormat="1" ht="13.8" x14ac:dyDescent="0.25">
      <c r="A47" s="2">
        <v>6</v>
      </c>
      <c r="B47" s="57" t="s">
        <v>14</v>
      </c>
      <c r="C47" s="57"/>
      <c r="D47" s="57"/>
      <c r="E47" s="57"/>
      <c r="F47" s="57"/>
    </row>
    <row r="48" spans="1:8" s="1" customFormat="1" ht="16.8" x14ac:dyDescent="0.25">
      <c r="A48" s="13" t="s">
        <v>46</v>
      </c>
      <c r="B48" s="6" t="s">
        <v>15</v>
      </c>
      <c r="C48" s="9" t="s">
        <v>69</v>
      </c>
      <c r="D48" s="7">
        <f>2*((8*1.2*2.2)+(16*1.8*1.2))</f>
        <v>111.36000000000001</v>
      </c>
      <c r="E48" s="8"/>
      <c r="F48" s="8">
        <f>+E48*D48</f>
        <v>0</v>
      </c>
    </row>
    <row r="49" spans="1:7" s="1" customFormat="1" ht="27.6" x14ac:dyDescent="0.25">
      <c r="A49" s="13" t="s">
        <v>47</v>
      </c>
      <c r="B49" s="44" t="s">
        <v>187</v>
      </c>
      <c r="C49" s="9" t="s">
        <v>69</v>
      </c>
      <c r="D49" s="51">
        <f>+(122.95*2.4)-((8*1.2*0.6)+(16*1.8*0.6))</f>
        <v>272.03999999999996</v>
      </c>
      <c r="E49" s="52"/>
      <c r="F49" s="8">
        <f>+E49*D49</f>
        <v>0</v>
      </c>
    </row>
    <row r="50" spans="1:7" s="1" customFormat="1" ht="27.6" x14ac:dyDescent="0.25">
      <c r="A50" s="13" t="s">
        <v>48</v>
      </c>
      <c r="B50" s="44" t="s">
        <v>186</v>
      </c>
      <c r="C50" s="9" t="s">
        <v>69</v>
      </c>
      <c r="D50" s="7">
        <f>+(122.95*2.4)-((8*1.2*0.6)+(16*1.8*0.6))</f>
        <v>272.03999999999996</v>
      </c>
      <c r="E50" s="8"/>
      <c r="F50" s="8">
        <f t="shared" ref="F50:F51" si="5">+E50*D50</f>
        <v>0</v>
      </c>
      <c r="G50" s="41"/>
    </row>
    <row r="51" spans="1:7" s="1" customFormat="1" ht="16.8" x14ac:dyDescent="0.25">
      <c r="A51" s="13" t="s">
        <v>49</v>
      </c>
      <c r="B51" s="6" t="s">
        <v>52</v>
      </c>
      <c r="C51" s="9" t="s">
        <v>69</v>
      </c>
      <c r="D51" s="7">
        <f>6*1.4*8</f>
        <v>67.199999999999989</v>
      </c>
      <c r="E51" s="8"/>
      <c r="F51" s="8">
        <f t="shared" si="5"/>
        <v>0</v>
      </c>
    </row>
    <row r="52" spans="1:7" s="1" customFormat="1" ht="13.8" x14ac:dyDescent="0.25">
      <c r="A52" s="55" t="s">
        <v>53</v>
      </c>
      <c r="B52" s="55"/>
      <c r="C52" s="55"/>
      <c r="D52" s="55"/>
      <c r="E52" s="55"/>
      <c r="F52" s="12">
        <f>SUM(F48:F51)</f>
        <v>0</v>
      </c>
    </row>
    <row r="53" spans="1:7" s="1" customFormat="1" ht="13.8" x14ac:dyDescent="0.25">
      <c r="A53" s="27">
        <v>7</v>
      </c>
      <c r="B53" s="71" t="s">
        <v>91</v>
      </c>
      <c r="C53" s="72"/>
      <c r="D53" s="72"/>
      <c r="E53" s="72"/>
      <c r="F53" s="73"/>
    </row>
    <row r="54" spans="1:7" s="1" customFormat="1" ht="27.6" x14ac:dyDescent="0.25">
      <c r="A54" s="28" t="s">
        <v>92</v>
      </c>
      <c r="B54" s="6" t="s">
        <v>93</v>
      </c>
      <c r="C54" s="9" t="s">
        <v>11</v>
      </c>
      <c r="D54" s="9">
        <v>100</v>
      </c>
      <c r="E54" s="26"/>
      <c r="F54" s="8">
        <f>D54*E54</f>
        <v>0</v>
      </c>
    </row>
    <row r="55" spans="1:7" s="1" customFormat="1" ht="31.5" customHeight="1" x14ac:dyDescent="0.25">
      <c r="A55" s="74" t="s">
        <v>94</v>
      </c>
      <c r="B55" s="75"/>
      <c r="C55" s="75"/>
      <c r="D55" s="75"/>
      <c r="E55" s="76"/>
      <c r="F55" s="12">
        <f>F54</f>
        <v>0</v>
      </c>
    </row>
    <row r="56" spans="1:7" s="1" customFormat="1" ht="13.8" x14ac:dyDescent="0.25">
      <c r="A56" s="56" t="s">
        <v>75</v>
      </c>
      <c r="B56" s="56"/>
      <c r="C56" s="56"/>
      <c r="D56" s="56"/>
      <c r="E56" s="56"/>
      <c r="F56" s="23">
        <f>SUM(F55,F52,F46,F41,F32,F20,F12)</f>
        <v>0</v>
      </c>
    </row>
    <row r="57" spans="1:7" s="1" customFormat="1" ht="13.8" x14ac:dyDescent="0.25">
      <c r="A57" s="56" t="s">
        <v>76</v>
      </c>
      <c r="B57" s="56"/>
      <c r="C57" s="56"/>
      <c r="D57" s="56"/>
      <c r="E57" s="56"/>
      <c r="F57" s="23">
        <f>+F56*0.18</f>
        <v>0</v>
      </c>
    </row>
    <row r="58" spans="1:7" s="1" customFormat="1" ht="13.8" x14ac:dyDescent="0.25">
      <c r="A58" s="56" t="s">
        <v>77</v>
      </c>
      <c r="B58" s="56"/>
      <c r="C58" s="56"/>
      <c r="D58" s="56"/>
      <c r="E58" s="56"/>
      <c r="F58" s="23">
        <f>+F56+F57</f>
        <v>0</v>
      </c>
    </row>
    <row r="59" spans="1:7" s="1" customFormat="1" ht="13.8" x14ac:dyDescent="0.25">
      <c r="A59" s="16"/>
      <c r="B59" s="16"/>
      <c r="C59" s="20"/>
      <c r="D59" s="20"/>
      <c r="E59" s="21"/>
      <c r="F59" s="22"/>
    </row>
    <row r="61" spans="1:7" s="1" customFormat="1" ht="13.8" x14ac:dyDescent="0.25">
      <c r="A61" s="60" t="s">
        <v>80</v>
      </c>
      <c r="B61" s="60"/>
      <c r="C61" s="60"/>
      <c r="D61" s="60"/>
      <c r="E61" s="60"/>
      <c r="F61" s="60"/>
    </row>
    <row r="62" spans="1:7" s="1" customFormat="1" ht="13.8" x14ac:dyDescent="0.25">
      <c r="A62" s="61" t="s">
        <v>78</v>
      </c>
      <c r="B62" s="62" t="s">
        <v>95</v>
      </c>
      <c r="C62" s="62"/>
      <c r="D62" s="62"/>
      <c r="E62" s="17" t="s">
        <v>105</v>
      </c>
      <c r="F62" s="24">
        <f>+F56</f>
        <v>0</v>
      </c>
    </row>
    <row r="63" spans="1:7" s="1" customFormat="1" ht="13.8" x14ac:dyDescent="0.25">
      <c r="A63" s="61"/>
      <c r="B63" s="62"/>
      <c r="C63" s="62"/>
      <c r="D63" s="62"/>
      <c r="E63" s="18" t="s">
        <v>79</v>
      </c>
      <c r="F63" s="24">
        <f>+F58</f>
        <v>0</v>
      </c>
    </row>
    <row r="64" spans="1:7" ht="18" x14ac:dyDescent="0.35">
      <c r="A64" s="69" t="s">
        <v>122</v>
      </c>
      <c r="B64" s="70"/>
      <c r="C64" s="70"/>
      <c r="D64" s="70"/>
      <c r="E64" s="70"/>
      <c r="F64" s="30">
        <f>F62</f>
        <v>0</v>
      </c>
      <c r="G64" s="31">
        <f>F64/655.957</f>
        <v>0</v>
      </c>
    </row>
    <row r="65" spans="1:7" ht="18" x14ac:dyDescent="0.35">
      <c r="A65" s="69" t="s">
        <v>123</v>
      </c>
      <c r="B65" s="70"/>
      <c r="C65" s="70"/>
      <c r="D65" s="70"/>
      <c r="E65" s="70"/>
      <c r="F65" s="30">
        <f>F57</f>
        <v>0</v>
      </c>
      <c r="G65" s="31">
        <f t="shared" ref="G65:G66" si="6">F65/655.957</f>
        <v>0</v>
      </c>
    </row>
    <row r="66" spans="1:7" ht="18" x14ac:dyDescent="0.35">
      <c r="A66" s="69" t="s">
        <v>124</v>
      </c>
      <c r="B66" s="70"/>
      <c r="C66" s="70"/>
      <c r="D66" s="70"/>
      <c r="E66" s="70"/>
      <c r="F66" s="30">
        <f>F63</f>
        <v>0</v>
      </c>
      <c r="G66" s="31">
        <f t="shared" si="6"/>
        <v>0</v>
      </c>
    </row>
  </sheetData>
  <mergeCells count="25">
    <mergeCell ref="A65:E65"/>
    <mergeCell ref="A66:E66"/>
    <mergeCell ref="B53:F53"/>
    <mergeCell ref="A55:E55"/>
    <mergeCell ref="A61:F61"/>
    <mergeCell ref="A62:A63"/>
    <mergeCell ref="B62:D63"/>
    <mergeCell ref="A64:E64"/>
    <mergeCell ref="B47:F47"/>
    <mergeCell ref="A52:E52"/>
    <mergeCell ref="A56:E56"/>
    <mergeCell ref="A57:E57"/>
    <mergeCell ref="A58:E58"/>
    <mergeCell ref="A46:E46"/>
    <mergeCell ref="A1:F1"/>
    <mergeCell ref="A3:F3"/>
    <mergeCell ref="B5:F5"/>
    <mergeCell ref="A12:E12"/>
    <mergeCell ref="B13:F13"/>
    <mergeCell ref="A20:E20"/>
    <mergeCell ref="B21:F21"/>
    <mergeCell ref="A32:E32"/>
    <mergeCell ref="B33:F33"/>
    <mergeCell ref="A41:E41"/>
    <mergeCell ref="B42:F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0FD47-754F-45DF-BE85-591C582D0449}">
  <dimension ref="A1:H195"/>
  <sheetViews>
    <sheetView topLeftCell="A181" workbookViewId="0">
      <selection activeCell="F194" sqref="F194"/>
    </sheetView>
  </sheetViews>
  <sheetFormatPr baseColWidth="10" defaultRowHeight="14.4" x14ac:dyDescent="0.3"/>
  <cols>
    <col min="1" max="1" width="5.6640625" customWidth="1"/>
    <col min="2" max="2" width="33.33203125" customWidth="1"/>
    <col min="3" max="3" width="6.88671875" customWidth="1"/>
    <col min="4" max="4" width="9.5546875" customWidth="1"/>
    <col min="5" max="5" width="19.88671875" customWidth="1"/>
    <col min="6" max="6" width="21.33203125" customWidth="1"/>
    <col min="7" max="7" width="15.77734375" customWidth="1"/>
  </cols>
  <sheetData>
    <row r="1" spans="1:7" s="1" customFormat="1" ht="29.4" customHeight="1" x14ac:dyDescent="0.25">
      <c r="A1" s="58" t="s">
        <v>158</v>
      </c>
      <c r="B1" s="58"/>
      <c r="C1" s="58"/>
      <c r="D1" s="58"/>
      <c r="E1" s="58"/>
      <c r="F1" s="58"/>
    </row>
    <row r="2" spans="1:7" s="1" customFormat="1" ht="13.8" x14ac:dyDescent="0.25">
      <c r="A2" s="19"/>
      <c r="B2" s="19"/>
      <c r="C2" s="19"/>
      <c r="D2" s="19"/>
      <c r="E2" s="19"/>
      <c r="F2" s="19"/>
    </row>
    <row r="3" spans="1:7" s="1" customFormat="1" ht="33" customHeight="1" x14ac:dyDescent="0.25">
      <c r="A3" s="59" t="s">
        <v>128</v>
      </c>
      <c r="B3" s="59"/>
      <c r="C3" s="59"/>
      <c r="D3" s="59"/>
      <c r="E3" s="59"/>
      <c r="F3" s="59"/>
    </row>
    <row r="4" spans="1:7" s="1" customFormat="1" ht="13.8" x14ac:dyDescent="0.25">
      <c r="A4" s="2" t="s">
        <v>0</v>
      </c>
      <c r="B4" s="3" t="s">
        <v>1</v>
      </c>
      <c r="C4" s="3" t="s">
        <v>2</v>
      </c>
      <c r="D4" s="3" t="s">
        <v>16</v>
      </c>
      <c r="E4" s="4" t="s">
        <v>81</v>
      </c>
      <c r="F4" s="4" t="s">
        <v>83</v>
      </c>
      <c r="G4" s="11"/>
    </row>
    <row r="5" spans="1:7" s="1" customFormat="1" ht="13.8" x14ac:dyDescent="0.25">
      <c r="A5" s="2">
        <v>1</v>
      </c>
      <c r="B5" s="57" t="s">
        <v>3</v>
      </c>
      <c r="C5" s="57"/>
      <c r="D5" s="57"/>
      <c r="E5" s="57"/>
      <c r="F5" s="57"/>
    </row>
    <row r="6" spans="1:7" s="1" customFormat="1" ht="13.8" x14ac:dyDescent="0.25">
      <c r="A6" s="5" t="s">
        <v>21</v>
      </c>
      <c r="B6" s="6" t="s">
        <v>64</v>
      </c>
      <c r="C6" s="9" t="s">
        <v>5</v>
      </c>
      <c r="D6" s="7">
        <v>1</v>
      </c>
      <c r="E6" s="8"/>
      <c r="F6" s="8">
        <f>+E6*D6</f>
        <v>0</v>
      </c>
    </row>
    <row r="7" spans="1:7" s="11" customFormat="1" ht="55.2" x14ac:dyDescent="0.25">
      <c r="A7" s="5" t="s">
        <v>22</v>
      </c>
      <c r="B7" s="6" t="s">
        <v>54</v>
      </c>
      <c r="C7" s="9" t="s">
        <v>4</v>
      </c>
      <c r="D7" s="9">
        <f>0.3*1*24</f>
        <v>7.1999999999999993</v>
      </c>
      <c r="E7" s="10"/>
      <c r="F7" s="8">
        <f t="shared" ref="F7:F11" si="0">+E7*D7</f>
        <v>0</v>
      </c>
    </row>
    <row r="8" spans="1:7" s="11" customFormat="1" ht="30" customHeight="1" x14ac:dyDescent="0.25">
      <c r="A8" s="5" t="s">
        <v>23</v>
      </c>
      <c r="B8" s="6" t="s">
        <v>87</v>
      </c>
      <c r="C8" s="9" t="s">
        <v>5</v>
      </c>
      <c r="D8" s="9">
        <v>1</v>
      </c>
      <c r="E8" s="10"/>
      <c r="F8" s="8">
        <f t="shared" si="0"/>
        <v>0</v>
      </c>
    </row>
    <row r="9" spans="1:7" s="11" customFormat="1" ht="55.2" x14ac:dyDescent="0.25">
      <c r="A9" s="5" t="s">
        <v>24</v>
      </c>
      <c r="B9" s="6" t="s">
        <v>138</v>
      </c>
      <c r="C9" s="15" t="s">
        <v>68</v>
      </c>
      <c r="D9" s="32">
        <f>((5.36+5.03*3.93)*0.4*0.4)*6</f>
        <v>24.122784000000003</v>
      </c>
      <c r="E9" s="10"/>
      <c r="F9" s="8">
        <f t="shared" si="0"/>
        <v>0</v>
      </c>
      <c r="G9" s="33"/>
    </row>
    <row r="10" spans="1:7" s="11" customFormat="1" ht="41.4" x14ac:dyDescent="0.25">
      <c r="A10" s="5" t="s">
        <v>86</v>
      </c>
      <c r="B10" s="6" t="s">
        <v>6</v>
      </c>
      <c r="C10" s="15" t="s">
        <v>68</v>
      </c>
      <c r="D10" s="9">
        <f>3.2*1*0.45*6</f>
        <v>8.64</v>
      </c>
      <c r="E10" s="10"/>
      <c r="F10" s="8">
        <f t="shared" si="0"/>
        <v>0</v>
      </c>
      <c r="G10" s="33"/>
    </row>
    <row r="11" spans="1:7" s="1" customFormat="1" ht="27.6" x14ac:dyDescent="0.25">
      <c r="A11" s="34" t="s">
        <v>140</v>
      </c>
      <c r="B11" s="35" t="s">
        <v>141</v>
      </c>
      <c r="C11" s="15" t="s">
        <v>142</v>
      </c>
      <c r="D11" s="15">
        <f>63*3</f>
        <v>189</v>
      </c>
      <c r="E11" s="36"/>
      <c r="F11" s="8">
        <f t="shared" si="0"/>
        <v>0</v>
      </c>
    </row>
    <row r="12" spans="1:7" s="1" customFormat="1" ht="13.8" x14ac:dyDescent="0.25">
      <c r="A12" s="55" t="s">
        <v>17</v>
      </c>
      <c r="B12" s="55"/>
      <c r="C12" s="55"/>
      <c r="D12" s="55"/>
      <c r="E12" s="55"/>
      <c r="F12" s="12">
        <f>SUM(F6:F11)</f>
        <v>0</v>
      </c>
    </row>
    <row r="13" spans="1:7" s="1" customFormat="1" ht="13.8" x14ac:dyDescent="0.25">
      <c r="A13" s="2">
        <v>2</v>
      </c>
      <c r="B13" s="57" t="s">
        <v>7</v>
      </c>
      <c r="C13" s="57"/>
      <c r="D13" s="57"/>
      <c r="E13" s="57"/>
      <c r="F13" s="57"/>
    </row>
    <row r="14" spans="1:7" s="1" customFormat="1" ht="27.6" x14ac:dyDescent="0.25">
      <c r="A14" s="13" t="s">
        <v>25</v>
      </c>
      <c r="B14" s="6" t="s">
        <v>57</v>
      </c>
      <c r="C14" s="15" t="s">
        <v>68</v>
      </c>
      <c r="D14" s="9">
        <f>5.2*0.4*0.05*6</f>
        <v>0.62400000000000011</v>
      </c>
      <c r="E14" s="8"/>
      <c r="F14" s="8">
        <f t="shared" ref="F14:F19" si="1">+E14*D14</f>
        <v>0</v>
      </c>
    </row>
    <row r="15" spans="1:7" s="1" customFormat="1" ht="27.6" x14ac:dyDescent="0.25">
      <c r="A15" s="13" t="s">
        <v>26</v>
      </c>
      <c r="B15" s="6" t="s">
        <v>56</v>
      </c>
      <c r="C15" s="9" t="s">
        <v>4</v>
      </c>
      <c r="D15" s="9">
        <f>5.2*0.69*6</f>
        <v>21.527999999999999</v>
      </c>
      <c r="E15" s="8"/>
      <c r="F15" s="8">
        <f t="shared" si="1"/>
        <v>0</v>
      </c>
    </row>
    <row r="16" spans="1:7" s="1" customFormat="1" ht="27.6" x14ac:dyDescent="0.25">
      <c r="A16" s="13" t="s">
        <v>27</v>
      </c>
      <c r="B16" s="6" t="s">
        <v>60</v>
      </c>
      <c r="C16" s="9" t="s">
        <v>69</v>
      </c>
      <c r="D16" s="7">
        <f>9.4*7.4*3</f>
        <v>208.68</v>
      </c>
      <c r="E16" s="8"/>
      <c r="F16" s="8">
        <f t="shared" si="1"/>
        <v>0</v>
      </c>
    </row>
    <row r="17" spans="1:6" s="1" customFormat="1" ht="82.8" x14ac:dyDescent="0.25">
      <c r="A17" s="13" t="s">
        <v>28</v>
      </c>
      <c r="B17" s="6" t="s">
        <v>88</v>
      </c>
      <c r="C17" s="9" t="s">
        <v>70</v>
      </c>
      <c r="D17" s="7">
        <f>9*7*0.1*3</f>
        <v>18.900000000000002</v>
      </c>
      <c r="E17" s="8"/>
      <c r="F17" s="8">
        <f t="shared" si="1"/>
        <v>0</v>
      </c>
    </row>
    <row r="18" spans="1:6" s="1" customFormat="1" ht="82.8" x14ac:dyDescent="0.25">
      <c r="A18" s="13" t="s">
        <v>29</v>
      </c>
      <c r="B18" s="6" t="s">
        <v>58</v>
      </c>
      <c r="C18" s="9" t="s">
        <v>70</v>
      </c>
      <c r="D18" s="7">
        <f>3.2*1*0.08*6</f>
        <v>1.536</v>
      </c>
      <c r="E18" s="8"/>
      <c r="F18" s="8">
        <f t="shared" si="1"/>
        <v>0</v>
      </c>
    </row>
    <row r="19" spans="1:6" s="1" customFormat="1" ht="69" x14ac:dyDescent="0.25">
      <c r="A19" s="13" t="s">
        <v>30</v>
      </c>
      <c r="B19" s="6" t="s">
        <v>59</v>
      </c>
      <c r="C19" s="9" t="s">
        <v>70</v>
      </c>
      <c r="D19" s="14">
        <f>6*(((1.03*2)+(2.16*0.9))*0.45)/2</f>
        <v>5.4054000000000011</v>
      </c>
      <c r="E19" s="8"/>
      <c r="F19" s="8">
        <f t="shared" si="1"/>
        <v>0</v>
      </c>
    </row>
    <row r="20" spans="1:6" s="1" customFormat="1" ht="13.8" x14ac:dyDescent="0.25">
      <c r="A20" s="55" t="s">
        <v>18</v>
      </c>
      <c r="B20" s="55"/>
      <c r="C20" s="55"/>
      <c r="D20" s="55"/>
      <c r="E20" s="55"/>
      <c r="F20" s="12">
        <f>SUM(F14:F19)</f>
        <v>0</v>
      </c>
    </row>
    <row r="21" spans="1:6" s="1" customFormat="1" ht="13.8" x14ac:dyDescent="0.25">
      <c r="A21" s="2">
        <v>3</v>
      </c>
      <c r="B21" s="57" t="s">
        <v>8</v>
      </c>
      <c r="C21" s="57"/>
      <c r="D21" s="57"/>
      <c r="E21" s="57"/>
      <c r="F21" s="57"/>
    </row>
    <row r="22" spans="1:6" s="1" customFormat="1" ht="44.4" x14ac:dyDescent="0.25">
      <c r="A22" s="13" t="s">
        <v>31</v>
      </c>
      <c r="B22" s="6" t="s">
        <v>71</v>
      </c>
      <c r="C22" s="9" t="s">
        <v>70</v>
      </c>
      <c r="D22" s="7">
        <f>24*0.15*0.15*4</f>
        <v>2.1599999999999997</v>
      </c>
      <c r="E22" s="8"/>
      <c r="F22" s="8">
        <f>+E22*D22</f>
        <v>0</v>
      </c>
    </row>
    <row r="23" spans="1:6" s="1" customFormat="1" ht="50.25" customHeight="1" x14ac:dyDescent="0.25">
      <c r="A23" s="13" t="s">
        <v>32</v>
      </c>
      <c r="B23" s="6" t="s">
        <v>72</v>
      </c>
      <c r="C23" s="9" t="s">
        <v>70</v>
      </c>
      <c r="D23" s="7">
        <f>83.5*0.15*0.2</f>
        <v>2.5050000000000003</v>
      </c>
      <c r="E23" s="8"/>
      <c r="F23" s="8">
        <f t="shared" ref="F23:F31" si="2">+E23*D23</f>
        <v>0</v>
      </c>
    </row>
    <row r="24" spans="1:6" s="1" customFormat="1" ht="41.4" x14ac:dyDescent="0.25">
      <c r="A24" s="13" t="s">
        <v>33</v>
      </c>
      <c r="B24" s="6" t="s">
        <v>67</v>
      </c>
      <c r="C24" s="9" t="s">
        <v>69</v>
      </c>
      <c r="D24" s="7">
        <f>+((83.5*2.9)-((12*1.8*1.2)+(6*1.2*1.1)))</f>
        <v>208.31</v>
      </c>
      <c r="E24" s="8"/>
      <c r="F24" s="8">
        <f t="shared" si="2"/>
        <v>0</v>
      </c>
    </row>
    <row r="25" spans="1:6" s="1" customFormat="1" ht="46.5" customHeight="1" x14ac:dyDescent="0.25">
      <c r="A25" s="13" t="s">
        <v>34</v>
      </c>
      <c r="B25" s="6" t="s">
        <v>62</v>
      </c>
      <c r="C25" s="9" t="s">
        <v>69</v>
      </c>
      <c r="D25" s="7">
        <f>+D24+(7*2.9*2)</f>
        <v>248.91</v>
      </c>
      <c r="E25" s="8"/>
      <c r="F25" s="8">
        <f t="shared" si="2"/>
        <v>0</v>
      </c>
    </row>
    <row r="26" spans="1:6" s="1" customFormat="1" ht="36" customHeight="1" x14ac:dyDescent="0.25">
      <c r="A26" s="13" t="s">
        <v>35</v>
      </c>
      <c r="B26" s="6" t="s">
        <v>61</v>
      </c>
      <c r="C26" s="9" t="s">
        <v>69</v>
      </c>
      <c r="D26" s="7">
        <f>+D24-(7*2.9*2)</f>
        <v>167.71</v>
      </c>
      <c r="E26" s="8"/>
      <c r="F26" s="8">
        <f t="shared" si="2"/>
        <v>0</v>
      </c>
    </row>
    <row r="27" spans="1:6" s="1" customFormat="1" ht="41.4" x14ac:dyDescent="0.25">
      <c r="A27" s="13" t="s">
        <v>36</v>
      </c>
      <c r="B27" s="6" t="s">
        <v>66</v>
      </c>
      <c r="C27" s="9" t="s">
        <v>69</v>
      </c>
      <c r="D27" s="7">
        <f>+((97.8*1.6)-((6*1.6*1.2)+(1.8*0.6*12)))</f>
        <v>132</v>
      </c>
      <c r="E27" s="8"/>
      <c r="F27" s="8">
        <f t="shared" si="2"/>
        <v>0</v>
      </c>
    </row>
    <row r="28" spans="1:6" s="1" customFormat="1" ht="41.4" x14ac:dyDescent="0.25">
      <c r="A28" s="13" t="s">
        <v>37</v>
      </c>
      <c r="B28" s="6" t="s">
        <v>63</v>
      </c>
      <c r="C28" s="9" t="s">
        <v>69</v>
      </c>
      <c r="D28" s="7">
        <f>6*1.4*6</f>
        <v>50.399999999999991</v>
      </c>
      <c r="E28" s="8"/>
      <c r="F28" s="8">
        <f t="shared" si="2"/>
        <v>0</v>
      </c>
    </row>
    <row r="29" spans="1:6" s="1" customFormat="1" ht="27.6" x14ac:dyDescent="0.25">
      <c r="A29" s="13" t="s">
        <v>38</v>
      </c>
      <c r="B29" s="6" t="s">
        <v>173</v>
      </c>
      <c r="C29" s="9" t="s">
        <v>69</v>
      </c>
      <c r="D29" s="7">
        <f>+((69.2)-(1.2*3))*1</f>
        <v>65.600000000000009</v>
      </c>
      <c r="E29" s="8"/>
      <c r="F29" s="8">
        <f t="shared" si="2"/>
        <v>0</v>
      </c>
    </row>
    <row r="30" spans="1:6" s="1" customFormat="1" ht="55.2" x14ac:dyDescent="0.25">
      <c r="A30" s="13" t="s">
        <v>39</v>
      </c>
      <c r="B30" s="6" t="s">
        <v>189</v>
      </c>
      <c r="C30" s="9" t="s">
        <v>69</v>
      </c>
      <c r="D30" s="7">
        <f>+D26+D29</f>
        <v>233.31</v>
      </c>
      <c r="E30" s="8"/>
      <c r="F30" s="8">
        <f t="shared" si="2"/>
        <v>0</v>
      </c>
    </row>
    <row r="31" spans="1:6" s="1" customFormat="1" ht="13.8" x14ac:dyDescent="0.25">
      <c r="A31" s="13" t="s">
        <v>40</v>
      </c>
      <c r="B31" s="6" t="s">
        <v>10</v>
      </c>
      <c r="C31" s="9" t="s">
        <v>11</v>
      </c>
      <c r="D31" s="7">
        <v>36</v>
      </c>
      <c r="E31" s="8"/>
      <c r="F31" s="8">
        <f t="shared" si="2"/>
        <v>0</v>
      </c>
    </row>
    <row r="32" spans="1:6" s="1" customFormat="1" ht="13.8" x14ac:dyDescent="0.25">
      <c r="A32" s="55" t="s">
        <v>19</v>
      </c>
      <c r="B32" s="55"/>
      <c r="C32" s="55"/>
      <c r="D32" s="55"/>
      <c r="E32" s="55"/>
      <c r="F32" s="12">
        <f>SUM(F22:F31)</f>
        <v>0</v>
      </c>
    </row>
    <row r="33" spans="1:8" s="1" customFormat="1" ht="13.8" x14ac:dyDescent="0.25">
      <c r="A33" s="2">
        <v>4</v>
      </c>
      <c r="B33" s="57" t="s">
        <v>12</v>
      </c>
      <c r="C33" s="57"/>
      <c r="D33" s="57"/>
      <c r="E33" s="57"/>
      <c r="F33" s="57"/>
    </row>
    <row r="34" spans="1:8" s="1" customFormat="1" ht="69" x14ac:dyDescent="0.25">
      <c r="A34" s="13" t="s">
        <v>42</v>
      </c>
      <c r="B34" s="6" t="s">
        <v>174</v>
      </c>
      <c r="C34" s="9" t="s">
        <v>13</v>
      </c>
      <c r="D34" s="9">
        <f>9.7+9.15+9.15</f>
        <v>28</v>
      </c>
      <c r="E34" s="8"/>
      <c r="F34" s="8">
        <f t="shared" ref="F34:F40" si="3">+E34*D34</f>
        <v>0</v>
      </c>
    </row>
    <row r="35" spans="1:8" s="1" customFormat="1" ht="84.75" customHeight="1" x14ac:dyDescent="0.25">
      <c r="A35" s="13" t="s">
        <v>84</v>
      </c>
      <c r="B35" s="6" t="s">
        <v>175</v>
      </c>
      <c r="C35" s="9" t="s">
        <v>13</v>
      </c>
      <c r="D35" s="9">
        <f>(4*2)*3</f>
        <v>24</v>
      </c>
      <c r="E35" s="8"/>
      <c r="F35" s="8">
        <f t="shared" si="3"/>
        <v>0</v>
      </c>
      <c r="G35" s="33"/>
    </row>
    <row r="36" spans="1:8" s="1" customFormat="1" ht="42" customHeight="1" x14ac:dyDescent="0.25">
      <c r="A36" s="13" t="s">
        <v>85</v>
      </c>
      <c r="B36" s="6" t="s">
        <v>176</v>
      </c>
      <c r="C36" s="9" t="s">
        <v>13</v>
      </c>
      <c r="D36" s="7">
        <f>27.45+7.15*2</f>
        <v>41.75</v>
      </c>
      <c r="E36" s="8"/>
      <c r="F36" s="8">
        <f t="shared" si="3"/>
        <v>0</v>
      </c>
      <c r="G36" s="41"/>
      <c r="H36" s="37"/>
    </row>
    <row r="37" spans="1:8" s="1" customFormat="1" ht="41.4" x14ac:dyDescent="0.25">
      <c r="A37" s="38" t="s">
        <v>143</v>
      </c>
      <c r="B37" s="35" t="s">
        <v>144</v>
      </c>
      <c r="C37" s="9" t="s">
        <v>69</v>
      </c>
      <c r="D37" s="39">
        <f>7*4*0.6</f>
        <v>16.8</v>
      </c>
      <c r="E37" s="40"/>
      <c r="F37" s="8">
        <f t="shared" si="3"/>
        <v>0</v>
      </c>
      <c r="G37" s="37"/>
    </row>
    <row r="38" spans="1:8" s="1" customFormat="1" ht="27.6" x14ac:dyDescent="0.25">
      <c r="A38" s="38" t="s">
        <v>177</v>
      </c>
      <c r="B38" s="6" t="s">
        <v>178</v>
      </c>
      <c r="C38" s="9" t="s">
        <v>69</v>
      </c>
      <c r="D38" s="7">
        <f>1.98*4*6</f>
        <v>47.519999999999996</v>
      </c>
      <c r="E38" s="53"/>
      <c r="F38" s="8">
        <f t="shared" si="3"/>
        <v>0</v>
      </c>
    </row>
    <row r="39" spans="1:8" s="1" customFormat="1" ht="41.4" x14ac:dyDescent="0.25">
      <c r="A39" s="38" t="s">
        <v>179</v>
      </c>
      <c r="B39" s="6" t="s">
        <v>180</v>
      </c>
      <c r="C39" s="9" t="s">
        <v>70</v>
      </c>
      <c r="D39" s="7">
        <f>0.4*0.4*0.4*6</f>
        <v>0.38400000000000012</v>
      </c>
      <c r="E39" s="40"/>
      <c r="F39" s="8">
        <f t="shared" si="3"/>
        <v>0</v>
      </c>
    </row>
    <row r="40" spans="1:8" s="1" customFormat="1" ht="55.2" x14ac:dyDescent="0.25">
      <c r="A40" s="38" t="s">
        <v>181</v>
      </c>
      <c r="B40" s="6" t="s">
        <v>195</v>
      </c>
      <c r="C40" s="9" t="s">
        <v>182</v>
      </c>
      <c r="D40" s="7">
        <v>6</v>
      </c>
      <c r="E40" s="49"/>
      <c r="F40" s="8">
        <f t="shared" si="3"/>
        <v>0</v>
      </c>
    </row>
    <row r="41" spans="1:8" s="1" customFormat="1" ht="13.8" x14ac:dyDescent="0.25">
      <c r="A41" s="55" t="s">
        <v>20</v>
      </c>
      <c r="B41" s="55"/>
      <c r="C41" s="55"/>
      <c r="D41" s="55"/>
      <c r="E41" s="55"/>
      <c r="F41" s="12">
        <f>SUM(F34:F40)</f>
        <v>0</v>
      </c>
    </row>
    <row r="42" spans="1:8" s="1" customFormat="1" ht="13.8" x14ac:dyDescent="0.25">
      <c r="A42" s="2">
        <v>5</v>
      </c>
      <c r="B42" s="57" t="s">
        <v>50</v>
      </c>
      <c r="C42" s="57"/>
      <c r="D42" s="57"/>
      <c r="E42" s="57"/>
      <c r="F42" s="57"/>
    </row>
    <row r="43" spans="1:8" s="1" customFormat="1" ht="69" x14ac:dyDescent="0.25">
      <c r="A43" s="13" t="s">
        <v>43</v>
      </c>
      <c r="B43" s="6" t="s">
        <v>150</v>
      </c>
      <c r="C43" s="9" t="s">
        <v>11</v>
      </c>
      <c r="D43" s="7">
        <v>6</v>
      </c>
      <c r="E43" s="8"/>
      <c r="F43" s="8">
        <f>+E43*D43</f>
        <v>0</v>
      </c>
    </row>
    <row r="44" spans="1:8" s="1" customFormat="1" ht="124.2" x14ac:dyDescent="0.25">
      <c r="A44" s="13" t="s">
        <v>44</v>
      </c>
      <c r="B44" s="6" t="s">
        <v>193</v>
      </c>
      <c r="C44" s="9" t="s">
        <v>11</v>
      </c>
      <c r="D44" s="7">
        <v>12</v>
      </c>
      <c r="E44" s="8"/>
      <c r="F44" s="8">
        <f t="shared" ref="F44:F45" si="4">+E44*D44</f>
        <v>0</v>
      </c>
    </row>
    <row r="45" spans="1:8" s="1" customFormat="1" ht="96.6" x14ac:dyDescent="0.25">
      <c r="A45" s="13" t="s">
        <v>45</v>
      </c>
      <c r="B45" s="6" t="s">
        <v>185</v>
      </c>
      <c r="C45" s="9" t="s">
        <v>13</v>
      </c>
      <c r="D45" s="7">
        <f>6*(((2.05*2)+1.1)*3)+(0.6*34)</f>
        <v>114</v>
      </c>
      <c r="E45" s="8"/>
      <c r="F45" s="8">
        <f t="shared" si="4"/>
        <v>0</v>
      </c>
      <c r="G45" s="41"/>
    </row>
    <row r="46" spans="1:8" s="1" customFormat="1" ht="13.8" x14ac:dyDescent="0.25">
      <c r="A46" s="55" t="s">
        <v>51</v>
      </c>
      <c r="B46" s="55"/>
      <c r="C46" s="55"/>
      <c r="D46" s="55"/>
      <c r="E46" s="55"/>
      <c r="F46" s="12">
        <f>SUM(F43:F45)</f>
        <v>0</v>
      </c>
    </row>
    <row r="47" spans="1:8" s="1" customFormat="1" ht="13.8" x14ac:dyDescent="0.25">
      <c r="A47" s="2">
        <v>6</v>
      </c>
      <c r="B47" s="57" t="s">
        <v>14</v>
      </c>
      <c r="C47" s="57"/>
      <c r="D47" s="57"/>
      <c r="E47" s="57"/>
      <c r="F47" s="57"/>
    </row>
    <row r="48" spans="1:8" s="1" customFormat="1" ht="27.6" x14ac:dyDescent="0.25">
      <c r="A48" s="13" t="s">
        <v>46</v>
      </c>
      <c r="B48" s="6" t="s">
        <v>15</v>
      </c>
      <c r="C48" s="9" t="s">
        <v>69</v>
      </c>
      <c r="D48" s="7">
        <f>2*((6*1.2*2.2)+(12*1.8*1.2))</f>
        <v>83.52000000000001</v>
      </c>
      <c r="E48" s="8"/>
      <c r="F48" s="8">
        <f t="shared" ref="F48:F51" si="5">+E48*D48</f>
        <v>0</v>
      </c>
    </row>
    <row r="49" spans="1:7" s="1" customFormat="1" ht="27.6" x14ac:dyDescent="0.25">
      <c r="A49" s="13" t="s">
        <v>47</v>
      </c>
      <c r="B49" s="44" t="s">
        <v>187</v>
      </c>
      <c r="C49" s="9" t="s">
        <v>69</v>
      </c>
      <c r="D49" s="7">
        <f>+(97.8*2.4)-((6*1.2*0.6)+(12*1.8*0.6))</f>
        <v>217.43999999999997</v>
      </c>
      <c r="E49" s="8"/>
      <c r="F49" s="8">
        <f t="shared" si="5"/>
        <v>0</v>
      </c>
    </row>
    <row r="50" spans="1:7" s="1" customFormat="1" ht="27.6" x14ac:dyDescent="0.25">
      <c r="A50" s="13" t="s">
        <v>48</v>
      </c>
      <c r="B50" s="44" t="s">
        <v>186</v>
      </c>
      <c r="C50" s="9" t="s">
        <v>69</v>
      </c>
      <c r="D50" s="7">
        <f>+(97.8*2.4)-((6*1.2*0.6)+(12*1.8*0.6))</f>
        <v>217.43999999999997</v>
      </c>
      <c r="E50" s="8"/>
      <c r="F50" s="8">
        <f t="shared" si="5"/>
        <v>0</v>
      </c>
      <c r="G50" s="41"/>
    </row>
    <row r="51" spans="1:7" s="1" customFormat="1" ht="27.6" x14ac:dyDescent="0.25">
      <c r="A51" s="13" t="s">
        <v>49</v>
      </c>
      <c r="B51" s="6" t="s">
        <v>52</v>
      </c>
      <c r="C51" s="9" t="s">
        <v>69</v>
      </c>
      <c r="D51" s="7">
        <f>6*1.4*6</f>
        <v>50.399999999999991</v>
      </c>
      <c r="E51" s="8"/>
      <c r="F51" s="8">
        <f t="shared" si="5"/>
        <v>0</v>
      </c>
    </row>
    <row r="52" spans="1:7" s="1" customFormat="1" ht="13.8" x14ac:dyDescent="0.25">
      <c r="A52" s="55" t="s">
        <v>53</v>
      </c>
      <c r="B52" s="55"/>
      <c r="C52" s="55"/>
      <c r="D52" s="55"/>
      <c r="E52" s="55"/>
      <c r="F52" s="12">
        <f>SUM(F48:F51)</f>
        <v>0</v>
      </c>
    </row>
    <row r="53" spans="1:7" s="1" customFormat="1" ht="13.8" x14ac:dyDescent="0.25">
      <c r="A53" s="2">
        <v>7</v>
      </c>
      <c r="B53" s="57" t="s">
        <v>91</v>
      </c>
      <c r="C53" s="57"/>
      <c r="D53" s="57"/>
      <c r="E53" s="57"/>
      <c r="F53" s="57"/>
    </row>
    <row r="54" spans="1:7" s="1" customFormat="1" ht="41.4" x14ac:dyDescent="0.25">
      <c r="A54" s="25" t="s">
        <v>92</v>
      </c>
      <c r="B54" s="6" t="s">
        <v>93</v>
      </c>
      <c r="C54" s="9" t="s">
        <v>11</v>
      </c>
      <c r="D54" s="9">
        <v>100</v>
      </c>
      <c r="E54" s="26"/>
      <c r="F54" s="8">
        <f>D54*E54</f>
        <v>0</v>
      </c>
    </row>
    <row r="55" spans="1:7" s="1" customFormat="1" ht="13.8" x14ac:dyDescent="0.25">
      <c r="A55" s="55" t="s">
        <v>94</v>
      </c>
      <c r="B55" s="55"/>
      <c r="C55" s="55"/>
      <c r="D55" s="55"/>
      <c r="E55" s="55"/>
      <c r="F55" s="12">
        <f>F54</f>
        <v>0</v>
      </c>
    </row>
    <row r="56" spans="1:7" s="1" customFormat="1" ht="13.8" x14ac:dyDescent="0.25">
      <c r="A56" s="56" t="s">
        <v>75</v>
      </c>
      <c r="B56" s="56"/>
      <c r="C56" s="56"/>
      <c r="D56" s="56"/>
      <c r="E56" s="56"/>
      <c r="F56" s="23">
        <f>SUM(F55,F52,F46,F41,F32,F20,F12)</f>
        <v>0</v>
      </c>
    </row>
    <row r="57" spans="1:7" s="1" customFormat="1" ht="13.8" x14ac:dyDescent="0.25">
      <c r="A57" s="56" t="s">
        <v>76</v>
      </c>
      <c r="B57" s="56"/>
      <c r="C57" s="56"/>
      <c r="D57" s="56"/>
      <c r="E57" s="56"/>
      <c r="F57" s="23">
        <f>+F56*0.18</f>
        <v>0</v>
      </c>
    </row>
    <row r="58" spans="1:7" s="1" customFormat="1" ht="13.8" x14ac:dyDescent="0.25">
      <c r="A58" s="56" t="s">
        <v>77</v>
      </c>
      <c r="B58" s="56"/>
      <c r="C58" s="56"/>
      <c r="D58" s="56"/>
      <c r="E58" s="56"/>
      <c r="F58" s="23">
        <f>+F56+F57</f>
        <v>0</v>
      </c>
    </row>
    <row r="62" spans="1:7" s="1" customFormat="1" ht="29.25" customHeight="1" x14ac:dyDescent="0.25">
      <c r="A62" s="58" t="s">
        <v>159</v>
      </c>
      <c r="B62" s="58"/>
      <c r="C62" s="58"/>
      <c r="D62" s="58"/>
      <c r="E62" s="58"/>
      <c r="F62" s="58"/>
    </row>
    <row r="63" spans="1:7" s="1" customFormat="1" ht="13.8" x14ac:dyDescent="0.25">
      <c r="A63" s="19"/>
      <c r="B63" s="19"/>
      <c r="C63" s="19"/>
      <c r="D63" s="19"/>
      <c r="E63" s="19"/>
      <c r="F63" s="19"/>
    </row>
    <row r="64" spans="1:7" s="1" customFormat="1" ht="46.2" customHeight="1" x14ac:dyDescent="0.25">
      <c r="A64" s="59" t="s">
        <v>160</v>
      </c>
      <c r="B64" s="59"/>
      <c r="C64" s="59"/>
      <c r="D64" s="59"/>
      <c r="E64" s="59"/>
      <c r="F64" s="59"/>
    </row>
    <row r="65" spans="1:7" s="1" customFormat="1" ht="13.8" x14ac:dyDescent="0.25">
      <c r="A65" s="2" t="s">
        <v>0</v>
      </c>
      <c r="B65" s="3" t="s">
        <v>1</v>
      </c>
      <c r="C65" s="3" t="s">
        <v>2</v>
      </c>
      <c r="D65" s="3" t="s">
        <v>16</v>
      </c>
      <c r="E65" s="4" t="s">
        <v>81</v>
      </c>
      <c r="F65" s="4" t="s">
        <v>82</v>
      </c>
    </row>
    <row r="66" spans="1:7" s="1" customFormat="1" ht="13.8" x14ac:dyDescent="0.25">
      <c r="A66" s="2">
        <v>1</v>
      </c>
      <c r="B66" s="57" t="s">
        <v>3</v>
      </c>
      <c r="C66" s="57"/>
      <c r="D66" s="57"/>
      <c r="E66" s="57"/>
      <c r="F66" s="57"/>
    </row>
    <row r="67" spans="1:7" s="1" customFormat="1" ht="13.8" x14ac:dyDescent="0.25">
      <c r="A67" s="5" t="s">
        <v>21</v>
      </c>
      <c r="B67" s="6" t="s">
        <v>64</v>
      </c>
      <c r="C67" s="9" t="s">
        <v>5</v>
      </c>
      <c r="D67" s="7">
        <v>1</v>
      </c>
      <c r="E67" s="8"/>
      <c r="F67" s="8">
        <f>+E67*D67</f>
        <v>0</v>
      </c>
    </row>
    <row r="68" spans="1:7" s="11" customFormat="1" ht="55.2" x14ac:dyDescent="0.25">
      <c r="A68" s="5" t="s">
        <v>22</v>
      </c>
      <c r="B68" s="6" t="s">
        <v>54</v>
      </c>
      <c r="C68" s="9" t="s">
        <v>4</v>
      </c>
      <c r="D68" s="9">
        <f>0.3*1*9</f>
        <v>2.6999999999999997</v>
      </c>
      <c r="E68" s="10"/>
      <c r="F68" s="8">
        <f t="shared" ref="F68:F72" si="6">+E68*D68</f>
        <v>0</v>
      </c>
    </row>
    <row r="69" spans="1:7" s="11" customFormat="1" ht="27.6" x14ac:dyDescent="0.25">
      <c r="A69" s="5" t="s">
        <v>23</v>
      </c>
      <c r="B69" s="6" t="s">
        <v>87</v>
      </c>
      <c r="C69" s="9" t="s">
        <v>5</v>
      </c>
      <c r="D69" s="9">
        <v>1</v>
      </c>
      <c r="E69" s="10"/>
      <c r="F69" s="8">
        <f t="shared" si="6"/>
        <v>0</v>
      </c>
    </row>
    <row r="70" spans="1:7" s="11" customFormat="1" ht="41.4" x14ac:dyDescent="0.25">
      <c r="A70" s="5" t="s">
        <v>24</v>
      </c>
      <c r="B70" s="6" t="s">
        <v>55</v>
      </c>
      <c r="C70" s="15" t="s">
        <v>68</v>
      </c>
      <c r="D70" s="9">
        <f>5.2*0.4*0.4*2+7.15*0.4*0.4</f>
        <v>2.8080000000000003</v>
      </c>
      <c r="E70" s="10"/>
      <c r="F70" s="8">
        <f t="shared" si="6"/>
        <v>0</v>
      </c>
    </row>
    <row r="71" spans="1:7" s="11" customFormat="1" ht="41.4" x14ac:dyDescent="0.25">
      <c r="A71" s="5" t="s">
        <v>86</v>
      </c>
      <c r="B71" s="6" t="s">
        <v>6</v>
      </c>
      <c r="C71" s="15" t="s">
        <v>68</v>
      </c>
      <c r="D71" s="9">
        <f>3.2*1*0.45*2</f>
        <v>2.8800000000000003</v>
      </c>
      <c r="E71" s="10"/>
      <c r="F71" s="8">
        <f t="shared" si="6"/>
        <v>0</v>
      </c>
    </row>
    <row r="72" spans="1:7" s="1" customFormat="1" ht="27.6" x14ac:dyDescent="0.25">
      <c r="A72" s="34" t="s">
        <v>140</v>
      </c>
      <c r="B72" s="35" t="s">
        <v>141</v>
      </c>
      <c r="C72" s="15" t="s">
        <v>148</v>
      </c>
      <c r="D72" s="15">
        <f>9*7</f>
        <v>63</v>
      </c>
      <c r="E72" s="36"/>
      <c r="F72" s="8">
        <f t="shared" si="6"/>
        <v>0</v>
      </c>
      <c r="G72" s="37"/>
    </row>
    <row r="73" spans="1:7" s="1" customFormat="1" ht="13.8" x14ac:dyDescent="0.25">
      <c r="A73" s="55" t="s">
        <v>17</v>
      </c>
      <c r="B73" s="55"/>
      <c r="C73" s="55"/>
      <c r="D73" s="55"/>
      <c r="E73" s="55"/>
      <c r="F73" s="12">
        <f>SUM(F67:F72)</f>
        <v>0</v>
      </c>
    </row>
    <row r="74" spans="1:7" s="1" customFormat="1" ht="13.8" x14ac:dyDescent="0.25">
      <c r="A74" s="2">
        <v>2</v>
      </c>
      <c r="B74" s="57" t="s">
        <v>7</v>
      </c>
      <c r="C74" s="57"/>
      <c r="D74" s="57"/>
      <c r="E74" s="57"/>
      <c r="F74" s="57"/>
    </row>
    <row r="75" spans="1:7" s="1" customFormat="1" ht="27.6" x14ac:dyDescent="0.25">
      <c r="A75" s="13" t="s">
        <v>25</v>
      </c>
      <c r="B75" s="6" t="s">
        <v>57</v>
      </c>
      <c r="C75" s="15" t="s">
        <v>68</v>
      </c>
      <c r="D75" s="9">
        <f>5.2*0.4*0.05*2+7.15*0.4*0.05</f>
        <v>0.35100000000000003</v>
      </c>
      <c r="E75" s="8"/>
      <c r="F75" s="8">
        <f t="shared" ref="F75:F80" si="7">+E75*D75</f>
        <v>0</v>
      </c>
    </row>
    <row r="76" spans="1:7" s="1" customFormat="1" ht="27.6" x14ac:dyDescent="0.25">
      <c r="A76" s="13" t="s">
        <v>26</v>
      </c>
      <c r="B76" s="6" t="s">
        <v>56</v>
      </c>
      <c r="C76" s="9" t="s">
        <v>4</v>
      </c>
      <c r="D76" s="9">
        <f>5.2*0.69*2+7.15*0.69</f>
        <v>12.109499999999999</v>
      </c>
      <c r="E76" s="8"/>
      <c r="F76" s="8">
        <f t="shared" si="7"/>
        <v>0</v>
      </c>
    </row>
    <row r="77" spans="1:7" s="1" customFormat="1" ht="27.6" x14ac:dyDescent="0.25">
      <c r="A77" s="13" t="s">
        <v>27</v>
      </c>
      <c r="B77" s="6" t="s">
        <v>60</v>
      </c>
      <c r="C77" s="9" t="s">
        <v>69</v>
      </c>
      <c r="D77" s="7">
        <f>9.4*7.4</f>
        <v>69.56</v>
      </c>
      <c r="E77" s="8"/>
      <c r="F77" s="8">
        <f t="shared" si="7"/>
        <v>0</v>
      </c>
    </row>
    <row r="78" spans="1:7" s="1" customFormat="1" ht="82.8" x14ac:dyDescent="0.25">
      <c r="A78" s="13" t="s">
        <v>28</v>
      </c>
      <c r="B78" s="6" t="s">
        <v>88</v>
      </c>
      <c r="C78" s="9" t="s">
        <v>70</v>
      </c>
      <c r="D78" s="7">
        <f>9*7*0.1</f>
        <v>6.3000000000000007</v>
      </c>
      <c r="E78" s="8"/>
      <c r="F78" s="8">
        <f t="shared" si="7"/>
        <v>0</v>
      </c>
    </row>
    <row r="79" spans="1:7" s="1" customFormat="1" ht="82.8" x14ac:dyDescent="0.25">
      <c r="A79" s="13" t="s">
        <v>29</v>
      </c>
      <c r="B79" s="6" t="s">
        <v>58</v>
      </c>
      <c r="C79" s="9" t="s">
        <v>70</v>
      </c>
      <c r="D79" s="7">
        <f>3.2*1*0.08*2</f>
        <v>0.51200000000000001</v>
      </c>
      <c r="E79" s="8"/>
      <c r="F79" s="8">
        <f t="shared" si="7"/>
        <v>0</v>
      </c>
    </row>
    <row r="80" spans="1:7" s="1" customFormat="1" ht="69" x14ac:dyDescent="0.25">
      <c r="A80" s="13" t="s">
        <v>30</v>
      </c>
      <c r="B80" s="6" t="s">
        <v>59</v>
      </c>
      <c r="C80" s="9" t="s">
        <v>70</v>
      </c>
      <c r="D80" s="14">
        <f>2*(((1.03*2)+(2.16*0.9))*0.45)/2</f>
        <v>1.8018000000000003</v>
      </c>
      <c r="E80" s="8"/>
      <c r="F80" s="8">
        <f t="shared" si="7"/>
        <v>0</v>
      </c>
    </row>
    <row r="81" spans="1:6" s="1" customFormat="1" ht="13.8" x14ac:dyDescent="0.25">
      <c r="A81" s="55" t="s">
        <v>18</v>
      </c>
      <c r="B81" s="55"/>
      <c r="C81" s="55"/>
      <c r="D81" s="55"/>
      <c r="E81" s="55"/>
      <c r="F81" s="12">
        <f>SUM(F75:F80)</f>
        <v>0</v>
      </c>
    </row>
    <row r="82" spans="1:6" s="1" customFormat="1" ht="13.8" x14ac:dyDescent="0.25">
      <c r="A82" s="2">
        <v>3</v>
      </c>
      <c r="B82" s="57" t="s">
        <v>8</v>
      </c>
      <c r="C82" s="57"/>
      <c r="D82" s="57"/>
      <c r="E82" s="57"/>
      <c r="F82" s="57"/>
    </row>
    <row r="83" spans="1:6" s="1" customFormat="1" ht="44.4" x14ac:dyDescent="0.25">
      <c r="A83" s="13" t="s">
        <v>31</v>
      </c>
      <c r="B83" s="6" t="s">
        <v>71</v>
      </c>
      <c r="C83" s="9" t="s">
        <v>70</v>
      </c>
      <c r="D83" s="7">
        <f>10*0.15*0.15*4</f>
        <v>0.89999999999999991</v>
      </c>
      <c r="E83" s="8"/>
      <c r="F83" s="8">
        <f>+E83*D83</f>
        <v>0</v>
      </c>
    </row>
    <row r="84" spans="1:6" s="1" customFormat="1" ht="44.4" x14ac:dyDescent="0.25">
      <c r="A84" s="13" t="s">
        <v>32</v>
      </c>
      <c r="B84" s="6" t="s">
        <v>72</v>
      </c>
      <c r="C84" s="9" t="s">
        <v>70</v>
      </c>
      <c r="D84" s="7">
        <f>32.6*0.15*0.2</f>
        <v>0.97799999999999998</v>
      </c>
      <c r="E84" s="8"/>
      <c r="F84" s="8">
        <f t="shared" ref="F84:F95" si="8">+E84*D84</f>
        <v>0</v>
      </c>
    </row>
    <row r="85" spans="1:6" s="1" customFormat="1" ht="44.4" x14ac:dyDescent="0.25">
      <c r="A85" s="13" t="s">
        <v>33</v>
      </c>
      <c r="B85" s="6" t="s">
        <v>73</v>
      </c>
      <c r="C85" s="9" t="s">
        <v>70</v>
      </c>
      <c r="D85" s="7">
        <f>23.45*0.15*0.2</f>
        <v>0.70350000000000001</v>
      </c>
      <c r="E85" s="8"/>
      <c r="F85" s="8">
        <f t="shared" si="8"/>
        <v>0</v>
      </c>
    </row>
    <row r="86" spans="1:6" s="1" customFormat="1" ht="30.6" x14ac:dyDescent="0.25">
      <c r="A86" s="13" t="s">
        <v>34</v>
      </c>
      <c r="B86" s="6" t="s">
        <v>74</v>
      </c>
      <c r="C86" s="9" t="s">
        <v>70</v>
      </c>
      <c r="D86" s="7">
        <f>23.45*0.15*0.2</f>
        <v>0.70350000000000001</v>
      </c>
      <c r="E86" s="8"/>
      <c r="F86" s="8">
        <f t="shared" si="8"/>
        <v>0</v>
      </c>
    </row>
    <row r="87" spans="1:6" s="1" customFormat="1" ht="41.4" x14ac:dyDescent="0.25">
      <c r="A87" s="13" t="s">
        <v>35</v>
      </c>
      <c r="B87" s="6" t="s">
        <v>65</v>
      </c>
      <c r="C87" s="9" t="s">
        <v>69</v>
      </c>
      <c r="D87" s="7">
        <f>+((32.6*2.9)-((4*1.8*1.2)+(2*1.2*1.1)))+(7.15*1)</f>
        <v>90.410000000000011</v>
      </c>
      <c r="E87" s="8"/>
      <c r="F87" s="8">
        <f t="shared" si="8"/>
        <v>0</v>
      </c>
    </row>
    <row r="88" spans="1:6" s="1" customFormat="1" ht="27.6" x14ac:dyDescent="0.25">
      <c r="A88" s="13" t="s">
        <v>36</v>
      </c>
      <c r="B88" s="6" t="s">
        <v>90</v>
      </c>
      <c r="C88" s="9" t="s">
        <v>13</v>
      </c>
      <c r="D88" s="7">
        <v>7.3</v>
      </c>
      <c r="E88" s="8"/>
      <c r="F88" s="8">
        <f t="shared" si="8"/>
        <v>0</v>
      </c>
    </row>
    <row r="89" spans="1:6" s="1" customFormat="1" ht="41.4" x14ac:dyDescent="0.25">
      <c r="A89" s="13" t="s">
        <v>37</v>
      </c>
      <c r="B89" s="6" t="s">
        <v>62</v>
      </c>
      <c r="C89" s="9" t="s">
        <v>69</v>
      </c>
      <c r="D89" s="7">
        <f>+D87</f>
        <v>90.410000000000011</v>
      </c>
      <c r="E89" s="8"/>
      <c r="F89" s="8">
        <f t="shared" si="8"/>
        <v>0</v>
      </c>
    </row>
    <row r="90" spans="1:6" s="1" customFormat="1" ht="27.6" x14ac:dyDescent="0.25">
      <c r="A90" s="13" t="s">
        <v>38</v>
      </c>
      <c r="B90" s="6" t="s">
        <v>61</v>
      </c>
      <c r="C90" s="9" t="s">
        <v>69</v>
      </c>
      <c r="D90" s="7">
        <f>+D87</f>
        <v>90.410000000000011</v>
      </c>
      <c r="E90" s="8"/>
      <c r="F90" s="8">
        <f t="shared" si="8"/>
        <v>0</v>
      </c>
    </row>
    <row r="91" spans="1:6" s="1" customFormat="1" ht="41.4" x14ac:dyDescent="0.25">
      <c r="A91" s="13" t="s">
        <v>39</v>
      </c>
      <c r="B91" s="6" t="s">
        <v>66</v>
      </c>
      <c r="C91" s="9" t="s">
        <v>69</v>
      </c>
      <c r="D91" s="7">
        <f>+((32.6*1.6)-((2*1.6*1.2)+(1.8*0.6*4)))</f>
        <v>44</v>
      </c>
      <c r="E91" s="8"/>
      <c r="F91" s="8">
        <f t="shared" si="8"/>
        <v>0</v>
      </c>
    </row>
    <row r="92" spans="1:6" s="1" customFormat="1" ht="41.4" x14ac:dyDescent="0.25">
      <c r="A92" s="13" t="s">
        <v>40</v>
      </c>
      <c r="B92" s="6" t="s">
        <v>63</v>
      </c>
      <c r="C92" s="9" t="s">
        <v>69</v>
      </c>
      <c r="D92" s="7">
        <f>6*1.4*2</f>
        <v>16.799999999999997</v>
      </c>
      <c r="E92" s="8"/>
      <c r="F92" s="8">
        <f t="shared" si="8"/>
        <v>0</v>
      </c>
    </row>
    <row r="93" spans="1:6" s="1" customFormat="1" ht="27.6" x14ac:dyDescent="0.25">
      <c r="A93" s="13" t="s">
        <v>41</v>
      </c>
      <c r="B93" s="6" t="s">
        <v>173</v>
      </c>
      <c r="C93" s="9" t="s">
        <v>69</v>
      </c>
      <c r="D93" s="7">
        <f>+(32.6-1.2)*1</f>
        <v>31.400000000000002</v>
      </c>
      <c r="E93" s="8"/>
      <c r="F93" s="8">
        <f t="shared" si="8"/>
        <v>0</v>
      </c>
    </row>
    <row r="94" spans="1:6" s="1" customFormat="1" ht="55.2" x14ac:dyDescent="0.25">
      <c r="A94" s="13" t="s">
        <v>89</v>
      </c>
      <c r="B94" s="6" t="s">
        <v>189</v>
      </c>
      <c r="C94" s="9" t="s">
        <v>69</v>
      </c>
      <c r="D94" s="7">
        <f>+D89+D93</f>
        <v>121.81000000000002</v>
      </c>
      <c r="E94" s="8"/>
      <c r="F94" s="8">
        <f t="shared" si="8"/>
        <v>0</v>
      </c>
    </row>
    <row r="95" spans="1:6" s="1" customFormat="1" ht="13.8" x14ac:dyDescent="0.25">
      <c r="A95" s="13" t="s">
        <v>191</v>
      </c>
      <c r="B95" s="6" t="s">
        <v>10</v>
      </c>
      <c r="C95" s="9" t="s">
        <v>11</v>
      </c>
      <c r="D95" s="7">
        <v>12</v>
      </c>
      <c r="E95" s="8"/>
      <c r="F95" s="8">
        <f t="shared" si="8"/>
        <v>0</v>
      </c>
    </row>
    <row r="96" spans="1:6" s="1" customFormat="1" ht="13.8" x14ac:dyDescent="0.25">
      <c r="A96" s="55" t="s">
        <v>19</v>
      </c>
      <c r="B96" s="55"/>
      <c r="C96" s="55"/>
      <c r="D96" s="55"/>
      <c r="E96" s="55"/>
      <c r="F96" s="12">
        <f>SUM(F83:F95)</f>
        <v>0</v>
      </c>
    </row>
    <row r="97" spans="1:8" s="1" customFormat="1" ht="13.8" x14ac:dyDescent="0.25">
      <c r="A97" s="2">
        <v>4</v>
      </c>
      <c r="B97" s="57" t="s">
        <v>12</v>
      </c>
      <c r="C97" s="57"/>
      <c r="D97" s="57"/>
      <c r="E97" s="57"/>
      <c r="F97" s="57"/>
    </row>
    <row r="98" spans="1:8" s="1" customFormat="1" ht="69" x14ac:dyDescent="0.25">
      <c r="A98" s="13" t="s">
        <v>42</v>
      </c>
      <c r="B98" s="6" t="s">
        <v>174</v>
      </c>
      <c r="C98" s="9" t="s">
        <v>13</v>
      </c>
      <c r="D98" s="9">
        <v>9.6999999999999993</v>
      </c>
      <c r="E98" s="8"/>
      <c r="F98" s="8">
        <f t="shared" ref="F98:F103" si="9">+E98*D98</f>
        <v>0</v>
      </c>
    </row>
    <row r="99" spans="1:8" s="1" customFormat="1" ht="82.8" x14ac:dyDescent="0.25">
      <c r="A99" s="13" t="s">
        <v>84</v>
      </c>
      <c r="B99" s="6" t="s">
        <v>175</v>
      </c>
      <c r="C99" s="9" t="s">
        <v>13</v>
      </c>
      <c r="D99" s="9">
        <f>4*1</f>
        <v>4</v>
      </c>
      <c r="E99" s="8"/>
      <c r="F99" s="8">
        <f t="shared" si="9"/>
        <v>0</v>
      </c>
    </row>
    <row r="100" spans="1:8" s="1" customFormat="1" ht="48.75" customHeight="1" x14ac:dyDescent="0.25">
      <c r="A100" s="13" t="s">
        <v>85</v>
      </c>
      <c r="B100" s="6" t="s">
        <v>176</v>
      </c>
      <c r="C100" s="9" t="s">
        <v>13</v>
      </c>
      <c r="D100" s="7">
        <f>7.15*2+9.15</f>
        <v>23.450000000000003</v>
      </c>
      <c r="E100" s="8"/>
      <c r="F100" s="8">
        <f t="shared" si="9"/>
        <v>0</v>
      </c>
      <c r="G100" s="41"/>
      <c r="H100" s="37"/>
    </row>
    <row r="101" spans="1:8" s="1" customFormat="1" ht="27.6" x14ac:dyDescent="0.25">
      <c r="A101" s="13" t="s">
        <v>143</v>
      </c>
      <c r="B101" s="6" t="s">
        <v>178</v>
      </c>
      <c r="C101" s="9" t="s">
        <v>69</v>
      </c>
      <c r="D101" s="7">
        <f>1.98*4*2</f>
        <v>15.84</v>
      </c>
      <c r="E101" s="8"/>
      <c r="F101" s="8">
        <f t="shared" si="9"/>
        <v>0</v>
      </c>
    </row>
    <row r="102" spans="1:8" s="1" customFormat="1" ht="41.4" x14ac:dyDescent="0.25">
      <c r="A102" s="13" t="s">
        <v>177</v>
      </c>
      <c r="B102" s="6" t="s">
        <v>180</v>
      </c>
      <c r="C102" s="9" t="s">
        <v>70</v>
      </c>
      <c r="D102" s="7">
        <f>0.4*0.4*0.4*2</f>
        <v>0.12800000000000003</v>
      </c>
      <c r="E102" s="8"/>
      <c r="F102" s="8">
        <f t="shared" si="9"/>
        <v>0</v>
      </c>
    </row>
    <row r="103" spans="1:8" s="1" customFormat="1" ht="69" x14ac:dyDescent="0.25">
      <c r="A103" s="13" t="s">
        <v>179</v>
      </c>
      <c r="B103" s="6" t="s">
        <v>192</v>
      </c>
      <c r="C103" s="9" t="s">
        <v>182</v>
      </c>
      <c r="D103" s="7">
        <v>2</v>
      </c>
      <c r="E103" s="8"/>
      <c r="F103" s="8">
        <f t="shared" si="9"/>
        <v>0</v>
      </c>
    </row>
    <row r="104" spans="1:8" s="1" customFormat="1" ht="13.8" x14ac:dyDescent="0.25">
      <c r="A104" s="55" t="s">
        <v>20</v>
      </c>
      <c r="B104" s="55"/>
      <c r="C104" s="55"/>
      <c r="D104" s="55"/>
      <c r="E104" s="55"/>
      <c r="F104" s="12">
        <f>SUM(F98:F103)</f>
        <v>0</v>
      </c>
    </row>
    <row r="105" spans="1:8" s="1" customFormat="1" ht="13.8" x14ac:dyDescent="0.25">
      <c r="A105" s="2">
        <v>5</v>
      </c>
      <c r="B105" s="57" t="s">
        <v>50</v>
      </c>
      <c r="C105" s="57"/>
      <c r="D105" s="57"/>
      <c r="E105" s="57"/>
      <c r="F105" s="57"/>
    </row>
    <row r="106" spans="1:8" s="1" customFormat="1" ht="69" x14ac:dyDescent="0.25">
      <c r="A106" s="13" t="s">
        <v>43</v>
      </c>
      <c r="B106" s="6" t="s">
        <v>150</v>
      </c>
      <c r="C106" s="9" t="s">
        <v>11</v>
      </c>
      <c r="D106" s="7">
        <v>2</v>
      </c>
      <c r="E106" s="8"/>
      <c r="F106" s="8">
        <f>+E106*D106</f>
        <v>0</v>
      </c>
    </row>
    <row r="107" spans="1:8" s="1" customFormat="1" ht="124.2" x14ac:dyDescent="0.25">
      <c r="A107" s="13" t="s">
        <v>44</v>
      </c>
      <c r="B107" s="6" t="s">
        <v>193</v>
      </c>
      <c r="C107" s="9" t="s">
        <v>11</v>
      </c>
      <c r="D107" s="7">
        <v>4</v>
      </c>
      <c r="E107" s="8"/>
      <c r="F107" s="8">
        <f t="shared" ref="F107:F108" si="10">+E107*D107</f>
        <v>0</v>
      </c>
    </row>
    <row r="108" spans="1:8" s="1" customFormat="1" ht="107.25" customHeight="1" x14ac:dyDescent="0.25">
      <c r="A108" s="13" t="s">
        <v>45</v>
      </c>
      <c r="B108" s="6" t="s">
        <v>185</v>
      </c>
      <c r="C108" s="9" t="s">
        <v>13</v>
      </c>
      <c r="D108" s="7">
        <f>2*(((2.05*2)+1.1)*3)+(0.6*34)</f>
        <v>51.599999999999994</v>
      </c>
      <c r="E108" s="8"/>
      <c r="F108" s="8">
        <f t="shared" si="10"/>
        <v>0</v>
      </c>
      <c r="G108" s="41"/>
    </row>
    <row r="109" spans="1:8" s="1" customFormat="1" ht="13.8" x14ac:dyDescent="0.25">
      <c r="A109" s="55" t="s">
        <v>51</v>
      </c>
      <c r="B109" s="55"/>
      <c r="C109" s="55"/>
      <c r="D109" s="55"/>
      <c r="E109" s="55"/>
      <c r="F109" s="12">
        <f>SUM(F106:F108)</f>
        <v>0</v>
      </c>
    </row>
    <row r="110" spans="1:8" s="1" customFormat="1" ht="13.8" x14ac:dyDescent="0.25">
      <c r="A110" s="2">
        <v>6</v>
      </c>
      <c r="B110" s="57" t="s">
        <v>14</v>
      </c>
      <c r="C110" s="57"/>
      <c r="D110" s="57"/>
      <c r="E110" s="57"/>
      <c r="F110" s="57"/>
    </row>
    <row r="111" spans="1:8" s="1" customFormat="1" ht="27.6" x14ac:dyDescent="0.25">
      <c r="A111" s="13" t="s">
        <v>46</v>
      </c>
      <c r="B111" s="6" t="s">
        <v>15</v>
      </c>
      <c r="C111" s="9" t="s">
        <v>69</v>
      </c>
      <c r="D111" s="7">
        <f>2*((2*1.2*2.2)+(4*1.8*1.2))</f>
        <v>27.840000000000003</v>
      </c>
      <c r="E111" s="8"/>
      <c r="F111" s="8">
        <f>+E111*D111</f>
        <v>0</v>
      </c>
    </row>
    <row r="112" spans="1:8" s="1" customFormat="1" ht="27.6" x14ac:dyDescent="0.25">
      <c r="A112" s="13" t="s">
        <v>47</v>
      </c>
      <c r="B112" s="44" t="s">
        <v>187</v>
      </c>
      <c r="C112" s="45" t="s">
        <v>69</v>
      </c>
      <c r="D112" s="46">
        <f>+(32.6*4)-((2*1.2*2.2)+(4*1.8*1.2))</f>
        <v>116.48</v>
      </c>
      <c r="E112" s="47"/>
      <c r="F112" s="8">
        <f t="shared" ref="F112:F114" si="11">+E112*D112</f>
        <v>0</v>
      </c>
      <c r="G112" s="41"/>
      <c r="H112" s="48"/>
    </row>
    <row r="113" spans="1:7" s="1" customFormat="1" ht="27.6" x14ac:dyDescent="0.25">
      <c r="A113" s="13" t="s">
        <v>48</v>
      </c>
      <c r="B113" s="44" t="s">
        <v>186</v>
      </c>
      <c r="C113" s="9" t="s">
        <v>69</v>
      </c>
      <c r="D113" s="7">
        <f>+(32.6*4)-((2*1.2*2.2)+(4*1.8*1.2))</f>
        <v>116.48</v>
      </c>
      <c r="E113" s="8"/>
      <c r="F113" s="8">
        <f t="shared" si="11"/>
        <v>0</v>
      </c>
    </row>
    <row r="114" spans="1:7" s="1" customFormat="1" ht="27.6" x14ac:dyDescent="0.25">
      <c r="A114" s="13" t="s">
        <v>49</v>
      </c>
      <c r="B114" s="6" t="s">
        <v>52</v>
      </c>
      <c r="C114" s="9" t="s">
        <v>69</v>
      </c>
      <c r="D114" s="7">
        <f>6*1.4*2</f>
        <v>16.799999999999997</v>
      </c>
      <c r="E114" s="8"/>
      <c r="F114" s="8">
        <f t="shared" si="11"/>
        <v>0</v>
      </c>
    </row>
    <row r="115" spans="1:7" s="1" customFormat="1" ht="13.8" x14ac:dyDescent="0.25">
      <c r="A115" s="55" t="s">
        <v>53</v>
      </c>
      <c r="B115" s="55"/>
      <c r="C115" s="55"/>
      <c r="D115" s="55"/>
      <c r="E115" s="55"/>
      <c r="F115" s="12">
        <f>SUM(F111:F114)</f>
        <v>0</v>
      </c>
    </row>
    <row r="116" spans="1:7" x14ac:dyDescent="0.3">
      <c r="A116" s="2">
        <v>7</v>
      </c>
      <c r="B116" s="57" t="s">
        <v>91</v>
      </c>
      <c r="C116" s="57"/>
      <c r="D116" s="57"/>
      <c r="E116" s="57"/>
      <c r="F116" s="57"/>
    </row>
    <row r="117" spans="1:7" ht="41.4" x14ac:dyDescent="0.3">
      <c r="A117" s="25" t="s">
        <v>92</v>
      </c>
      <c r="B117" s="6" t="s">
        <v>93</v>
      </c>
      <c r="C117" s="9" t="s">
        <v>11</v>
      </c>
      <c r="D117" s="9">
        <v>100</v>
      </c>
      <c r="E117" s="26"/>
      <c r="F117" s="8">
        <f>D117*E117</f>
        <v>0</v>
      </c>
    </row>
    <row r="118" spans="1:7" x14ac:dyDescent="0.3">
      <c r="A118" s="55" t="s">
        <v>94</v>
      </c>
      <c r="B118" s="55"/>
      <c r="C118" s="55"/>
      <c r="D118" s="55"/>
      <c r="E118" s="55"/>
      <c r="F118" s="12">
        <f>F117</f>
        <v>0</v>
      </c>
    </row>
    <row r="119" spans="1:7" s="1" customFormat="1" ht="13.8" x14ac:dyDescent="0.25">
      <c r="A119" s="56" t="s">
        <v>119</v>
      </c>
      <c r="B119" s="56"/>
      <c r="C119" s="56"/>
      <c r="D119" s="56"/>
      <c r="E119" s="56"/>
      <c r="F119" s="23">
        <f>SUM(F118,F115,F109,F104,F96,F81,F73)</f>
        <v>0</v>
      </c>
    </row>
    <row r="120" spans="1:7" s="1" customFormat="1" ht="13.8" x14ac:dyDescent="0.25">
      <c r="A120" s="56" t="s">
        <v>118</v>
      </c>
      <c r="B120" s="56"/>
      <c r="C120" s="56"/>
      <c r="D120" s="56"/>
      <c r="E120" s="56"/>
      <c r="F120" s="23">
        <f>+F119*0.18</f>
        <v>0</v>
      </c>
    </row>
    <row r="121" spans="1:7" s="1" customFormat="1" ht="13.8" x14ac:dyDescent="0.25">
      <c r="A121" s="56" t="s">
        <v>153</v>
      </c>
      <c r="B121" s="56"/>
      <c r="C121" s="56"/>
      <c r="D121" s="56"/>
      <c r="E121" s="56"/>
      <c r="F121" s="23">
        <f>+F119+F120</f>
        <v>0</v>
      </c>
    </row>
    <row r="125" spans="1:7" s="1" customFormat="1" ht="29.4" customHeight="1" x14ac:dyDescent="0.25">
      <c r="A125" s="58" t="s">
        <v>161</v>
      </c>
      <c r="B125" s="58"/>
      <c r="C125" s="58"/>
      <c r="D125" s="58"/>
      <c r="E125" s="58"/>
      <c r="F125" s="58"/>
    </row>
    <row r="126" spans="1:7" s="1" customFormat="1" ht="13.8" x14ac:dyDescent="0.25">
      <c r="A126" s="19"/>
      <c r="B126" s="19"/>
      <c r="C126" s="19"/>
      <c r="D126" s="19"/>
      <c r="E126" s="19"/>
      <c r="F126" s="19"/>
    </row>
    <row r="127" spans="1:7" s="1" customFormat="1" ht="33" customHeight="1" x14ac:dyDescent="0.25">
      <c r="A127" s="59" t="s">
        <v>129</v>
      </c>
      <c r="B127" s="59"/>
      <c r="C127" s="59"/>
      <c r="D127" s="59"/>
      <c r="E127" s="59"/>
      <c r="F127" s="59"/>
    </row>
    <row r="128" spans="1:7" s="1" customFormat="1" ht="13.8" x14ac:dyDescent="0.25">
      <c r="A128" s="2" t="s">
        <v>0</v>
      </c>
      <c r="B128" s="3" t="s">
        <v>1</v>
      </c>
      <c r="C128" s="3" t="s">
        <v>2</v>
      </c>
      <c r="D128" s="3" t="s">
        <v>16</v>
      </c>
      <c r="E128" s="4" t="s">
        <v>81</v>
      </c>
      <c r="F128" s="4" t="s">
        <v>83</v>
      </c>
      <c r="G128" s="11"/>
    </row>
    <row r="129" spans="1:7" s="1" customFormat="1" ht="13.8" x14ac:dyDescent="0.25">
      <c r="A129" s="2">
        <v>1</v>
      </c>
      <c r="B129" s="57" t="s">
        <v>3</v>
      </c>
      <c r="C129" s="57"/>
      <c r="D129" s="57"/>
      <c r="E129" s="57"/>
      <c r="F129" s="57"/>
    </row>
    <row r="130" spans="1:7" s="1" customFormat="1" ht="13.8" x14ac:dyDescent="0.25">
      <c r="A130" s="5" t="s">
        <v>21</v>
      </c>
      <c r="B130" s="6" t="s">
        <v>64</v>
      </c>
      <c r="C130" s="9" t="s">
        <v>5</v>
      </c>
      <c r="D130" s="7">
        <v>1</v>
      </c>
      <c r="E130" s="8"/>
      <c r="F130" s="8">
        <f>+E130*D130</f>
        <v>0</v>
      </c>
    </row>
    <row r="131" spans="1:7" s="11" customFormat="1" ht="55.2" x14ac:dyDescent="0.25">
      <c r="A131" s="5" t="s">
        <v>22</v>
      </c>
      <c r="B131" s="6" t="s">
        <v>54</v>
      </c>
      <c r="C131" s="9" t="s">
        <v>4</v>
      </c>
      <c r="D131" s="9">
        <f>0.3*1*24</f>
        <v>7.1999999999999993</v>
      </c>
      <c r="E131" s="10"/>
      <c r="F131" s="8">
        <f t="shared" ref="F131:F135" si="12">+E131*D131</f>
        <v>0</v>
      </c>
    </row>
    <row r="132" spans="1:7" s="11" customFormat="1" ht="30" customHeight="1" x14ac:dyDescent="0.25">
      <c r="A132" s="5" t="s">
        <v>23</v>
      </c>
      <c r="B132" s="6" t="s">
        <v>87</v>
      </c>
      <c r="C132" s="9" t="s">
        <v>5</v>
      </c>
      <c r="D132" s="9">
        <v>1</v>
      </c>
      <c r="E132" s="10"/>
      <c r="F132" s="8">
        <f t="shared" si="12"/>
        <v>0</v>
      </c>
    </row>
    <row r="133" spans="1:7" s="11" customFormat="1" ht="55.2" x14ac:dyDescent="0.25">
      <c r="A133" s="5" t="s">
        <v>24</v>
      </c>
      <c r="B133" s="6" t="s">
        <v>138</v>
      </c>
      <c r="C133" s="15" t="s">
        <v>68</v>
      </c>
      <c r="D133" s="32">
        <f>((5.36+5.03*3.93)*0.4*0.4)*6</f>
        <v>24.122784000000003</v>
      </c>
      <c r="E133" s="10"/>
      <c r="F133" s="8">
        <f t="shared" si="12"/>
        <v>0</v>
      </c>
      <c r="G133" s="33"/>
    </row>
    <row r="134" spans="1:7" s="11" customFormat="1" ht="41.4" x14ac:dyDescent="0.25">
      <c r="A134" s="5" t="s">
        <v>86</v>
      </c>
      <c r="B134" s="6" t="s">
        <v>6</v>
      </c>
      <c r="C134" s="15" t="s">
        <v>68</v>
      </c>
      <c r="D134" s="9">
        <f>3.2*1*0.45*6</f>
        <v>8.64</v>
      </c>
      <c r="E134" s="10"/>
      <c r="F134" s="8">
        <f t="shared" si="12"/>
        <v>0</v>
      </c>
      <c r="G134" s="33"/>
    </row>
    <row r="135" spans="1:7" s="1" customFormat="1" ht="27.6" x14ac:dyDescent="0.25">
      <c r="A135" s="34" t="s">
        <v>140</v>
      </c>
      <c r="B135" s="35" t="s">
        <v>141</v>
      </c>
      <c r="C135" s="15" t="s">
        <v>142</v>
      </c>
      <c r="D135" s="15">
        <f>63*3</f>
        <v>189</v>
      </c>
      <c r="E135" s="36"/>
      <c r="F135" s="8">
        <f t="shared" si="12"/>
        <v>0</v>
      </c>
    </row>
    <row r="136" spans="1:7" s="1" customFormat="1" ht="13.8" x14ac:dyDescent="0.25">
      <c r="A136" s="55" t="s">
        <v>17</v>
      </c>
      <c r="B136" s="55"/>
      <c r="C136" s="55"/>
      <c r="D136" s="55"/>
      <c r="E136" s="55"/>
      <c r="F136" s="12">
        <f>SUM(F130:F135)</f>
        <v>0</v>
      </c>
    </row>
    <row r="137" spans="1:7" s="1" customFormat="1" ht="13.8" x14ac:dyDescent="0.25">
      <c r="A137" s="2">
        <v>2</v>
      </c>
      <c r="B137" s="57" t="s">
        <v>7</v>
      </c>
      <c r="C137" s="57"/>
      <c r="D137" s="57"/>
      <c r="E137" s="57"/>
      <c r="F137" s="57"/>
    </row>
    <row r="138" spans="1:7" s="1" customFormat="1" ht="27.6" x14ac:dyDescent="0.25">
      <c r="A138" s="13" t="s">
        <v>25</v>
      </c>
      <c r="B138" s="6" t="s">
        <v>57</v>
      </c>
      <c r="C138" s="15" t="s">
        <v>68</v>
      </c>
      <c r="D138" s="9">
        <f>5.2*0.4*0.05*6</f>
        <v>0.62400000000000011</v>
      </c>
      <c r="E138" s="8"/>
      <c r="F138" s="8">
        <f t="shared" ref="F138:F143" si="13">+E138*D138</f>
        <v>0</v>
      </c>
    </row>
    <row r="139" spans="1:7" s="1" customFormat="1" ht="27.6" x14ac:dyDescent="0.25">
      <c r="A139" s="13" t="s">
        <v>26</v>
      </c>
      <c r="B139" s="6" t="s">
        <v>56</v>
      </c>
      <c r="C139" s="9" t="s">
        <v>4</v>
      </c>
      <c r="D139" s="9">
        <f>5.2*0.69*6</f>
        <v>21.527999999999999</v>
      </c>
      <c r="E139" s="8"/>
      <c r="F139" s="8">
        <f t="shared" si="13"/>
        <v>0</v>
      </c>
    </row>
    <row r="140" spans="1:7" s="1" customFormat="1" ht="27.6" x14ac:dyDescent="0.25">
      <c r="A140" s="13" t="s">
        <v>27</v>
      </c>
      <c r="B140" s="6" t="s">
        <v>60</v>
      </c>
      <c r="C140" s="9" t="s">
        <v>69</v>
      </c>
      <c r="D140" s="7">
        <f>9.4*7.4*3</f>
        <v>208.68</v>
      </c>
      <c r="E140" s="8"/>
      <c r="F140" s="8">
        <f t="shared" si="13"/>
        <v>0</v>
      </c>
    </row>
    <row r="141" spans="1:7" s="1" customFormat="1" ht="82.8" x14ac:dyDescent="0.25">
      <c r="A141" s="13" t="s">
        <v>28</v>
      </c>
      <c r="B141" s="6" t="s">
        <v>88</v>
      </c>
      <c r="C141" s="9" t="s">
        <v>70</v>
      </c>
      <c r="D141" s="7">
        <f>9*7*0.1*3</f>
        <v>18.900000000000002</v>
      </c>
      <c r="E141" s="8"/>
      <c r="F141" s="8">
        <f t="shared" si="13"/>
        <v>0</v>
      </c>
    </row>
    <row r="142" spans="1:7" s="1" customFormat="1" ht="82.8" x14ac:dyDescent="0.25">
      <c r="A142" s="13" t="s">
        <v>29</v>
      </c>
      <c r="B142" s="6" t="s">
        <v>58</v>
      </c>
      <c r="C142" s="9" t="s">
        <v>70</v>
      </c>
      <c r="D142" s="7">
        <f>3.2*1*0.08*6</f>
        <v>1.536</v>
      </c>
      <c r="E142" s="8"/>
      <c r="F142" s="8">
        <f t="shared" si="13"/>
        <v>0</v>
      </c>
    </row>
    <row r="143" spans="1:7" s="1" customFormat="1" ht="69" x14ac:dyDescent="0.25">
      <c r="A143" s="13" t="s">
        <v>30</v>
      </c>
      <c r="B143" s="6" t="s">
        <v>59</v>
      </c>
      <c r="C143" s="9" t="s">
        <v>70</v>
      </c>
      <c r="D143" s="14">
        <f>6*(((1.03*2)+(2.16*0.9))*0.45)/2</f>
        <v>5.4054000000000011</v>
      </c>
      <c r="E143" s="8"/>
      <c r="F143" s="8">
        <f t="shared" si="13"/>
        <v>0</v>
      </c>
    </row>
    <row r="144" spans="1:7" s="1" customFormat="1" ht="13.8" x14ac:dyDescent="0.25">
      <c r="A144" s="55" t="s">
        <v>18</v>
      </c>
      <c r="B144" s="55"/>
      <c r="C144" s="55"/>
      <c r="D144" s="55"/>
      <c r="E144" s="55"/>
      <c r="F144" s="12">
        <f>SUM(F138:F143)</f>
        <v>0</v>
      </c>
    </row>
    <row r="145" spans="1:8" s="1" customFormat="1" ht="13.8" x14ac:dyDescent="0.25">
      <c r="A145" s="2">
        <v>3</v>
      </c>
      <c r="B145" s="57" t="s">
        <v>8</v>
      </c>
      <c r="C145" s="57"/>
      <c r="D145" s="57"/>
      <c r="E145" s="57"/>
      <c r="F145" s="57"/>
    </row>
    <row r="146" spans="1:8" s="1" customFormat="1" ht="44.4" x14ac:dyDescent="0.25">
      <c r="A146" s="13" t="s">
        <v>31</v>
      </c>
      <c r="B146" s="6" t="s">
        <v>71</v>
      </c>
      <c r="C146" s="9" t="s">
        <v>70</v>
      </c>
      <c r="D146" s="7">
        <f>24*0.15*0.15*4</f>
        <v>2.1599999999999997</v>
      </c>
      <c r="E146" s="8"/>
      <c r="F146" s="8">
        <f>+E146*D146</f>
        <v>0</v>
      </c>
    </row>
    <row r="147" spans="1:8" s="1" customFormat="1" ht="50.25" customHeight="1" x14ac:dyDescent="0.25">
      <c r="A147" s="13" t="s">
        <v>32</v>
      </c>
      <c r="B147" s="6" t="s">
        <v>72</v>
      </c>
      <c r="C147" s="9" t="s">
        <v>70</v>
      </c>
      <c r="D147" s="7">
        <f>83.5*0.15*0.2</f>
        <v>2.5050000000000003</v>
      </c>
      <c r="E147" s="8"/>
      <c r="F147" s="8">
        <f t="shared" ref="F147:F155" si="14">+E147*D147</f>
        <v>0</v>
      </c>
    </row>
    <row r="148" spans="1:8" s="1" customFormat="1" ht="41.4" x14ac:dyDescent="0.25">
      <c r="A148" s="13" t="s">
        <v>33</v>
      </c>
      <c r="B148" s="6" t="s">
        <v>67</v>
      </c>
      <c r="C148" s="9" t="s">
        <v>69</v>
      </c>
      <c r="D148" s="7">
        <f>+((83.5*2.9)-((12*1.8*1.2)+(6*1.2*1.1)))</f>
        <v>208.31</v>
      </c>
      <c r="E148" s="8"/>
      <c r="F148" s="8">
        <f t="shared" si="14"/>
        <v>0</v>
      </c>
    </row>
    <row r="149" spans="1:8" s="1" customFormat="1" ht="46.5" customHeight="1" x14ac:dyDescent="0.25">
      <c r="A149" s="13" t="s">
        <v>34</v>
      </c>
      <c r="B149" s="6" t="s">
        <v>62</v>
      </c>
      <c r="C149" s="9" t="s">
        <v>69</v>
      </c>
      <c r="D149" s="7">
        <f>+D148+(7*2.9*2)</f>
        <v>248.91</v>
      </c>
      <c r="E149" s="8"/>
      <c r="F149" s="8">
        <f t="shared" si="14"/>
        <v>0</v>
      </c>
    </row>
    <row r="150" spans="1:8" s="1" customFormat="1" ht="36" customHeight="1" x14ac:dyDescent="0.25">
      <c r="A150" s="13" t="s">
        <v>35</v>
      </c>
      <c r="B150" s="6" t="s">
        <v>61</v>
      </c>
      <c r="C150" s="9" t="s">
        <v>69</v>
      </c>
      <c r="D150" s="7">
        <f>+D148-(7*2.9*2)</f>
        <v>167.71</v>
      </c>
      <c r="E150" s="8"/>
      <c r="F150" s="8">
        <f t="shared" si="14"/>
        <v>0</v>
      </c>
    </row>
    <row r="151" spans="1:8" s="1" customFormat="1" ht="41.4" x14ac:dyDescent="0.25">
      <c r="A151" s="13" t="s">
        <v>36</v>
      </c>
      <c r="B151" s="6" t="s">
        <v>66</v>
      </c>
      <c r="C151" s="9" t="s">
        <v>69</v>
      </c>
      <c r="D151" s="7">
        <f>+((97.8*1.6)-((6*1.6*1.2)+(1.8*0.6*12)))</f>
        <v>132</v>
      </c>
      <c r="E151" s="8"/>
      <c r="F151" s="8">
        <f t="shared" si="14"/>
        <v>0</v>
      </c>
    </row>
    <row r="152" spans="1:8" s="1" customFormat="1" ht="41.4" x14ac:dyDescent="0.25">
      <c r="A152" s="13" t="s">
        <v>37</v>
      </c>
      <c r="B152" s="6" t="s">
        <v>63</v>
      </c>
      <c r="C152" s="9" t="s">
        <v>69</v>
      </c>
      <c r="D152" s="7">
        <f>6*1.4*6</f>
        <v>50.399999999999991</v>
      </c>
      <c r="E152" s="8"/>
      <c r="F152" s="8">
        <f t="shared" si="14"/>
        <v>0</v>
      </c>
    </row>
    <row r="153" spans="1:8" s="1" customFormat="1" ht="27.6" x14ac:dyDescent="0.25">
      <c r="A153" s="13" t="s">
        <v>38</v>
      </c>
      <c r="B153" s="6" t="s">
        <v>173</v>
      </c>
      <c r="C153" s="9" t="s">
        <v>69</v>
      </c>
      <c r="D153" s="7">
        <f>+((69.2)-(1.2*3))*1</f>
        <v>65.600000000000009</v>
      </c>
      <c r="E153" s="8"/>
      <c r="F153" s="8">
        <f t="shared" si="14"/>
        <v>0</v>
      </c>
    </row>
    <row r="154" spans="1:8" s="1" customFormat="1" ht="55.2" x14ac:dyDescent="0.25">
      <c r="A154" s="13" t="s">
        <v>39</v>
      </c>
      <c r="B154" s="6" t="s">
        <v>189</v>
      </c>
      <c r="C154" s="9" t="s">
        <v>69</v>
      </c>
      <c r="D154" s="7">
        <f>+D150+D153</f>
        <v>233.31</v>
      </c>
      <c r="E154" s="8"/>
      <c r="F154" s="8">
        <f t="shared" si="14"/>
        <v>0</v>
      </c>
    </row>
    <row r="155" spans="1:8" s="1" customFormat="1" ht="13.8" x14ac:dyDescent="0.25">
      <c r="A155" s="13" t="s">
        <v>40</v>
      </c>
      <c r="B155" s="6" t="s">
        <v>10</v>
      </c>
      <c r="C155" s="9" t="s">
        <v>11</v>
      </c>
      <c r="D155" s="7">
        <v>36</v>
      </c>
      <c r="E155" s="8"/>
      <c r="F155" s="8">
        <f t="shared" si="14"/>
        <v>0</v>
      </c>
    </row>
    <row r="156" spans="1:8" s="1" customFormat="1" ht="13.8" x14ac:dyDescent="0.25">
      <c r="A156" s="55" t="s">
        <v>19</v>
      </c>
      <c r="B156" s="55"/>
      <c r="C156" s="55"/>
      <c r="D156" s="55"/>
      <c r="E156" s="55"/>
      <c r="F156" s="12">
        <f>SUM(F146:F155)</f>
        <v>0</v>
      </c>
    </row>
    <row r="157" spans="1:8" s="1" customFormat="1" ht="13.8" x14ac:dyDescent="0.25">
      <c r="A157" s="2">
        <v>4</v>
      </c>
      <c r="B157" s="57" t="s">
        <v>12</v>
      </c>
      <c r="C157" s="57"/>
      <c r="D157" s="57"/>
      <c r="E157" s="57"/>
      <c r="F157" s="57"/>
    </row>
    <row r="158" spans="1:8" s="1" customFormat="1" ht="69" x14ac:dyDescent="0.25">
      <c r="A158" s="13" t="s">
        <v>42</v>
      </c>
      <c r="B158" s="6" t="s">
        <v>174</v>
      </c>
      <c r="C158" s="9" t="s">
        <v>13</v>
      </c>
      <c r="D158" s="9">
        <f>9.7+9.15+9.15</f>
        <v>28</v>
      </c>
      <c r="E158" s="8"/>
      <c r="F158" s="8">
        <f t="shared" ref="F158:F164" si="15">+E158*D158</f>
        <v>0</v>
      </c>
    </row>
    <row r="159" spans="1:8" s="1" customFormat="1" ht="84.75" customHeight="1" x14ac:dyDescent="0.25">
      <c r="A159" s="13" t="s">
        <v>84</v>
      </c>
      <c r="B159" s="6" t="s">
        <v>175</v>
      </c>
      <c r="C159" s="9" t="s">
        <v>13</v>
      </c>
      <c r="D159" s="9">
        <f>(4*2)*3</f>
        <v>24</v>
      </c>
      <c r="E159" s="8"/>
      <c r="F159" s="8">
        <f t="shared" si="15"/>
        <v>0</v>
      </c>
      <c r="G159" s="33"/>
    </row>
    <row r="160" spans="1:8" s="1" customFormat="1" ht="42" customHeight="1" x14ac:dyDescent="0.25">
      <c r="A160" s="13" t="s">
        <v>85</v>
      </c>
      <c r="B160" s="6" t="s">
        <v>176</v>
      </c>
      <c r="C160" s="9" t="s">
        <v>13</v>
      </c>
      <c r="D160" s="7">
        <f>27.45+7.15*2</f>
        <v>41.75</v>
      </c>
      <c r="E160" s="8"/>
      <c r="F160" s="8">
        <f t="shared" si="15"/>
        <v>0</v>
      </c>
      <c r="G160" s="41"/>
      <c r="H160" s="37"/>
    </row>
    <row r="161" spans="1:7" s="1" customFormat="1" ht="41.4" x14ac:dyDescent="0.25">
      <c r="A161" s="38" t="s">
        <v>143</v>
      </c>
      <c r="B161" s="35" t="s">
        <v>144</v>
      </c>
      <c r="C161" s="9" t="s">
        <v>69</v>
      </c>
      <c r="D161" s="39">
        <f>7*4*0.6</f>
        <v>16.8</v>
      </c>
      <c r="E161" s="40"/>
      <c r="F161" s="8">
        <f t="shared" si="15"/>
        <v>0</v>
      </c>
      <c r="G161" s="37"/>
    </row>
    <row r="162" spans="1:7" s="1" customFormat="1" ht="27.6" x14ac:dyDescent="0.25">
      <c r="A162" s="38" t="s">
        <v>177</v>
      </c>
      <c r="B162" s="6" t="s">
        <v>178</v>
      </c>
      <c r="C162" s="9" t="s">
        <v>69</v>
      </c>
      <c r="D162" s="7">
        <f>1.98*4*6</f>
        <v>47.519999999999996</v>
      </c>
      <c r="E162" s="53"/>
      <c r="F162" s="8">
        <f t="shared" si="15"/>
        <v>0</v>
      </c>
    </row>
    <row r="163" spans="1:7" s="1" customFormat="1" ht="41.4" x14ac:dyDescent="0.25">
      <c r="A163" s="38" t="s">
        <v>179</v>
      </c>
      <c r="B163" s="6" t="s">
        <v>180</v>
      </c>
      <c r="C163" s="9" t="s">
        <v>70</v>
      </c>
      <c r="D163" s="7">
        <f>0.4*0.4*0.4*6</f>
        <v>0.38400000000000012</v>
      </c>
      <c r="E163" s="40"/>
      <c r="F163" s="8">
        <f t="shared" si="15"/>
        <v>0</v>
      </c>
    </row>
    <row r="164" spans="1:7" s="1" customFormat="1" ht="55.2" x14ac:dyDescent="0.25">
      <c r="A164" s="38" t="s">
        <v>181</v>
      </c>
      <c r="B164" s="6" t="s">
        <v>195</v>
      </c>
      <c r="C164" s="9" t="s">
        <v>182</v>
      </c>
      <c r="D164" s="7">
        <v>6</v>
      </c>
      <c r="E164" s="49"/>
      <c r="F164" s="8">
        <f t="shared" si="15"/>
        <v>0</v>
      </c>
    </row>
    <row r="165" spans="1:7" s="1" customFormat="1" ht="13.8" x14ac:dyDescent="0.25">
      <c r="A165" s="55" t="s">
        <v>20</v>
      </c>
      <c r="B165" s="55"/>
      <c r="C165" s="55"/>
      <c r="D165" s="55"/>
      <c r="E165" s="55"/>
      <c r="F165" s="12">
        <f>SUM(F158:F164)</f>
        <v>0</v>
      </c>
    </row>
    <row r="166" spans="1:7" s="1" customFormat="1" ht="13.8" x14ac:dyDescent="0.25">
      <c r="A166" s="2">
        <v>5</v>
      </c>
      <c r="B166" s="57" t="s">
        <v>50</v>
      </c>
      <c r="C166" s="57"/>
      <c r="D166" s="57"/>
      <c r="E166" s="57"/>
      <c r="F166" s="57"/>
    </row>
    <row r="167" spans="1:7" s="1" customFormat="1" ht="69" x14ac:dyDescent="0.25">
      <c r="A167" s="13" t="s">
        <v>43</v>
      </c>
      <c r="B167" s="6" t="s">
        <v>150</v>
      </c>
      <c r="C167" s="9" t="s">
        <v>11</v>
      </c>
      <c r="D167" s="7">
        <v>6</v>
      </c>
      <c r="E167" s="8"/>
      <c r="F167" s="8">
        <f>+E167*D167</f>
        <v>0</v>
      </c>
    </row>
    <row r="168" spans="1:7" s="1" customFormat="1" ht="124.2" x14ac:dyDescent="0.25">
      <c r="A168" s="13" t="s">
        <v>44</v>
      </c>
      <c r="B168" s="6" t="s">
        <v>193</v>
      </c>
      <c r="C168" s="9" t="s">
        <v>11</v>
      </c>
      <c r="D168" s="7">
        <v>12</v>
      </c>
      <c r="E168" s="8"/>
      <c r="F168" s="8">
        <f t="shared" ref="F168:F169" si="16">+E168*D168</f>
        <v>0</v>
      </c>
    </row>
    <row r="169" spans="1:7" s="1" customFormat="1" ht="96.6" x14ac:dyDescent="0.25">
      <c r="A169" s="13" t="s">
        <v>45</v>
      </c>
      <c r="B169" s="6" t="s">
        <v>185</v>
      </c>
      <c r="C169" s="9" t="s">
        <v>13</v>
      </c>
      <c r="D169" s="7">
        <f>6*(((2.05*2)+1.1)*3)+(0.6*34)</f>
        <v>114</v>
      </c>
      <c r="E169" s="8"/>
      <c r="F169" s="8">
        <f t="shared" si="16"/>
        <v>0</v>
      </c>
      <c r="G169" s="41"/>
    </row>
    <row r="170" spans="1:7" s="1" customFormat="1" ht="13.8" x14ac:dyDescent="0.25">
      <c r="A170" s="55" t="s">
        <v>51</v>
      </c>
      <c r="B170" s="55"/>
      <c r="C170" s="55"/>
      <c r="D170" s="55"/>
      <c r="E170" s="55"/>
      <c r="F170" s="12">
        <f>SUM(F167:F169)</f>
        <v>0</v>
      </c>
    </row>
    <row r="171" spans="1:7" s="1" customFormat="1" ht="13.8" x14ac:dyDescent="0.25">
      <c r="A171" s="2">
        <v>6</v>
      </c>
      <c r="B171" s="57" t="s">
        <v>14</v>
      </c>
      <c r="C171" s="57"/>
      <c r="D171" s="57"/>
      <c r="E171" s="57"/>
      <c r="F171" s="57"/>
    </row>
    <row r="172" spans="1:7" s="1" customFormat="1" ht="27.6" x14ac:dyDescent="0.25">
      <c r="A172" s="13" t="s">
        <v>46</v>
      </c>
      <c r="B172" s="6" t="s">
        <v>15</v>
      </c>
      <c r="C172" s="9" t="s">
        <v>69</v>
      </c>
      <c r="D172" s="7">
        <f>2*((6*1.2*2.2)+(12*1.8*1.2))</f>
        <v>83.52000000000001</v>
      </c>
      <c r="E172" s="8"/>
      <c r="F172" s="8">
        <f t="shared" ref="F172:F175" si="17">+E172*D172</f>
        <v>0</v>
      </c>
    </row>
    <row r="173" spans="1:7" s="1" customFormat="1" ht="27.6" x14ac:dyDescent="0.25">
      <c r="A173" s="13" t="s">
        <v>47</v>
      </c>
      <c r="B173" s="44" t="s">
        <v>187</v>
      </c>
      <c r="C173" s="9" t="s">
        <v>69</v>
      </c>
      <c r="D173" s="7">
        <f>+(97.8*2.4)-((6*1.2*0.6)+(12*1.8*0.6))</f>
        <v>217.43999999999997</v>
      </c>
      <c r="E173" s="8"/>
      <c r="F173" s="8">
        <f t="shared" si="17"/>
        <v>0</v>
      </c>
    </row>
    <row r="174" spans="1:7" s="1" customFormat="1" ht="27.6" x14ac:dyDescent="0.25">
      <c r="A174" s="13" t="s">
        <v>48</v>
      </c>
      <c r="B174" s="44" t="s">
        <v>186</v>
      </c>
      <c r="C174" s="9" t="s">
        <v>69</v>
      </c>
      <c r="D174" s="7">
        <f>+(97.8*2.4)-((6*1.2*0.6)+(12*1.8*0.6))</f>
        <v>217.43999999999997</v>
      </c>
      <c r="E174" s="8"/>
      <c r="F174" s="8">
        <f t="shared" si="17"/>
        <v>0</v>
      </c>
      <c r="G174" s="41"/>
    </row>
    <row r="175" spans="1:7" s="1" customFormat="1" ht="27.6" x14ac:dyDescent="0.25">
      <c r="A175" s="13" t="s">
        <v>49</v>
      </c>
      <c r="B175" s="6" t="s">
        <v>52</v>
      </c>
      <c r="C175" s="9" t="s">
        <v>69</v>
      </c>
      <c r="D175" s="7">
        <f>6*1.4*6</f>
        <v>50.399999999999991</v>
      </c>
      <c r="E175" s="8"/>
      <c r="F175" s="8">
        <f t="shared" si="17"/>
        <v>0</v>
      </c>
    </row>
    <row r="176" spans="1:7" s="1" customFormat="1" ht="13.8" x14ac:dyDescent="0.25">
      <c r="A176" s="55" t="s">
        <v>53</v>
      </c>
      <c r="B176" s="55"/>
      <c r="C176" s="55"/>
      <c r="D176" s="55"/>
      <c r="E176" s="55"/>
      <c r="F176" s="12">
        <f>SUM(F172:F175)</f>
        <v>0</v>
      </c>
    </row>
    <row r="177" spans="1:6" s="1" customFormat="1" ht="13.8" x14ac:dyDescent="0.25">
      <c r="A177" s="2">
        <v>7</v>
      </c>
      <c r="B177" s="57" t="s">
        <v>91</v>
      </c>
      <c r="C177" s="57"/>
      <c r="D177" s="57"/>
      <c r="E177" s="57"/>
      <c r="F177" s="57"/>
    </row>
    <row r="178" spans="1:6" s="1" customFormat="1" ht="41.4" x14ac:dyDescent="0.25">
      <c r="A178" s="25" t="s">
        <v>92</v>
      </c>
      <c r="B178" s="6" t="s">
        <v>93</v>
      </c>
      <c r="C178" s="9" t="s">
        <v>11</v>
      </c>
      <c r="D178" s="9">
        <v>100</v>
      </c>
      <c r="E178" s="26"/>
      <c r="F178" s="8">
        <f>D178*E178</f>
        <v>0</v>
      </c>
    </row>
    <row r="179" spans="1:6" s="1" customFormat="1" ht="13.8" x14ac:dyDescent="0.25">
      <c r="A179" s="55" t="s">
        <v>94</v>
      </c>
      <c r="B179" s="55"/>
      <c r="C179" s="55"/>
      <c r="D179" s="55"/>
      <c r="E179" s="55"/>
      <c r="F179" s="12">
        <f>F178</f>
        <v>0</v>
      </c>
    </row>
    <row r="180" spans="1:6" s="1" customFormat="1" ht="13.8" x14ac:dyDescent="0.25">
      <c r="A180" s="56" t="s">
        <v>117</v>
      </c>
      <c r="B180" s="56"/>
      <c r="C180" s="56"/>
      <c r="D180" s="56"/>
      <c r="E180" s="56"/>
      <c r="F180" s="23">
        <f>SUM(F179,F176,F170,F165,F156,F144,F136)</f>
        <v>0</v>
      </c>
    </row>
    <row r="181" spans="1:6" s="1" customFormat="1" ht="13.8" x14ac:dyDescent="0.25">
      <c r="A181" s="56" t="s">
        <v>116</v>
      </c>
      <c r="B181" s="56"/>
      <c r="C181" s="56"/>
      <c r="D181" s="56"/>
      <c r="E181" s="56"/>
      <c r="F181" s="23">
        <f>+F180*0.18</f>
        <v>0</v>
      </c>
    </row>
    <row r="182" spans="1:6" s="1" customFormat="1" ht="13.8" x14ac:dyDescent="0.25">
      <c r="A182" s="56" t="s">
        <v>109</v>
      </c>
      <c r="B182" s="56"/>
      <c r="C182" s="56"/>
      <c r="D182" s="56"/>
      <c r="E182" s="56"/>
      <c r="F182" s="23">
        <f>+F180+F181</f>
        <v>0</v>
      </c>
    </row>
    <row r="186" spans="1:6" x14ac:dyDescent="0.3">
      <c r="A186" s="60" t="s">
        <v>125</v>
      </c>
      <c r="B186" s="60"/>
      <c r="C186" s="60"/>
      <c r="D186" s="60"/>
      <c r="E186" s="60"/>
      <c r="F186" s="60"/>
    </row>
    <row r="187" spans="1:6" ht="31.2" customHeight="1" x14ac:dyDescent="0.3">
      <c r="A187" s="61" t="s">
        <v>78</v>
      </c>
      <c r="B187" s="62" t="s">
        <v>130</v>
      </c>
      <c r="C187" s="62"/>
      <c r="D187" s="62"/>
      <c r="E187" s="17" t="s">
        <v>105</v>
      </c>
      <c r="F187" s="24">
        <f>F56</f>
        <v>0</v>
      </c>
    </row>
    <row r="188" spans="1:6" ht="28.2" customHeight="1" x14ac:dyDescent="0.3">
      <c r="A188" s="61"/>
      <c r="B188" s="62"/>
      <c r="C188" s="62"/>
      <c r="D188" s="62"/>
      <c r="E188" s="18" t="s">
        <v>79</v>
      </c>
      <c r="F188" s="24">
        <f>F58</f>
        <v>0</v>
      </c>
    </row>
    <row r="189" spans="1:6" ht="27.6" customHeight="1" x14ac:dyDescent="0.3">
      <c r="A189" s="61" t="s">
        <v>97</v>
      </c>
      <c r="B189" s="62" t="s">
        <v>131</v>
      </c>
      <c r="C189" s="62"/>
      <c r="D189" s="62"/>
      <c r="E189" s="17" t="s">
        <v>106</v>
      </c>
      <c r="F189" s="24">
        <f>F119</f>
        <v>0</v>
      </c>
    </row>
    <row r="190" spans="1:6" ht="31.2" customHeight="1" x14ac:dyDescent="0.3">
      <c r="A190" s="61"/>
      <c r="B190" s="62"/>
      <c r="C190" s="62"/>
      <c r="D190" s="62"/>
      <c r="E190" s="18" t="s">
        <v>107</v>
      </c>
      <c r="F190" s="24">
        <f>F121</f>
        <v>0</v>
      </c>
    </row>
    <row r="191" spans="1:6" ht="27.6" customHeight="1" x14ac:dyDescent="0.3">
      <c r="A191" s="61" t="s">
        <v>99</v>
      </c>
      <c r="B191" s="62" t="s">
        <v>132</v>
      </c>
      <c r="C191" s="62"/>
      <c r="D191" s="62"/>
      <c r="E191" s="17" t="s">
        <v>108</v>
      </c>
      <c r="F191" s="24">
        <f>F180</f>
        <v>0</v>
      </c>
    </row>
    <row r="192" spans="1:6" ht="28.8" customHeight="1" x14ac:dyDescent="0.3">
      <c r="A192" s="61"/>
      <c r="B192" s="62"/>
      <c r="C192" s="62"/>
      <c r="D192" s="62"/>
      <c r="E192" s="18" t="s">
        <v>109</v>
      </c>
      <c r="F192" s="24">
        <f>F182</f>
        <v>0</v>
      </c>
    </row>
    <row r="193" spans="1:7" ht="18" x14ac:dyDescent="0.35">
      <c r="A193" s="63" t="s">
        <v>133</v>
      </c>
      <c r="B193" s="64"/>
      <c r="C193" s="64"/>
      <c r="D193" s="64"/>
      <c r="E193" s="65"/>
      <c r="F193" s="30">
        <f>SUM(F187,F189,F191)</f>
        <v>0</v>
      </c>
      <c r="G193" s="29">
        <f>F193/655.957</f>
        <v>0</v>
      </c>
    </row>
    <row r="194" spans="1:7" ht="18" x14ac:dyDescent="0.35">
      <c r="A194" s="66" t="s">
        <v>104</v>
      </c>
      <c r="B194" s="67"/>
      <c r="C194" s="67"/>
      <c r="D194" s="67"/>
      <c r="E194" s="68"/>
      <c r="F194" s="30">
        <f>SUM(F181,F120,F57)</f>
        <v>0</v>
      </c>
      <c r="G194" s="29">
        <f t="shared" ref="G194:G195" si="18">F194/655.957</f>
        <v>0</v>
      </c>
    </row>
    <row r="195" spans="1:7" ht="18" x14ac:dyDescent="0.35">
      <c r="A195" s="63" t="s">
        <v>134</v>
      </c>
      <c r="B195" s="64"/>
      <c r="C195" s="64"/>
      <c r="D195" s="64"/>
      <c r="E195" s="65"/>
      <c r="F195" s="30">
        <f>SUM(F188,F190,F192)</f>
        <v>0</v>
      </c>
      <c r="G195" s="29">
        <f t="shared" si="18"/>
        <v>0</v>
      </c>
    </row>
  </sheetData>
  <mergeCells count="67">
    <mergeCell ref="A46:E46"/>
    <mergeCell ref="A1:F1"/>
    <mergeCell ref="A3:F3"/>
    <mergeCell ref="B5:F5"/>
    <mergeCell ref="A12:E12"/>
    <mergeCell ref="B13:F13"/>
    <mergeCell ref="A20:E20"/>
    <mergeCell ref="B21:F21"/>
    <mergeCell ref="A32:E32"/>
    <mergeCell ref="B33:F33"/>
    <mergeCell ref="A41:E41"/>
    <mergeCell ref="B42:F42"/>
    <mergeCell ref="A81:E81"/>
    <mergeCell ref="B47:F47"/>
    <mergeCell ref="A52:E52"/>
    <mergeCell ref="A56:E56"/>
    <mergeCell ref="A57:E57"/>
    <mergeCell ref="A58:E58"/>
    <mergeCell ref="B53:F53"/>
    <mergeCell ref="A55:E55"/>
    <mergeCell ref="A62:F62"/>
    <mergeCell ref="A64:F64"/>
    <mergeCell ref="B66:F66"/>
    <mergeCell ref="A73:E73"/>
    <mergeCell ref="B74:F74"/>
    <mergeCell ref="A120:E120"/>
    <mergeCell ref="B82:F82"/>
    <mergeCell ref="A96:E96"/>
    <mergeCell ref="B97:F97"/>
    <mergeCell ref="A104:E104"/>
    <mergeCell ref="B105:F105"/>
    <mergeCell ref="A109:E109"/>
    <mergeCell ref="B110:F110"/>
    <mergeCell ref="A115:E115"/>
    <mergeCell ref="B116:F116"/>
    <mergeCell ref="A118:E118"/>
    <mergeCell ref="A119:E119"/>
    <mergeCell ref="B166:F166"/>
    <mergeCell ref="A121:E121"/>
    <mergeCell ref="A125:F125"/>
    <mergeCell ref="A127:F127"/>
    <mergeCell ref="B129:F129"/>
    <mergeCell ref="A136:E136"/>
    <mergeCell ref="B137:F137"/>
    <mergeCell ref="A144:E144"/>
    <mergeCell ref="B145:F145"/>
    <mergeCell ref="A156:E156"/>
    <mergeCell ref="B157:F157"/>
    <mergeCell ref="A165:E165"/>
    <mergeCell ref="A189:A190"/>
    <mergeCell ref="B189:D190"/>
    <mergeCell ref="A170:E170"/>
    <mergeCell ref="B171:F171"/>
    <mergeCell ref="A176:E176"/>
    <mergeCell ref="B177:F177"/>
    <mergeCell ref="A179:E179"/>
    <mergeCell ref="A180:E180"/>
    <mergeCell ref="A181:E181"/>
    <mergeCell ref="A182:E182"/>
    <mergeCell ref="A186:F186"/>
    <mergeCell ref="A187:A188"/>
    <mergeCell ref="B187:D188"/>
    <mergeCell ref="A191:A192"/>
    <mergeCell ref="B191:D192"/>
    <mergeCell ref="A193:E193"/>
    <mergeCell ref="A194:E194"/>
    <mergeCell ref="A195:E19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2E26F-3DC5-4113-AF6F-CE2C5A2B288E}">
  <dimension ref="A1:H260"/>
  <sheetViews>
    <sheetView tabSelected="1" topLeftCell="C1" workbookViewId="0">
      <selection activeCell="J10" sqref="J10"/>
    </sheetView>
  </sheetViews>
  <sheetFormatPr baseColWidth="10" defaultRowHeight="14.4" x14ac:dyDescent="0.3"/>
  <cols>
    <col min="1" max="1" width="5.77734375" customWidth="1"/>
    <col min="2" max="2" width="33.6640625" customWidth="1"/>
    <col min="3" max="3" width="7.33203125" customWidth="1"/>
    <col min="4" max="4" width="9.21875" customWidth="1"/>
    <col min="5" max="5" width="18.5546875" customWidth="1"/>
    <col min="6" max="6" width="25.44140625" customWidth="1"/>
    <col min="7" max="7" width="17" customWidth="1"/>
  </cols>
  <sheetData>
    <row r="1" spans="1:7" s="1" customFormat="1" ht="13.8" x14ac:dyDescent="0.25">
      <c r="A1" s="58" t="s">
        <v>162</v>
      </c>
      <c r="B1" s="58"/>
      <c r="C1" s="58"/>
      <c r="D1" s="58"/>
      <c r="E1" s="58"/>
      <c r="F1" s="58"/>
    </row>
    <row r="2" spans="1:7" s="1" customFormat="1" ht="13.8" x14ac:dyDescent="0.25">
      <c r="A2" s="19"/>
      <c r="B2" s="19"/>
      <c r="C2" s="19"/>
      <c r="D2" s="19"/>
      <c r="E2" s="19"/>
      <c r="F2" s="19"/>
    </row>
    <row r="3" spans="1:7" s="1" customFormat="1" ht="31.5" customHeight="1" x14ac:dyDescent="0.25">
      <c r="A3" s="59" t="s">
        <v>135</v>
      </c>
      <c r="B3" s="59"/>
      <c r="C3" s="59"/>
      <c r="D3" s="59"/>
      <c r="E3" s="59"/>
      <c r="F3" s="59"/>
    </row>
    <row r="4" spans="1:7" s="1" customFormat="1" ht="13.8" x14ac:dyDescent="0.25">
      <c r="A4" s="2" t="s">
        <v>0</v>
      </c>
      <c r="B4" s="3" t="s">
        <v>1</v>
      </c>
      <c r="C4" s="3" t="s">
        <v>2</v>
      </c>
      <c r="D4" s="3" t="s">
        <v>16</v>
      </c>
      <c r="E4" s="4" t="s">
        <v>81</v>
      </c>
      <c r="F4" s="4" t="s">
        <v>83</v>
      </c>
      <c r="G4" s="11"/>
    </row>
    <row r="5" spans="1:7" s="1" customFormat="1" ht="13.8" x14ac:dyDescent="0.25">
      <c r="A5" s="2">
        <v>1</v>
      </c>
      <c r="B5" s="57" t="s">
        <v>3</v>
      </c>
      <c r="C5" s="57"/>
      <c r="D5" s="57"/>
      <c r="E5" s="57"/>
      <c r="F5" s="57"/>
    </row>
    <row r="6" spans="1:7" s="1" customFormat="1" ht="13.8" x14ac:dyDescent="0.25">
      <c r="A6" s="5" t="s">
        <v>21</v>
      </c>
      <c r="B6" s="6" t="s">
        <v>64</v>
      </c>
      <c r="C6" s="9" t="s">
        <v>5</v>
      </c>
      <c r="D6" s="7">
        <v>1</v>
      </c>
      <c r="E6" s="8"/>
      <c r="F6" s="8">
        <f>+E6*D6</f>
        <v>0</v>
      </c>
    </row>
    <row r="7" spans="1:7" s="11" customFormat="1" ht="55.2" x14ac:dyDescent="0.25">
      <c r="A7" s="5" t="s">
        <v>22</v>
      </c>
      <c r="B7" s="6" t="s">
        <v>54</v>
      </c>
      <c r="C7" s="9" t="s">
        <v>4</v>
      </c>
      <c r="D7" s="9">
        <f>0.3*1*31</f>
        <v>9.2999999999999989</v>
      </c>
      <c r="E7" s="10"/>
      <c r="F7" s="8">
        <f t="shared" ref="F7:F11" si="0">+E7*D7</f>
        <v>0</v>
      </c>
    </row>
    <row r="8" spans="1:7" s="11" customFormat="1" ht="30" customHeight="1" x14ac:dyDescent="0.25">
      <c r="A8" s="5" t="s">
        <v>23</v>
      </c>
      <c r="B8" s="6" t="s">
        <v>87</v>
      </c>
      <c r="C8" s="9" t="s">
        <v>5</v>
      </c>
      <c r="D8" s="9">
        <v>1</v>
      </c>
      <c r="E8" s="10"/>
      <c r="F8" s="8">
        <f t="shared" si="0"/>
        <v>0</v>
      </c>
    </row>
    <row r="9" spans="1:7" s="11" customFormat="1" ht="70.5" customHeight="1" x14ac:dyDescent="0.25">
      <c r="A9" s="5" t="s">
        <v>24</v>
      </c>
      <c r="B9" s="6" t="s">
        <v>138</v>
      </c>
      <c r="C9" s="15" t="s">
        <v>68</v>
      </c>
      <c r="D9" s="32">
        <f>((5.36+5.03*3.93)*0.4*0.4)*8</f>
        <v>32.163712000000004</v>
      </c>
      <c r="E9" s="10"/>
      <c r="F9" s="8">
        <f t="shared" si="0"/>
        <v>0</v>
      </c>
      <c r="G9" s="33"/>
    </row>
    <row r="10" spans="1:7" s="11" customFormat="1" ht="63.75" customHeight="1" x14ac:dyDescent="0.25">
      <c r="A10" s="5" t="s">
        <v>86</v>
      </c>
      <c r="B10" s="6" t="s">
        <v>6</v>
      </c>
      <c r="C10" s="15" t="s">
        <v>139</v>
      </c>
      <c r="D10" s="9">
        <f>3.2*1*0.45*8</f>
        <v>11.520000000000001</v>
      </c>
      <c r="E10" s="10"/>
      <c r="F10" s="8">
        <f t="shared" si="0"/>
        <v>0</v>
      </c>
      <c r="G10" s="33"/>
    </row>
    <row r="11" spans="1:7" s="1" customFormat="1" ht="30.75" customHeight="1" x14ac:dyDescent="0.25">
      <c r="A11" s="34" t="s">
        <v>140</v>
      </c>
      <c r="B11" s="35" t="s">
        <v>141</v>
      </c>
      <c r="C11" s="15" t="s">
        <v>142</v>
      </c>
      <c r="D11" s="15">
        <f>63*4</f>
        <v>252</v>
      </c>
      <c r="E11" s="36"/>
      <c r="F11" s="8">
        <f t="shared" si="0"/>
        <v>0</v>
      </c>
    </row>
    <row r="12" spans="1:7" s="1" customFormat="1" ht="13.8" x14ac:dyDescent="0.25">
      <c r="A12" s="55" t="s">
        <v>17</v>
      </c>
      <c r="B12" s="55"/>
      <c r="C12" s="55"/>
      <c r="D12" s="55"/>
      <c r="E12" s="55"/>
      <c r="F12" s="12">
        <f>SUM(F6:F11)</f>
        <v>0</v>
      </c>
    </row>
    <row r="13" spans="1:7" s="1" customFormat="1" ht="13.8" x14ac:dyDescent="0.25">
      <c r="A13" s="2">
        <v>2</v>
      </c>
      <c r="B13" s="57" t="s">
        <v>7</v>
      </c>
      <c r="C13" s="57"/>
      <c r="D13" s="57"/>
      <c r="E13" s="57"/>
      <c r="F13" s="57"/>
    </row>
    <row r="14" spans="1:7" s="1" customFormat="1" ht="27.6" x14ac:dyDescent="0.25">
      <c r="A14" s="13" t="s">
        <v>25</v>
      </c>
      <c r="B14" s="6" t="s">
        <v>57</v>
      </c>
      <c r="C14" s="15" t="s">
        <v>68</v>
      </c>
      <c r="D14" s="9">
        <f>5.2*0.4*0.05*8</f>
        <v>0.83200000000000007</v>
      </c>
      <c r="E14" s="8"/>
      <c r="F14" s="8">
        <f t="shared" ref="F14:F19" si="1">+E14*D14</f>
        <v>0</v>
      </c>
    </row>
    <row r="15" spans="1:7" s="1" customFormat="1" ht="27.6" x14ac:dyDescent="0.25">
      <c r="A15" s="13" t="s">
        <v>26</v>
      </c>
      <c r="B15" s="6" t="s">
        <v>56</v>
      </c>
      <c r="C15" s="9" t="s">
        <v>4</v>
      </c>
      <c r="D15" s="9">
        <f>5.2*0.69*8</f>
        <v>28.703999999999997</v>
      </c>
      <c r="E15" s="8"/>
      <c r="F15" s="8">
        <f t="shared" si="1"/>
        <v>0</v>
      </c>
    </row>
    <row r="16" spans="1:7" s="1" customFormat="1" ht="27.6" x14ac:dyDescent="0.25">
      <c r="A16" s="13" t="s">
        <v>27</v>
      </c>
      <c r="B16" s="6" t="s">
        <v>60</v>
      </c>
      <c r="C16" s="9" t="s">
        <v>69</v>
      </c>
      <c r="D16" s="7">
        <f>9.4*7.4*4</f>
        <v>278.24</v>
      </c>
      <c r="E16" s="8"/>
      <c r="F16" s="8">
        <f t="shared" si="1"/>
        <v>0</v>
      </c>
    </row>
    <row r="17" spans="1:6" s="1" customFormat="1" ht="82.8" x14ac:dyDescent="0.25">
      <c r="A17" s="13" t="s">
        <v>28</v>
      </c>
      <c r="B17" s="6" t="s">
        <v>88</v>
      </c>
      <c r="C17" s="9" t="s">
        <v>70</v>
      </c>
      <c r="D17" s="7">
        <f>9*7*0.1*4</f>
        <v>25.200000000000003</v>
      </c>
      <c r="E17" s="8"/>
      <c r="F17" s="8">
        <f t="shared" si="1"/>
        <v>0</v>
      </c>
    </row>
    <row r="18" spans="1:6" s="1" customFormat="1" ht="82.8" x14ac:dyDescent="0.25">
      <c r="A18" s="13" t="s">
        <v>29</v>
      </c>
      <c r="B18" s="6" t="s">
        <v>58</v>
      </c>
      <c r="C18" s="9" t="s">
        <v>70</v>
      </c>
      <c r="D18" s="7">
        <f>3.2*1*0.08*8</f>
        <v>2.048</v>
      </c>
      <c r="E18" s="8"/>
      <c r="F18" s="8">
        <f t="shared" si="1"/>
        <v>0</v>
      </c>
    </row>
    <row r="19" spans="1:6" s="1" customFormat="1" ht="69" x14ac:dyDescent="0.25">
      <c r="A19" s="13" t="s">
        <v>30</v>
      </c>
      <c r="B19" s="6" t="s">
        <v>59</v>
      </c>
      <c r="C19" s="9" t="s">
        <v>70</v>
      </c>
      <c r="D19" s="14">
        <f>8*(((1.03*2)+(2.16*0.9))*0.45)/2</f>
        <v>7.2072000000000012</v>
      </c>
      <c r="E19" s="8"/>
      <c r="F19" s="8">
        <f t="shared" si="1"/>
        <v>0</v>
      </c>
    </row>
    <row r="20" spans="1:6" s="1" customFormat="1" ht="13.8" x14ac:dyDescent="0.25">
      <c r="A20" s="55" t="s">
        <v>18</v>
      </c>
      <c r="B20" s="55"/>
      <c r="C20" s="55"/>
      <c r="D20" s="55"/>
      <c r="E20" s="55"/>
      <c r="F20" s="12">
        <f>SUM(F14:F19)</f>
        <v>0</v>
      </c>
    </row>
    <row r="21" spans="1:6" s="1" customFormat="1" ht="13.8" x14ac:dyDescent="0.25">
      <c r="A21" s="2">
        <v>3</v>
      </c>
      <c r="B21" s="57" t="s">
        <v>8</v>
      </c>
      <c r="C21" s="57"/>
      <c r="D21" s="57"/>
      <c r="E21" s="57"/>
      <c r="F21" s="57"/>
    </row>
    <row r="22" spans="1:6" s="1" customFormat="1" ht="51.75" customHeight="1" x14ac:dyDescent="0.25">
      <c r="A22" s="13" t="s">
        <v>31</v>
      </c>
      <c r="B22" s="6" t="s">
        <v>71</v>
      </c>
      <c r="C22" s="9" t="s">
        <v>70</v>
      </c>
      <c r="D22" s="7">
        <f>31*0.15*0.15*4</f>
        <v>2.7899999999999996</v>
      </c>
      <c r="E22" s="8"/>
      <c r="F22" s="8">
        <f>+E22*D22</f>
        <v>0</v>
      </c>
    </row>
    <row r="23" spans="1:6" s="1" customFormat="1" ht="44.4" x14ac:dyDescent="0.25">
      <c r="A23" s="13" t="s">
        <v>32</v>
      </c>
      <c r="B23" s="6" t="s">
        <v>72</v>
      </c>
      <c r="C23" s="9" t="s">
        <v>70</v>
      </c>
      <c r="D23" s="14">
        <f>108.95*0.15*0.2</f>
        <v>3.2685000000000004</v>
      </c>
      <c r="E23" s="8"/>
      <c r="F23" s="8">
        <f t="shared" ref="F23:F31" si="2">+E23*D23</f>
        <v>0</v>
      </c>
    </row>
    <row r="24" spans="1:6" s="1" customFormat="1" ht="41.4" x14ac:dyDescent="0.25">
      <c r="A24" s="13" t="s">
        <v>33</v>
      </c>
      <c r="B24" s="6" t="s">
        <v>67</v>
      </c>
      <c r="C24" s="9" t="s">
        <v>69</v>
      </c>
      <c r="D24" s="7">
        <f>+((108.95*2.9)-((4*1.8*1.2)+(2*1.2*1.1)))</f>
        <v>304.67499999999995</v>
      </c>
      <c r="E24" s="8"/>
      <c r="F24" s="8">
        <f t="shared" si="2"/>
        <v>0</v>
      </c>
    </row>
    <row r="25" spans="1:6" s="1" customFormat="1" ht="41.4" x14ac:dyDescent="0.25">
      <c r="A25" s="13" t="s">
        <v>34</v>
      </c>
      <c r="B25" s="6" t="s">
        <v>62</v>
      </c>
      <c r="C25" s="9" t="s">
        <v>69</v>
      </c>
      <c r="D25" s="7">
        <f>+D24+(7*2.9*3)</f>
        <v>365.57499999999993</v>
      </c>
      <c r="E25" s="8"/>
      <c r="F25" s="8">
        <f t="shared" si="2"/>
        <v>0</v>
      </c>
    </row>
    <row r="26" spans="1:6" s="1" customFormat="1" ht="27.6" x14ac:dyDescent="0.25">
      <c r="A26" s="13" t="s">
        <v>35</v>
      </c>
      <c r="B26" s="6" t="s">
        <v>61</v>
      </c>
      <c r="C26" s="9" t="s">
        <v>69</v>
      </c>
      <c r="D26" s="7">
        <f>+D24-(7*2.9*3)</f>
        <v>243.77499999999995</v>
      </c>
      <c r="E26" s="8"/>
      <c r="F26" s="8">
        <f t="shared" si="2"/>
        <v>0</v>
      </c>
    </row>
    <row r="27" spans="1:6" s="1" customFormat="1" ht="41.4" x14ac:dyDescent="0.25">
      <c r="A27" s="13" t="s">
        <v>36</v>
      </c>
      <c r="B27" s="6" t="s">
        <v>66</v>
      </c>
      <c r="C27" s="9" t="s">
        <v>69</v>
      </c>
      <c r="D27" s="7">
        <f>+((108.95*1.6)-((6*1.6*1.2)+(1.8*0.6*12)))</f>
        <v>149.84000000000003</v>
      </c>
      <c r="E27" s="8"/>
      <c r="F27" s="8">
        <f t="shared" si="2"/>
        <v>0</v>
      </c>
    </row>
    <row r="28" spans="1:6" s="1" customFormat="1" ht="41.4" x14ac:dyDescent="0.25">
      <c r="A28" s="13" t="s">
        <v>37</v>
      </c>
      <c r="B28" s="6" t="s">
        <v>63</v>
      </c>
      <c r="C28" s="9" t="s">
        <v>69</v>
      </c>
      <c r="D28" s="7">
        <f>6*1.4*8</f>
        <v>67.199999999999989</v>
      </c>
      <c r="E28" s="8"/>
      <c r="F28" s="8">
        <f t="shared" si="2"/>
        <v>0</v>
      </c>
    </row>
    <row r="29" spans="1:6" s="1" customFormat="1" ht="27.6" x14ac:dyDescent="0.25">
      <c r="A29" s="13" t="s">
        <v>38</v>
      </c>
      <c r="B29" s="6" t="s">
        <v>173</v>
      </c>
      <c r="C29" s="9" t="s">
        <v>69</v>
      </c>
      <c r="D29" s="7">
        <f>+((87.5)-(1.2*3))*1</f>
        <v>83.9</v>
      </c>
      <c r="E29" s="8"/>
      <c r="F29" s="8">
        <f t="shared" si="2"/>
        <v>0</v>
      </c>
    </row>
    <row r="30" spans="1:6" s="1" customFormat="1" ht="55.2" x14ac:dyDescent="0.25">
      <c r="A30" s="13" t="s">
        <v>39</v>
      </c>
      <c r="B30" s="6" t="s">
        <v>189</v>
      </c>
      <c r="C30" s="9" t="s">
        <v>69</v>
      </c>
      <c r="D30" s="7">
        <f>+D26+D29</f>
        <v>327.67499999999995</v>
      </c>
      <c r="E30" s="8"/>
      <c r="F30" s="8">
        <f t="shared" si="2"/>
        <v>0</v>
      </c>
    </row>
    <row r="31" spans="1:6" s="1" customFormat="1" ht="13.8" x14ac:dyDescent="0.25">
      <c r="A31" s="13" t="s">
        <v>40</v>
      </c>
      <c r="B31" s="6" t="s">
        <v>10</v>
      </c>
      <c r="C31" s="9" t="s">
        <v>11</v>
      </c>
      <c r="D31" s="7">
        <v>48</v>
      </c>
      <c r="E31" s="8"/>
      <c r="F31" s="8">
        <f t="shared" si="2"/>
        <v>0</v>
      </c>
    </row>
    <row r="32" spans="1:6" s="1" customFormat="1" ht="13.8" x14ac:dyDescent="0.25">
      <c r="A32" s="55" t="s">
        <v>19</v>
      </c>
      <c r="B32" s="55"/>
      <c r="C32" s="55"/>
      <c r="D32" s="55"/>
      <c r="E32" s="55"/>
      <c r="F32" s="12">
        <f>SUM(F22:F31)</f>
        <v>0</v>
      </c>
    </row>
    <row r="33" spans="1:8" s="1" customFormat="1" ht="13.8" x14ac:dyDescent="0.25">
      <c r="A33" s="2">
        <v>4</v>
      </c>
      <c r="B33" s="57" t="s">
        <v>12</v>
      </c>
      <c r="C33" s="57"/>
      <c r="D33" s="57"/>
      <c r="E33" s="57"/>
      <c r="F33" s="57"/>
    </row>
    <row r="34" spans="1:8" s="1" customFormat="1" ht="69" x14ac:dyDescent="0.25">
      <c r="A34" s="13" t="s">
        <v>42</v>
      </c>
      <c r="B34" s="6" t="s">
        <v>174</v>
      </c>
      <c r="C34" s="9" t="s">
        <v>13</v>
      </c>
      <c r="D34" s="9">
        <f>9.7+9.15+9.15+9.15</f>
        <v>37.15</v>
      </c>
      <c r="E34" s="8"/>
      <c r="F34" s="8">
        <f t="shared" ref="F34:F40" si="3">+E34*D34</f>
        <v>0</v>
      </c>
    </row>
    <row r="35" spans="1:8" s="1" customFormat="1" ht="82.8" x14ac:dyDescent="0.25">
      <c r="A35" s="13" t="s">
        <v>84</v>
      </c>
      <c r="B35" s="6" t="s">
        <v>175</v>
      </c>
      <c r="C35" s="9" t="s">
        <v>13</v>
      </c>
      <c r="D35" s="9">
        <f>(4*2)*4</f>
        <v>32</v>
      </c>
      <c r="E35" s="50"/>
      <c r="F35" s="8">
        <f t="shared" si="3"/>
        <v>0</v>
      </c>
    </row>
    <row r="36" spans="1:8" s="1" customFormat="1" ht="41.4" x14ac:dyDescent="0.25">
      <c r="A36" s="13" t="s">
        <v>85</v>
      </c>
      <c r="B36" s="6" t="s">
        <v>176</v>
      </c>
      <c r="C36" s="9" t="s">
        <v>13</v>
      </c>
      <c r="D36" s="7">
        <f>36.6+7.15*2</f>
        <v>50.900000000000006</v>
      </c>
      <c r="E36" s="8"/>
      <c r="F36" s="8">
        <f t="shared" si="3"/>
        <v>0</v>
      </c>
      <c r="H36" s="37"/>
    </row>
    <row r="37" spans="1:8" s="1" customFormat="1" ht="41.4" x14ac:dyDescent="0.25">
      <c r="A37" s="38" t="s">
        <v>143</v>
      </c>
      <c r="B37" s="35" t="s">
        <v>144</v>
      </c>
      <c r="C37" s="15" t="s">
        <v>142</v>
      </c>
      <c r="D37" s="39">
        <f>7*6*0.6</f>
        <v>25.2</v>
      </c>
      <c r="E37" s="40"/>
      <c r="F37" s="8">
        <f t="shared" si="3"/>
        <v>0</v>
      </c>
      <c r="G37" s="37"/>
    </row>
    <row r="38" spans="1:8" s="1" customFormat="1" ht="27.6" x14ac:dyDescent="0.25">
      <c r="A38" s="38" t="s">
        <v>177</v>
      </c>
      <c r="B38" s="6" t="s">
        <v>178</v>
      </c>
      <c r="C38" s="9" t="s">
        <v>69</v>
      </c>
      <c r="D38" s="7">
        <f>1.98*4*8</f>
        <v>63.36</v>
      </c>
      <c r="E38" s="49"/>
      <c r="F38" s="8">
        <f t="shared" si="3"/>
        <v>0</v>
      </c>
    </row>
    <row r="39" spans="1:8" s="1" customFormat="1" ht="41.4" x14ac:dyDescent="0.25">
      <c r="A39" s="38" t="s">
        <v>179</v>
      </c>
      <c r="B39" s="6" t="s">
        <v>180</v>
      </c>
      <c r="C39" s="9" t="s">
        <v>70</v>
      </c>
      <c r="D39" s="7">
        <f>0.4*0.4*0.4*8</f>
        <v>0.51200000000000012</v>
      </c>
      <c r="E39" s="40"/>
      <c r="F39" s="8">
        <f t="shared" si="3"/>
        <v>0</v>
      </c>
    </row>
    <row r="40" spans="1:8" s="1" customFormat="1" ht="69" x14ac:dyDescent="0.25">
      <c r="A40" s="38" t="s">
        <v>181</v>
      </c>
      <c r="B40" s="6" t="s">
        <v>194</v>
      </c>
      <c r="C40" s="9" t="s">
        <v>182</v>
      </c>
      <c r="D40" s="7">
        <v>8</v>
      </c>
      <c r="E40" s="49"/>
      <c r="F40" s="8">
        <f t="shared" si="3"/>
        <v>0</v>
      </c>
    </row>
    <row r="41" spans="1:8" s="1" customFormat="1" ht="13.8" x14ac:dyDescent="0.25">
      <c r="A41" s="55" t="s">
        <v>20</v>
      </c>
      <c r="B41" s="55"/>
      <c r="C41" s="55"/>
      <c r="D41" s="55"/>
      <c r="E41" s="55"/>
      <c r="F41" s="12">
        <f>SUM(F34:F40)</f>
        <v>0</v>
      </c>
    </row>
    <row r="42" spans="1:8" s="1" customFormat="1" ht="13.8" x14ac:dyDescent="0.25">
      <c r="A42" s="2">
        <v>5</v>
      </c>
      <c r="B42" s="57" t="s">
        <v>50</v>
      </c>
      <c r="C42" s="57"/>
      <c r="D42" s="57"/>
      <c r="E42" s="57"/>
      <c r="F42" s="57"/>
    </row>
    <row r="43" spans="1:8" s="1" customFormat="1" ht="69" x14ac:dyDescent="0.25">
      <c r="A43" s="13" t="s">
        <v>43</v>
      </c>
      <c r="B43" s="6" t="s">
        <v>150</v>
      </c>
      <c r="C43" s="9" t="s">
        <v>11</v>
      </c>
      <c r="D43" s="7">
        <v>8</v>
      </c>
      <c r="E43" s="8"/>
      <c r="F43" s="8">
        <f>+E43*D43</f>
        <v>0</v>
      </c>
    </row>
    <row r="44" spans="1:8" s="1" customFormat="1" ht="124.2" x14ac:dyDescent="0.25">
      <c r="A44" s="13" t="s">
        <v>44</v>
      </c>
      <c r="B44" s="6" t="s">
        <v>193</v>
      </c>
      <c r="C44" s="9" t="s">
        <v>11</v>
      </c>
      <c r="D44" s="7">
        <v>16</v>
      </c>
      <c r="E44" s="8"/>
      <c r="F44" s="8">
        <f t="shared" ref="F44:F45" si="4">+E44*D44</f>
        <v>0</v>
      </c>
    </row>
    <row r="45" spans="1:8" s="1" customFormat="1" ht="82.8" x14ac:dyDescent="0.25">
      <c r="A45" s="13" t="s">
        <v>45</v>
      </c>
      <c r="B45" s="6" t="s">
        <v>185</v>
      </c>
      <c r="C45" s="9" t="s">
        <v>13</v>
      </c>
      <c r="D45" s="7">
        <f>8*(((2.05*2)+1.1)*3)+(0.6*34)</f>
        <v>145.19999999999999</v>
      </c>
      <c r="E45" s="8"/>
      <c r="F45" s="8">
        <f t="shared" si="4"/>
        <v>0</v>
      </c>
      <c r="G45" s="41"/>
    </row>
    <row r="46" spans="1:8" s="1" customFormat="1" ht="13.8" x14ac:dyDescent="0.25">
      <c r="A46" s="55" t="s">
        <v>51</v>
      </c>
      <c r="B46" s="55"/>
      <c r="C46" s="55"/>
      <c r="D46" s="55"/>
      <c r="E46" s="55"/>
      <c r="F46" s="12">
        <f>SUM(F43:F45)</f>
        <v>0</v>
      </c>
    </row>
    <row r="47" spans="1:8" s="1" customFormat="1" ht="13.8" x14ac:dyDescent="0.25">
      <c r="A47" s="2">
        <v>6</v>
      </c>
      <c r="B47" s="57" t="s">
        <v>14</v>
      </c>
      <c r="C47" s="57"/>
      <c r="D47" s="57"/>
      <c r="E47" s="57"/>
      <c r="F47" s="57"/>
    </row>
    <row r="48" spans="1:8" s="1" customFormat="1" ht="27.6" x14ac:dyDescent="0.25">
      <c r="A48" s="13" t="s">
        <v>46</v>
      </c>
      <c r="B48" s="6" t="s">
        <v>15</v>
      </c>
      <c r="C48" s="9" t="s">
        <v>69</v>
      </c>
      <c r="D48" s="7">
        <f>2*((8*1.2*2.2)+(16*1.8*1.2))</f>
        <v>111.36000000000001</v>
      </c>
      <c r="E48" s="8"/>
      <c r="F48" s="8">
        <f>+E48*D48</f>
        <v>0</v>
      </c>
    </row>
    <row r="49" spans="1:7" s="1" customFormat="1" ht="27.6" x14ac:dyDescent="0.25">
      <c r="A49" s="13" t="s">
        <v>47</v>
      </c>
      <c r="B49" s="44" t="s">
        <v>187</v>
      </c>
      <c r="C49" s="9" t="s">
        <v>69</v>
      </c>
      <c r="D49" s="51">
        <f>+(122.95*2.4)-((8*1.2*0.6)+(16*1.8*0.6))</f>
        <v>272.03999999999996</v>
      </c>
      <c r="E49" s="52"/>
      <c r="F49" s="8">
        <f>+E49*D49</f>
        <v>0</v>
      </c>
    </row>
    <row r="50" spans="1:7" s="1" customFormat="1" ht="27.6" x14ac:dyDescent="0.25">
      <c r="A50" s="13" t="s">
        <v>48</v>
      </c>
      <c r="B50" s="44" t="s">
        <v>186</v>
      </c>
      <c r="C50" s="9" t="s">
        <v>69</v>
      </c>
      <c r="D50" s="7">
        <f>+(122.95*2.4)-((8*1.2*0.6)+(16*1.8*0.6))</f>
        <v>272.03999999999996</v>
      </c>
      <c r="E50" s="8"/>
      <c r="F50" s="8">
        <f t="shared" ref="F50:F51" si="5">+E50*D50</f>
        <v>0</v>
      </c>
      <c r="G50" s="41"/>
    </row>
    <row r="51" spans="1:7" s="1" customFormat="1" ht="27.6" x14ac:dyDescent="0.25">
      <c r="A51" s="13" t="s">
        <v>49</v>
      </c>
      <c r="B51" s="6" t="s">
        <v>52</v>
      </c>
      <c r="C51" s="9" t="s">
        <v>69</v>
      </c>
      <c r="D51" s="7">
        <f>6*1.4*8</f>
        <v>67.199999999999989</v>
      </c>
      <c r="E51" s="8"/>
      <c r="F51" s="8">
        <f t="shared" si="5"/>
        <v>0</v>
      </c>
    </row>
    <row r="52" spans="1:7" s="1" customFormat="1" ht="13.8" x14ac:dyDescent="0.25">
      <c r="A52" s="55" t="s">
        <v>53</v>
      </c>
      <c r="B52" s="55"/>
      <c r="C52" s="55"/>
      <c r="D52" s="55"/>
      <c r="E52" s="55"/>
      <c r="F52" s="12">
        <f>SUM(F48:F51)</f>
        <v>0</v>
      </c>
    </row>
    <row r="53" spans="1:7" s="1" customFormat="1" ht="13.8" x14ac:dyDescent="0.25">
      <c r="A53" s="27">
        <v>7</v>
      </c>
      <c r="B53" s="71" t="s">
        <v>91</v>
      </c>
      <c r="C53" s="72"/>
      <c r="D53" s="72"/>
      <c r="E53" s="72"/>
      <c r="F53" s="73"/>
    </row>
    <row r="54" spans="1:7" s="1" customFormat="1" ht="41.4" x14ac:dyDescent="0.25">
      <c r="A54" s="28" t="s">
        <v>92</v>
      </c>
      <c r="B54" s="6" t="s">
        <v>93</v>
      </c>
      <c r="C54" s="9" t="s">
        <v>11</v>
      </c>
      <c r="D54" s="9">
        <v>100</v>
      </c>
      <c r="E54" s="26"/>
      <c r="F54" s="8">
        <f>D54*E54</f>
        <v>0</v>
      </c>
    </row>
    <row r="55" spans="1:7" s="1" customFormat="1" ht="31.5" customHeight="1" x14ac:dyDescent="0.25">
      <c r="A55" s="74" t="s">
        <v>94</v>
      </c>
      <c r="B55" s="75"/>
      <c r="C55" s="75"/>
      <c r="D55" s="75"/>
      <c r="E55" s="76"/>
      <c r="F55" s="12">
        <f>F54</f>
        <v>0</v>
      </c>
    </row>
    <row r="56" spans="1:7" s="1" customFormat="1" ht="13.8" x14ac:dyDescent="0.25">
      <c r="A56" s="56" t="s">
        <v>75</v>
      </c>
      <c r="B56" s="56"/>
      <c r="C56" s="56"/>
      <c r="D56" s="56"/>
      <c r="E56" s="56"/>
      <c r="F56" s="23">
        <f>SUM(F55,F52,F46,F41,F32,F20,F12)</f>
        <v>0</v>
      </c>
    </row>
    <row r="57" spans="1:7" s="1" customFormat="1" ht="13.8" x14ac:dyDescent="0.25">
      <c r="A57" s="56" t="s">
        <v>76</v>
      </c>
      <c r="B57" s="56"/>
      <c r="C57" s="56"/>
      <c r="D57" s="56"/>
      <c r="E57" s="56"/>
      <c r="F57" s="23">
        <f>+F56*0.18</f>
        <v>0</v>
      </c>
    </row>
    <row r="58" spans="1:7" s="1" customFormat="1" ht="13.8" x14ac:dyDescent="0.25">
      <c r="A58" s="56" t="s">
        <v>77</v>
      </c>
      <c r="B58" s="56"/>
      <c r="C58" s="56"/>
      <c r="D58" s="56"/>
      <c r="E58" s="56"/>
      <c r="F58" s="23">
        <f>+F56+F57</f>
        <v>0</v>
      </c>
    </row>
    <row r="62" spans="1:7" s="1" customFormat="1" ht="29.4" customHeight="1" x14ac:dyDescent="0.25">
      <c r="A62" s="58" t="s">
        <v>163</v>
      </c>
      <c r="B62" s="58"/>
      <c r="C62" s="58"/>
      <c r="D62" s="58"/>
      <c r="E62" s="58"/>
      <c r="F62" s="58"/>
    </row>
    <row r="63" spans="1:7" s="1" customFormat="1" ht="13.8" x14ac:dyDescent="0.25">
      <c r="A63" s="19"/>
      <c r="B63" s="19"/>
      <c r="C63" s="19"/>
      <c r="D63" s="19"/>
      <c r="E63" s="19"/>
      <c r="F63" s="19"/>
    </row>
    <row r="64" spans="1:7" s="1" customFormat="1" ht="33" customHeight="1" x14ac:dyDescent="0.25">
      <c r="A64" s="59" t="s">
        <v>164</v>
      </c>
      <c r="B64" s="59"/>
      <c r="C64" s="59"/>
      <c r="D64" s="59"/>
      <c r="E64" s="59"/>
      <c r="F64" s="59"/>
    </row>
    <row r="65" spans="1:7" s="1" customFormat="1" ht="13.8" x14ac:dyDescent="0.25">
      <c r="A65" s="2" t="s">
        <v>0</v>
      </c>
      <c r="B65" s="3" t="s">
        <v>1</v>
      </c>
      <c r="C65" s="3" t="s">
        <v>2</v>
      </c>
      <c r="D65" s="3" t="s">
        <v>16</v>
      </c>
      <c r="E65" s="4" t="s">
        <v>81</v>
      </c>
      <c r="F65" s="4" t="s">
        <v>83</v>
      </c>
      <c r="G65" s="11"/>
    </row>
    <row r="66" spans="1:7" s="1" customFormat="1" ht="13.8" x14ac:dyDescent="0.25">
      <c r="A66" s="2">
        <v>1</v>
      </c>
      <c r="B66" s="57" t="s">
        <v>3</v>
      </c>
      <c r="C66" s="57"/>
      <c r="D66" s="57"/>
      <c r="E66" s="57"/>
      <c r="F66" s="57"/>
    </row>
    <row r="67" spans="1:7" s="1" customFormat="1" ht="13.8" x14ac:dyDescent="0.25">
      <c r="A67" s="5" t="s">
        <v>21</v>
      </c>
      <c r="B67" s="6" t="s">
        <v>64</v>
      </c>
      <c r="C67" s="9" t="s">
        <v>5</v>
      </c>
      <c r="D67" s="7">
        <v>1</v>
      </c>
      <c r="E67" s="8"/>
      <c r="F67" s="8">
        <f>+E67*D67</f>
        <v>0</v>
      </c>
    </row>
    <row r="68" spans="1:7" s="11" customFormat="1" ht="55.2" x14ac:dyDescent="0.25">
      <c r="A68" s="5" t="s">
        <v>22</v>
      </c>
      <c r="B68" s="6" t="s">
        <v>54</v>
      </c>
      <c r="C68" s="9" t="s">
        <v>4</v>
      </c>
      <c r="D68" s="9">
        <f>0.3*1*24</f>
        <v>7.1999999999999993</v>
      </c>
      <c r="E68" s="10"/>
      <c r="F68" s="8">
        <f t="shared" ref="F68:F72" si="6">+E68*D68</f>
        <v>0</v>
      </c>
    </row>
    <row r="69" spans="1:7" s="11" customFormat="1" ht="30" customHeight="1" x14ac:dyDescent="0.25">
      <c r="A69" s="5" t="s">
        <v>23</v>
      </c>
      <c r="B69" s="6" t="s">
        <v>87</v>
      </c>
      <c r="C69" s="9" t="s">
        <v>5</v>
      </c>
      <c r="D69" s="9">
        <v>1</v>
      </c>
      <c r="E69" s="10"/>
      <c r="F69" s="8">
        <f t="shared" si="6"/>
        <v>0</v>
      </c>
    </row>
    <row r="70" spans="1:7" s="11" customFormat="1" ht="55.2" x14ac:dyDescent="0.25">
      <c r="A70" s="5" t="s">
        <v>24</v>
      </c>
      <c r="B70" s="6" t="s">
        <v>138</v>
      </c>
      <c r="C70" s="15" t="s">
        <v>68</v>
      </c>
      <c r="D70" s="32">
        <f>((5.36+5.03*3.93)*0.4*0.4)*6</f>
        <v>24.122784000000003</v>
      </c>
      <c r="E70" s="10"/>
      <c r="F70" s="8">
        <f t="shared" si="6"/>
        <v>0</v>
      </c>
      <c r="G70" s="33"/>
    </row>
    <row r="71" spans="1:7" s="11" customFormat="1" ht="41.4" x14ac:dyDescent="0.25">
      <c r="A71" s="5" t="s">
        <v>86</v>
      </c>
      <c r="B71" s="6" t="s">
        <v>6</v>
      </c>
      <c r="C71" s="15" t="s">
        <v>68</v>
      </c>
      <c r="D71" s="9">
        <f>3.2*1*0.45*6</f>
        <v>8.64</v>
      </c>
      <c r="E71" s="10"/>
      <c r="F71" s="8">
        <f t="shared" si="6"/>
        <v>0</v>
      </c>
      <c r="G71" s="33"/>
    </row>
    <row r="72" spans="1:7" s="1" customFormat="1" ht="27.6" x14ac:dyDescent="0.25">
      <c r="A72" s="34" t="s">
        <v>140</v>
      </c>
      <c r="B72" s="35" t="s">
        <v>141</v>
      </c>
      <c r="C72" s="15" t="s">
        <v>142</v>
      </c>
      <c r="D72" s="15">
        <f>63*3</f>
        <v>189</v>
      </c>
      <c r="E72" s="36"/>
      <c r="F72" s="8">
        <f t="shared" si="6"/>
        <v>0</v>
      </c>
    </row>
    <row r="73" spans="1:7" s="1" customFormat="1" ht="13.8" x14ac:dyDescent="0.25">
      <c r="A73" s="55" t="s">
        <v>17</v>
      </c>
      <c r="B73" s="55"/>
      <c r="C73" s="55"/>
      <c r="D73" s="55"/>
      <c r="E73" s="55"/>
      <c r="F73" s="12">
        <f>SUM(F67:F72)</f>
        <v>0</v>
      </c>
    </row>
    <row r="74" spans="1:7" s="1" customFormat="1" ht="13.8" x14ac:dyDescent="0.25">
      <c r="A74" s="2">
        <v>2</v>
      </c>
      <c r="B74" s="57" t="s">
        <v>7</v>
      </c>
      <c r="C74" s="57"/>
      <c r="D74" s="57"/>
      <c r="E74" s="57"/>
      <c r="F74" s="57"/>
    </row>
    <row r="75" spans="1:7" s="1" customFormat="1" ht="27.6" x14ac:dyDescent="0.25">
      <c r="A75" s="13" t="s">
        <v>25</v>
      </c>
      <c r="B75" s="6" t="s">
        <v>57</v>
      </c>
      <c r="C75" s="15" t="s">
        <v>68</v>
      </c>
      <c r="D75" s="9">
        <f>5.2*0.4*0.05*6</f>
        <v>0.62400000000000011</v>
      </c>
      <c r="E75" s="8"/>
      <c r="F75" s="8">
        <f t="shared" ref="F75:F80" si="7">+E75*D75</f>
        <v>0</v>
      </c>
    </row>
    <row r="76" spans="1:7" s="1" customFormat="1" ht="27.6" x14ac:dyDescent="0.25">
      <c r="A76" s="13" t="s">
        <v>26</v>
      </c>
      <c r="B76" s="6" t="s">
        <v>56</v>
      </c>
      <c r="C76" s="9" t="s">
        <v>4</v>
      </c>
      <c r="D76" s="9">
        <f>5.2*0.69*6</f>
        <v>21.527999999999999</v>
      </c>
      <c r="E76" s="8"/>
      <c r="F76" s="8">
        <f t="shared" si="7"/>
        <v>0</v>
      </c>
    </row>
    <row r="77" spans="1:7" s="1" customFormat="1" ht="27.6" x14ac:dyDescent="0.25">
      <c r="A77" s="13" t="s">
        <v>27</v>
      </c>
      <c r="B77" s="6" t="s">
        <v>60</v>
      </c>
      <c r="C77" s="9" t="s">
        <v>69</v>
      </c>
      <c r="D77" s="7">
        <f>9.4*7.4*3</f>
        <v>208.68</v>
      </c>
      <c r="E77" s="8"/>
      <c r="F77" s="8">
        <f t="shared" si="7"/>
        <v>0</v>
      </c>
    </row>
    <row r="78" spans="1:7" s="1" customFormat="1" ht="82.8" x14ac:dyDescent="0.25">
      <c r="A78" s="13" t="s">
        <v>28</v>
      </c>
      <c r="B78" s="6" t="s">
        <v>88</v>
      </c>
      <c r="C78" s="9" t="s">
        <v>70</v>
      </c>
      <c r="D78" s="7">
        <f>9*7*0.1*3</f>
        <v>18.900000000000002</v>
      </c>
      <c r="E78" s="8"/>
      <c r="F78" s="8">
        <f t="shared" si="7"/>
        <v>0</v>
      </c>
    </row>
    <row r="79" spans="1:7" s="1" customFormat="1" ht="82.8" x14ac:dyDescent="0.25">
      <c r="A79" s="13" t="s">
        <v>29</v>
      </c>
      <c r="B79" s="6" t="s">
        <v>58</v>
      </c>
      <c r="C79" s="9" t="s">
        <v>70</v>
      </c>
      <c r="D79" s="7">
        <f>3.2*1*0.08*6</f>
        <v>1.536</v>
      </c>
      <c r="E79" s="8"/>
      <c r="F79" s="8">
        <f t="shared" si="7"/>
        <v>0</v>
      </c>
    </row>
    <row r="80" spans="1:7" s="1" customFormat="1" ht="69" x14ac:dyDescent="0.25">
      <c r="A80" s="13" t="s">
        <v>30</v>
      </c>
      <c r="B80" s="6" t="s">
        <v>59</v>
      </c>
      <c r="C80" s="9" t="s">
        <v>70</v>
      </c>
      <c r="D80" s="14">
        <f>6*(((1.03*2)+(2.16*0.9))*0.45)/2</f>
        <v>5.4054000000000011</v>
      </c>
      <c r="E80" s="8"/>
      <c r="F80" s="8">
        <f t="shared" si="7"/>
        <v>0</v>
      </c>
    </row>
    <row r="81" spans="1:7" s="1" customFormat="1" ht="13.8" x14ac:dyDescent="0.25">
      <c r="A81" s="55" t="s">
        <v>18</v>
      </c>
      <c r="B81" s="55"/>
      <c r="C81" s="55"/>
      <c r="D81" s="55"/>
      <c r="E81" s="55"/>
      <c r="F81" s="12">
        <f>SUM(F75:F80)</f>
        <v>0</v>
      </c>
    </row>
    <row r="82" spans="1:7" s="1" customFormat="1" ht="13.8" x14ac:dyDescent="0.25">
      <c r="A82" s="2">
        <v>3</v>
      </c>
      <c r="B82" s="57" t="s">
        <v>8</v>
      </c>
      <c r="C82" s="57"/>
      <c r="D82" s="57"/>
      <c r="E82" s="57"/>
      <c r="F82" s="57"/>
    </row>
    <row r="83" spans="1:7" s="1" customFormat="1" ht="44.4" x14ac:dyDescent="0.25">
      <c r="A83" s="13" t="s">
        <v>31</v>
      </c>
      <c r="B83" s="6" t="s">
        <v>71</v>
      </c>
      <c r="C83" s="9" t="s">
        <v>70</v>
      </c>
      <c r="D83" s="7">
        <f>24*0.15*0.15*4</f>
        <v>2.1599999999999997</v>
      </c>
      <c r="E83" s="8"/>
      <c r="F83" s="8">
        <f>+E83*D83</f>
        <v>0</v>
      </c>
    </row>
    <row r="84" spans="1:7" s="1" customFormat="1" ht="50.25" customHeight="1" x14ac:dyDescent="0.25">
      <c r="A84" s="13" t="s">
        <v>32</v>
      </c>
      <c r="B84" s="6" t="s">
        <v>72</v>
      </c>
      <c r="C84" s="9" t="s">
        <v>70</v>
      </c>
      <c r="D84" s="7">
        <f>83.5*0.15*0.2</f>
        <v>2.5050000000000003</v>
      </c>
      <c r="E84" s="8"/>
      <c r="F84" s="8">
        <f t="shared" ref="F84:F92" si="8">+E84*D84</f>
        <v>0</v>
      </c>
    </row>
    <row r="85" spans="1:7" s="1" customFormat="1" ht="41.4" x14ac:dyDescent="0.25">
      <c r="A85" s="13" t="s">
        <v>33</v>
      </c>
      <c r="B85" s="6" t="s">
        <v>67</v>
      </c>
      <c r="C85" s="9" t="s">
        <v>69</v>
      </c>
      <c r="D85" s="7">
        <f>+((83.5*2.9)-((12*1.8*1.2)+(6*1.2*1.1)))</f>
        <v>208.31</v>
      </c>
      <c r="E85" s="8"/>
      <c r="F85" s="8">
        <f t="shared" si="8"/>
        <v>0</v>
      </c>
    </row>
    <row r="86" spans="1:7" s="1" customFormat="1" ht="46.5" customHeight="1" x14ac:dyDescent="0.25">
      <c r="A86" s="13" t="s">
        <v>34</v>
      </c>
      <c r="B86" s="6" t="s">
        <v>62</v>
      </c>
      <c r="C86" s="9" t="s">
        <v>69</v>
      </c>
      <c r="D86" s="7">
        <f>+D85+(7*2.9*2)</f>
        <v>248.91</v>
      </c>
      <c r="E86" s="8"/>
      <c r="F86" s="8">
        <f t="shared" si="8"/>
        <v>0</v>
      </c>
    </row>
    <row r="87" spans="1:7" s="1" customFormat="1" ht="36" customHeight="1" x14ac:dyDescent="0.25">
      <c r="A87" s="13" t="s">
        <v>35</v>
      </c>
      <c r="B87" s="6" t="s">
        <v>61</v>
      </c>
      <c r="C87" s="9" t="s">
        <v>69</v>
      </c>
      <c r="D87" s="7">
        <f>+D85-(7*2.9*2)</f>
        <v>167.71</v>
      </c>
      <c r="E87" s="8"/>
      <c r="F87" s="8">
        <f t="shared" si="8"/>
        <v>0</v>
      </c>
    </row>
    <row r="88" spans="1:7" s="1" customFormat="1" ht="41.4" x14ac:dyDescent="0.25">
      <c r="A88" s="13" t="s">
        <v>36</v>
      </c>
      <c r="B88" s="6" t="s">
        <v>66</v>
      </c>
      <c r="C88" s="9" t="s">
        <v>69</v>
      </c>
      <c r="D88" s="7">
        <f>+((97.8*1.6)-((6*1.6*1.2)+(1.8*0.6*12)))</f>
        <v>132</v>
      </c>
      <c r="E88" s="8"/>
      <c r="F88" s="8">
        <f t="shared" si="8"/>
        <v>0</v>
      </c>
    </row>
    <row r="89" spans="1:7" s="1" customFormat="1" ht="41.4" x14ac:dyDescent="0.25">
      <c r="A89" s="13" t="s">
        <v>37</v>
      </c>
      <c r="B89" s="6" t="s">
        <v>63</v>
      </c>
      <c r="C89" s="9" t="s">
        <v>69</v>
      </c>
      <c r="D89" s="7">
        <f>6*1.4*6</f>
        <v>50.399999999999991</v>
      </c>
      <c r="E89" s="8"/>
      <c r="F89" s="8">
        <f t="shared" si="8"/>
        <v>0</v>
      </c>
    </row>
    <row r="90" spans="1:7" s="1" customFormat="1" ht="27.6" x14ac:dyDescent="0.25">
      <c r="A90" s="13" t="s">
        <v>38</v>
      </c>
      <c r="B90" s="6" t="s">
        <v>173</v>
      </c>
      <c r="C90" s="9" t="s">
        <v>69</v>
      </c>
      <c r="D90" s="7">
        <f>+((69.2)-(1.2*3))*1</f>
        <v>65.600000000000009</v>
      </c>
      <c r="E90" s="8"/>
      <c r="F90" s="8">
        <f t="shared" si="8"/>
        <v>0</v>
      </c>
    </row>
    <row r="91" spans="1:7" s="1" customFormat="1" ht="55.2" x14ac:dyDescent="0.25">
      <c r="A91" s="13" t="s">
        <v>39</v>
      </c>
      <c r="B91" s="6" t="s">
        <v>189</v>
      </c>
      <c r="C91" s="9" t="s">
        <v>69</v>
      </c>
      <c r="D91" s="7">
        <f>+D87+D90</f>
        <v>233.31</v>
      </c>
      <c r="E91" s="8"/>
      <c r="F91" s="8">
        <f t="shared" si="8"/>
        <v>0</v>
      </c>
    </row>
    <row r="92" spans="1:7" s="1" customFormat="1" ht="13.8" x14ac:dyDescent="0.25">
      <c r="A92" s="13" t="s">
        <v>40</v>
      </c>
      <c r="B92" s="6" t="s">
        <v>10</v>
      </c>
      <c r="C92" s="9" t="s">
        <v>11</v>
      </c>
      <c r="D92" s="7">
        <v>36</v>
      </c>
      <c r="E92" s="8"/>
      <c r="F92" s="8">
        <f t="shared" si="8"/>
        <v>0</v>
      </c>
    </row>
    <row r="93" spans="1:7" s="1" customFormat="1" ht="13.8" x14ac:dyDescent="0.25">
      <c r="A93" s="55" t="s">
        <v>19</v>
      </c>
      <c r="B93" s="55"/>
      <c r="C93" s="55"/>
      <c r="D93" s="55"/>
      <c r="E93" s="55"/>
      <c r="F93" s="12">
        <f>SUM(F83:F92)</f>
        <v>0</v>
      </c>
    </row>
    <row r="94" spans="1:7" s="1" customFormat="1" ht="13.8" x14ac:dyDescent="0.25">
      <c r="A94" s="2">
        <v>4</v>
      </c>
      <c r="B94" s="57" t="s">
        <v>12</v>
      </c>
      <c r="C94" s="57"/>
      <c r="D94" s="57"/>
      <c r="E94" s="57"/>
      <c r="F94" s="57"/>
    </row>
    <row r="95" spans="1:7" s="1" customFormat="1" ht="69" x14ac:dyDescent="0.25">
      <c r="A95" s="13" t="s">
        <v>42</v>
      </c>
      <c r="B95" s="6" t="s">
        <v>174</v>
      </c>
      <c r="C95" s="9" t="s">
        <v>13</v>
      </c>
      <c r="D95" s="9">
        <f>9.7+9.15+9.15</f>
        <v>28</v>
      </c>
      <c r="E95" s="54"/>
      <c r="F95" s="8">
        <f t="shared" ref="F95:F101" si="9">+E95*D95</f>
        <v>0</v>
      </c>
    </row>
    <row r="96" spans="1:7" s="1" customFormat="1" ht="84.75" customHeight="1" x14ac:dyDescent="0.25">
      <c r="A96" s="13" t="s">
        <v>84</v>
      </c>
      <c r="B96" s="6" t="s">
        <v>175</v>
      </c>
      <c r="C96" s="9" t="s">
        <v>13</v>
      </c>
      <c r="D96" s="9">
        <f>(4*2)*3</f>
        <v>24</v>
      </c>
      <c r="E96" s="54"/>
      <c r="F96" s="8">
        <f t="shared" si="9"/>
        <v>0</v>
      </c>
      <c r="G96" s="33"/>
    </row>
    <row r="97" spans="1:8" s="1" customFormat="1" ht="42" customHeight="1" x14ac:dyDescent="0.25">
      <c r="A97" s="13" t="s">
        <v>85</v>
      </c>
      <c r="B97" s="6" t="s">
        <v>176</v>
      </c>
      <c r="C97" s="9" t="s">
        <v>13</v>
      </c>
      <c r="D97" s="7">
        <f>27.45+7.15*2</f>
        <v>41.75</v>
      </c>
      <c r="E97" s="54"/>
      <c r="F97" s="8">
        <f t="shared" si="9"/>
        <v>0</v>
      </c>
      <c r="G97" s="41"/>
      <c r="H97" s="37"/>
    </row>
    <row r="98" spans="1:8" s="1" customFormat="1" ht="41.4" x14ac:dyDescent="0.25">
      <c r="A98" s="38" t="s">
        <v>143</v>
      </c>
      <c r="B98" s="35" t="s">
        <v>144</v>
      </c>
      <c r="C98" s="9" t="s">
        <v>69</v>
      </c>
      <c r="D98" s="39">
        <f>7*4*0.6</f>
        <v>16.8</v>
      </c>
      <c r="E98" s="49"/>
      <c r="F98" s="8">
        <f t="shared" si="9"/>
        <v>0</v>
      </c>
      <c r="G98" s="37"/>
    </row>
    <row r="99" spans="1:8" s="1" customFormat="1" ht="27.6" x14ac:dyDescent="0.25">
      <c r="A99" s="38" t="s">
        <v>177</v>
      </c>
      <c r="B99" s="6" t="s">
        <v>178</v>
      </c>
      <c r="C99" s="9" t="s">
        <v>69</v>
      </c>
      <c r="D99" s="7">
        <f>1.98*4*6</f>
        <v>47.519999999999996</v>
      </c>
      <c r="E99" s="50"/>
      <c r="F99" s="8">
        <f t="shared" si="9"/>
        <v>0</v>
      </c>
    </row>
    <row r="100" spans="1:8" s="1" customFormat="1" ht="41.4" x14ac:dyDescent="0.25">
      <c r="A100" s="38" t="s">
        <v>179</v>
      </c>
      <c r="B100" s="6" t="s">
        <v>180</v>
      </c>
      <c r="C100" s="9" t="s">
        <v>70</v>
      </c>
      <c r="D100" s="7">
        <f>0.4*0.4*0.4*6</f>
        <v>0.38400000000000012</v>
      </c>
      <c r="E100" s="49"/>
      <c r="F100" s="8">
        <f t="shared" si="9"/>
        <v>0</v>
      </c>
    </row>
    <row r="101" spans="1:8" s="1" customFormat="1" ht="55.2" x14ac:dyDescent="0.25">
      <c r="A101" s="38" t="s">
        <v>181</v>
      </c>
      <c r="B101" s="6" t="s">
        <v>195</v>
      </c>
      <c r="C101" s="9" t="s">
        <v>182</v>
      </c>
      <c r="D101" s="7">
        <v>6</v>
      </c>
      <c r="E101" s="49"/>
      <c r="F101" s="8">
        <f t="shared" si="9"/>
        <v>0</v>
      </c>
    </row>
    <row r="102" spans="1:8" s="1" customFormat="1" ht="13.8" x14ac:dyDescent="0.25">
      <c r="A102" s="55" t="s">
        <v>20</v>
      </c>
      <c r="B102" s="55"/>
      <c r="C102" s="55"/>
      <c r="D102" s="55"/>
      <c r="E102" s="55"/>
      <c r="F102" s="12">
        <f>SUM(F95:F101)</f>
        <v>0</v>
      </c>
    </row>
    <row r="103" spans="1:8" s="1" customFormat="1" ht="13.8" x14ac:dyDescent="0.25">
      <c r="A103" s="2">
        <v>5</v>
      </c>
      <c r="B103" s="57" t="s">
        <v>50</v>
      </c>
      <c r="C103" s="57"/>
      <c r="D103" s="57"/>
      <c r="E103" s="57"/>
      <c r="F103" s="57"/>
    </row>
    <row r="104" spans="1:8" s="1" customFormat="1" ht="69" x14ac:dyDescent="0.25">
      <c r="A104" s="13" t="s">
        <v>43</v>
      </c>
      <c r="B104" s="6" t="s">
        <v>150</v>
      </c>
      <c r="C104" s="9" t="s">
        <v>11</v>
      </c>
      <c r="D104" s="7">
        <v>6</v>
      </c>
      <c r="E104" s="8"/>
      <c r="F104" s="8">
        <f>+E104*D104</f>
        <v>0</v>
      </c>
    </row>
    <row r="105" spans="1:8" s="1" customFormat="1" ht="124.2" x14ac:dyDescent="0.25">
      <c r="A105" s="13" t="s">
        <v>44</v>
      </c>
      <c r="B105" s="6" t="s">
        <v>193</v>
      </c>
      <c r="C105" s="9" t="s">
        <v>11</v>
      </c>
      <c r="D105" s="7">
        <v>12</v>
      </c>
      <c r="E105" s="8"/>
      <c r="F105" s="8">
        <f t="shared" ref="F105:F106" si="10">+E105*D105</f>
        <v>0</v>
      </c>
    </row>
    <row r="106" spans="1:8" s="1" customFormat="1" ht="82.8" x14ac:dyDescent="0.25">
      <c r="A106" s="13" t="s">
        <v>45</v>
      </c>
      <c r="B106" s="6" t="s">
        <v>185</v>
      </c>
      <c r="C106" s="9" t="s">
        <v>13</v>
      </c>
      <c r="D106" s="7">
        <f>6*(((2.05*2)+1.1)*3)+(0.6*34)</f>
        <v>114</v>
      </c>
      <c r="E106" s="8"/>
      <c r="F106" s="8">
        <f t="shared" si="10"/>
        <v>0</v>
      </c>
      <c r="G106" s="41"/>
    </row>
    <row r="107" spans="1:8" s="1" customFormat="1" ht="13.8" x14ac:dyDescent="0.25">
      <c r="A107" s="55" t="s">
        <v>51</v>
      </c>
      <c r="B107" s="55"/>
      <c r="C107" s="55"/>
      <c r="D107" s="55"/>
      <c r="E107" s="55"/>
      <c r="F107" s="12">
        <f>SUM(F104:F106)</f>
        <v>0</v>
      </c>
    </row>
    <row r="108" spans="1:8" s="1" customFormat="1" ht="13.8" x14ac:dyDescent="0.25">
      <c r="A108" s="2">
        <v>6</v>
      </c>
      <c r="B108" s="57" t="s">
        <v>14</v>
      </c>
      <c r="C108" s="57"/>
      <c r="D108" s="57"/>
      <c r="E108" s="57"/>
      <c r="F108" s="57"/>
    </row>
    <row r="109" spans="1:8" s="1" customFormat="1" ht="27.6" x14ac:dyDescent="0.25">
      <c r="A109" s="13" t="s">
        <v>46</v>
      </c>
      <c r="B109" s="6" t="s">
        <v>15</v>
      </c>
      <c r="C109" s="9" t="s">
        <v>69</v>
      </c>
      <c r="D109" s="7">
        <f>2*((6*1.2*2.2)+(12*1.8*1.2))</f>
        <v>83.52000000000001</v>
      </c>
      <c r="E109" s="8"/>
      <c r="F109" s="8">
        <f t="shared" ref="F109:F112" si="11">+E109*D109</f>
        <v>0</v>
      </c>
    </row>
    <row r="110" spans="1:8" s="1" customFormat="1" ht="27.6" x14ac:dyDescent="0.25">
      <c r="A110" s="13" t="s">
        <v>47</v>
      </c>
      <c r="B110" s="44" t="s">
        <v>187</v>
      </c>
      <c r="C110" s="9" t="s">
        <v>69</v>
      </c>
      <c r="D110" s="7">
        <f>+(97.8*2.4)-((6*1.2*0.6)+(12*1.8*0.6))</f>
        <v>217.43999999999997</v>
      </c>
      <c r="E110" s="8"/>
      <c r="F110" s="8">
        <f t="shared" si="11"/>
        <v>0</v>
      </c>
    </row>
    <row r="111" spans="1:8" s="1" customFormat="1" ht="27.6" x14ac:dyDescent="0.25">
      <c r="A111" s="13" t="s">
        <v>48</v>
      </c>
      <c r="B111" s="44" t="s">
        <v>186</v>
      </c>
      <c r="C111" s="9" t="s">
        <v>69</v>
      </c>
      <c r="D111" s="7">
        <f>+(97.8*2.4)-((6*1.2*0.6)+(12*1.8*0.6))</f>
        <v>217.43999999999997</v>
      </c>
      <c r="E111" s="8"/>
      <c r="F111" s="8">
        <f t="shared" si="11"/>
        <v>0</v>
      </c>
      <c r="G111" s="41"/>
    </row>
    <row r="112" spans="1:8" s="1" customFormat="1" ht="27.6" x14ac:dyDescent="0.25">
      <c r="A112" s="13" t="s">
        <v>49</v>
      </c>
      <c r="B112" s="6" t="s">
        <v>52</v>
      </c>
      <c r="C112" s="9" t="s">
        <v>69</v>
      </c>
      <c r="D112" s="7">
        <f>6*1.4*6</f>
        <v>50.399999999999991</v>
      </c>
      <c r="E112" s="8"/>
      <c r="F112" s="8">
        <f t="shared" si="11"/>
        <v>0</v>
      </c>
    </row>
    <row r="113" spans="1:6" s="1" customFormat="1" ht="13.8" x14ac:dyDescent="0.25">
      <c r="A113" s="55" t="s">
        <v>53</v>
      </c>
      <c r="B113" s="55"/>
      <c r="C113" s="55"/>
      <c r="D113" s="55"/>
      <c r="E113" s="55"/>
      <c r="F113" s="12">
        <f>SUM(F109:F112)</f>
        <v>0</v>
      </c>
    </row>
    <row r="114" spans="1:6" s="1" customFormat="1" ht="13.8" x14ac:dyDescent="0.25">
      <c r="A114" s="2">
        <v>7</v>
      </c>
      <c r="B114" s="57" t="s">
        <v>91</v>
      </c>
      <c r="C114" s="57"/>
      <c r="D114" s="57"/>
      <c r="E114" s="57"/>
      <c r="F114" s="57"/>
    </row>
    <row r="115" spans="1:6" s="1" customFormat="1" ht="41.4" x14ac:dyDescent="0.25">
      <c r="A115" s="25" t="s">
        <v>92</v>
      </c>
      <c r="B115" s="6" t="s">
        <v>93</v>
      </c>
      <c r="C115" s="9" t="s">
        <v>11</v>
      </c>
      <c r="D115" s="9">
        <v>100</v>
      </c>
      <c r="E115" s="26"/>
      <c r="F115" s="8">
        <f>D115*E115</f>
        <v>0</v>
      </c>
    </row>
    <row r="116" spans="1:6" s="1" customFormat="1" ht="13.8" x14ac:dyDescent="0.25">
      <c r="A116" s="55" t="s">
        <v>94</v>
      </c>
      <c r="B116" s="55"/>
      <c r="C116" s="55"/>
      <c r="D116" s="55"/>
      <c r="E116" s="55"/>
      <c r="F116" s="12">
        <f>F115</f>
        <v>0</v>
      </c>
    </row>
    <row r="117" spans="1:6" s="1" customFormat="1" ht="13.8" x14ac:dyDescent="0.25">
      <c r="A117" s="56" t="s">
        <v>119</v>
      </c>
      <c r="B117" s="56"/>
      <c r="C117" s="56"/>
      <c r="D117" s="56"/>
      <c r="E117" s="56"/>
      <c r="F117" s="23">
        <f>SUM(F116,F113,F107,F102,F93,F81,F73)</f>
        <v>0</v>
      </c>
    </row>
    <row r="118" spans="1:6" s="1" customFormat="1" ht="13.8" x14ac:dyDescent="0.25">
      <c r="A118" s="56" t="s">
        <v>118</v>
      </c>
      <c r="B118" s="56"/>
      <c r="C118" s="56"/>
      <c r="D118" s="56"/>
      <c r="E118" s="56"/>
      <c r="F118" s="23">
        <f>+F117*0.18</f>
        <v>0</v>
      </c>
    </row>
    <row r="119" spans="1:6" s="1" customFormat="1" ht="13.8" x14ac:dyDescent="0.25">
      <c r="A119" s="56" t="s">
        <v>107</v>
      </c>
      <c r="B119" s="56"/>
      <c r="C119" s="56"/>
      <c r="D119" s="56"/>
      <c r="E119" s="56"/>
      <c r="F119" s="23">
        <f>+F117+F118</f>
        <v>0</v>
      </c>
    </row>
    <row r="123" spans="1:6" s="1" customFormat="1" ht="29.25" customHeight="1" x14ac:dyDescent="0.25">
      <c r="A123" s="58" t="s">
        <v>165</v>
      </c>
      <c r="B123" s="58"/>
      <c r="C123" s="58"/>
      <c r="D123" s="58"/>
      <c r="E123" s="58"/>
      <c r="F123" s="58"/>
    </row>
    <row r="124" spans="1:6" s="1" customFormat="1" ht="13.8" x14ac:dyDescent="0.25">
      <c r="A124" s="19"/>
      <c r="B124" s="19"/>
      <c r="C124" s="19"/>
      <c r="D124" s="19"/>
      <c r="E124" s="19"/>
      <c r="F124" s="19"/>
    </row>
    <row r="125" spans="1:6" s="1" customFormat="1" ht="46.2" customHeight="1" x14ac:dyDescent="0.25">
      <c r="A125" s="59" t="s">
        <v>166</v>
      </c>
      <c r="B125" s="59"/>
      <c r="C125" s="59"/>
      <c r="D125" s="59"/>
      <c r="E125" s="59"/>
      <c r="F125" s="59"/>
    </row>
    <row r="126" spans="1:6" s="1" customFormat="1" ht="13.8" x14ac:dyDescent="0.25">
      <c r="A126" s="2" t="s">
        <v>0</v>
      </c>
      <c r="B126" s="3" t="s">
        <v>1</v>
      </c>
      <c r="C126" s="3" t="s">
        <v>2</v>
      </c>
      <c r="D126" s="3" t="s">
        <v>16</v>
      </c>
      <c r="E126" s="4" t="s">
        <v>81</v>
      </c>
      <c r="F126" s="4" t="s">
        <v>82</v>
      </c>
    </row>
    <row r="127" spans="1:6" s="1" customFormat="1" ht="13.8" x14ac:dyDescent="0.25">
      <c r="A127" s="2">
        <v>1</v>
      </c>
      <c r="B127" s="57" t="s">
        <v>3</v>
      </c>
      <c r="C127" s="57"/>
      <c r="D127" s="57"/>
      <c r="E127" s="57"/>
      <c r="F127" s="57"/>
    </row>
    <row r="128" spans="1:6" s="1" customFormat="1" ht="13.8" x14ac:dyDescent="0.25">
      <c r="A128" s="5" t="s">
        <v>21</v>
      </c>
      <c r="B128" s="6" t="s">
        <v>64</v>
      </c>
      <c r="C128" s="9" t="s">
        <v>5</v>
      </c>
      <c r="D128" s="7">
        <v>1</v>
      </c>
      <c r="E128" s="8"/>
      <c r="F128" s="8">
        <f>+E128*D128</f>
        <v>0</v>
      </c>
    </row>
    <row r="129" spans="1:7" s="11" customFormat="1" ht="55.2" x14ac:dyDescent="0.25">
      <c r="A129" s="5" t="s">
        <v>22</v>
      </c>
      <c r="B129" s="6" t="s">
        <v>54</v>
      </c>
      <c r="C129" s="9" t="s">
        <v>4</v>
      </c>
      <c r="D129" s="9">
        <f>0.3*1*9</f>
        <v>2.6999999999999997</v>
      </c>
      <c r="E129" s="10"/>
      <c r="F129" s="8">
        <f t="shared" ref="F129:F133" si="12">+E129*D129</f>
        <v>0</v>
      </c>
    </row>
    <row r="130" spans="1:7" s="11" customFormat="1" ht="27.6" x14ac:dyDescent="0.25">
      <c r="A130" s="5" t="s">
        <v>23</v>
      </c>
      <c r="B130" s="6" t="s">
        <v>87</v>
      </c>
      <c r="C130" s="9" t="s">
        <v>5</v>
      </c>
      <c r="D130" s="9">
        <v>1</v>
      </c>
      <c r="E130" s="10"/>
      <c r="F130" s="8">
        <f t="shared" si="12"/>
        <v>0</v>
      </c>
    </row>
    <row r="131" spans="1:7" s="11" customFormat="1" ht="41.4" x14ac:dyDescent="0.25">
      <c r="A131" s="5" t="s">
        <v>24</v>
      </c>
      <c r="B131" s="6" t="s">
        <v>55</v>
      </c>
      <c r="C131" s="15" t="s">
        <v>68</v>
      </c>
      <c r="D131" s="9">
        <f>5.2*0.4*0.4*2+7.15*0.4*0.4</f>
        <v>2.8080000000000003</v>
      </c>
      <c r="E131" s="10"/>
      <c r="F131" s="8">
        <f t="shared" si="12"/>
        <v>0</v>
      </c>
    </row>
    <row r="132" spans="1:7" s="11" customFormat="1" ht="41.4" x14ac:dyDescent="0.25">
      <c r="A132" s="5" t="s">
        <v>86</v>
      </c>
      <c r="B132" s="6" t="s">
        <v>6</v>
      </c>
      <c r="C132" s="15" t="s">
        <v>68</v>
      </c>
      <c r="D132" s="9">
        <f>3.2*1*0.45*2</f>
        <v>2.8800000000000003</v>
      </c>
      <c r="E132" s="10"/>
      <c r="F132" s="8">
        <f t="shared" si="12"/>
        <v>0</v>
      </c>
    </row>
    <row r="133" spans="1:7" s="1" customFormat="1" ht="27.6" x14ac:dyDescent="0.25">
      <c r="A133" s="34" t="s">
        <v>140</v>
      </c>
      <c r="B133" s="35" t="s">
        <v>141</v>
      </c>
      <c r="C133" s="15" t="s">
        <v>148</v>
      </c>
      <c r="D133" s="15">
        <f>9*7</f>
        <v>63</v>
      </c>
      <c r="E133" s="36"/>
      <c r="F133" s="8">
        <f t="shared" si="12"/>
        <v>0</v>
      </c>
      <c r="G133" s="37"/>
    </row>
    <row r="134" spans="1:7" s="1" customFormat="1" ht="13.8" x14ac:dyDescent="0.25">
      <c r="A134" s="55" t="s">
        <v>17</v>
      </c>
      <c r="B134" s="55"/>
      <c r="C134" s="55"/>
      <c r="D134" s="55"/>
      <c r="E134" s="55"/>
      <c r="F134" s="12">
        <f>SUM(F128:F133)</f>
        <v>0</v>
      </c>
    </row>
    <row r="135" spans="1:7" s="1" customFormat="1" ht="13.8" x14ac:dyDescent="0.25">
      <c r="A135" s="2">
        <v>2</v>
      </c>
      <c r="B135" s="57" t="s">
        <v>7</v>
      </c>
      <c r="C135" s="57"/>
      <c r="D135" s="57"/>
      <c r="E135" s="57"/>
      <c r="F135" s="57"/>
    </row>
    <row r="136" spans="1:7" s="1" customFormat="1" ht="27.6" x14ac:dyDescent="0.25">
      <c r="A136" s="13" t="s">
        <v>25</v>
      </c>
      <c r="B136" s="6" t="s">
        <v>57</v>
      </c>
      <c r="C136" s="15" t="s">
        <v>68</v>
      </c>
      <c r="D136" s="9">
        <f>5.2*0.4*0.05*2+7.15*0.4*0.05</f>
        <v>0.35100000000000003</v>
      </c>
      <c r="E136" s="8"/>
      <c r="F136" s="8">
        <f t="shared" ref="F136:F141" si="13">+E136*D136</f>
        <v>0</v>
      </c>
    </row>
    <row r="137" spans="1:7" s="1" customFormat="1" ht="27.6" x14ac:dyDescent="0.25">
      <c r="A137" s="13" t="s">
        <v>26</v>
      </c>
      <c r="B137" s="6" t="s">
        <v>56</v>
      </c>
      <c r="C137" s="9" t="s">
        <v>4</v>
      </c>
      <c r="D137" s="9">
        <f>5.2*0.69*2+7.15*0.69</f>
        <v>12.109499999999999</v>
      </c>
      <c r="E137" s="8"/>
      <c r="F137" s="8">
        <f t="shared" si="13"/>
        <v>0</v>
      </c>
    </row>
    <row r="138" spans="1:7" s="1" customFormat="1" ht="27.6" x14ac:dyDescent="0.25">
      <c r="A138" s="13" t="s">
        <v>27</v>
      </c>
      <c r="B138" s="6" t="s">
        <v>60</v>
      </c>
      <c r="C138" s="9" t="s">
        <v>69</v>
      </c>
      <c r="D138" s="7">
        <f>9.4*7.4</f>
        <v>69.56</v>
      </c>
      <c r="E138" s="8"/>
      <c r="F138" s="8">
        <f t="shared" si="13"/>
        <v>0</v>
      </c>
    </row>
    <row r="139" spans="1:7" s="1" customFormat="1" ht="82.8" x14ac:dyDescent="0.25">
      <c r="A139" s="13" t="s">
        <v>28</v>
      </c>
      <c r="B139" s="6" t="s">
        <v>88</v>
      </c>
      <c r="C139" s="9" t="s">
        <v>70</v>
      </c>
      <c r="D139" s="7">
        <f>9*7*0.1</f>
        <v>6.3000000000000007</v>
      </c>
      <c r="E139" s="8"/>
      <c r="F139" s="8">
        <f t="shared" si="13"/>
        <v>0</v>
      </c>
    </row>
    <row r="140" spans="1:7" s="1" customFormat="1" ht="82.8" x14ac:dyDescent="0.25">
      <c r="A140" s="13" t="s">
        <v>29</v>
      </c>
      <c r="B140" s="6" t="s">
        <v>58</v>
      </c>
      <c r="C140" s="9" t="s">
        <v>70</v>
      </c>
      <c r="D140" s="7">
        <f>3.2*1*0.08*2</f>
        <v>0.51200000000000001</v>
      </c>
      <c r="E140" s="8"/>
      <c r="F140" s="8">
        <f t="shared" si="13"/>
        <v>0</v>
      </c>
    </row>
    <row r="141" spans="1:7" s="1" customFormat="1" ht="69" x14ac:dyDescent="0.25">
      <c r="A141" s="13" t="s">
        <v>30</v>
      </c>
      <c r="B141" s="6" t="s">
        <v>59</v>
      </c>
      <c r="C141" s="9" t="s">
        <v>70</v>
      </c>
      <c r="D141" s="14">
        <f>2*(((1.03*2)+(2.16*0.9))*0.45)/2</f>
        <v>1.8018000000000003</v>
      </c>
      <c r="E141" s="8"/>
      <c r="F141" s="8">
        <f t="shared" si="13"/>
        <v>0</v>
      </c>
    </row>
    <row r="142" spans="1:7" s="1" customFormat="1" ht="13.8" x14ac:dyDescent="0.25">
      <c r="A142" s="55" t="s">
        <v>18</v>
      </c>
      <c r="B142" s="55"/>
      <c r="C142" s="55"/>
      <c r="D142" s="55"/>
      <c r="E142" s="55"/>
      <c r="F142" s="12">
        <f>SUM(F136:F141)</f>
        <v>0</v>
      </c>
    </row>
    <row r="143" spans="1:7" s="1" customFormat="1" ht="13.8" x14ac:dyDescent="0.25">
      <c r="A143" s="2">
        <v>3</v>
      </c>
      <c r="B143" s="57" t="s">
        <v>8</v>
      </c>
      <c r="C143" s="57"/>
      <c r="D143" s="57"/>
      <c r="E143" s="57"/>
      <c r="F143" s="57"/>
    </row>
    <row r="144" spans="1:7" s="1" customFormat="1" ht="44.4" x14ac:dyDescent="0.25">
      <c r="A144" s="13" t="s">
        <v>31</v>
      </c>
      <c r="B144" s="6" t="s">
        <v>71</v>
      </c>
      <c r="C144" s="9" t="s">
        <v>70</v>
      </c>
      <c r="D144" s="7">
        <f>10*0.15*0.15*4</f>
        <v>0.89999999999999991</v>
      </c>
      <c r="E144" s="8"/>
      <c r="F144" s="8">
        <f>+E144*D144</f>
        <v>0</v>
      </c>
    </row>
    <row r="145" spans="1:6" s="1" customFormat="1" ht="44.4" x14ac:dyDescent="0.25">
      <c r="A145" s="13" t="s">
        <v>32</v>
      </c>
      <c r="B145" s="6" t="s">
        <v>72</v>
      </c>
      <c r="C145" s="9" t="s">
        <v>70</v>
      </c>
      <c r="D145" s="7">
        <f>32.6*0.15*0.2</f>
        <v>0.97799999999999998</v>
      </c>
      <c r="E145" s="8"/>
      <c r="F145" s="8">
        <f t="shared" ref="F145:F156" si="14">+E145*D145</f>
        <v>0</v>
      </c>
    </row>
    <row r="146" spans="1:6" s="1" customFormat="1" ht="44.4" x14ac:dyDescent="0.25">
      <c r="A146" s="13" t="s">
        <v>33</v>
      </c>
      <c r="B146" s="6" t="s">
        <v>73</v>
      </c>
      <c r="C146" s="9" t="s">
        <v>70</v>
      </c>
      <c r="D146" s="7">
        <f>23.45*0.15*0.2</f>
        <v>0.70350000000000001</v>
      </c>
      <c r="E146" s="8"/>
      <c r="F146" s="8">
        <f t="shared" si="14"/>
        <v>0</v>
      </c>
    </row>
    <row r="147" spans="1:6" s="1" customFormat="1" ht="30.6" x14ac:dyDescent="0.25">
      <c r="A147" s="13" t="s">
        <v>34</v>
      </c>
      <c r="B147" s="6" t="s">
        <v>74</v>
      </c>
      <c r="C147" s="9" t="s">
        <v>70</v>
      </c>
      <c r="D147" s="7">
        <f>23.45*0.15*0.2</f>
        <v>0.70350000000000001</v>
      </c>
      <c r="E147" s="8"/>
      <c r="F147" s="8">
        <f t="shared" si="14"/>
        <v>0</v>
      </c>
    </row>
    <row r="148" spans="1:6" s="1" customFormat="1" ht="27.6" x14ac:dyDescent="0.25">
      <c r="A148" s="13" t="s">
        <v>35</v>
      </c>
      <c r="B148" s="6" t="s">
        <v>65</v>
      </c>
      <c r="C148" s="9" t="s">
        <v>69</v>
      </c>
      <c r="D148" s="7">
        <f>+((32.6*2.9)-((4*1.8*1.2)+(2*1.2*1.1)))+(7.15*1)</f>
        <v>90.410000000000011</v>
      </c>
      <c r="E148" s="8"/>
      <c r="F148" s="8">
        <f t="shared" si="14"/>
        <v>0</v>
      </c>
    </row>
    <row r="149" spans="1:6" s="1" customFormat="1" ht="27.6" x14ac:dyDescent="0.25">
      <c r="A149" s="13" t="s">
        <v>36</v>
      </c>
      <c r="B149" s="6" t="s">
        <v>90</v>
      </c>
      <c r="C149" s="9" t="s">
        <v>13</v>
      </c>
      <c r="D149" s="7">
        <v>7.3</v>
      </c>
      <c r="E149" s="8"/>
      <c r="F149" s="8">
        <f t="shared" si="14"/>
        <v>0</v>
      </c>
    </row>
    <row r="150" spans="1:6" s="1" customFormat="1" ht="41.4" x14ac:dyDescent="0.25">
      <c r="A150" s="13" t="s">
        <v>37</v>
      </c>
      <c r="B150" s="6" t="s">
        <v>62</v>
      </c>
      <c r="C150" s="9" t="s">
        <v>69</v>
      </c>
      <c r="D150" s="7">
        <f>+D148</f>
        <v>90.410000000000011</v>
      </c>
      <c r="E150" s="8"/>
      <c r="F150" s="8">
        <f t="shared" si="14"/>
        <v>0</v>
      </c>
    </row>
    <row r="151" spans="1:6" s="1" customFormat="1" ht="27.6" x14ac:dyDescent="0.25">
      <c r="A151" s="13" t="s">
        <v>38</v>
      </c>
      <c r="B151" s="6" t="s">
        <v>61</v>
      </c>
      <c r="C151" s="9" t="s">
        <v>69</v>
      </c>
      <c r="D151" s="7">
        <f>+D148</f>
        <v>90.410000000000011</v>
      </c>
      <c r="E151" s="8"/>
      <c r="F151" s="8">
        <f t="shared" si="14"/>
        <v>0</v>
      </c>
    </row>
    <row r="152" spans="1:6" s="1" customFormat="1" ht="41.4" x14ac:dyDescent="0.25">
      <c r="A152" s="13" t="s">
        <v>39</v>
      </c>
      <c r="B152" s="6" t="s">
        <v>66</v>
      </c>
      <c r="C152" s="9" t="s">
        <v>69</v>
      </c>
      <c r="D152" s="7">
        <f>+((32.6*1.6)-((2*1.6*1.2)+(1.8*0.6*4)))</f>
        <v>44</v>
      </c>
      <c r="E152" s="8"/>
      <c r="F152" s="8">
        <f t="shared" si="14"/>
        <v>0</v>
      </c>
    </row>
    <row r="153" spans="1:6" s="1" customFormat="1" ht="41.4" x14ac:dyDescent="0.25">
      <c r="A153" s="13" t="s">
        <v>40</v>
      </c>
      <c r="B153" s="6" t="s">
        <v>63</v>
      </c>
      <c r="C153" s="9" t="s">
        <v>69</v>
      </c>
      <c r="D153" s="7">
        <f>6*1.4*2</f>
        <v>16.799999999999997</v>
      </c>
      <c r="E153" s="8"/>
      <c r="F153" s="8">
        <f t="shared" si="14"/>
        <v>0</v>
      </c>
    </row>
    <row r="154" spans="1:6" s="1" customFormat="1" ht="27.6" x14ac:dyDescent="0.25">
      <c r="A154" s="13" t="s">
        <v>41</v>
      </c>
      <c r="B154" s="6" t="s">
        <v>173</v>
      </c>
      <c r="C154" s="9" t="s">
        <v>69</v>
      </c>
      <c r="D154" s="7">
        <f>+(32.6-1.2)*1</f>
        <v>31.400000000000002</v>
      </c>
      <c r="E154" s="8"/>
      <c r="F154" s="8">
        <f t="shared" si="14"/>
        <v>0</v>
      </c>
    </row>
    <row r="155" spans="1:6" s="1" customFormat="1" ht="55.2" x14ac:dyDescent="0.25">
      <c r="A155" s="13" t="s">
        <v>89</v>
      </c>
      <c r="B155" s="6" t="s">
        <v>189</v>
      </c>
      <c r="C155" s="9" t="s">
        <v>69</v>
      </c>
      <c r="D155" s="7">
        <f>+D150+D154</f>
        <v>121.81000000000002</v>
      </c>
      <c r="E155" s="8"/>
      <c r="F155" s="8">
        <f t="shared" si="14"/>
        <v>0</v>
      </c>
    </row>
    <row r="156" spans="1:6" s="1" customFormat="1" ht="13.8" x14ac:dyDescent="0.25">
      <c r="A156" s="13" t="s">
        <v>191</v>
      </c>
      <c r="B156" s="6" t="s">
        <v>10</v>
      </c>
      <c r="C156" s="9" t="s">
        <v>11</v>
      </c>
      <c r="D156" s="7">
        <v>12</v>
      </c>
      <c r="E156" s="8"/>
      <c r="F156" s="8">
        <f t="shared" si="14"/>
        <v>0</v>
      </c>
    </row>
    <row r="157" spans="1:6" s="1" customFormat="1" ht="13.8" x14ac:dyDescent="0.25">
      <c r="A157" s="55" t="s">
        <v>19</v>
      </c>
      <c r="B157" s="55"/>
      <c r="C157" s="55"/>
      <c r="D157" s="55"/>
      <c r="E157" s="55"/>
      <c r="F157" s="12">
        <f>SUM(F144:F156)</f>
        <v>0</v>
      </c>
    </row>
    <row r="158" spans="1:6" s="1" customFormat="1" ht="13.8" x14ac:dyDescent="0.25">
      <c r="A158" s="2">
        <v>4</v>
      </c>
      <c r="B158" s="57" t="s">
        <v>12</v>
      </c>
      <c r="C158" s="57"/>
      <c r="D158" s="57"/>
      <c r="E158" s="57"/>
      <c r="F158" s="57"/>
    </row>
    <row r="159" spans="1:6" s="1" customFormat="1" ht="69" x14ac:dyDescent="0.25">
      <c r="A159" s="13" t="s">
        <v>42</v>
      </c>
      <c r="B159" s="6" t="s">
        <v>174</v>
      </c>
      <c r="C159" s="9" t="s">
        <v>13</v>
      </c>
      <c r="D159" s="9">
        <v>9.6999999999999993</v>
      </c>
      <c r="E159" s="8"/>
      <c r="F159" s="8">
        <f t="shared" ref="F159:F164" si="15">+E159*D159</f>
        <v>0</v>
      </c>
    </row>
    <row r="160" spans="1:6" s="1" customFormat="1" ht="82.8" x14ac:dyDescent="0.25">
      <c r="A160" s="13" t="s">
        <v>84</v>
      </c>
      <c r="B160" s="6" t="s">
        <v>175</v>
      </c>
      <c r="C160" s="9" t="s">
        <v>13</v>
      </c>
      <c r="D160" s="9">
        <f>4*1</f>
        <v>4</v>
      </c>
      <c r="E160" s="8"/>
      <c r="F160" s="8">
        <f t="shared" si="15"/>
        <v>0</v>
      </c>
    </row>
    <row r="161" spans="1:8" s="1" customFormat="1" ht="48.75" customHeight="1" x14ac:dyDescent="0.25">
      <c r="A161" s="13" t="s">
        <v>85</v>
      </c>
      <c r="B161" s="6" t="s">
        <v>176</v>
      </c>
      <c r="C161" s="9" t="s">
        <v>13</v>
      </c>
      <c r="D161" s="7">
        <f>7.15*2+9.15</f>
        <v>23.450000000000003</v>
      </c>
      <c r="E161" s="8"/>
      <c r="F161" s="8">
        <f t="shared" si="15"/>
        <v>0</v>
      </c>
      <c r="G161" s="41"/>
      <c r="H161" s="37"/>
    </row>
    <row r="162" spans="1:8" s="1" customFormat="1" ht="27.6" x14ac:dyDescent="0.25">
      <c r="A162" s="13" t="s">
        <v>143</v>
      </c>
      <c r="B162" s="6" t="s">
        <v>178</v>
      </c>
      <c r="C162" s="9" t="s">
        <v>69</v>
      </c>
      <c r="D162" s="7">
        <f>1.98*4*2</f>
        <v>15.84</v>
      </c>
      <c r="E162" s="8"/>
      <c r="F162" s="8">
        <f t="shared" si="15"/>
        <v>0</v>
      </c>
    </row>
    <row r="163" spans="1:8" s="1" customFormat="1" ht="41.4" x14ac:dyDescent="0.25">
      <c r="A163" s="13" t="s">
        <v>177</v>
      </c>
      <c r="B163" s="6" t="s">
        <v>180</v>
      </c>
      <c r="C163" s="9" t="s">
        <v>70</v>
      </c>
      <c r="D163" s="7">
        <f>0.4*0.4*0.4*2</f>
        <v>0.12800000000000003</v>
      </c>
      <c r="E163" s="8"/>
      <c r="F163" s="8">
        <f t="shared" si="15"/>
        <v>0</v>
      </c>
    </row>
    <row r="164" spans="1:8" s="1" customFormat="1" ht="69" x14ac:dyDescent="0.25">
      <c r="A164" s="13" t="s">
        <v>179</v>
      </c>
      <c r="B164" s="6" t="s">
        <v>192</v>
      </c>
      <c r="C164" s="9" t="s">
        <v>182</v>
      </c>
      <c r="D164" s="7">
        <v>2</v>
      </c>
      <c r="E164" s="8"/>
      <c r="F164" s="8">
        <f t="shared" si="15"/>
        <v>0</v>
      </c>
    </row>
    <row r="165" spans="1:8" s="1" customFormat="1" ht="13.8" x14ac:dyDescent="0.25">
      <c r="A165" s="55" t="s">
        <v>20</v>
      </c>
      <c r="B165" s="55"/>
      <c r="C165" s="55"/>
      <c r="D165" s="55"/>
      <c r="E165" s="55"/>
      <c r="F165" s="12">
        <f>SUM(F159:F164)</f>
        <v>0</v>
      </c>
    </row>
    <row r="166" spans="1:8" s="1" customFormat="1" ht="13.8" x14ac:dyDescent="0.25">
      <c r="A166" s="2">
        <v>5</v>
      </c>
      <c r="B166" s="57" t="s">
        <v>50</v>
      </c>
      <c r="C166" s="57"/>
      <c r="D166" s="57"/>
      <c r="E166" s="57"/>
      <c r="F166" s="57"/>
    </row>
    <row r="167" spans="1:8" s="1" customFormat="1" ht="69" x14ac:dyDescent="0.25">
      <c r="A167" s="13" t="s">
        <v>43</v>
      </c>
      <c r="B167" s="6" t="s">
        <v>150</v>
      </c>
      <c r="C167" s="9" t="s">
        <v>11</v>
      </c>
      <c r="D167" s="7">
        <v>2</v>
      </c>
      <c r="E167" s="8"/>
      <c r="F167" s="8">
        <f>+E167*D167</f>
        <v>0</v>
      </c>
    </row>
    <row r="168" spans="1:8" s="1" customFormat="1" ht="124.2" x14ac:dyDescent="0.25">
      <c r="A168" s="13" t="s">
        <v>44</v>
      </c>
      <c r="B168" s="6" t="s">
        <v>193</v>
      </c>
      <c r="C168" s="9" t="s">
        <v>11</v>
      </c>
      <c r="D168" s="7">
        <v>4</v>
      </c>
      <c r="E168" s="8"/>
      <c r="F168" s="8">
        <f t="shared" ref="F168:F169" si="16">+E168*D168</f>
        <v>0</v>
      </c>
    </row>
    <row r="169" spans="1:8" s="1" customFormat="1" ht="107.25" customHeight="1" x14ac:dyDescent="0.25">
      <c r="A169" s="13" t="s">
        <v>45</v>
      </c>
      <c r="B169" s="6" t="s">
        <v>185</v>
      </c>
      <c r="C169" s="9" t="s">
        <v>13</v>
      </c>
      <c r="D169" s="7">
        <f>2*(((2.05*2)+1.1)*3)+(0.6*34)</f>
        <v>51.599999999999994</v>
      </c>
      <c r="E169" s="8"/>
      <c r="F169" s="8">
        <f t="shared" si="16"/>
        <v>0</v>
      </c>
      <c r="G169" s="41"/>
    </row>
    <row r="170" spans="1:8" s="1" customFormat="1" ht="13.8" x14ac:dyDescent="0.25">
      <c r="A170" s="55" t="s">
        <v>51</v>
      </c>
      <c r="B170" s="55"/>
      <c r="C170" s="55"/>
      <c r="D170" s="55"/>
      <c r="E170" s="55"/>
      <c r="F170" s="12">
        <f>SUM(F167:F169)</f>
        <v>0</v>
      </c>
    </row>
    <row r="171" spans="1:8" s="1" customFormat="1" ht="13.8" x14ac:dyDescent="0.25">
      <c r="A171" s="2">
        <v>6</v>
      </c>
      <c r="B171" s="57" t="s">
        <v>14</v>
      </c>
      <c r="C171" s="57"/>
      <c r="D171" s="57"/>
      <c r="E171" s="57"/>
      <c r="F171" s="57"/>
    </row>
    <row r="172" spans="1:8" s="1" customFormat="1" ht="27.6" x14ac:dyDescent="0.25">
      <c r="A172" s="13" t="s">
        <v>46</v>
      </c>
      <c r="B172" s="6" t="s">
        <v>15</v>
      </c>
      <c r="C172" s="9" t="s">
        <v>69</v>
      </c>
      <c r="D172" s="7">
        <f>2*((2*1.2*2.2)+(4*1.8*1.2))</f>
        <v>27.840000000000003</v>
      </c>
      <c r="E172" s="8"/>
      <c r="F172" s="8">
        <f>+E172*D172</f>
        <v>0</v>
      </c>
    </row>
    <row r="173" spans="1:8" s="1" customFormat="1" ht="27.6" x14ac:dyDescent="0.25">
      <c r="A173" s="13" t="s">
        <v>47</v>
      </c>
      <c r="B173" s="44" t="s">
        <v>187</v>
      </c>
      <c r="C173" s="45" t="s">
        <v>69</v>
      </c>
      <c r="D173" s="46">
        <f>+(32.6*4)-((2*1.2*2.2)+(4*1.8*1.2))</f>
        <v>116.48</v>
      </c>
      <c r="E173" s="47"/>
      <c r="F173" s="8">
        <f t="shared" ref="F173:F175" si="17">+E173*D173</f>
        <v>0</v>
      </c>
      <c r="G173" s="41"/>
      <c r="H173" s="48"/>
    </row>
    <row r="174" spans="1:8" s="1" customFormat="1" ht="27.6" x14ac:dyDescent="0.25">
      <c r="A174" s="13" t="s">
        <v>48</v>
      </c>
      <c r="B174" s="44" t="s">
        <v>186</v>
      </c>
      <c r="C174" s="9" t="s">
        <v>69</v>
      </c>
      <c r="D174" s="7">
        <f>+(32.6*4)-((2*1.2*2.2)+(4*1.8*1.2))</f>
        <v>116.48</v>
      </c>
      <c r="E174" s="8"/>
      <c r="F174" s="8">
        <f t="shared" si="17"/>
        <v>0</v>
      </c>
    </row>
    <row r="175" spans="1:8" s="1" customFormat="1" ht="27.6" x14ac:dyDescent="0.25">
      <c r="A175" s="13" t="s">
        <v>49</v>
      </c>
      <c r="B175" s="6" t="s">
        <v>52</v>
      </c>
      <c r="C175" s="9" t="s">
        <v>69</v>
      </c>
      <c r="D175" s="7">
        <f>6*1.4*2</f>
        <v>16.799999999999997</v>
      </c>
      <c r="E175" s="8"/>
      <c r="F175" s="8">
        <f t="shared" si="17"/>
        <v>0</v>
      </c>
    </row>
    <row r="176" spans="1:8" s="1" customFormat="1" ht="13.8" x14ac:dyDescent="0.25">
      <c r="A176" s="55" t="s">
        <v>53</v>
      </c>
      <c r="B176" s="55"/>
      <c r="C176" s="55"/>
      <c r="D176" s="55"/>
      <c r="E176" s="55"/>
      <c r="F176" s="12">
        <f>SUM(F172:F175)</f>
        <v>0</v>
      </c>
    </row>
    <row r="177" spans="1:6" x14ac:dyDescent="0.3">
      <c r="A177" s="2">
        <v>7</v>
      </c>
      <c r="B177" s="57" t="s">
        <v>91</v>
      </c>
      <c r="C177" s="57"/>
      <c r="D177" s="57"/>
      <c r="E177" s="57"/>
      <c r="F177" s="57"/>
    </row>
    <row r="178" spans="1:6" ht="41.4" x14ac:dyDescent="0.3">
      <c r="A178" s="25" t="s">
        <v>92</v>
      </c>
      <c r="B178" s="6" t="s">
        <v>93</v>
      </c>
      <c r="C178" s="9" t="s">
        <v>11</v>
      </c>
      <c r="D178" s="9">
        <v>100</v>
      </c>
      <c r="E178" s="26"/>
      <c r="F178" s="8">
        <f>D178*E178</f>
        <v>0</v>
      </c>
    </row>
    <row r="179" spans="1:6" x14ac:dyDescent="0.3">
      <c r="A179" s="55" t="s">
        <v>94</v>
      </c>
      <c r="B179" s="55"/>
      <c r="C179" s="55"/>
      <c r="D179" s="55"/>
      <c r="E179" s="55"/>
      <c r="F179" s="12">
        <f>F178</f>
        <v>0</v>
      </c>
    </row>
    <row r="180" spans="1:6" s="1" customFormat="1" ht="13.8" x14ac:dyDescent="0.25">
      <c r="A180" s="56" t="s">
        <v>117</v>
      </c>
      <c r="B180" s="56"/>
      <c r="C180" s="56"/>
      <c r="D180" s="56"/>
      <c r="E180" s="56"/>
      <c r="F180" s="23">
        <f>SUM(F179,F176,F170,F165,F157,F142,F134)</f>
        <v>0</v>
      </c>
    </row>
    <row r="181" spans="1:6" s="1" customFormat="1" ht="13.8" x14ac:dyDescent="0.25">
      <c r="A181" s="56" t="s">
        <v>116</v>
      </c>
      <c r="B181" s="56"/>
      <c r="C181" s="56"/>
      <c r="D181" s="56"/>
      <c r="E181" s="56"/>
      <c r="F181" s="23">
        <f>+F180*0.18</f>
        <v>0</v>
      </c>
    </row>
    <row r="182" spans="1:6" s="1" customFormat="1" ht="13.8" x14ac:dyDescent="0.25">
      <c r="A182" s="56" t="s">
        <v>113</v>
      </c>
      <c r="B182" s="56"/>
      <c r="C182" s="56"/>
      <c r="D182" s="56"/>
      <c r="E182" s="56"/>
      <c r="F182" s="23">
        <f>+F180+F181</f>
        <v>0</v>
      </c>
    </row>
    <row r="186" spans="1:6" s="1" customFormat="1" ht="29.25" customHeight="1" x14ac:dyDescent="0.25">
      <c r="A186" s="58" t="s">
        <v>167</v>
      </c>
      <c r="B186" s="58"/>
      <c r="C186" s="58"/>
      <c r="D186" s="58"/>
      <c r="E186" s="58"/>
      <c r="F186" s="58"/>
    </row>
    <row r="187" spans="1:6" s="1" customFormat="1" ht="13.8" x14ac:dyDescent="0.25">
      <c r="A187" s="19"/>
      <c r="B187" s="19"/>
      <c r="C187" s="19"/>
      <c r="D187" s="19"/>
      <c r="E187" s="19"/>
      <c r="F187" s="19"/>
    </row>
    <row r="188" spans="1:6" s="1" customFormat="1" ht="46.2" customHeight="1" x14ac:dyDescent="0.25">
      <c r="A188" s="59" t="s">
        <v>168</v>
      </c>
      <c r="B188" s="59"/>
      <c r="C188" s="59"/>
      <c r="D188" s="59"/>
      <c r="E188" s="59"/>
      <c r="F188" s="59"/>
    </row>
    <row r="189" spans="1:6" s="1" customFormat="1" ht="13.8" x14ac:dyDescent="0.25">
      <c r="A189" s="2" t="s">
        <v>0</v>
      </c>
      <c r="B189" s="3" t="s">
        <v>1</v>
      </c>
      <c r="C189" s="3" t="s">
        <v>2</v>
      </c>
      <c r="D189" s="3" t="s">
        <v>16</v>
      </c>
      <c r="E189" s="4" t="s">
        <v>81</v>
      </c>
      <c r="F189" s="4" t="s">
        <v>82</v>
      </c>
    </row>
    <row r="190" spans="1:6" s="1" customFormat="1" ht="13.8" x14ac:dyDescent="0.25">
      <c r="A190" s="2">
        <v>1</v>
      </c>
      <c r="B190" s="57" t="s">
        <v>3</v>
      </c>
      <c r="C190" s="57"/>
      <c r="D190" s="57"/>
      <c r="E190" s="57"/>
      <c r="F190" s="57"/>
    </row>
    <row r="191" spans="1:6" s="1" customFormat="1" ht="13.8" x14ac:dyDescent="0.25">
      <c r="A191" s="5" t="s">
        <v>21</v>
      </c>
      <c r="B191" s="6" t="s">
        <v>64</v>
      </c>
      <c r="C191" s="9" t="s">
        <v>5</v>
      </c>
      <c r="D191" s="7">
        <v>1</v>
      </c>
      <c r="E191" s="8"/>
      <c r="F191" s="8">
        <f>+E191*D191</f>
        <v>0</v>
      </c>
    </row>
    <row r="192" spans="1:6" s="11" customFormat="1" ht="55.2" x14ac:dyDescent="0.25">
      <c r="A192" s="5" t="s">
        <v>22</v>
      </c>
      <c r="B192" s="6" t="s">
        <v>54</v>
      </c>
      <c r="C192" s="9" t="s">
        <v>4</v>
      </c>
      <c r="D192" s="9">
        <f>0.3*1*9</f>
        <v>2.6999999999999997</v>
      </c>
      <c r="E192" s="10"/>
      <c r="F192" s="8">
        <f t="shared" ref="F192:F196" si="18">+E192*D192</f>
        <v>0</v>
      </c>
    </row>
    <row r="193" spans="1:7" s="11" customFormat="1" ht="27.6" x14ac:dyDescent="0.25">
      <c r="A193" s="5" t="s">
        <v>23</v>
      </c>
      <c r="B193" s="6" t="s">
        <v>87</v>
      </c>
      <c r="C193" s="9" t="s">
        <v>5</v>
      </c>
      <c r="D193" s="9">
        <v>1</v>
      </c>
      <c r="E193" s="10"/>
      <c r="F193" s="8">
        <f t="shared" si="18"/>
        <v>0</v>
      </c>
    </row>
    <row r="194" spans="1:7" s="11" customFormat="1" ht="41.4" x14ac:dyDescent="0.25">
      <c r="A194" s="5" t="s">
        <v>24</v>
      </c>
      <c r="B194" s="6" t="s">
        <v>55</v>
      </c>
      <c r="C194" s="15" t="s">
        <v>68</v>
      </c>
      <c r="D194" s="9">
        <f>5.2*0.4*0.4*2+7.15*0.4*0.4</f>
        <v>2.8080000000000003</v>
      </c>
      <c r="E194" s="10"/>
      <c r="F194" s="8">
        <f t="shared" si="18"/>
        <v>0</v>
      </c>
    </row>
    <row r="195" spans="1:7" s="11" customFormat="1" ht="41.4" x14ac:dyDescent="0.25">
      <c r="A195" s="5" t="s">
        <v>86</v>
      </c>
      <c r="B195" s="6" t="s">
        <v>6</v>
      </c>
      <c r="C195" s="15" t="s">
        <v>68</v>
      </c>
      <c r="D195" s="9">
        <f>3.2*1*0.45*2</f>
        <v>2.8800000000000003</v>
      </c>
      <c r="E195" s="10"/>
      <c r="F195" s="8">
        <f t="shared" si="18"/>
        <v>0</v>
      </c>
    </row>
    <row r="196" spans="1:7" s="1" customFormat="1" ht="27.6" x14ac:dyDescent="0.25">
      <c r="A196" s="34" t="s">
        <v>140</v>
      </c>
      <c r="B196" s="35" t="s">
        <v>141</v>
      </c>
      <c r="C196" s="15" t="s">
        <v>148</v>
      </c>
      <c r="D196" s="15">
        <f>9*7</f>
        <v>63</v>
      </c>
      <c r="E196" s="36"/>
      <c r="F196" s="8">
        <f t="shared" si="18"/>
        <v>0</v>
      </c>
      <c r="G196" s="37"/>
    </row>
    <row r="197" spans="1:7" s="1" customFormat="1" ht="13.8" x14ac:dyDescent="0.25">
      <c r="A197" s="55" t="s">
        <v>17</v>
      </c>
      <c r="B197" s="55"/>
      <c r="C197" s="55"/>
      <c r="D197" s="55"/>
      <c r="E197" s="55"/>
      <c r="F197" s="12">
        <f>SUM(F191:F196)</f>
        <v>0</v>
      </c>
    </row>
    <row r="198" spans="1:7" s="1" customFormat="1" ht="13.8" x14ac:dyDescent="0.25">
      <c r="A198" s="2">
        <v>2</v>
      </c>
      <c r="B198" s="57" t="s">
        <v>7</v>
      </c>
      <c r="C198" s="57"/>
      <c r="D198" s="57"/>
      <c r="E198" s="57"/>
      <c r="F198" s="57"/>
    </row>
    <row r="199" spans="1:7" s="1" customFormat="1" ht="27.6" x14ac:dyDescent="0.25">
      <c r="A199" s="13" t="s">
        <v>25</v>
      </c>
      <c r="B199" s="6" t="s">
        <v>57</v>
      </c>
      <c r="C199" s="15" t="s">
        <v>68</v>
      </c>
      <c r="D199" s="9">
        <f>5.2*0.4*0.05*2+7.15*0.4*0.05</f>
        <v>0.35100000000000003</v>
      </c>
      <c r="E199" s="8"/>
      <c r="F199" s="8">
        <f t="shared" ref="F199:F204" si="19">+E199*D199</f>
        <v>0</v>
      </c>
    </row>
    <row r="200" spans="1:7" s="1" customFormat="1" ht="27.6" x14ac:dyDescent="0.25">
      <c r="A200" s="13" t="s">
        <v>26</v>
      </c>
      <c r="B200" s="6" t="s">
        <v>56</v>
      </c>
      <c r="C200" s="9" t="s">
        <v>4</v>
      </c>
      <c r="D200" s="9">
        <f>5.2*0.69*2+7.15*0.69</f>
        <v>12.109499999999999</v>
      </c>
      <c r="E200" s="8"/>
      <c r="F200" s="8">
        <f t="shared" si="19"/>
        <v>0</v>
      </c>
    </row>
    <row r="201" spans="1:7" s="1" customFormat="1" ht="27.6" x14ac:dyDescent="0.25">
      <c r="A201" s="13" t="s">
        <v>27</v>
      </c>
      <c r="B201" s="6" t="s">
        <v>60</v>
      </c>
      <c r="C201" s="9" t="s">
        <v>69</v>
      </c>
      <c r="D201" s="7">
        <f>9.4*7.4</f>
        <v>69.56</v>
      </c>
      <c r="E201" s="8"/>
      <c r="F201" s="8">
        <f t="shared" si="19"/>
        <v>0</v>
      </c>
    </row>
    <row r="202" spans="1:7" s="1" customFormat="1" ht="82.8" x14ac:dyDescent="0.25">
      <c r="A202" s="13" t="s">
        <v>28</v>
      </c>
      <c r="B202" s="6" t="s">
        <v>88</v>
      </c>
      <c r="C202" s="9" t="s">
        <v>70</v>
      </c>
      <c r="D202" s="7">
        <f>9*7*0.1</f>
        <v>6.3000000000000007</v>
      </c>
      <c r="E202" s="8"/>
      <c r="F202" s="8">
        <f t="shared" si="19"/>
        <v>0</v>
      </c>
    </row>
    <row r="203" spans="1:7" s="1" customFormat="1" ht="82.8" x14ac:dyDescent="0.25">
      <c r="A203" s="13" t="s">
        <v>29</v>
      </c>
      <c r="B203" s="6" t="s">
        <v>58</v>
      </c>
      <c r="C203" s="9" t="s">
        <v>70</v>
      </c>
      <c r="D203" s="7">
        <f>3.2*1*0.08*2</f>
        <v>0.51200000000000001</v>
      </c>
      <c r="E203" s="8"/>
      <c r="F203" s="8">
        <f t="shared" si="19"/>
        <v>0</v>
      </c>
    </row>
    <row r="204" spans="1:7" s="1" customFormat="1" ht="69" x14ac:dyDescent="0.25">
      <c r="A204" s="13" t="s">
        <v>30</v>
      </c>
      <c r="B204" s="6" t="s">
        <v>59</v>
      </c>
      <c r="C204" s="9" t="s">
        <v>70</v>
      </c>
      <c r="D204" s="14">
        <f>2*(((1.03*2)+(2.16*0.9))*0.45)/2</f>
        <v>1.8018000000000003</v>
      </c>
      <c r="E204" s="8"/>
      <c r="F204" s="8">
        <f t="shared" si="19"/>
        <v>0</v>
      </c>
    </row>
    <row r="205" spans="1:7" s="1" customFormat="1" ht="13.8" x14ac:dyDescent="0.25">
      <c r="A205" s="55" t="s">
        <v>18</v>
      </c>
      <c r="B205" s="55"/>
      <c r="C205" s="55"/>
      <c r="D205" s="55"/>
      <c r="E205" s="55"/>
      <c r="F205" s="12">
        <f>SUM(F199:F204)</f>
        <v>0</v>
      </c>
    </row>
    <row r="206" spans="1:7" s="1" customFormat="1" ht="13.8" x14ac:dyDescent="0.25">
      <c r="A206" s="2">
        <v>3</v>
      </c>
      <c r="B206" s="57" t="s">
        <v>8</v>
      </c>
      <c r="C206" s="57"/>
      <c r="D206" s="57"/>
      <c r="E206" s="57"/>
      <c r="F206" s="57"/>
    </row>
    <row r="207" spans="1:7" s="1" customFormat="1" ht="44.4" x14ac:dyDescent="0.25">
      <c r="A207" s="13" t="s">
        <v>31</v>
      </c>
      <c r="B207" s="6" t="s">
        <v>71</v>
      </c>
      <c r="C207" s="9" t="s">
        <v>70</v>
      </c>
      <c r="D207" s="7">
        <f>10*0.15*0.15*4</f>
        <v>0.89999999999999991</v>
      </c>
      <c r="E207" s="8"/>
      <c r="F207" s="8">
        <f>+E207*D207</f>
        <v>0</v>
      </c>
    </row>
    <row r="208" spans="1:7" s="1" customFormat="1" ht="44.4" x14ac:dyDescent="0.25">
      <c r="A208" s="13" t="s">
        <v>32</v>
      </c>
      <c r="B208" s="6" t="s">
        <v>72</v>
      </c>
      <c r="C208" s="9" t="s">
        <v>70</v>
      </c>
      <c r="D208" s="7">
        <f>32.6*0.15*0.2</f>
        <v>0.97799999999999998</v>
      </c>
      <c r="E208" s="8"/>
      <c r="F208" s="8">
        <f t="shared" ref="F208:F219" si="20">+E208*D208</f>
        <v>0</v>
      </c>
    </row>
    <row r="209" spans="1:8" s="1" customFormat="1" ht="44.4" x14ac:dyDescent="0.25">
      <c r="A209" s="13" t="s">
        <v>33</v>
      </c>
      <c r="B209" s="6" t="s">
        <v>73</v>
      </c>
      <c r="C209" s="9" t="s">
        <v>70</v>
      </c>
      <c r="D209" s="7">
        <f>23.45*0.15*0.2</f>
        <v>0.70350000000000001</v>
      </c>
      <c r="E209" s="8"/>
      <c r="F209" s="8">
        <f t="shared" si="20"/>
        <v>0</v>
      </c>
    </row>
    <row r="210" spans="1:8" s="1" customFormat="1" ht="30.6" x14ac:dyDescent="0.25">
      <c r="A210" s="13" t="s">
        <v>34</v>
      </c>
      <c r="B210" s="6" t="s">
        <v>74</v>
      </c>
      <c r="C210" s="9" t="s">
        <v>70</v>
      </c>
      <c r="D210" s="7">
        <f>23.45*0.15*0.2</f>
        <v>0.70350000000000001</v>
      </c>
      <c r="E210" s="8"/>
      <c r="F210" s="8">
        <f t="shared" si="20"/>
        <v>0</v>
      </c>
    </row>
    <row r="211" spans="1:8" s="1" customFormat="1" ht="27.6" x14ac:dyDescent="0.25">
      <c r="A211" s="13" t="s">
        <v>35</v>
      </c>
      <c r="B211" s="6" t="s">
        <v>65</v>
      </c>
      <c r="C211" s="9" t="s">
        <v>69</v>
      </c>
      <c r="D211" s="7">
        <f>+((32.6*2.9)-((4*1.8*1.2)+(2*1.2*1.1)))+(7.15*1)</f>
        <v>90.410000000000011</v>
      </c>
      <c r="E211" s="8"/>
      <c r="F211" s="8">
        <f t="shared" si="20"/>
        <v>0</v>
      </c>
    </row>
    <row r="212" spans="1:8" s="1" customFormat="1" ht="27.6" x14ac:dyDescent="0.25">
      <c r="A212" s="13" t="s">
        <v>36</v>
      </c>
      <c r="B212" s="6" t="s">
        <v>90</v>
      </c>
      <c r="C212" s="9" t="s">
        <v>13</v>
      </c>
      <c r="D212" s="7">
        <v>7.3</v>
      </c>
      <c r="E212" s="8"/>
      <c r="F212" s="8">
        <f t="shared" si="20"/>
        <v>0</v>
      </c>
    </row>
    <row r="213" spans="1:8" s="1" customFormat="1" ht="41.4" x14ac:dyDescent="0.25">
      <c r="A213" s="13" t="s">
        <v>37</v>
      </c>
      <c r="B213" s="6" t="s">
        <v>62</v>
      </c>
      <c r="C213" s="9" t="s">
        <v>69</v>
      </c>
      <c r="D213" s="7">
        <f>+D211</f>
        <v>90.410000000000011</v>
      </c>
      <c r="E213" s="8"/>
      <c r="F213" s="8">
        <f t="shared" si="20"/>
        <v>0</v>
      </c>
    </row>
    <row r="214" spans="1:8" s="1" customFormat="1" ht="27.6" x14ac:dyDescent="0.25">
      <c r="A214" s="13" t="s">
        <v>38</v>
      </c>
      <c r="B214" s="6" t="s">
        <v>61</v>
      </c>
      <c r="C214" s="9" t="s">
        <v>69</v>
      </c>
      <c r="D214" s="7">
        <f>+D211</f>
        <v>90.410000000000011</v>
      </c>
      <c r="E214" s="8"/>
      <c r="F214" s="8">
        <f t="shared" si="20"/>
        <v>0</v>
      </c>
    </row>
    <row r="215" spans="1:8" s="1" customFormat="1" ht="41.4" x14ac:dyDescent="0.25">
      <c r="A215" s="13" t="s">
        <v>39</v>
      </c>
      <c r="B215" s="6" t="s">
        <v>66</v>
      </c>
      <c r="C215" s="9" t="s">
        <v>69</v>
      </c>
      <c r="D215" s="7">
        <f>+((32.6*1.6)-((2*1.6*1.2)+(1.8*0.6*4)))</f>
        <v>44</v>
      </c>
      <c r="E215" s="8"/>
      <c r="F215" s="8">
        <f t="shared" si="20"/>
        <v>0</v>
      </c>
    </row>
    <row r="216" spans="1:8" s="1" customFormat="1" ht="41.4" x14ac:dyDescent="0.25">
      <c r="A216" s="13" t="s">
        <v>40</v>
      </c>
      <c r="B216" s="6" t="s">
        <v>63</v>
      </c>
      <c r="C216" s="9" t="s">
        <v>69</v>
      </c>
      <c r="D216" s="7">
        <f>6*1.4*2</f>
        <v>16.799999999999997</v>
      </c>
      <c r="E216" s="8"/>
      <c r="F216" s="8">
        <f t="shared" si="20"/>
        <v>0</v>
      </c>
    </row>
    <row r="217" spans="1:8" s="1" customFormat="1" ht="27.6" x14ac:dyDescent="0.25">
      <c r="A217" s="13" t="s">
        <v>41</v>
      </c>
      <c r="B217" s="6" t="s">
        <v>173</v>
      </c>
      <c r="C217" s="9" t="s">
        <v>69</v>
      </c>
      <c r="D217" s="7">
        <f>+(32.6-1.2)*1</f>
        <v>31.400000000000002</v>
      </c>
      <c r="E217" s="8"/>
      <c r="F217" s="8">
        <f t="shared" si="20"/>
        <v>0</v>
      </c>
    </row>
    <row r="218" spans="1:8" s="1" customFormat="1" ht="55.2" x14ac:dyDescent="0.25">
      <c r="A218" s="13" t="s">
        <v>89</v>
      </c>
      <c r="B218" s="6" t="s">
        <v>189</v>
      </c>
      <c r="C218" s="9" t="s">
        <v>69</v>
      </c>
      <c r="D218" s="7">
        <f>+D213+D217</f>
        <v>121.81000000000002</v>
      </c>
      <c r="E218" s="8"/>
      <c r="F218" s="8">
        <f t="shared" si="20"/>
        <v>0</v>
      </c>
    </row>
    <row r="219" spans="1:8" s="1" customFormat="1" ht="13.8" x14ac:dyDescent="0.25">
      <c r="A219" s="13" t="s">
        <v>191</v>
      </c>
      <c r="B219" s="6" t="s">
        <v>10</v>
      </c>
      <c r="C219" s="9" t="s">
        <v>11</v>
      </c>
      <c r="D219" s="7">
        <v>12</v>
      </c>
      <c r="E219" s="8"/>
      <c r="F219" s="8">
        <f t="shared" si="20"/>
        <v>0</v>
      </c>
    </row>
    <row r="220" spans="1:8" s="1" customFormat="1" ht="13.8" x14ac:dyDescent="0.25">
      <c r="A220" s="55" t="s">
        <v>19</v>
      </c>
      <c r="B220" s="55"/>
      <c r="C220" s="55"/>
      <c r="D220" s="55"/>
      <c r="E220" s="55"/>
      <c r="F220" s="12">
        <f>SUM(F207:F219)</f>
        <v>0</v>
      </c>
    </row>
    <row r="221" spans="1:8" s="1" customFormat="1" ht="13.8" x14ac:dyDescent="0.25">
      <c r="A221" s="2">
        <v>4</v>
      </c>
      <c r="B221" s="57" t="s">
        <v>12</v>
      </c>
      <c r="C221" s="57"/>
      <c r="D221" s="57"/>
      <c r="E221" s="57"/>
      <c r="F221" s="57"/>
    </row>
    <row r="222" spans="1:8" s="1" customFormat="1" ht="69" x14ac:dyDescent="0.25">
      <c r="A222" s="13" t="s">
        <v>42</v>
      </c>
      <c r="B222" s="6" t="s">
        <v>174</v>
      </c>
      <c r="C222" s="9" t="s">
        <v>13</v>
      </c>
      <c r="D222" s="9">
        <v>9.6999999999999993</v>
      </c>
      <c r="E222" s="8"/>
      <c r="F222" s="8">
        <f t="shared" ref="F222:F227" si="21">+E222*D222</f>
        <v>0</v>
      </c>
    </row>
    <row r="223" spans="1:8" s="1" customFormat="1" ht="82.8" x14ac:dyDescent="0.25">
      <c r="A223" s="13" t="s">
        <v>84</v>
      </c>
      <c r="B223" s="6" t="s">
        <v>175</v>
      </c>
      <c r="C223" s="9" t="s">
        <v>13</v>
      </c>
      <c r="D223" s="9">
        <f>4*1</f>
        <v>4</v>
      </c>
      <c r="E223" s="8"/>
      <c r="F223" s="8">
        <f t="shared" si="21"/>
        <v>0</v>
      </c>
    </row>
    <row r="224" spans="1:8" s="1" customFormat="1" ht="48.75" customHeight="1" x14ac:dyDescent="0.25">
      <c r="A224" s="13" t="s">
        <v>85</v>
      </c>
      <c r="B224" s="6" t="s">
        <v>176</v>
      </c>
      <c r="C224" s="9" t="s">
        <v>13</v>
      </c>
      <c r="D224" s="7">
        <f>7.15*2+9.15</f>
        <v>23.450000000000003</v>
      </c>
      <c r="E224" s="8"/>
      <c r="F224" s="8">
        <f t="shared" si="21"/>
        <v>0</v>
      </c>
      <c r="G224" s="41"/>
      <c r="H224" s="37"/>
    </row>
    <row r="225" spans="1:8" s="1" customFormat="1" ht="27.6" x14ac:dyDescent="0.25">
      <c r="A225" s="13" t="s">
        <v>143</v>
      </c>
      <c r="B225" s="6" t="s">
        <v>178</v>
      </c>
      <c r="C225" s="9" t="s">
        <v>69</v>
      </c>
      <c r="D225" s="7">
        <f>1.98*4*2</f>
        <v>15.84</v>
      </c>
      <c r="E225" s="8"/>
      <c r="F225" s="8">
        <f t="shared" si="21"/>
        <v>0</v>
      </c>
    </row>
    <row r="226" spans="1:8" s="1" customFormat="1" ht="41.4" x14ac:dyDescent="0.25">
      <c r="A226" s="13" t="s">
        <v>177</v>
      </c>
      <c r="B226" s="6" t="s">
        <v>180</v>
      </c>
      <c r="C226" s="9" t="s">
        <v>70</v>
      </c>
      <c r="D226" s="7">
        <f>0.4*0.4*0.4*2</f>
        <v>0.12800000000000003</v>
      </c>
      <c r="E226" s="8"/>
      <c r="F226" s="8">
        <f t="shared" si="21"/>
        <v>0</v>
      </c>
    </row>
    <row r="227" spans="1:8" s="1" customFormat="1" ht="69" x14ac:dyDescent="0.25">
      <c r="A227" s="13" t="s">
        <v>179</v>
      </c>
      <c r="B227" s="6" t="s">
        <v>192</v>
      </c>
      <c r="C227" s="9" t="s">
        <v>182</v>
      </c>
      <c r="D227" s="7">
        <v>2</v>
      </c>
      <c r="E227" s="8"/>
      <c r="F227" s="8">
        <f t="shared" si="21"/>
        <v>0</v>
      </c>
    </row>
    <row r="228" spans="1:8" s="1" customFormat="1" ht="13.8" x14ac:dyDescent="0.25">
      <c r="A228" s="55" t="s">
        <v>20</v>
      </c>
      <c r="B228" s="55"/>
      <c r="C228" s="55"/>
      <c r="D228" s="55"/>
      <c r="E228" s="55"/>
      <c r="F228" s="12">
        <f>SUM(F222:F227)</f>
        <v>0</v>
      </c>
    </row>
    <row r="229" spans="1:8" s="1" customFormat="1" ht="13.8" x14ac:dyDescent="0.25">
      <c r="A229" s="2">
        <v>5</v>
      </c>
      <c r="B229" s="57" t="s">
        <v>50</v>
      </c>
      <c r="C229" s="57"/>
      <c r="D229" s="57"/>
      <c r="E229" s="57"/>
      <c r="F229" s="57"/>
    </row>
    <row r="230" spans="1:8" s="1" customFormat="1" ht="69" x14ac:dyDescent="0.25">
      <c r="A230" s="13" t="s">
        <v>43</v>
      </c>
      <c r="B230" s="6" t="s">
        <v>150</v>
      </c>
      <c r="C230" s="9" t="s">
        <v>11</v>
      </c>
      <c r="D230" s="7">
        <v>2</v>
      </c>
      <c r="E230" s="8"/>
      <c r="F230" s="8">
        <f>+E230*D230</f>
        <v>0</v>
      </c>
    </row>
    <row r="231" spans="1:8" s="1" customFormat="1" ht="124.2" x14ac:dyDescent="0.25">
      <c r="A231" s="13" t="s">
        <v>44</v>
      </c>
      <c r="B231" s="6" t="s">
        <v>193</v>
      </c>
      <c r="C231" s="9" t="s">
        <v>11</v>
      </c>
      <c r="D231" s="7">
        <v>4</v>
      </c>
      <c r="E231" s="8"/>
      <c r="F231" s="8">
        <f t="shared" ref="F231:F232" si="22">+E231*D231</f>
        <v>0</v>
      </c>
    </row>
    <row r="232" spans="1:8" s="1" customFormat="1" ht="107.25" customHeight="1" x14ac:dyDescent="0.25">
      <c r="A232" s="13" t="s">
        <v>45</v>
      </c>
      <c r="B232" s="6" t="s">
        <v>185</v>
      </c>
      <c r="C232" s="9" t="s">
        <v>13</v>
      </c>
      <c r="D232" s="7">
        <f>2*(((2.05*2)+1.1)*3)+(0.6*34)</f>
        <v>51.599999999999994</v>
      </c>
      <c r="E232" s="8"/>
      <c r="F232" s="8">
        <f t="shared" si="22"/>
        <v>0</v>
      </c>
      <c r="G232" s="41"/>
    </row>
    <row r="233" spans="1:8" s="1" customFormat="1" ht="13.8" x14ac:dyDescent="0.25">
      <c r="A233" s="55" t="s">
        <v>51</v>
      </c>
      <c r="B233" s="55"/>
      <c r="C233" s="55"/>
      <c r="D233" s="55"/>
      <c r="E233" s="55"/>
      <c r="F233" s="12">
        <f>SUM(F230:F232)</f>
        <v>0</v>
      </c>
    </row>
    <row r="234" spans="1:8" s="1" customFormat="1" ht="13.8" x14ac:dyDescent="0.25">
      <c r="A234" s="2">
        <v>6</v>
      </c>
      <c r="B234" s="57" t="s">
        <v>14</v>
      </c>
      <c r="C234" s="57"/>
      <c r="D234" s="57"/>
      <c r="E234" s="57"/>
      <c r="F234" s="57"/>
    </row>
    <row r="235" spans="1:8" s="1" customFormat="1" ht="27.6" x14ac:dyDescent="0.25">
      <c r="A235" s="13" t="s">
        <v>46</v>
      </c>
      <c r="B235" s="6" t="s">
        <v>15</v>
      </c>
      <c r="C235" s="9" t="s">
        <v>69</v>
      </c>
      <c r="D235" s="7">
        <f>2*((2*1.2*2.2)+(4*1.8*1.2))</f>
        <v>27.840000000000003</v>
      </c>
      <c r="E235" s="8"/>
      <c r="F235" s="8">
        <f>+E235*D235</f>
        <v>0</v>
      </c>
    </row>
    <row r="236" spans="1:8" s="1" customFormat="1" ht="27.6" x14ac:dyDescent="0.25">
      <c r="A236" s="13" t="s">
        <v>47</v>
      </c>
      <c r="B236" s="44" t="s">
        <v>187</v>
      </c>
      <c r="C236" s="45" t="s">
        <v>69</v>
      </c>
      <c r="D236" s="46">
        <f>+(32.6*4)-((2*1.2*2.2)+(4*1.8*1.2))</f>
        <v>116.48</v>
      </c>
      <c r="E236" s="47"/>
      <c r="F236" s="8">
        <f t="shared" ref="F236:F238" si="23">+E236*D236</f>
        <v>0</v>
      </c>
      <c r="G236" s="41"/>
      <c r="H236" s="48"/>
    </row>
    <row r="237" spans="1:8" s="1" customFormat="1" ht="27.6" x14ac:dyDescent="0.25">
      <c r="A237" s="13" t="s">
        <v>48</v>
      </c>
      <c r="B237" s="44" t="s">
        <v>186</v>
      </c>
      <c r="C237" s="9" t="s">
        <v>69</v>
      </c>
      <c r="D237" s="7">
        <f>+(32.6*4)-((2*1.2*2.2)+(4*1.8*1.2))</f>
        <v>116.48</v>
      </c>
      <c r="E237" s="8"/>
      <c r="F237" s="8">
        <f t="shared" si="23"/>
        <v>0</v>
      </c>
    </row>
    <row r="238" spans="1:8" s="1" customFormat="1" ht="27.6" x14ac:dyDescent="0.25">
      <c r="A238" s="13" t="s">
        <v>49</v>
      </c>
      <c r="B238" s="6" t="s">
        <v>52</v>
      </c>
      <c r="C238" s="9" t="s">
        <v>69</v>
      </c>
      <c r="D238" s="7">
        <f>6*1.4*2</f>
        <v>16.799999999999997</v>
      </c>
      <c r="E238" s="8"/>
      <c r="F238" s="8">
        <f t="shared" si="23"/>
        <v>0</v>
      </c>
    </row>
    <row r="239" spans="1:8" s="1" customFormat="1" ht="13.8" x14ac:dyDescent="0.25">
      <c r="A239" s="55" t="s">
        <v>53</v>
      </c>
      <c r="B239" s="55"/>
      <c r="C239" s="55"/>
      <c r="D239" s="55"/>
      <c r="E239" s="55"/>
      <c r="F239" s="12">
        <f>SUM(F235:F238)</f>
        <v>0</v>
      </c>
    </row>
    <row r="240" spans="1:8" x14ac:dyDescent="0.3">
      <c r="A240" s="2">
        <v>7</v>
      </c>
      <c r="B240" s="57" t="s">
        <v>91</v>
      </c>
      <c r="C240" s="57"/>
      <c r="D240" s="57"/>
      <c r="E240" s="57"/>
      <c r="F240" s="57"/>
    </row>
    <row r="241" spans="1:6" ht="41.4" x14ac:dyDescent="0.3">
      <c r="A241" s="25" t="s">
        <v>92</v>
      </c>
      <c r="B241" s="6" t="s">
        <v>93</v>
      </c>
      <c r="C241" s="9" t="s">
        <v>11</v>
      </c>
      <c r="D241" s="9">
        <v>100</v>
      </c>
      <c r="E241" s="26"/>
      <c r="F241" s="8">
        <f>D241*E241</f>
        <v>0</v>
      </c>
    </row>
    <row r="242" spans="1:6" x14ac:dyDescent="0.3">
      <c r="A242" s="55" t="s">
        <v>94</v>
      </c>
      <c r="B242" s="55"/>
      <c r="C242" s="55"/>
      <c r="D242" s="55"/>
      <c r="E242" s="55"/>
      <c r="F242" s="12">
        <f>F241</f>
        <v>0</v>
      </c>
    </row>
    <row r="243" spans="1:6" s="1" customFormat="1" ht="13.8" x14ac:dyDescent="0.25">
      <c r="A243" s="56" t="s">
        <v>112</v>
      </c>
      <c r="B243" s="56"/>
      <c r="C243" s="56"/>
      <c r="D243" s="56"/>
      <c r="E243" s="56"/>
      <c r="F243" s="23">
        <f>SUM(F242,F239,F233,F228,F220,F205,F197)</f>
        <v>0</v>
      </c>
    </row>
    <row r="244" spans="1:6" s="1" customFormat="1" ht="13.8" x14ac:dyDescent="0.25">
      <c r="A244" s="56" t="s">
        <v>114</v>
      </c>
      <c r="B244" s="56"/>
      <c r="C244" s="56"/>
      <c r="D244" s="56"/>
      <c r="E244" s="56"/>
      <c r="F244" s="23">
        <f>+F243*0.18</f>
        <v>0</v>
      </c>
    </row>
    <row r="245" spans="1:6" s="1" customFormat="1" ht="13.8" x14ac:dyDescent="0.25">
      <c r="A245" s="56" t="s">
        <v>115</v>
      </c>
      <c r="B245" s="56"/>
      <c r="C245" s="56"/>
      <c r="D245" s="56"/>
      <c r="E245" s="56"/>
      <c r="F245" s="23">
        <f>+F243+F244</f>
        <v>0</v>
      </c>
    </row>
    <row r="249" spans="1:6" ht="43.2" customHeight="1" x14ac:dyDescent="0.3">
      <c r="A249" s="60" t="s">
        <v>125</v>
      </c>
      <c r="B249" s="60"/>
      <c r="C249" s="60"/>
      <c r="D249" s="60"/>
      <c r="E249" s="60"/>
      <c r="F249" s="60"/>
    </row>
    <row r="250" spans="1:6" ht="43.2" customHeight="1" x14ac:dyDescent="0.3">
      <c r="A250" s="61" t="s">
        <v>78</v>
      </c>
      <c r="B250" s="62" t="s">
        <v>98</v>
      </c>
      <c r="C250" s="62"/>
      <c r="D250" s="62"/>
      <c r="E250" s="17" t="s">
        <v>105</v>
      </c>
      <c r="F250" s="24">
        <f>F56</f>
        <v>0</v>
      </c>
    </row>
    <row r="251" spans="1:6" ht="43.2" customHeight="1" x14ac:dyDescent="0.3">
      <c r="A251" s="61"/>
      <c r="B251" s="62"/>
      <c r="C251" s="62"/>
      <c r="D251" s="62"/>
      <c r="E251" s="18" t="s">
        <v>79</v>
      </c>
      <c r="F251" s="24">
        <f>F58</f>
        <v>0</v>
      </c>
    </row>
    <row r="252" spans="1:6" ht="43.2" customHeight="1" x14ac:dyDescent="0.3">
      <c r="A252" s="61" t="s">
        <v>97</v>
      </c>
      <c r="B252" s="62" t="s">
        <v>100</v>
      </c>
      <c r="C252" s="62"/>
      <c r="D252" s="62"/>
      <c r="E252" s="17" t="s">
        <v>106</v>
      </c>
      <c r="F252" s="24">
        <f>F117</f>
        <v>0</v>
      </c>
    </row>
    <row r="253" spans="1:6" ht="43.2" customHeight="1" x14ac:dyDescent="0.3">
      <c r="A253" s="61"/>
      <c r="B253" s="62"/>
      <c r="C253" s="62"/>
      <c r="D253" s="62"/>
      <c r="E253" s="18" t="s">
        <v>107</v>
      </c>
      <c r="F253" s="24">
        <f>F119</f>
        <v>0</v>
      </c>
    </row>
    <row r="254" spans="1:6" ht="43.2" customHeight="1" x14ac:dyDescent="0.3">
      <c r="A254" s="61" t="s">
        <v>99</v>
      </c>
      <c r="B254" s="62" t="s">
        <v>101</v>
      </c>
      <c r="C254" s="62"/>
      <c r="D254" s="62"/>
      <c r="E254" s="17" t="s">
        <v>108</v>
      </c>
      <c r="F254" s="24">
        <f>F180</f>
        <v>0</v>
      </c>
    </row>
    <row r="255" spans="1:6" ht="43.2" customHeight="1" x14ac:dyDescent="0.3">
      <c r="A255" s="61"/>
      <c r="B255" s="62"/>
      <c r="C255" s="62"/>
      <c r="D255" s="62"/>
      <c r="E255" s="18" t="s">
        <v>109</v>
      </c>
      <c r="F255" s="24">
        <f>F182</f>
        <v>0</v>
      </c>
    </row>
    <row r="256" spans="1:6" ht="43.2" customHeight="1" x14ac:dyDescent="0.3">
      <c r="A256" s="61" t="s">
        <v>102</v>
      </c>
      <c r="B256" s="62" t="s">
        <v>103</v>
      </c>
      <c r="C256" s="62"/>
      <c r="D256" s="62"/>
      <c r="E256" s="17" t="s">
        <v>110</v>
      </c>
      <c r="F256" s="24">
        <f>F243</f>
        <v>0</v>
      </c>
    </row>
    <row r="257" spans="1:7" ht="43.2" customHeight="1" x14ac:dyDescent="0.3">
      <c r="A257" s="61"/>
      <c r="B257" s="62"/>
      <c r="C257" s="62"/>
      <c r="D257" s="62"/>
      <c r="E257" s="18" t="s">
        <v>111</v>
      </c>
      <c r="F257" s="24">
        <f>F245</f>
        <v>0</v>
      </c>
    </row>
    <row r="258" spans="1:7" ht="43.2" customHeight="1" x14ac:dyDescent="0.35">
      <c r="A258" s="63" t="s">
        <v>120</v>
      </c>
      <c r="B258" s="64"/>
      <c r="C258" s="64"/>
      <c r="D258" s="64"/>
      <c r="E258" s="65"/>
      <c r="F258" s="30">
        <f>SUM(F250,F252,F254,F256)</f>
        <v>0</v>
      </c>
      <c r="G258" s="31">
        <f>F258/655.957</f>
        <v>0</v>
      </c>
    </row>
    <row r="259" spans="1:7" ht="43.2" customHeight="1" x14ac:dyDescent="0.35">
      <c r="A259" s="66" t="s">
        <v>104</v>
      </c>
      <c r="B259" s="67"/>
      <c r="C259" s="67"/>
      <c r="D259" s="67"/>
      <c r="E259" s="68"/>
      <c r="F259" s="30">
        <f>SUM(F244,F181,F118,F57)</f>
        <v>0</v>
      </c>
      <c r="G259" s="31">
        <f t="shared" ref="G259:G260" si="24">F259/655.957</f>
        <v>0</v>
      </c>
    </row>
    <row r="260" spans="1:7" ht="43.2" customHeight="1" x14ac:dyDescent="0.35">
      <c r="A260" s="63" t="s">
        <v>121</v>
      </c>
      <c r="B260" s="64"/>
      <c r="C260" s="64"/>
      <c r="D260" s="64"/>
      <c r="E260" s="65"/>
      <c r="F260" s="30">
        <f>SUM(F251,F253,F255,F257)</f>
        <v>0</v>
      </c>
      <c r="G260" s="31">
        <f t="shared" si="24"/>
        <v>0</v>
      </c>
    </row>
  </sheetData>
  <mergeCells count="88">
    <mergeCell ref="A20:E20"/>
    <mergeCell ref="A1:F1"/>
    <mergeCell ref="A3:F3"/>
    <mergeCell ref="B5:F5"/>
    <mergeCell ref="A12:E12"/>
    <mergeCell ref="B13:F13"/>
    <mergeCell ref="A57:E57"/>
    <mergeCell ref="B21:F21"/>
    <mergeCell ref="A32:E32"/>
    <mergeCell ref="B33:F33"/>
    <mergeCell ref="A41:E41"/>
    <mergeCell ref="B42:F42"/>
    <mergeCell ref="A46:E46"/>
    <mergeCell ref="B47:F47"/>
    <mergeCell ref="A52:E52"/>
    <mergeCell ref="B53:F53"/>
    <mergeCell ref="A55:E55"/>
    <mergeCell ref="A56:E56"/>
    <mergeCell ref="B103:F103"/>
    <mergeCell ref="A58:E58"/>
    <mergeCell ref="A62:F62"/>
    <mergeCell ref="A64:F64"/>
    <mergeCell ref="B66:F66"/>
    <mergeCell ref="A73:E73"/>
    <mergeCell ref="B74:F74"/>
    <mergeCell ref="A81:E81"/>
    <mergeCell ref="B82:F82"/>
    <mergeCell ref="A93:E93"/>
    <mergeCell ref="B94:F94"/>
    <mergeCell ref="A102:E102"/>
    <mergeCell ref="A134:E134"/>
    <mergeCell ref="A107:E107"/>
    <mergeCell ref="B108:F108"/>
    <mergeCell ref="A113:E113"/>
    <mergeCell ref="B114:F114"/>
    <mergeCell ref="A116:E116"/>
    <mergeCell ref="A117:E117"/>
    <mergeCell ref="A118:E118"/>
    <mergeCell ref="A119:E119"/>
    <mergeCell ref="A123:F123"/>
    <mergeCell ref="A125:F125"/>
    <mergeCell ref="B127:F127"/>
    <mergeCell ref="A179:E179"/>
    <mergeCell ref="B135:F135"/>
    <mergeCell ref="A142:E142"/>
    <mergeCell ref="B143:F143"/>
    <mergeCell ref="A157:E157"/>
    <mergeCell ref="B158:F158"/>
    <mergeCell ref="A165:E165"/>
    <mergeCell ref="B166:F166"/>
    <mergeCell ref="A170:E170"/>
    <mergeCell ref="B171:F171"/>
    <mergeCell ref="A176:E176"/>
    <mergeCell ref="B177:F177"/>
    <mergeCell ref="B221:F221"/>
    <mergeCell ref="A180:E180"/>
    <mergeCell ref="A181:E181"/>
    <mergeCell ref="A182:E182"/>
    <mergeCell ref="A186:F186"/>
    <mergeCell ref="A188:F188"/>
    <mergeCell ref="B190:F190"/>
    <mergeCell ref="A197:E197"/>
    <mergeCell ref="B198:F198"/>
    <mergeCell ref="A205:E205"/>
    <mergeCell ref="B206:F206"/>
    <mergeCell ref="A220:E220"/>
    <mergeCell ref="A250:A251"/>
    <mergeCell ref="B250:D251"/>
    <mergeCell ref="A228:E228"/>
    <mergeCell ref="B229:F229"/>
    <mergeCell ref="A233:E233"/>
    <mergeCell ref="B234:F234"/>
    <mergeCell ref="A239:E239"/>
    <mergeCell ref="B240:F240"/>
    <mergeCell ref="A242:E242"/>
    <mergeCell ref="A243:E243"/>
    <mergeCell ref="A244:E244"/>
    <mergeCell ref="A245:E245"/>
    <mergeCell ref="A249:F249"/>
    <mergeCell ref="A258:E258"/>
    <mergeCell ref="A259:E259"/>
    <mergeCell ref="A260:E260"/>
    <mergeCell ref="A252:A253"/>
    <mergeCell ref="B252:D253"/>
    <mergeCell ref="A254:A255"/>
    <mergeCell ref="B254:D255"/>
    <mergeCell ref="A256:A257"/>
    <mergeCell ref="B256:D25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BFAENABEL-680963957-103590</_dlc_DocId>
    <_dlc_DocIdUrl xmlns="508ba6eb-9e09-4fd5-92f2-2d9921329f2d">
      <Url>https://enabelbe.sharepoint.com/sites/BFA/_layouts/15/DocIdRedir.aspx?ID=BFAENABEL-680963957-103590</Url>
      <Description>BFAENABEL-680963957-103590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9" ma:contentTypeDescription="" ma:contentTypeScope="" ma:versionID="bcde7017b7b24c3247472259dd991f21">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a101e87958f6169a5c01674111c47226"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C94215-4994-44BE-845D-269B67D3E01D}">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customXml/itemProps2.xml><?xml version="1.0" encoding="utf-8"?>
<ds:datastoreItem xmlns:ds="http://schemas.openxmlformats.org/officeDocument/2006/customXml" ds:itemID="{33078EB7-D85B-4ADB-9AF8-1518E5D60C0E}">
  <ds:schemaRefs>
    <ds:schemaRef ds:uri="http://schemas.microsoft.com/sharepoint/v3/contenttype/forms"/>
  </ds:schemaRefs>
</ds:datastoreItem>
</file>

<file path=customXml/itemProps3.xml><?xml version="1.0" encoding="utf-8"?>
<ds:datastoreItem xmlns:ds="http://schemas.openxmlformats.org/officeDocument/2006/customXml" ds:itemID="{CBDE5561-F723-447B-B737-E08404D1E7F9}">
  <ds:schemaRefs>
    <ds:schemaRef ds:uri="http://schemas.microsoft.com/sharepoint/events"/>
  </ds:schemaRefs>
</ds:datastoreItem>
</file>

<file path=customXml/itemProps4.xml><?xml version="1.0" encoding="utf-8"?>
<ds:datastoreItem xmlns:ds="http://schemas.openxmlformats.org/officeDocument/2006/customXml" ds:itemID="{B156A829-BFD9-46E7-98A2-55FB0226650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LOT 1 - Tranche Ferme </vt:lpstr>
      <vt:lpstr>LOT 2 - Tranche Ferme </vt:lpstr>
      <vt:lpstr>LOT 1 - Tranche Cond </vt:lpstr>
      <vt:lpstr>LOT 2 -Tranche cond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DARGANI, Eleonore</cp:lastModifiedBy>
  <cp:lastPrinted>2025-05-04T17:05:59Z</cp:lastPrinted>
  <dcterms:created xsi:type="dcterms:W3CDTF">2024-12-16T16:20:17Z</dcterms:created>
  <dcterms:modified xsi:type="dcterms:W3CDTF">2025-06-27T17:55:21Z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0502ffea-848c-43b7-a45e-69beb5fa0b0c</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