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-my.sharepoint.com/personal/yannick_mbiya_enabel_be/Documents/Documents/NER/MP/GRANDE MURAILLE VERTE/NER21003-10081 Travaux CFM/"/>
    </mc:Choice>
  </mc:AlternateContent>
  <xr:revisionPtr revIDLastSave="0" documentId="13_ncr:1_{86332E6C-B3D1-4E21-91D0-989688C64B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AP" sheetId="14" r:id="rId1"/>
    <sheet name="Généralités" sheetId="26" r:id="rId2"/>
    <sheet name="Poulailler" sheetId="15" r:id="rId3"/>
    <sheet name="BERGERIE" sheetId="22" r:id="rId4"/>
    <sheet name="Etang" sheetId="23" r:id="rId5"/>
    <sheet name="Salle de Transform" sheetId="24" r:id="rId6"/>
    <sheet name="Magasin" sheetId="25" r:id="rId7"/>
    <sheet name="latrines à 4 cabines" sheetId="20" r:id="rId8"/>
    <sheet name="Cloture Grillagée" sheetId="21" r:id="rId9"/>
  </sheets>
  <definedNames>
    <definedName name="_xlnm.Print_Area" localSheetId="3">BERGERIE!$A$1:$H$57</definedName>
    <definedName name="_xlnm.Print_Area" localSheetId="4">Etang!$A$1:$H$44</definedName>
    <definedName name="_xlnm.Print_Area" localSheetId="1">Généralités!$A$1:$H$10</definedName>
    <definedName name="_xlnm.Print_Area" localSheetId="7">'latrines à 4 cabines'!$A$1:$H$56</definedName>
    <definedName name="_xlnm.Print_Area" localSheetId="6">Magasin!$A$1:$H$56</definedName>
    <definedName name="_xlnm.Print_Area" localSheetId="2">Poulailler!$A$1:$H$53</definedName>
    <definedName name="_xlnm.Print_Area" localSheetId="0">RECAP!$A$1:$G$35</definedName>
    <definedName name="_xlnm.Print_Area" localSheetId="5">'Salle de Transform'!$A$1:$H$59</definedName>
  </definedNames>
  <calcPr calcId="191029"/>
</workbook>
</file>

<file path=xl/calcChain.xml><?xml version="1.0" encoding="utf-8"?>
<calcChain xmlns="http://schemas.openxmlformats.org/spreadsheetml/2006/main">
  <c r="D9" i="14" l="1"/>
  <c r="F9" i="14" s="1"/>
  <c r="D23" i="14"/>
  <c r="F23" i="14"/>
  <c r="E9" i="14" l="1"/>
  <c r="E23" i="14"/>
  <c r="G23" i="14" l="1"/>
  <c r="G9" i="14"/>
  <c r="C26" i="14"/>
  <c r="C25" i="14"/>
  <c r="C24" i="14"/>
  <c r="C11" i="14"/>
  <c r="C12" i="14"/>
  <c r="C10" i="14"/>
  <c r="G6" i="26"/>
  <c r="F6" i="26"/>
  <c r="H6" i="26" s="1"/>
  <c r="H7" i="26" s="1"/>
  <c r="F7" i="26" l="1"/>
  <c r="G53" i="22"/>
  <c r="F53" i="22"/>
  <c r="F54" i="22" s="1"/>
  <c r="G52" i="25"/>
  <c r="G51" i="25"/>
  <c r="D51" i="25"/>
  <c r="F51" i="25" s="1"/>
  <c r="H51" i="25" s="1"/>
  <c r="G50" i="25"/>
  <c r="D50" i="25"/>
  <c r="F50" i="25" s="1"/>
  <c r="J47" i="25"/>
  <c r="G47" i="25"/>
  <c r="F47" i="25"/>
  <c r="H47" i="25" s="1"/>
  <c r="H46" i="25"/>
  <c r="G46" i="25"/>
  <c r="F46" i="25"/>
  <c r="J45" i="25"/>
  <c r="G45" i="25"/>
  <c r="J44" i="25"/>
  <c r="G44" i="25"/>
  <c r="G41" i="25"/>
  <c r="G40" i="25"/>
  <c r="G39" i="25"/>
  <c r="F39" i="25"/>
  <c r="H39" i="25" s="1"/>
  <c r="D39" i="25"/>
  <c r="G38" i="25"/>
  <c r="F38" i="25"/>
  <c r="H38" i="25" s="1"/>
  <c r="D38" i="25"/>
  <c r="G37" i="25"/>
  <c r="D37" i="25"/>
  <c r="F37" i="25" s="1"/>
  <c r="G34" i="25"/>
  <c r="G33" i="25"/>
  <c r="G30" i="25"/>
  <c r="F30" i="25"/>
  <c r="H30" i="25" s="1"/>
  <c r="D30" i="25"/>
  <c r="G29" i="25"/>
  <c r="G28" i="25"/>
  <c r="D28" i="25"/>
  <c r="F28" i="25" s="1"/>
  <c r="H28" i="25" s="1"/>
  <c r="G27" i="25"/>
  <c r="G26" i="25"/>
  <c r="F26" i="25"/>
  <c r="H26" i="25" s="1"/>
  <c r="D26" i="25"/>
  <c r="G25" i="25"/>
  <c r="D25" i="25"/>
  <c r="F25" i="25" s="1"/>
  <c r="H25" i="25" s="1"/>
  <c r="G24" i="25"/>
  <c r="G21" i="25"/>
  <c r="D21" i="25"/>
  <c r="F21" i="25" s="1"/>
  <c r="H21" i="25" s="1"/>
  <c r="G20" i="25"/>
  <c r="D20" i="25"/>
  <c r="F20" i="25" s="1"/>
  <c r="H20" i="25" s="1"/>
  <c r="J19" i="25"/>
  <c r="G19" i="25"/>
  <c r="F19" i="25"/>
  <c r="H19" i="25" s="1"/>
  <c r="D19" i="25"/>
  <c r="G18" i="25"/>
  <c r="G17" i="25"/>
  <c r="F17" i="25"/>
  <c r="H17" i="25" s="1"/>
  <c r="D17" i="25"/>
  <c r="G16" i="25"/>
  <c r="G15" i="25"/>
  <c r="G14" i="25"/>
  <c r="G11" i="25"/>
  <c r="G10" i="25"/>
  <c r="D10" i="25"/>
  <c r="F10" i="25" s="1"/>
  <c r="H10" i="25" s="1"/>
  <c r="G9" i="25"/>
  <c r="G8" i="25"/>
  <c r="F8" i="25"/>
  <c r="K7" i="25"/>
  <c r="D34" i="25" s="1"/>
  <c r="F34" i="25" s="1"/>
  <c r="H34" i="25" s="1"/>
  <c r="J7" i="25"/>
  <c r="D11" i="25" s="1"/>
  <c r="F11" i="25" s="1"/>
  <c r="H11" i="25" s="1"/>
  <c r="J6" i="25"/>
  <c r="D27" i="25" s="1"/>
  <c r="F27" i="25" s="1"/>
  <c r="H27" i="25" s="1"/>
  <c r="G55" i="24"/>
  <c r="G54" i="24"/>
  <c r="D54" i="24"/>
  <c r="F54" i="24" s="1"/>
  <c r="H54" i="24" s="1"/>
  <c r="G53" i="24"/>
  <c r="D53" i="24"/>
  <c r="F53" i="24" s="1"/>
  <c r="J50" i="24"/>
  <c r="G50" i="24"/>
  <c r="F50" i="24"/>
  <c r="H50" i="24" s="1"/>
  <c r="G49" i="24"/>
  <c r="F49" i="24"/>
  <c r="H49" i="24" s="1"/>
  <c r="J48" i="24"/>
  <c r="J47" i="24"/>
  <c r="G47" i="24"/>
  <c r="F47" i="24"/>
  <c r="H47" i="24" s="1"/>
  <c r="J46" i="24"/>
  <c r="J45" i="24"/>
  <c r="G45" i="24"/>
  <c r="J44" i="24"/>
  <c r="F44" i="24"/>
  <c r="H44" i="24" s="1"/>
  <c r="J43" i="24"/>
  <c r="G43" i="24"/>
  <c r="J42" i="24"/>
  <c r="F42" i="24"/>
  <c r="G39" i="24"/>
  <c r="G38" i="24"/>
  <c r="G37" i="24"/>
  <c r="D37" i="24"/>
  <c r="F37" i="24" s="1"/>
  <c r="H37" i="24" s="1"/>
  <c r="G36" i="24"/>
  <c r="D36" i="24"/>
  <c r="F36" i="24" s="1"/>
  <c r="H36" i="24" s="1"/>
  <c r="G35" i="24"/>
  <c r="D35" i="24"/>
  <c r="F35" i="24" s="1"/>
  <c r="G32" i="24"/>
  <c r="G31" i="24"/>
  <c r="G28" i="24"/>
  <c r="D28" i="24"/>
  <c r="F28" i="24" s="1"/>
  <c r="H28" i="24" s="1"/>
  <c r="G27" i="24"/>
  <c r="D27" i="24"/>
  <c r="F27" i="24" s="1"/>
  <c r="H27" i="24" s="1"/>
  <c r="G26" i="24"/>
  <c r="G25" i="24"/>
  <c r="D25" i="24"/>
  <c r="F25" i="24" s="1"/>
  <c r="H25" i="24" s="1"/>
  <c r="G24" i="24"/>
  <c r="G21" i="24"/>
  <c r="D21" i="24"/>
  <c r="F21" i="24" s="1"/>
  <c r="H21" i="24" s="1"/>
  <c r="G20" i="24"/>
  <c r="J19" i="24"/>
  <c r="G19" i="24"/>
  <c r="D19" i="24"/>
  <c r="F19" i="24" s="1"/>
  <c r="H19" i="24" s="1"/>
  <c r="G18" i="24"/>
  <c r="G17" i="24"/>
  <c r="D17" i="24"/>
  <c r="F17" i="24" s="1"/>
  <c r="H17" i="24" s="1"/>
  <c r="G16" i="24"/>
  <c r="G15" i="24"/>
  <c r="G14" i="24"/>
  <c r="G11" i="24"/>
  <c r="G10" i="24"/>
  <c r="G9" i="24"/>
  <c r="G8" i="24"/>
  <c r="F8" i="24"/>
  <c r="K7" i="24"/>
  <c r="D32" i="24" s="1"/>
  <c r="F32" i="24" s="1"/>
  <c r="H32" i="24" s="1"/>
  <c r="J7" i="24"/>
  <c r="D20" i="24" s="1"/>
  <c r="F20" i="24" s="1"/>
  <c r="H20" i="24" s="1"/>
  <c r="J6" i="24"/>
  <c r="D10" i="24" s="1"/>
  <c r="F10" i="24" s="1"/>
  <c r="H10" i="24" s="1"/>
  <c r="G41" i="23"/>
  <c r="F41" i="23"/>
  <c r="H41" i="23" s="1"/>
  <c r="G40" i="23"/>
  <c r="F40" i="23"/>
  <c r="H40" i="23" s="1"/>
  <c r="D40" i="23"/>
  <c r="G39" i="23"/>
  <c r="F39" i="23"/>
  <c r="H39" i="23" s="1"/>
  <c r="D39" i="23"/>
  <c r="G38" i="23"/>
  <c r="D38" i="23"/>
  <c r="F38" i="23" s="1"/>
  <c r="H38" i="23" s="1"/>
  <c r="G37" i="23"/>
  <c r="F37" i="23"/>
  <c r="H37" i="23" s="1"/>
  <c r="D37" i="23"/>
  <c r="G36" i="23"/>
  <c r="F36" i="23"/>
  <c r="H36" i="23" s="1"/>
  <c r="D36" i="23"/>
  <c r="J35" i="23"/>
  <c r="G35" i="23"/>
  <c r="F35" i="23"/>
  <c r="H35" i="23" s="1"/>
  <c r="G34" i="23"/>
  <c r="F34" i="23"/>
  <c r="H34" i="23" s="1"/>
  <c r="D34" i="23"/>
  <c r="G33" i="23"/>
  <c r="F33" i="23"/>
  <c r="H33" i="23" s="1"/>
  <c r="D33" i="23"/>
  <c r="G32" i="23"/>
  <c r="D32" i="23"/>
  <c r="F32" i="23" s="1"/>
  <c r="F30" i="23"/>
  <c r="H29" i="23"/>
  <c r="G29" i="23"/>
  <c r="F29" i="23"/>
  <c r="G28" i="23"/>
  <c r="F28" i="23"/>
  <c r="H28" i="23" s="1"/>
  <c r="G27" i="23"/>
  <c r="F27" i="23"/>
  <c r="H27" i="23" s="1"/>
  <c r="H30" i="23" s="1"/>
  <c r="J26" i="23"/>
  <c r="L26" i="23" s="1"/>
  <c r="G24" i="23"/>
  <c r="D24" i="23"/>
  <c r="F24" i="23" s="1"/>
  <c r="H24" i="23" s="1"/>
  <c r="G23" i="23"/>
  <c r="D23" i="23"/>
  <c r="F23" i="23" s="1"/>
  <c r="G20" i="23"/>
  <c r="F20" i="23"/>
  <c r="H20" i="23" s="1"/>
  <c r="D20" i="23"/>
  <c r="G19" i="23"/>
  <c r="D19" i="23"/>
  <c r="F19" i="23" s="1"/>
  <c r="H19" i="23" s="1"/>
  <c r="G18" i="23"/>
  <c r="D18" i="23"/>
  <c r="F18" i="23" s="1"/>
  <c r="H18" i="23" s="1"/>
  <c r="G17" i="23"/>
  <c r="G16" i="23"/>
  <c r="D16" i="23"/>
  <c r="F16" i="23" s="1"/>
  <c r="H16" i="23" s="1"/>
  <c r="G15" i="23"/>
  <c r="D15" i="23"/>
  <c r="F15" i="23" s="1"/>
  <c r="H15" i="23" s="1"/>
  <c r="G14" i="23"/>
  <c r="G13" i="23"/>
  <c r="D13" i="23"/>
  <c r="F13" i="23" s="1"/>
  <c r="G10" i="23"/>
  <c r="D10" i="23"/>
  <c r="F10" i="23" s="1"/>
  <c r="H10" i="23" s="1"/>
  <c r="G9" i="23"/>
  <c r="D9" i="23"/>
  <c r="F9" i="23" s="1"/>
  <c r="H9" i="23" s="1"/>
  <c r="G8" i="23"/>
  <c r="D8" i="23"/>
  <c r="F8" i="23" s="1"/>
  <c r="H8" i="23" s="1"/>
  <c r="G7" i="23"/>
  <c r="F7" i="23"/>
  <c r="K5" i="23"/>
  <c r="J5" i="23"/>
  <c r="D17" i="23" s="1"/>
  <c r="F17" i="23" s="1"/>
  <c r="H17" i="23" s="1"/>
  <c r="D71" i="22"/>
  <c r="G50" i="22"/>
  <c r="F50" i="22"/>
  <c r="F51" i="22" s="1"/>
  <c r="G47" i="22"/>
  <c r="F47" i="22"/>
  <c r="H47" i="22" s="1"/>
  <c r="G46" i="22"/>
  <c r="D46" i="22"/>
  <c r="F46" i="22" s="1"/>
  <c r="J42" i="22"/>
  <c r="G42" i="22"/>
  <c r="F42" i="22"/>
  <c r="H42" i="22" s="1"/>
  <c r="J41" i="22"/>
  <c r="G41" i="22"/>
  <c r="F41" i="22"/>
  <c r="H41" i="22" s="1"/>
  <c r="J40" i="22"/>
  <c r="G40" i="22"/>
  <c r="F40" i="22"/>
  <c r="H40" i="22" s="1"/>
  <c r="G37" i="22"/>
  <c r="F37" i="22"/>
  <c r="H37" i="22" s="1"/>
  <c r="G36" i="22"/>
  <c r="G35" i="22"/>
  <c r="D35" i="22"/>
  <c r="F35" i="22" s="1"/>
  <c r="H35" i="22" s="1"/>
  <c r="G34" i="22"/>
  <c r="D34" i="22"/>
  <c r="F34" i="22" s="1"/>
  <c r="G31" i="22"/>
  <c r="F31" i="22"/>
  <c r="H31" i="22" s="1"/>
  <c r="G30" i="22"/>
  <c r="F30" i="22"/>
  <c r="G27" i="22"/>
  <c r="D27" i="22"/>
  <c r="F27" i="22" s="1"/>
  <c r="H27" i="22" s="1"/>
  <c r="G26" i="22"/>
  <c r="D26" i="22"/>
  <c r="F26" i="22" s="1"/>
  <c r="H26" i="22" s="1"/>
  <c r="G25" i="22"/>
  <c r="D25" i="22"/>
  <c r="F25" i="22" s="1"/>
  <c r="H25" i="22" s="1"/>
  <c r="G24" i="22"/>
  <c r="D24" i="22"/>
  <c r="F24" i="22" s="1"/>
  <c r="H24" i="22" s="1"/>
  <c r="G21" i="22"/>
  <c r="D21" i="22"/>
  <c r="F21" i="22" s="1"/>
  <c r="H21" i="22" s="1"/>
  <c r="G20" i="22"/>
  <c r="D20" i="22"/>
  <c r="F20" i="22" s="1"/>
  <c r="H20" i="22" s="1"/>
  <c r="G19" i="22"/>
  <c r="D19" i="22"/>
  <c r="F19" i="22" s="1"/>
  <c r="H19" i="22" s="1"/>
  <c r="G18" i="22"/>
  <c r="G17" i="22"/>
  <c r="D17" i="22"/>
  <c r="F17" i="22" s="1"/>
  <c r="H17" i="22" s="1"/>
  <c r="G16" i="22"/>
  <c r="G15" i="22"/>
  <c r="G14" i="22"/>
  <c r="G11" i="22"/>
  <c r="D11" i="22"/>
  <c r="F11" i="22" s="1"/>
  <c r="H11" i="22" s="1"/>
  <c r="G10" i="22"/>
  <c r="G9" i="22"/>
  <c r="G8" i="22"/>
  <c r="F8" i="22"/>
  <c r="K6" i="22"/>
  <c r="J6" i="22"/>
  <c r="D18" i="22" s="1"/>
  <c r="F18" i="22" s="1"/>
  <c r="H18" i="22" s="1"/>
  <c r="G19" i="21"/>
  <c r="F19" i="21"/>
  <c r="H19" i="21" s="1"/>
  <c r="G18" i="21"/>
  <c r="F18" i="21"/>
  <c r="H18" i="21" s="1"/>
  <c r="N17" i="21"/>
  <c r="G17" i="21"/>
  <c r="F17" i="21"/>
  <c r="H17" i="21" s="1"/>
  <c r="G16" i="21"/>
  <c r="F16" i="21"/>
  <c r="H16" i="21" s="1"/>
  <c r="G15" i="21"/>
  <c r="F15" i="21"/>
  <c r="H15" i="21" s="1"/>
  <c r="N14" i="21"/>
  <c r="G14" i="21"/>
  <c r="F14" i="21"/>
  <c r="H14" i="21" s="1"/>
  <c r="N13" i="21"/>
  <c r="G13" i="21"/>
  <c r="F13" i="21"/>
  <c r="H13" i="21" s="1"/>
  <c r="G12" i="21"/>
  <c r="F12" i="21"/>
  <c r="H12" i="21" s="1"/>
  <c r="G11" i="21"/>
  <c r="F11" i="21"/>
  <c r="H11" i="21" s="1"/>
  <c r="G10" i="21"/>
  <c r="F10" i="21"/>
  <c r="H10" i="21" s="1"/>
  <c r="G9" i="21"/>
  <c r="G8" i="21"/>
  <c r="F8" i="21"/>
  <c r="H8" i="21" s="1"/>
  <c r="G7" i="21"/>
  <c r="M6" i="21"/>
  <c r="G6" i="21"/>
  <c r="F6" i="21"/>
  <c r="N5" i="21"/>
  <c r="F7" i="21" s="1"/>
  <c r="H7" i="21" s="1"/>
  <c r="G54" i="20"/>
  <c r="F54" i="20"/>
  <c r="H54" i="20" s="1"/>
  <c r="G53" i="20"/>
  <c r="F53" i="20"/>
  <c r="H53" i="20" s="1"/>
  <c r="G52" i="20"/>
  <c r="F52" i="20"/>
  <c r="H52" i="20" s="1"/>
  <c r="G51" i="20"/>
  <c r="F51" i="20"/>
  <c r="H51" i="20" s="1"/>
  <c r="G50" i="20"/>
  <c r="F50" i="20"/>
  <c r="H50" i="20" s="1"/>
  <c r="G49" i="20"/>
  <c r="F49" i="20"/>
  <c r="H49" i="20" s="1"/>
  <c r="G48" i="20"/>
  <c r="F48" i="20"/>
  <c r="H48" i="20" s="1"/>
  <c r="G47" i="20"/>
  <c r="F47" i="20"/>
  <c r="H47" i="20" s="1"/>
  <c r="G46" i="20"/>
  <c r="F46" i="20"/>
  <c r="H46" i="20" s="1"/>
  <c r="G43" i="20"/>
  <c r="D43" i="20"/>
  <c r="F43" i="20" s="1"/>
  <c r="H43" i="20" s="1"/>
  <c r="G42" i="20"/>
  <c r="N39" i="20"/>
  <c r="G39" i="20"/>
  <c r="F39" i="20"/>
  <c r="H39" i="20" s="1"/>
  <c r="N38" i="20"/>
  <c r="G38" i="20"/>
  <c r="F38" i="20"/>
  <c r="H38" i="20" s="1"/>
  <c r="G35" i="20"/>
  <c r="D35" i="20"/>
  <c r="F35" i="20" s="1"/>
  <c r="H35" i="20" s="1"/>
  <c r="G34" i="20"/>
  <c r="D34" i="20"/>
  <c r="F34" i="20" s="1"/>
  <c r="H34" i="20" s="1"/>
  <c r="G33" i="20"/>
  <c r="D33" i="20"/>
  <c r="F33" i="20" s="1"/>
  <c r="M30" i="20"/>
  <c r="G30" i="20"/>
  <c r="M29" i="20"/>
  <c r="G29" i="20"/>
  <c r="D29" i="20"/>
  <c r="F29" i="20" s="1"/>
  <c r="H29" i="20" s="1"/>
  <c r="G28" i="20"/>
  <c r="D28" i="20"/>
  <c r="F28" i="20" s="1"/>
  <c r="H28" i="20" s="1"/>
  <c r="G27" i="20"/>
  <c r="G24" i="20"/>
  <c r="G23" i="20"/>
  <c r="D23" i="20"/>
  <c r="F23" i="20" s="1"/>
  <c r="H23" i="20" s="1"/>
  <c r="M22" i="20"/>
  <c r="G22" i="20"/>
  <c r="D22" i="20"/>
  <c r="F22" i="20" s="1"/>
  <c r="H22" i="20" s="1"/>
  <c r="M21" i="20"/>
  <c r="G21" i="20"/>
  <c r="D21" i="20"/>
  <c r="F21" i="20" s="1"/>
  <c r="H21" i="20" s="1"/>
  <c r="G20" i="20"/>
  <c r="D20" i="20"/>
  <c r="F20" i="20" s="1"/>
  <c r="H20" i="20" s="1"/>
  <c r="G19" i="20"/>
  <c r="D19" i="20"/>
  <c r="F19" i="20" s="1"/>
  <c r="H19" i="20" s="1"/>
  <c r="G18" i="20"/>
  <c r="D18" i="20"/>
  <c r="D30" i="20" s="1"/>
  <c r="G17" i="20"/>
  <c r="G16" i="20"/>
  <c r="D16" i="20"/>
  <c r="F16" i="20" s="1"/>
  <c r="H16" i="20" s="1"/>
  <c r="G15" i="20"/>
  <c r="G14" i="20"/>
  <c r="D14" i="20"/>
  <c r="F14" i="20" s="1"/>
  <c r="H14" i="20" s="1"/>
  <c r="G13" i="20"/>
  <c r="D13" i="20"/>
  <c r="F13" i="20" s="1"/>
  <c r="G10" i="20"/>
  <c r="D10" i="20"/>
  <c r="F10" i="20" s="1"/>
  <c r="H10" i="20" s="1"/>
  <c r="G9" i="20"/>
  <c r="G8" i="20"/>
  <c r="G7" i="20"/>
  <c r="F7" i="20"/>
  <c r="N5" i="20"/>
  <c r="D27" i="20" s="1"/>
  <c r="F27" i="20" s="1"/>
  <c r="M5" i="20"/>
  <c r="D9" i="20" s="1"/>
  <c r="F9" i="20" s="1"/>
  <c r="H9" i="20" s="1"/>
  <c r="G49" i="15"/>
  <c r="F49" i="15"/>
  <c r="F50" i="15" s="1"/>
  <c r="G46" i="15"/>
  <c r="F46" i="15"/>
  <c r="H46" i="15" s="1"/>
  <c r="G45" i="15"/>
  <c r="D45" i="15"/>
  <c r="F45" i="15" s="1"/>
  <c r="J41" i="15"/>
  <c r="G41" i="15"/>
  <c r="F41" i="15"/>
  <c r="H41" i="15" s="1"/>
  <c r="J40" i="15"/>
  <c r="H40" i="15"/>
  <c r="G40" i="15"/>
  <c r="F40" i="15"/>
  <c r="J39" i="15"/>
  <c r="G39" i="15"/>
  <c r="F39" i="15"/>
  <c r="H39" i="15" s="1"/>
  <c r="G36" i="15"/>
  <c r="F36" i="15"/>
  <c r="H36" i="15" s="1"/>
  <c r="G35" i="15"/>
  <c r="G34" i="15"/>
  <c r="D34" i="15"/>
  <c r="F34" i="15" s="1"/>
  <c r="H34" i="15" s="1"/>
  <c r="G33" i="15"/>
  <c r="D33" i="15"/>
  <c r="D35" i="15" s="1"/>
  <c r="F35" i="15" s="1"/>
  <c r="H35" i="15" s="1"/>
  <c r="G30" i="15"/>
  <c r="F30" i="15"/>
  <c r="H30" i="15" s="1"/>
  <c r="G29" i="15"/>
  <c r="F29" i="15"/>
  <c r="F31" i="15" s="1"/>
  <c r="G26" i="15"/>
  <c r="F26" i="15"/>
  <c r="H26" i="15" s="1"/>
  <c r="D26" i="15"/>
  <c r="G25" i="15"/>
  <c r="D25" i="15"/>
  <c r="F25" i="15" s="1"/>
  <c r="H25" i="15" s="1"/>
  <c r="G24" i="15"/>
  <c r="D24" i="15"/>
  <c r="F24" i="15" s="1"/>
  <c r="H24" i="15" s="1"/>
  <c r="G23" i="15"/>
  <c r="F23" i="15"/>
  <c r="D23" i="15"/>
  <c r="G20" i="15"/>
  <c r="D20" i="15"/>
  <c r="F20" i="15" s="1"/>
  <c r="H20" i="15" s="1"/>
  <c r="G19" i="15"/>
  <c r="D19" i="15"/>
  <c r="F19" i="15" s="1"/>
  <c r="H19" i="15" s="1"/>
  <c r="G18" i="15"/>
  <c r="D18" i="15"/>
  <c r="F18" i="15" s="1"/>
  <c r="H18" i="15" s="1"/>
  <c r="G17" i="15"/>
  <c r="D17" i="15"/>
  <c r="F17" i="15" s="1"/>
  <c r="H17" i="15" s="1"/>
  <c r="G16" i="15"/>
  <c r="D16" i="15"/>
  <c r="F16" i="15" s="1"/>
  <c r="H16" i="15" s="1"/>
  <c r="G15" i="15"/>
  <c r="G14" i="15"/>
  <c r="D14" i="15"/>
  <c r="F14" i="15" s="1"/>
  <c r="H14" i="15" s="1"/>
  <c r="G13" i="15"/>
  <c r="D13" i="15"/>
  <c r="F13" i="15" s="1"/>
  <c r="G10" i="15"/>
  <c r="D10" i="15"/>
  <c r="F10" i="15" s="1"/>
  <c r="H10" i="15" s="1"/>
  <c r="G9" i="15"/>
  <c r="D9" i="15"/>
  <c r="F9" i="15" s="1"/>
  <c r="H9" i="15" s="1"/>
  <c r="G8" i="15"/>
  <c r="G7" i="15"/>
  <c r="F7" i="15"/>
  <c r="K5" i="15"/>
  <c r="J5" i="15"/>
  <c r="D8" i="15" s="1"/>
  <c r="F8" i="15" s="1"/>
  <c r="F27" i="15" l="1"/>
  <c r="D8" i="20"/>
  <c r="F8" i="20" s="1"/>
  <c r="H8" i="20" s="1"/>
  <c r="D17" i="20"/>
  <c r="F17" i="20" s="1"/>
  <c r="H17" i="20" s="1"/>
  <c r="D15" i="20"/>
  <c r="F15" i="20" s="1"/>
  <c r="H15" i="20" s="1"/>
  <c r="H40" i="20"/>
  <c r="H53" i="22"/>
  <c r="J53" i="22"/>
  <c r="L53" i="22" s="1"/>
  <c r="F32" i="22"/>
  <c r="H50" i="25"/>
  <c r="H37" i="25"/>
  <c r="F44" i="25"/>
  <c r="D40" i="25"/>
  <c r="F40" i="25" s="1"/>
  <c r="H40" i="25" s="1"/>
  <c r="D16" i="25"/>
  <c r="F16" i="25" s="1"/>
  <c r="H16" i="25" s="1"/>
  <c r="D29" i="25"/>
  <c r="F29" i="25" s="1"/>
  <c r="H29" i="25" s="1"/>
  <c r="D41" i="25"/>
  <c r="F45" i="25"/>
  <c r="H45" i="25" s="1"/>
  <c r="D15" i="25"/>
  <c r="F15" i="25" s="1"/>
  <c r="H15" i="25" s="1"/>
  <c r="H8" i="25"/>
  <c r="D18" i="25"/>
  <c r="F18" i="25" s="1"/>
  <c r="H18" i="25" s="1"/>
  <c r="D9" i="25"/>
  <c r="F9" i="25" s="1"/>
  <c r="H9" i="25" s="1"/>
  <c r="F12" i="25"/>
  <c r="D14" i="25"/>
  <c r="F14" i="25" s="1"/>
  <c r="D24" i="25"/>
  <c r="G48" i="24"/>
  <c r="F48" i="24"/>
  <c r="H48" i="24" s="1"/>
  <c r="H35" i="24"/>
  <c r="F46" i="24"/>
  <c r="H46" i="24" s="1"/>
  <c r="G46" i="24"/>
  <c r="H42" i="24"/>
  <c r="H53" i="24"/>
  <c r="D15" i="24"/>
  <c r="F15" i="24" s="1"/>
  <c r="H15" i="24" s="1"/>
  <c r="D18" i="24"/>
  <c r="F18" i="24" s="1"/>
  <c r="H18" i="24" s="1"/>
  <c r="D11" i="24"/>
  <c r="F11" i="24" s="1"/>
  <c r="H11" i="24" s="1"/>
  <c r="G44" i="24"/>
  <c r="D16" i="24"/>
  <c r="F16" i="24" s="1"/>
  <c r="H16" i="24" s="1"/>
  <c r="D26" i="24"/>
  <c r="F26" i="24" s="1"/>
  <c r="H26" i="24" s="1"/>
  <c r="D38" i="24"/>
  <c r="F38" i="24" s="1"/>
  <c r="H38" i="24" s="1"/>
  <c r="G42" i="24"/>
  <c r="H8" i="24"/>
  <c r="D9" i="24"/>
  <c r="F9" i="24" s="1"/>
  <c r="F45" i="24"/>
  <c r="H45" i="24" s="1"/>
  <c r="D14" i="24"/>
  <c r="F14" i="24" s="1"/>
  <c r="D24" i="24"/>
  <c r="D39" i="24"/>
  <c r="F43" i="24"/>
  <c r="H43" i="24" s="1"/>
  <c r="H13" i="23"/>
  <c r="F25" i="23"/>
  <c r="H23" i="23"/>
  <c r="H25" i="23" s="1"/>
  <c r="F11" i="23"/>
  <c r="F42" i="23"/>
  <c r="H32" i="23"/>
  <c r="H42" i="23" s="1"/>
  <c r="H7" i="23"/>
  <c r="H11" i="23" s="1"/>
  <c r="D14" i="23"/>
  <c r="F14" i="23" s="1"/>
  <c r="H14" i="23" s="1"/>
  <c r="F48" i="22"/>
  <c r="H46" i="22"/>
  <c r="H48" i="22" s="1"/>
  <c r="H44" i="22"/>
  <c r="F28" i="22"/>
  <c r="H34" i="22"/>
  <c r="H28" i="22"/>
  <c r="F44" i="22"/>
  <c r="H30" i="22"/>
  <c r="H32" i="22" s="1"/>
  <c r="H50" i="22"/>
  <c r="H51" i="22" s="1"/>
  <c r="D16" i="22"/>
  <c r="F16" i="22" s="1"/>
  <c r="H16" i="22" s="1"/>
  <c r="J50" i="22"/>
  <c r="L50" i="22" s="1"/>
  <c r="H8" i="22"/>
  <c r="D36" i="22"/>
  <c r="F36" i="22" s="1"/>
  <c r="H36" i="22" s="1"/>
  <c r="D9" i="22"/>
  <c r="F9" i="22" s="1"/>
  <c r="H9" i="22" s="1"/>
  <c r="D14" i="22"/>
  <c r="F14" i="22" s="1"/>
  <c r="D10" i="22"/>
  <c r="F10" i="22" s="1"/>
  <c r="H10" i="22" s="1"/>
  <c r="D15" i="22"/>
  <c r="F15" i="22" s="1"/>
  <c r="H15" i="22" s="1"/>
  <c r="H6" i="21"/>
  <c r="F9" i="21"/>
  <c r="H9" i="21" s="1"/>
  <c r="H13" i="20"/>
  <c r="H27" i="20"/>
  <c r="H55" i="20"/>
  <c r="F36" i="20"/>
  <c r="H33" i="20"/>
  <c r="H36" i="20" s="1"/>
  <c r="D42" i="20"/>
  <c r="F42" i="20" s="1"/>
  <c r="F30" i="20"/>
  <c r="H30" i="20" s="1"/>
  <c r="H7" i="20"/>
  <c r="H11" i="20" s="1"/>
  <c r="F18" i="20"/>
  <c r="H18" i="20" s="1"/>
  <c r="F11" i="20"/>
  <c r="D24" i="20"/>
  <c r="F24" i="20" s="1"/>
  <c r="H24" i="20" s="1"/>
  <c r="F55" i="20"/>
  <c r="F40" i="20"/>
  <c r="F11" i="15"/>
  <c r="H45" i="15"/>
  <c r="H47" i="15" s="1"/>
  <c r="F47" i="15"/>
  <c r="F21" i="15"/>
  <c r="J21" i="15" s="1"/>
  <c r="H13" i="15"/>
  <c r="H43" i="15"/>
  <c r="H8" i="15"/>
  <c r="H23" i="15"/>
  <c r="H27" i="15" s="1"/>
  <c r="F33" i="15"/>
  <c r="F43" i="15"/>
  <c r="H29" i="15"/>
  <c r="H31" i="15" s="1"/>
  <c r="H49" i="15"/>
  <c r="H50" i="15" s="1"/>
  <c r="D15" i="15"/>
  <c r="F15" i="15" s="1"/>
  <c r="H15" i="15" s="1"/>
  <c r="J49" i="15"/>
  <c r="L49" i="15" s="1"/>
  <c r="H7" i="15"/>
  <c r="H25" i="20" l="1"/>
  <c r="H12" i="25"/>
  <c r="H38" i="22"/>
  <c r="F38" i="22"/>
  <c r="H21" i="15"/>
  <c r="H54" i="22"/>
  <c r="F48" i="25"/>
  <c r="H44" i="25"/>
  <c r="H48" i="25" s="1"/>
  <c r="F41" i="25"/>
  <c r="H41" i="25" s="1"/>
  <c r="H42" i="25" s="1"/>
  <c r="D52" i="25"/>
  <c r="F52" i="25" s="1"/>
  <c r="H14" i="25"/>
  <c r="H22" i="25" s="1"/>
  <c r="F22" i="25"/>
  <c r="J22" i="25" s="1"/>
  <c r="D33" i="25"/>
  <c r="F33" i="25" s="1"/>
  <c r="F24" i="25"/>
  <c r="H9" i="24"/>
  <c r="H12" i="24" s="1"/>
  <c r="F24" i="24"/>
  <c r="D31" i="24"/>
  <c r="F31" i="24" s="1"/>
  <c r="H14" i="24"/>
  <c r="H22" i="24" s="1"/>
  <c r="F22" i="24"/>
  <c r="J22" i="24" s="1"/>
  <c r="H51" i="24"/>
  <c r="F51" i="24"/>
  <c r="F39" i="24"/>
  <c r="H39" i="24" s="1"/>
  <c r="H40" i="24" s="1"/>
  <c r="D55" i="24"/>
  <c r="F55" i="24" s="1"/>
  <c r="F12" i="24"/>
  <c r="F21" i="23"/>
  <c r="F43" i="23" s="1"/>
  <c r="H21" i="23"/>
  <c r="H43" i="23" s="1"/>
  <c r="H14" i="22"/>
  <c r="H22" i="22" s="1"/>
  <c r="F22" i="22"/>
  <c r="J22" i="22" s="1"/>
  <c r="F12" i="22"/>
  <c r="F56" i="22" s="1"/>
  <c r="D25" i="14" s="1"/>
  <c r="H12" i="22"/>
  <c r="H20" i="21"/>
  <c r="F20" i="21"/>
  <c r="D16" i="14" s="1"/>
  <c r="F44" i="20"/>
  <c r="H42" i="20"/>
  <c r="H44" i="20" s="1"/>
  <c r="H31" i="20"/>
  <c r="H56" i="20" s="1"/>
  <c r="F31" i="20"/>
  <c r="F25" i="20"/>
  <c r="F37" i="15"/>
  <c r="F51" i="15" s="1"/>
  <c r="H33" i="15"/>
  <c r="H37" i="15" s="1"/>
  <c r="H11" i="15"/>
  <c r="F16" i="14" l="1"/>
  <c r="E16" i="14"/>
  <c r="G16" i="14" s="1"/>
  <c r="J43" i="23"/>
  <c r="L43" i="23" s="1"/>
  <c r="D12" i="14"/>
  <c r="D26" i="14"/>
  <c r="E25" i="14"/>
  <c r="G25" i="14" s="1"/>
  <c r="F25" i="14"/>
  <c r="H56" i="22"/>
  <c r="H51" i="15"/>
  <c r="J51" i="15"/>
  <c r="L51" i="15" s="1"/>
  <c r="D10" i="14"/>
  <c r="D24" i="14"/>
  <c r="F56" i="20"/>
  <c r="J56" i="22"/>
  <c r="L56" i="22" s="1"/>
  <c r="D11" i="14"/>
  <c r="F31" i="25"/>
  <c r="H24" i="25"/>
  <c r="H31" i="25" s="1"/>
  <c r="H52" i="25"/>
  <c r="H53" i="25" s="1"/>
  <c r="H54" i="25" s="1"/>
  <c r="F53" i="25"/>
  <c r="F35" i="25"/>
  <c r="H33" i="25"/>
  <c r="H35" i="25" s="1"/>
  <c r="F42" i="25"/>
  <c r="H31" i="24"/>
  <c r="H33" i="24" s="1"/>
  <c r="F33" i="24"/>
  <c r="F57" i="24" s="1"/>
  <c r="H24" i="24"/>
  <c r="H29" i="24" s="1"/>
  <c r="F29" i="24"/>
  <c r="F40" i="24"/>
  <c r="H55" i="24"/>
  <c r="H56" i="24" s="1"/>
  <c r="F56" i="24"/>
  <c r="F54" i="25" l="1"/>
  <c r="J57" i="24"/>
  <c r="L57" i="24" s="1"/>
  <c r="D27" i="14"/>
  <c r="D13" i="14"/>
  <c r="F12" i="14"/>
  <c r="E12" i="14"/>
  <c r="G12" i="14" s="1"/>
  <c r="E26" i="14"/>
  <c r="G26" i="14" s="1"/>
  <c r="F26" i="14"/>
  <c r="F24" i="14"/>
  <c r="E24" i="14"/>
  <c r="F10" i="14"/>
  <c r="E10" i="14"/>
  <c r="P56" i="20"/>
  <c r="D29" i="14"/>
  <c r="D15" i="14"/>
  <c r="E11" i="14"/>
  <c r="F11" i="14"/>
  <c r="H57" i="24"/>
  <c r="D14" i="14" l="1"/>
  <c r="D28" i="14"/>
  <c r="E27" i="14"/>
  <c r="G27" i="14" s="1"/>
  <c r="F27" i="14"/>
  <c r="F13" i="14"/>
  <c r="E13" i="14"/>
  <c r="G13" i="14" s="1"/>
  <c r="G10" i="14"/>
  <c r="G24" i="14"/>
  <c r="E15" i="14"/>
  <c r="G15" i="14" s="1"/>
  <c r="F15" i="14"/>
  <c r="F29" i="14"/>
  <c r="E29" i="14"/>
  <c r="G11" i="14"/>
  <c r="E28" i="14" l="1"/>
  <c r="F28" i="14"/>
  <c r="F14" i="14"/>
  <c r="E14" i="14"/>
  <c r="G29" i="14"/>
  <c r="G14" i="14" l="1"/>
  <c r="G17" i="14" s="1"/>
  <c r="E17" i="14"/>
  <c r="G28" i="14"/>
  <c r="G30" i="14" s="1"/>
  <c r="E30" i="14"/>
</calcChain>
</file>

<file path=xl/sharedStrings.xml><?xml version="1.0" encoding="utf-8"?>
<sst xmlns="http://schemas.openxmlformats.org/spreadsheetml/2006/main" count="875" uniqueCount="268">
  <si>
    <t>Désignation</t>
  </si>
  <si>
    <t>Unité</t>
  </si>
  <si>
    <t>ff</t>
  </si>
  <si>
    <t>m3</t>
  </si>
  <si>
    <t>Sous Total 6</t>
  </si>
  <si>
    <t>ml</t>
  </si>
  <si>
    <t>u</t>
  </si>
  <si>
    <t>Lot 1</t>
  </si>
  <si>
    <t>Lot 2</t>
  </si>
  <si>
    <t>N°</t>
  </si>
  <si>
    <t>RECAPITULATIF GENERAL</t>
  </si>
  <si>
    <t>Nombre</t>
  </si>
  <si>
    <t>Prix Unitaire (FCFA)</t>
  </si>
  <si>
    <t>Prix Total (FCFA)</t>
  </si>
  <si>
    <t>Prix Unitaire (EURO)</t>
  </si>
  <si>
    <t>Prix Total (EURO)</t>
  </si>
  <si>
    <t>A</t>
  </si>
  <si>
    <t>B</t>
  </si>
  <si>
    <t>C</t>
  </si>
  <si>
    <t>D</t>
  </si>
  <si>
    <t>E</t>
  </si>
  <si>
    <t>Construction salle de transformation</t>
  </si>
  <si>
    <t>F</t>
  </si>
  <si>
    <t>G</t>
  </si>
  <si>
    <t>Construction bloc latrines à 4 cabines</t>
  </si>
  <si>
    <t>TOTAL RECAPITULATIF GENERAL</t>
  </si>
  <si>
    <t>CONSTRUCTION D'INFRASTRUCTURES DE PRODUCTION AGRO-SYLVO--PASTORALES ET HALIEUTIQUES</t>
  </si>
  <si>
    <t xml:space="preserve">DEVIS QUANTITATIF ESTIMATIF </t>
  </si>
  <si>
    <t>POULAILLER TYPE DE DIMENSIONS INTÉRIEURES DE 3m/3,50mx3</t>
  </si>
  <si>
    <t>Quantité</t>
  </si>
  <si>
    <t>Prix Unitaire FCFA</t>
  </si>
  <si>
    <t>Prix Total FCFA</t>
  </si>
  <si>
    <t>I</t>
  </si>
  <si>
    <t>TERRASSEMENT</t>
  </si>
  <si>
    <t>1.1</t>
  </si>
  <si>
    <t>Implantation</t>
  </si>
  <si>
    <t>1.2</t>
  </si>
  <si>
    <t xml:space="preserve">Fouille pour fondation y/c dressement des parois, nivellement des fonds </t>
  </si>
  <si>
    <t>1.3</t>
  </si>
  <si>
    <t>Remblai des fouilles</t>
  </si>
  <si>
    <t>1.4</t>
  </si>
  <si>
    <t>Remblai arrosé et compacté sous dallage</t>
  </si>
  <si>
    <t>Sous total1</t>
  </si>
  <si>
    <t>II</t>
  </si>
  <si>
    <t>Fondation-Soubassement</t>
  </si>
  <si>
    <t>2.1</t>
  </si>
  <si>
    <t xml:space="preserve">Béton de propriété dosé à 150 kg/ m3 </t>
  </si>
  <si>
    <t>2.2</t>
  </si>
  <si>
    <t>Béton armé pour semelle filante dosé 350 kg/ m3</t>
  </si>
  <si>
    <t>2.3</t>
  </si>
  <si>
    <t xml:space="preserve">Maçonnerie en agglos pleins de 20x20x40 pour soubassement </t>
  </si>
  <si>
    <t>m2</t>
  </si>
  <si>
    <t>2.4</t>
  </si>
  <si>
    <t>Béton armé pour amorces poteaux de 20x20, dosé à 350 kg/ m3</t>
  </si>
  <si>
    <t>2.5</t>
  </si>
  <si>
    <t>Béton armé pour chaînages bas 20x20, dosé à 350 kg/ m3</t>
  </si>
  <si>
    <t>2.6</t>
  </si>
  <si>
    <t>Béton ordinaire pour bèche de protection dosé à 350 kg/ m3</t>
  </si>
  <si>
    <t>2.7</t>
  </si>
  <si>
    <t>Béton légèrement armé pour forme d'aire de 10cm, dosé à 350 kg/ m3 avec chape incorporée</t>
  </si>
  <si>
    <t>2.8</t>
  </si>
  <si>
    <t>Béton pour marches d'accès et rampes dosé à 350 kg/ m3 avec chape incorporée</t>
  </si>
  <si>
    <t>Sous total 2</t>
  </si>
  <si>
    <t>III</t>
  </si>
  <si>
    <t>Maçonnerie – Béton Armé en élévation</t>
  </si>
  <si>
    <t>3.1</t>
  </si>
  <si>
    <t>Maçonnerie en agglos creux de 15 x 20 x 40 pour élévation</t>
  </si>
  <si>
    <t>3.2</t>
  </si>
  <si>
    <t>Béton armé pour linteau, dosé à 350 kg/ m3</t>
  </si>
  <si>
    <t>3.3</t>
  </si>
  <si>
    <t>Béton armé pour poteaux de 15x15, dosé à 350 kg/ m3</t>
  </si>
  <si>
    <t>3.4</t>
  </si>
  <si>
    <t>Béton armé pour chainage d'encrage y compris couronnement dosé à 350 kg/ m3</t>
  </si>
  <si>
    <t>Sous total 3</t>
  </si>
  <si>
    <t>IV</t>
  </si>
  <si>
    <t xml:space="preserve">Enduit – Revêtement </t>
  </si>
  <si>
    <t>4.1</t>
  </si>
  <si>
    <t xml:space="preserve">Enduit intérieur au mortier  de ciment </t>
  </si>
  <si>
    <t>4.2</t>
  </si>
  <si>
    <t xml:space="preserve">Enduit extérieur à la tyrolienne </t>
  </si>
  <si>
    <t>Sous total 4</t>
  </si>
  <si>
    <t>V</t>
  </si>
  <si>
    <t xml:space="preserve">Charpente couverture </t>
  </si>
  <si>
    <t>5.1</t>
  </si>
  <si>
    <t>Fourniture et pose pannes en  tube carré lourd de 50/2mm</t>
  </si>
  <si>
    <t xml:space="preserve">ml </t>
  </si>
  <si>
    <t>5.2</t>
  </si>
  <si>
    <t xml:space="preserve">Couverture en bac Alu 6/10ème yc toute sujétions de mise en œuvre   </t>
  </si>
  <si>
    <t>5.3</t>
  </si>
  <si>
    <t>Feutre bitumeux</t>
  </si>
  <si>
    <t>5.4</t>
  </si>
  <si>
    <t>Faitière</t>
  </si>
  <si>
    <t>Sous total 5</t>
  </si>
  <si>
    <t>VI</t>
  </si>
  <si>
    <t xml:space="preserve">Menuiseries Métalliques </t>
  </si>
  <si>
    <t>6.1</t>
  </si>
  <si>
    <t>Porte métallique tôle pleine double face de 80x210</t>
  </si>
  <si>
    <t>U</t>
  </si>
  <si>
    <t>6.2</t>
  </si>
  <si>
    <r>
      <t xml:space="preserve">Cadre en cornière de 35/3mm muni de grillage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2,5 mm à mailles de 50x5 de </t>
    </r>
    <r>
      <rPr>
        <b/>
        <sz val="11"/>
        <rFont val="Calibri"/>
        <family val="2"/>
        <scheme val="minor"/>
      </rPr>
      <t>335x80</t>
    </r>
    <r>
      <rPr>
        <sz val="11"/>
        <rFont val="Calibri"/>
        <family val="2"/>
        <scheme val="minor"/>
      </rPr>
      <t xml:space="preserve"> y compris toutes sujétions</t>
    </r>
  </si>
  <si>
    <t>6.3</t>
  </si>
  <si>
    <r>
      <t xml:space="preserve">Cadre en cornière de 35/3mm muni de grillage </t>
    </r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 xml:space="preserve"> 2,5 mm à mailles de 50x5 de </t>
    </r>
    <r>
      <rPr>
        <b/>
        <sz val="11"/>
        <rFont val="Calibri"/>
        <family val="2"/>
        <scheme val="minor"/>
      </rPr>
      <t>300x100</t>
    </r>
    <r>
      <rPr>
        <sz val="11"/>
        <rFont val="Calibri"/>
        <family val="2"/>
        <scheme val="minor"/>
      </rPr>
      <t xml:space="preserve"> y compris toutes sujétions</t>
    </r>
  </si>
  <si>
    <t>VII</t>
  </si>
  <si>
    <t xml:space="preserve">Peinture </t>
  </si>
  <si>
    <t>7 .1</t>
  </si>
  <si>
    <t>Peinture à huile en 3 couches sur  menuiserie métallique</t>
  </si>
  <si>
    <t>7 .2</t>
  </si>
  <si>
    <t>Peinture à huile en 3 couches sur  charpentes</t>
  </si>
  <si>
    <t>Sous Total 7</t>
  </si>
  <si>
    <t>VIII</t>
  </si>
  <si>
    <t>Plomberie - Sanitaire</t>
  </si>
  <si>
    <t>8.1</t>
  </si>
  <si>
    <t>Bain détiqueur à l'entrée du poulailler</t>
  </si>
  <si>
    <t>Sous total 8</t>
  </si>
  <si>
    <t>Total Poulailler</t>
  </si>
  <si>
    <t>BERGERIE TYPE DE DIMENSIONS INTÉRIEURES DE 3m/3,50mx3</t>
  </si>
  <si>
    <t>1.5</t>
  </si>
  <si>
    <t>1.6</t>
  </si>
  <si>
    <t xml:space="preserve">Construction Bassin-Abreuvoir en béton armé ép.10cm de dimensions intérieures : Ø 2,5m  et hauteur 1,00m </t>
  </si>
  <si>
    <t>Total Général BERGERIE</t>
  </si>
  <si>
    <t>ÉTANG TYPE DE DIMENSIONS INTÉRIEURES DE 3m/3,00mx3</t>
  </si>
  <si>
    <t>Fondation-Soubassement-Élévation</t>
  </si>
  <si>
    <t xml:space="preserve">Maçonnerie en agglos pleins de 15x15x40 pour soubassement </t>
  </si>
  <si>
    <t>Béton armé pour  poteaux de 15x15, dosé à 350 kg/ m3</t>
  </si>
  <si>
    <t>Béton armé pour poutre de 15x50, dosé à 350 kg/ m3</t>
  </si>
  <si>
    <t>Béton armé pour chainage intermédiaire dosé à 350 kg/ m3 et couronnement</t>
  </si>
  <si>
    <t xml:space="preserve">Béton armé pour dalle de compression de 15cm, dosé à 350 kg/ m3 </t>
  </si>
  <si>
    <t xml:space="preserve">Enduit hydrofuge intérieur </t>
  </si>
  <si>
    <t xml:space="preserve">Enduit extérieur </t>
  </si>
  <si>
    <t>Tuyauterie d'alimentation y compris robinetterie et toute sujétion</t>
  </si>
  <si>
    <t>Dispositif de vidange s et  toute sujétion</t>
  </si>
  <si>
    <t>4.3</t>
  </si>
  <si>
    <t>Regards bassins d'évacuation avec enduit étanche de dimensions 1,5*1,5*1,00m y compris tuyauteries et  toute sujétion</t>
  </si>
  <si>
    <t>HANGAR</t>
  </si>
  <si>
    <t>Fouille en trou de profondeur 0,55m</t>
  </si>
  <si>
    <t xml:space="preserve">Béton de scellement poteaux IPN </t>
  </si>
  <si>
    <t>F et P IPN 80 avec platine pour poteau y compris encastrement et  toutes sujétions</t>
  </si>
  <si>
    <t xml:space="preserve">Ferme de portée 5,20m en tube carré de50/2mm munie de platines, boulons, éléments de fixation et  toute sujétions et de pose </t>
  </si>
  <si>
    <t>5.5</t>
  </si>
  <si>
    <t xml:space="preserve">Fourniture et pose pannes en  tube carré lourd de 50/2mm et  toutes sujétions et de pose </t>
  </si>
  <si>
    <t>5.6</t>
  </si>
  <si>
    <t xml:space="preserve">Fourniture et pose contreventement en cornière de 50 yc toute sujétions de pose   </t>
  </si>
  <si>
    <t>5.7</t>
  </si>
  <si>
    <t>5.8</t>
  </si>
  <si>
    <t>5.9</t>
  </si>
  <si>
    <t>5.10</t>
  </si>
  <si>
    <t>Total Général ÉTANG</t>
  </si>
  <si>
    <t>SALLE DE TRANSFORMATION</t>
  </si>
  <si>
    <t>Béton armé pour forme d'aire de 10cm, dosé à 350 kg/ m3 avec chape incorporée</t>
  </si>
  <si>
    <t>Béton armé pour pour appuis fenêtres, dosé à 350 kg/ m3</t>
  </si>
  <si>
    <t>Béton armé pour chainage haut, chainage d'encrage y compris couronnement dosé à 350 kg/ m3</t>
  </si>
  <si>
    <t>3.5</t>
  </si>
  <si>
    <t>Charpente-Couverture-Plafonnage</t>
  </si>
  <si>
    <t>Fourniture et pose traverses en  IPN 120</t>
  </si>
  <si>
    <t>Faux plafond en contre plaqué de 5mm</t>
  </si>
  <si>
    <t>F et P Porte métallique tôle pleine double face de 120x220</t>
  </si>
  <si>
    <t>F et P Porte métallique tôle pleine double face de 80x220</t>
  </si>
  <si>
    <t>F et P Fenetre métallique tôle pleine double face de 80x120</t>
  </si>
  <si>
    <t>6.4</t>
  </si>
  <si>
    <t>F et P Grille métallique de 280x120</t>
  </si>
  <si>
    <t>6.5</t>
  </si>
  <si>
    <t>F et P Grille métallique de 60x60</t>
  </si>
  <si>
    <t>6.6</t>
  </si>
  <si>
    <t>F et P Chassis métallique vitré de 280x120</t>
  </si>
  <si>
    <t>6.7</t>
  </si>
  <si>
    <t>F et P Chassis métallique vitré de 60x60</t>
  </si>
  <si>
    <t>6.8</t>
  </si>
  <si>
    <t>F et P Grille de ventilation des combles de 25x25</t>
  </si>
  <si>
    <t>6.9</t>
  </si>
  <si>
    <t xml:space="preserve">Cornière de protection des seuils </t>
  </si>
  <si>
    <t>Peinture à huile murs interieurs</t>
  </si>
  <si>
    <t>7 .3</t>
  </si>
  <si>
    <t xml:space="preserve">Vernis sur faux plafond </t>
  </si>
  <si>
    <t>MAGASIN</t>
  </si>
  <si>
    <t>Maçonnerie en claustrats</t>
  </si>
  <si>
    <t>Béton armé pour chainage haut dosé à 350 kg/ m3</t>
  </si>
  <si>
    <t>3.6</t>
  </si>
  <si>
    <t>Béton armé pour chainage d'encrage et couronnement dosé à 350 kg/ m3</t>
  </si>
  <si>
    <t>3.7</t>
  </si>
  <si>
    <t>F et P Porte métallique tôle pleine double face de 140x220</t>
  </si>
  <si>
    <t>F et P Fenetre métallique persiennée à lame orientable de 120x45</t>
  </si>
  <si>
    <t>BLOC LATRINES A 4 CABINES</t>
  </si>
  <si>
    <t>Fouilles en rigoles pour semelles:</t>
  </si>
  <si>
    <t>Remblai des fouilles:</t>
  </si>
  <si>
    <t>Remblai latéritique arrosé et compacté sous dallage:</t>
  </si>
  <si>
    <t>Sous- total 1</t>
  </si>
  <si>
    <t>Fondation-Soubassement-Elévation</t>
  </si>
  <si>
    <t>Béton de propreté dosé à 150 kg/m3 (ép 5 cm)</t>
  </si>
  <si>
    <t>Béton armé pour semelles dosé à 350kg/m3 (ép 20 cm)</t>
  </si>
  <si>
    <t>Agglos pleins de 20x20x40</t>
  </si>
  <si>
    <t xml:space="preserve">B.A dosé à 350 kg/m3 pour amorces poteaux </t>
  </si>
  <si>
    <t>B.Adosé à 350 kg/m3 pour  chainage bas dosé à 350 kg/m3</t>
  </si>
  <si>
    <t>Maçonnerie en agglos creux de 15x20x40</t>
  </si>
  <si>
    <t>B.A dosé à 350 kg/m3 pour poteaux en élévation</t>
  </si>
  <si>
    <t xml:space="preserve">B.A dosé à 350 kg/m3 pour chainage-linteaux </t>
  </si>
  <si>
    <t>2.9</t>
  </si>
  <si>
    <t>B.A dosé à 350 kg/m3 pour chainage haut</t>
  </si>
  <si>
    <t>2.10</t>
  </si>
  <si>
    <t>B.A dosé à 350 kg/m3 pour couronnement</t>
  </si>
  <si>
    <t>2.11</t>
  </si>
  <si>
    <t xml:space="preserve">B.A pour marches </t>
  </si>
  <si>
    <t>2.12</t>
  </si>
  <si>
    <t xml:space="preserve">Forme d'aire en BA de 10 cm </t>
  </si>
  <si>
    <t>Sous- total 2</t>
  </si>
  <si>
    <t>Carrelage au sol</t>
  </si>
  <si>
    <t>Faiences murales ht 1,00m</t>
  </si>
  <si>
    <t>Enduits sur murs extétieurs tyroliens</t>
  </si>
  <si>
    <t>Enduit ciment lissé sur murs intérieurs</t>
  </si>
  <si>
    <t>Sous- total 3</t>
  </si>
  <si>
    <t>4.4</t>
  </si>
  <si>
    <t>Sous- total 4</t>
  </si>
  <si>
    <t>Porte métallique en tôle pleine de 10/10 double face à 1 battant 70x210</t>
  </si>
  <si>
    <t>F et P Grille métallique de 120x60</t>
  </si>
  <si>
    <t>Sous- total 5</t>
  </si>
  <si>
    <t xml:space="preserve">Peinture à huile mur intérieur </t>
  </si>
  <si>
    <t>Peinture à huile sur ménuiseries métalliques</t>
  </si>
  <si>
    <t>Sous- total 6</t>
  </si>
  <si>
    <t>7.1</t>
  </si>
  <si>
    <t>Fosse septique 50 usagers</t>
  </si>
  <si>
    <t>7.2</t>
  </si>
  <si>
    <t>Puisard 50 usagers</t>
  </si>
  <si>
    <t>7.3</t>
  </si>
  <si>
    <t xml:space="preserve">Regard </t>
  </si>
  <si>
    <t>7.4</t>
  </si>
  <si>
    <t>Tuyauterie d'alimentation</t>
  </si>
  <si>
    <t>7.5</t>
  </si>
  <si>
    <t>Tuyauterie d'évacution</t>
  </si>
  <si>
    <t>7.6</t>
  </si>
  <si>
    <t>Fourniture et pose lavabo moulé dans le béton</t>
  </si>
  <si>
    <t>7.7</t>
  </si>
  <si>
    <t>Fourniture et pose robinet de douche</t>
  </si>
  <si>
    <t>7.8</t>
  </si>
  <si>
    <t>Fourniture et pose WC à la turque</t>
  </si>
  <si>
    <t>F + P tuyau en PVC de 100  pour ventilation des fosses y compris coudes, tés et toutes sujétions</t>
  </si>
  <si>
    <t>Sous- total 7</t>
  </si>
  <si>
    <t>Préparation du terrain et implatation</t>
  </si>
  <si>
    <t>Fouille en trou de 0,3x0,3x0,50 et 0,8*0,8*0,8</t>
  </si>
  <si>
    <t xml:space="preserve">Gros béton de fixation des poteaux en cornieres 0,3x0,3x0,50 sous poteaux support des cornieres        </t>
  </si>
  <si>
    <t xml:space="preserve">Béton armé pour semelle isolée 0,8x0,8x0,2 sous poteaux portail et portillon      </t>
  </si>
  <si>
    <t>Béton armé pour poteaux portail et portillon de 30x30  y compris enduits</t>
  </si>
  <si>
    <t>Fourniture et pose poteau de tension avec jambe de force  de 2,5m en corniere de 40/4 tous les 15m et aux angles</t>
  </si>
  <si>
    <t xml:space="preserve">Fourniture et pose poteau intermédiaire  de 2,5m en corniere de 40/4 esp de 3m </t>
  </si>
  <si>
    <r>
      <t xml:space="preserve">Fourniture et pose de grillage de bonne qualité en fil galva de </t>
    </r>
    <r>
      <rPr>
        <sz val="11"/>
        <color theme="1"/>
        <rFont val="Calibri"/>
        <family val="2"/>
      </rPr>
      <t>Ø2,5mm hauteur 1,5m</t>
    </r>
  </si>
  <si>
    <r>
      <t xml:space="preserve">Fourniture et pose  4 rangées de fil galva tendeur de </t>
    </r>
    <r>
      <rPr>
        <sz val="11"/>
        <color theme="1"/>
        <rFont val="Calibri"/>
        <family val="2"/>
      </rPr>
      <t>Ø2,5mm y compris tendeurs et toutes sujétions</t>
    </r>
  </si>
  <si>
    <t>Fourniture et pose du portail métallique double batant de 3mx2m</t>
  </si>
  <si>
    <t>Fourniture et pose porte métallique de 1mx2m</t>
  </si>
  <si>
    <t>F et P d'une plaque signalétique métallique sur pied de 150 x75 pour identification </t>
  </si>
  <si>
    <t>Poulailler</t>
  </si>
  <si>
    <t>Bergérie</t>
  </si>
  <si>
    <t>Etang</t>
  </si>
  <si>
    <t>CONSTRUCTION D'INFRASTRUCTURES D'EXPERIMENTATION AGRO-SYLVO-PASTORALES ET HALIEUTIQUES</t>
  </si>
  <si>
    <t xml:space="preserve"> </t>
  </si>
  <si>
    <t>Total SALLE DE TRANSFORMATION</t>
  </si>
  <si>
    <t>Total MAGASIN</t>
  </si>
  <si>
    <t>CLOTURE GRILLAGEE DE 1504ml (828 à Téra et 676 à Ouallam)</t>
  </si>
  <si>
    <t>Cloture grillagée (1504ml, 828 à Téra et 676 à Ouallam)</t>
  </si>
  <si>
    <t>Construction magasin</t>
  </si>
  <si>
    <t>IX</t>
  </si>
  <si>
    <t>9.1</t>
  </si>
  <si>
    <t>Compostières</t>
  </si>
  <si>
    <t>Aménagement de 2 fosses compostières</t>
  </si>
  <si>
    <t>Total 1 Latrine de 4 blocs</t>
  </si>
  <si>
    <t>TOTAL CLOTURE GRILLAGEE (1504ml)</t>
  </si>
  <si>
    <t>GÉNÉRALITÉS</t>
  </si>
  <si>
    <t>Total Généralités</t>
  </si>
  <si>
    <t>Installation et repli du chantier y compris préparation du terrain, abattage d'arbre, nivellement et nettoyage général</t>
  </si>
  <si>
    <t>H</t>
  </si>
  <si>
    <t>Généralités : Installation et repli du chantier y compris préparation du terrain, abattage d'arbre, nivellement et nettoyage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</si>
</sst>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00"/>
    <numFmt numFmtId="166" formatCode="#,##0.000"/>
    <numFmt numFmtId="167" formatCode="0.000"/>
    <numFmt numFmtId="168" formatCode="#,##0_ ;\-#,##0\ "/>
    <numFmt numFmtId="169" formatCode="#,##0.0_ ;\-#,##0.0\ 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585756"/>
      <name val="Times New Roman"/>
      <family val="1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14"/>
      <color rgb="FF000000"/>
      <name val="Times New Roman"/>
      <family val="1"/>
    </font>
    <font>
      <sz val="10"/>
      <color theme="1"/>
      <name val="Arial"/>
      <family val="2"/>
    </font>
    <font>
      <sz val="10"/>
      <color rgb="FF585756"/>
      <name val="Arial"/>
      <family val="2"/>
    </font>
    <font>
      <b/>
      <sz val="11"/>
      <color rgb="FF000000"/>
      <name val="Times New Roman"/>
      <family val="1"/>
    </font>
    <font>
      <sz val="11"/>
      <color rgb="FF585756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C00000"/>
      <name val="Arial"/>
      <family val="2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3" fillId="0" borderId="0" xfId="2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15" fillId="0" borderId="0" xfId="0" applyNumberFormat="1" applyFont="1"/>
    <xf numFmtId="166" fontId="7" fillId="0" borderId="1" xfId="0" applyNumberFormat="1" applyFont="1" applyBorder="1" applyAlignment="1">
      <alignment vertical="center"/>
    </xf>
    <xf numFmtId="0" fontId="22" fillId="0" borderId="1" xfId="0" applyFont="1" applyBorder="1"/>
    <xf numFmtId="166" fontId="23" fillId="0" borderId="0" xfId="0" applyNumberFormat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166" fontId="15" fillId="0" borderId="0" xfId="0" applyNumberFormat="1" applyFont="1"/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27" fillId="0" borderId="1" xfId="0" applyFont="1" applyBorder="1" applyAlignment="1">
      <alignment horizontal="left" vertical="center" wrapText="1"/>
    </xf>
    <xf numFmtId="16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68" fontId="0" fillId="0" borderId="1" xfId="3" applyNumberFormat="1" applyFont="1" applyBorder="1" applyAlignment="1">
      <alignment horizontal="center" vertical="center"/>
    </xf>
    <xf numFmtId="169" fontId="0" fillId="0" borderId="1" xfId="3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9" fontId="5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0" fontId="5" fillId="0" borderId="1" xfId="3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/>
    <xf numFmtId="167" fontId="30" fillId="2" borderId="1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4">
    <cellStyle name="Hyperlink" xfId="1" xr:uid="{908976B6-61FB-4DE9-B58F-9FEBEBA40758}"/>
    <cellStyle name="Milliers 2" xfId="3" xr:uid="{994557E0-7F07-4509-9801-52E2C592B594}"/>
    <cellStyle name="Normal" xfId="0" builtinId="0"/>
    <cellStyle name="Normal 14" xfId="2" xr:uid="{0075DC10-54FA-4BF7-BA5C-A69CD211B8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1989-B221-4C7E-A174-B5A1FFFF2F01}">
  <dimension ref="A3:G30"/>
  <sheetViews>
    <sheetView tabSelected="1" view="pageBreakPreview" zoomScaleNormal="100" zoomScaleSheetLayoutView="100" workbookViewId="0">
      <selection activeCell="K13" sqref="K13"/>
    </sheetView>
  </sheetViews>
  <sheetFormatPr baseColWidth="10" defaultRowHeight="14.4" x14ac:dyDescent="0.3"/>
  <cols>
    <col min="1" max="1" width="5.6640625" customWidth="1"/>
    <col min="2" max="2" width="48.6640625" customWidth="1"/>
    <col min="3" max="3" width="8.6640625" bestFit="1" customWidth="1"/>
    <col min="4" max="4" width="13.5546875" bestFit="1" customWidth="1"/>
    <col min="5" max="5" width="16.109375" customWidth="1"/>
    <col min="6" max="6" width="12.109375" bestFit="1" customWidth="1"/>
    <col min="7" max="7" width="12.77734375" customWidth="1"/>
  </cols>
  <sheetData>
    <row r="3" spans="1:7" ht="37.5" customHeight="1" x14ac:dyDescent="0.3">
      <c r="A3" s="103" t="s">
        <v>250</v>
      </c>
      <c r="B3" s="103"/>
      <c r="C3" s="103"/>
      <c r="D3" s="103"/>
      <c r="E3" s="103"/>
      <c r="F3" s="103"/>
      <c r="G3" s="103"/>
    </row>
    <row r="5" spans="1:7" ht="15.6" x14ac:dyDescent="0.3">
      <c r="A5" s="104" t="s">
        <v>10</v>
      </c>
      <c r="B5" s="104"/>
      <c r="C5" s="104"/>
      <c r="D5" s="104"/>
      <c r="E5" s="104"/>
      <c r="F5" s="104"/>
      <c r="G5" s="104"/>
    </row>
    <row r="6" spans="1:7" ht="15.6" x14ac:dyDescent="0.3">
      <c r="A6" s="105" t="s">
        <v>7</v>
      </c>
      <c r="B6" s="105"/>
      <c r="C6" s="105"/>
      <c r="D6" s="105"/>
      <c r="E6" s="105"/>
      <c r="F6" s="105"/>
      <c r="G6" s="105"/>
    </row>
    <row r="8" spans="1:7" ht="28.8" x14ac:dyDescent="0.3">
      <c r="A8" s="3" t="s">
        <v>9</v>
      </c>
      <c r="B8" s="4" t="s">
        <v>0</v>
      </c>
      <c r="C8" s="5" t="s">
        <v>11</v>
      </c>
      <c r="D8" s="4" t="s">
        <v>12</v>
      </c>
      <c r="E8" s="6" t="s">
        <v>13</v>
      </c>
      <c r="F8" s="4" t="s">
        <v>14</v>
      </c>
      <c r="G8" s="6" t="s">
        <v>15</v>
      </c>
    </row>
    <row r="9" spans="1:7" ht="43.2" x14ac:dyDescent="0.3">
      <c r="A9" s="7" t="s">
        <v>16</v>
      </c>
      <c r="B9" s="8" t="s">
        <v>267</v>
      </c>
      <c r="C9" s="3">
        <v>1</v>
      </c>
      <c r="D9" s="10">
        <f>Généralités!E6</f>
        <v>0</v>
      </c>
      <c r="E9" s="11">
        <f t="shared" ref="E9" si="0">D9*C9</f>
        <v>0</v>
      </c>
      <c r="F9" s="10">
        <f t="shared" ref="F9" si="1">D9/655.957</f>
        <v>0</v>
      </c>
      <c r="G9" s="12">
        <f t="shared" ref="G9" si="2">E9/655.957</f>
        <v>0</v>
      </c>
    </row>
    <row r="10" spans="1:7" x14ac:dyDescent="0.3">
      <c r="A10" s="7" t="s">
        <v>17</v>
      </c>
      <c r="B10" s="8" t="s">
        <v>247</v>
      </c>
      <c r="C10" s="9">
        <f>2*2</f>
        <v>4</v>
      </c>
      <c r="D10" s="10">
        <f>Poulailler!F51</f>
        <v>0</v>
      </c>
      <c r="E10" s="11">
        <f t="shared" ref="E10:E16" si="3">D10*C10</f>
        <v>0</v>
      </c>
      <c r="F10" s="10">
        <f t="shared" ref="F10:G16" si="4">D10/655.957</f>
        <v>0</v>
      </c>
      <c r="G10" s="12">
        <f t="shared" si="4"/>
        <v>0</v>
      </c>
    </row>
    <row r="11" spans="1:7" ht="20.100000000000001" customHeight="1" x14ac:dyDescent="0.3">
      <c r="A11" s="7" t="s">
        <v>18</v>
      </c>
      <c r="B11" s="8" t="s">
        <v>248</v>
      </c>
      <c r="C11" s="9">
        <f>1*2</f>
        <v>2</v>
      </c>
      <c r="D11" s="10">
        <f>BERGERIE!F56</f>
        <v>0</v>
      </c>
      <c r="E11" s="11">
        <f t="shared" si="3"/>
        <v>0</v>
      </c>
      <c r="F11" s="10">
        <f t="shared" si="4"/>
        <v>0</v>
      </c>
      <c r="G11" s="12">
        <f t="shared" si="4"/>
        <v>0</v>
      </c>
    </row>
    <row r="12" spans="1:7" ht="20.100000000000001" customHeight="1" x14ac:dyDescent="0.3">
      <c r="A12" s="7" t="s">
        <v>19</v>
      </c>
      <c r="B12" s="8" t="s">
        <v>249</v>
      </c>
      <c r="C12" s="9">
        <f>1*2</f>
        <v>2</v>
      </c>
      <c r="D12" s="10">
        <f>Etang!F43</f>
        <v>0</v>
      </c>
      <c r="E12" s="11">
        <f t="shared" si="3"/>
        <v>0</v>
      </c>
      <c r="F12" s="10">
        <f t="shared" si="4"/>
        <v>0</v>
      </c>
      <c r="G12" s="12">
        <f t="shared" si="4"/>
        <v>0</v>
      </c>
    </row>
    <row r="13" spans="1:7" ht="20.100000000000001" customHeight="1" x14ac:dyDescent="0.3">
      <c r="A13" s="7" t="s">
        <v>20</v>
      </c>
      <c r="B13" s="8" t="s">
        <v>21</v>
      </c>
      <c r="C13" s="9">
        <v>2</v>
      </c>
      <c r="D13" s="10">
        <f>'Salle de Transform'!F57</f>
        <v>0</v>
      </c>
      <c r="E13" s="11">
        <f t="shared" si="3"/>
        <v>0</v>
      </c>
      <c r="F13" s="10">
        <f t="shared" si="4"/>
        <v>0</v>
      </c>
      <c r="G13" s="12">
        <f t="shared" si="4"/>
        <v>0</v>
      </c>
    </row>
    <row r="14" spans="1:7" ht="20.100000000000001" customHeight="1" x14ac:dyDescent="0.3">
      <c r="A14" s="7" t="s">
        <v>22</v>
      </c>
      <c r="B14" s="8" t="s">
        <v>256</v>
      </c>
      <c r="C14" s="9">
        <v>2</v>
      </c>
      <c r="D14" s="10">
        <f>Magasin!F54</f>
        <v>0</v>
      </c>
      <c r="E14" s="11">
        <f t="shared" si="3"/>
        <v>0</v>
      </c>
      <c r="F14" s="10">
        <f t="shared" si="4"/>
        <v>0</v>
      </c>
      <c r="G14" s="12">
        <f t="shared" si="4"/>
        <v>0</v>
      </c>
    </row>
    <row r="15" spans="1:7" ht="20.100000000000001" customHeight="1" x14ac:dyDescent="0.3">
      <c r="A15" s="7" t="s">
        <v>23</v>
      </c>
      <c r="B15" s="8" t="s">
        <v>24</v>
      </c>
      <c r="C15" s="9">
        <v>2</v>
      </c>
      <c r="D15" s="10">
        <f>'latrines à 4 cabines'!F56</f>
        <v>0</v>
      </c>
      <c r="E15" s="11">
        <f t="shared" si="3"/>
        <v>0</v>
      </c>
      <c r="F15" s="10">
        <f t="shared" si="4"/>
        <v>0</v>
      </c>
      <c r="G15" s="12">
        <f t="shared" si="4"/>
        <v>0</v>
      </c>
    </row>
    <row r="16" spans="1:7" ht="20.100000000000001" customHeight="1" x14ac:dyDescent="0.3">
      <c r="A16" s="7" t="s">
        <v>266</v>
      </c>
      <c r="B16" s="8" t="s">
        <v>255</v>
      </c>
      <c r="C16" s="9">
        <v>1</v>
      </c>
      <c r="D16" s="10">
        <f>'Cloture Grillagée'!F20</f>
        <v>0</v>
      </c>
      <c r="E16" s="11">
        <f t="shared" si="3"/>
        <v>0</v>
      </c>
      <c r="F16" s="10">
        <f t="shared" si="4"/>
        <v>0</v>
      </c>
      <c r="G16" s="12">
        <f t="shared" si="4"/>
        <v>0</v>
      </c>
    </row>
    <row r="17" spans="1:7" ht="20.100000000000001" customHeight="1" x14ac:dyDescent="0.3">
      <c r="A17" s="13"/>
      <c r="B17" s="14" t="s">
        <v>25</v>
      </c>
      <c r="C17" s="3"/>
      <c r="D17" s="15"/>
      <c r="E17" s="16">
        <f>SUM(E9:E16)</f>
        <v>0</v>
      </c>
      <c r="F17" s="16"/>
      <c r="G17" s="17">
        <f>SUM(G9:G16)</f>
        <v>0</v>
      </c>
    </row>
    <row r="20" spans="1:7" ht="15.6" x14ac:dyDescent="0.3">
      <c r="A20" s="105" t="s">
        <v>8</v>
      </c>
      <c r="B20" s="105"/>
      <c r="C20" s="105"/>
      <c r="D20" s="105"/>
      <c r="E20" s="105"/>
      <c r="F20" s="105"/>
      <c r="G20" s="105"/>
    </row>
    <row r="22" spans="1:7" ht="28.8" x14ac:dyDescent="0.3">
      <c r="A22" s="3" t="s">
        <v>9</v>
      </c>
      <c r="B22" s="4" t="s">
        <v>0</v>
      </c>
      <c r="C22" s="5" t="s">
        <v>11</v>
      </c>
      <c r="D22" s="4" t="s">
        <v>12</v>
      </c>
      <c r="E22" s="6" t="s">
        <v>13</v>
      </c>
      <c r="F22" s="4" t="s">
        <v>14</v>
      </c>
      <c r="G22" s="6" t="s">
        <v>15</v>
      </c>
    </row>
    <row r="23" spans="1:7" ht="43.2" x14ac:dyDescent="0.3">
      <c r="A23" s="7" t="s">
        <v>16</v>
      </c>
      <c r="B23" s="8" t="s">
        <v>267</v>
      </c>
      <c r="C23" s="3">
        <v>1</v>
      </c>
      <c r="D23" s="10">
        <f>Généralités!E6</f>
        <v>0</v>
      </c>
      <c r="E23" s="11">
        <f t="shared" ref="E23" si="5">D23*C23</f>
        <v>0</v>
      </c>
      <c r="F23" s="10">
        <f t="shared" ref="F23" si="6">D23/655.957</f>
        <v>0</v>
      </c>
      <c r="G23" s="12">
        <f t="shared" ref="G23" si="7">E23/655.957</f>
        <v>0</v>
      </c>
    </row>
    <row r="24" spans="1:7" x14ac:dyDescent="0.3">
      <c r="A24" s="7" t="s">
        <v>17</v>
      </c>
      <c r="B24" s="8" t="s">
        <v>247</v>
      </c>
      <c r="C24" s="9">
        <f>2*3</f>
        <v>6</v>
      </c>
      <c r="D24" s="10">
        <f>Poulailler!F51</f>
        <v>0</v>
      </c>
      <c r="E24" s="11">
        <f t="shared" ref="E24:E29" si="8">D24*C24</f>
        <v>0</v>
      </c>
      <c r="F24" s="10">
        <f t="shared" ref="F24:F29" si="9">D24/655.957</f>
        <v>0</v>
      </c>
      <c r="G24" s="12">
        <f t="shared" ref="G24:G29" si="10">E24/655.957</f>
        <v>0</v>
      </c>
    </row>
    <row r="25" spans="1:7" x14ac:dyDescent="0.3">
      <c r="A25" s="7" t="s">
        <v>18</v>
      </c>
      <c r="B25" s="8" t="s">
        <v>248</v>
      </c>
      <c r="C25" s="9">
        <f>1*3</f>
        <v>3</v>
      </c>
      <c r="D25" s="10">
        <f>BERGERIE!F56</f>
        <v>0</v>
      </c>
      <c r="E25" s="11">
        <f t="shared" si="8"/>
        <v>0</v>
      </c>
      <c r="F25" s="10">
        <f t="shared" si="9"/>
        <v>0</v>
      </c>
      <c r="G25" s="12">
        <f t="shared" si="10"/>
        <v>0</v>
      </c>
    </row>
    <row r="26" spans="1:7" x14ac:dyDescent="0.3">
      <c r="A26" s="7" t="s">
        <v>19</v>
      </c>
      <c r="B26" s="8" t="s">
        <v>249</v>
      </c>
      <c r="C26" s="9">
        <f>1*3</f>
        <v>3</v>
      </c>
      <c r="D26" s="10">
        <f>Etang!F43</f>
        <v>0</v>
      </c>
      <c r="E26" s="11">
        <f t="shared" si="8"/>
        <v>0</v>
      </c>
      <c r="F26" s="10">
        <f t="shared" si="9"/>
        <v>0</v>
      </c>
      <c r="G26" s="12">
        <f t="shared" si="10"/>
        <v>0</v>
      </c>
    </row>
    <row r="27" spans="1:7" x14ac:dyDescent="0.3">
      <c r="A27" s="7" t="s">
        <v>20</v>
      </c>
      <c r="B27" s="8" t="s">
        <v>21</v>
      </c>
      <c r="C27" s="9">
        <v>3</v>
      </c>
      <c r="D27" s="10">
        <f>'Salle de Transform'!F57</f>
        <v>0</v>
      </c>
      <c r="E27" s="11">
        <f t="shared" si="8"/>
        <v>0</v>
      </c>
      <c r="F27" s="10">
        <f t="shared" si="9"/>
        <v>0</v>
      </c>
      <c r="G27" s="12">
        <f t="shared" si="10"/>
        <v>0</v>
      </c>
    </row>
    <row r="28" spans="1:7" x14ac:dyDescent="0.3">
      <c r="A28" s="7" t="s">
        <v>22</v>
      </c>
      <c r="B28" s="8" t="s">
        <v>256</v>
      </c>
      <c r="C28" s="9">
        <v>3</v>
      </c>
      <c r="D28" s="10">
        <f>Magasin!F54</f>
        <v>0</v>
      </c>
      <c r="E28" s="11">
        <f t="shared" si="8"/>
        <v>0</v>
      </c>
      <c r="F28" s="10">
        <f t="shared" si="9"/>
        <v>0</v>
      </c>
      <c r="G28" s="12">
        <f t="shared" si="10"/>
        <v>0</v>
      </c>
    </row>
    <row r="29" spans="1:7" x14ac:dyDescent="0.3">
      <c r="A29" s="7" t="s">
        <v>23</v>
      </c>
      <c r="B29" s="8" t="s">
        <v>24</v>
      </c>
      <c r="C29" s="9">
        <v>2</v>
      </c>
      <c r="D29" s="10">
        <f>'latrines à 4 cabines'!F56</f>
        <v>0</v>
      </c>
      <c r="E29" s="11">
        <f t="shared" si="8"/>
        <v>0</v>
      </c>
      <c r="F29" s="10">
        <f t="shared" si="9"/>
        <v>0</v>
      </c>
      <c r="G29" s="12">
        <f t="shared" si="10"/>
        <v>0</v>
      </c>
    </row>
    <row r="30" spans="1:7" x14ac:dyDescent="0.3">
      <c r="A30" s="13"/>
      <c r="B30" s="14" t="s">
        <v>25</v>
      </c>
      <c r="C30" s="3"/>
      <c r="D30" s="15"/>
      <c r="E30" s="16">
        <f>SUM(E23:E29)</f>
        <v>0</v>
      </c>
      <c r="F30" s="16"/>
      <c r="G30" s="17">
        <f>SUM(G23:G29)</f>
        <v>0</v>
      </c>
    </row>
  </sheetData>
  <mergeCells count="4">
    <mergeCell ref="A3:G3"/>
    <mergeCell ref="A5:G5"/>
    <mergeCell ref="A6:G6"/>
    <mergeCell ref="A20:G20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E9A6-4E0D-444E-AFE1-C838A96D607E}">
  <dimension ref="A1:H12"/>
  <sheetViews>
    <sheetView showZeros="0" zoomScale="80" zoomScaleNormal="80" workbookViewId="0">
      <selection activeCell="K12" sqref="K12"/>
    </sheetView>
  </sheetViews>
  <sheetFormatPr baseColWidth="10" defaultRowHeight="14.4" x14ac:dyDescent="0.3"/>
  <cols>
    <col min="1" max="1" width="5.6640625" customWidth="1"/>
    <col min="2" max="2" width="48.6640625" customWidth="1"/>
    <col min="3" max="3" width="6.33203125" bestFit="1" customWidth="1"/>
    <col min="4" max="4" width="8.6640625" bestFit="1" customWidth="1"/>
    <col min="5" max="5" width="12.6640625" customWidth="1"/>
    <col min="6" max="6" width="13.5546875" bestFit="1" customWidth="1"/>
    <col min="7" max="8" width="12.6640625" customWidth="1"/>
  </cols>
  <sheetData>
    <row r="1" spans="1:8" ht="15.6" x14ac:dyDescent="0.3">
      <c r="A1" s="103" t="s">
        <v>26</v>
      </c>
      <c r="B1" s="103"/>
      <c r="C1" s="103"/>
      <c r="D1" s="103"/>
      <c r="E1" s="103"/>
      <c r="F1" s="103"/>
      <c r="G1" s="103"/>
      <c r="H1" s="103"/>
    </row>
    <row r="2" spans="1:8" ht="17.399999999999999" x14ac:dyDescent="0.3">
      <c r="A2" s="106" t="s">
        <v>27</v>
      </c>
      <c r="B2" s="106"/>
      <c r="C2" s="106"/>
      <c r="D2" s="106"/>
      <c r="E2" s="106"/>
      <c r="F2" s="106"/>
      <c r="G2" s="106"/>
      <c r="H2" s="106"/>
    </row>
    <row r="3" spans="1:8" ht="29.25" customHeight="1" x14ac:dyDescent="0.3">
      <c r="A3" s="104" t="s">
        <v>263</v>
      </c>
      <c r="B3" s="104"/>
      <c r="C3" s="104"/>
      <c r="D3" s="104"/>
      <c r="E3" s="104"/>
      <c r="F3" s="104"/>
      <c r="G3" s="104"/>
      <c r="H3" s="104"/>
    </row>
    <row r="4" spans="1:8" x14ac:dyDescent="0.3">
      <c r="A4" s="19"/>
      <c r="B4" s="20"/>
      <c r="C4" s="19"/>
      <c r="D4" s="21"/>
      <c r="E4" s="21"/>
      <c r="F4" s="22"/>
      <c r="G4" s="23"/>
      <c r="H4" s="24"/>
    </row>
    <row r="5" spans="1:8" ht="28.8" x14ac:dyDescent="0.3">
      <c r="A5" s="5" t="s">
        <v>9</v>
      </c>
      <c r="B5" s="4" t="s">
        <v>0</v>
      </c>
      <c r="C5" s="5" t="s">
        <v>1</v>
      </c>
      <c r="D5" s="5" t="s">
        <v>29</v>
      </c>
      <c r="E5" s="4" t="s">
        <v>30</v>
      </c>
      <c r="F5" s="6" t="s">
        <v>31</v>
      </c>
      <c r="G5" s="4" t="s">
        <v>14</v>
      </c>
      <c r="H5" s="6" t="s">
        <v>15</v>
      </c>
    </row>
    <row r="6" spans="1:8" ht="43.2" x14ac:dyDescent="0.3">
      <c r="A6" s="7" t="s">
        <v>34</v>
      </c>
      <c r="B6" s="8" t="s">
        <v>265</v>
      </c>
      <c r="C6" s="30" t="s">
        <v>2</v>
      </c>
      <c r="D6" s="9">
        <v>1</v>
      </c>
      <c r="E6" s="31"/>
      <c r="F6" s="11">
        <f t="shared" ref="F6" si="0">E6*D6</f>
        <v>0</v>
      </c>
      <c r="G6" s="10">
        <f t="shared" ref="G6:H6" si="1">E6/655.957</f>
        <v>0</v>
      </c>
      <c r="H6" s="29">
        <f t="shared" si="1"/>
        <v>0</v>
      </c>
    </row>
    <row r="7" spans="1:8" x14ac:dyDescent="0.3">
      <c r="A7" s="13"/>
      <c r="B7" s="33" t="s">
        <v>264</v>
      </c>
      <c r="C7" s="34"/>
      <c r="D7" s="3"/>
      <c r="E7" s="35"/>
      <c r="F7" s="16">
        <f>SUM(F6:F6)</f>
        <v>0</v>
      </c>
      <c r="G7" s="16"/>
      <c r="H7" s="36">
        <f>SUM(H6:H6)</f>
        <v>0</v>
      </c>
    </row>
    <row r="12" spans="1:8" ht="173.4" customHeight="1" x14ac:dyDescent="0.3"/>
  </sheetData>
  <mergeCells count="3">
    <mergeCell ref="A1:H1"/>
    <mergeCell ref="A2:H2"/>
    <mergeCell ref="A3:H3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A5B3-650B-40E5-B71E-4E441744E00A}">
  <sheetPr>
    <pageSetUpPr fitToPage="1"/>
  </sheetPr>
  <dimension ref="A1:L53"/>
  <sheetViews>
    <sheetView showZeros="0" zoomScale="150" zoomScaleNormal="150" workbookViewId="0">
      <selection activeCell="G9" sqref="G9"/>
    </sheetView>
  </sheetViews>
  <sheetFormatPr baseColWidth="10" defaultColWidth="11.5546875" defaultRowHeight="11.4" x14ac:dyDescent="0.2"/>
  <cols>
    <col min="1" max="1" width="5.6640625" style="18" customWidth="1"/>
    <col min="2" max="2" width="48.6640625" style="48" customWidth="1"/>
    <col min="3" max="3" width="6.33203125" style="18" bestFit="1" customWidth="1"/>
    <col min="4" max="4" width="8.6640625" style="49" bestFit="1" customWidth="1"/>
    <col min="5" max="5" width="12.6640625" style="49" customWidth="1"/>
    <col min="6" max="6" width="12.6640625" style="50" customWidth="1"/>
    <col min="7" max="7" width="12.6640625" style="51" customWidth="1"/>
    <col min="8" max="8" width="12.6640625" style="52" customWidth="1"/>
    <col min="9" max="9" width="10" style="18" hidden="1" customWidth="1"/>
    <col min="10" max="12" width="0" style="18" hidden="1" customWidth="1"/>
    <col min="13" max="16384" width="11.5546875" style="18"/>
  </cols>
  <sheetData>
    <row r="1" spans="1:11" ht="15.6" x14ac:dyDescent="0.2">
      <c r="A1" s="103" t="s">
        <v>26</v>
      </c>
      <c r="B1" s="103"/>
      <c r="C1" s="103"/>
      <c r="D1" s="103"/>
      <c r="E1" s="103"/>
      <c r="F1" s="103"/>
      <c r="G1" s="103"/>
      <c r="H1" s="103"/>
    </row>
    <row r="2" spans="1:11" ht="17.399999999999999" x14ac:dyDescent="0.2">
      <c r="A2" s="106" t="s">
        <v>27</v>
      </c>
      <c r="B2" s="106"/>
      <c r="C2" s="106"/>
      <c r="D2" s="106"/>
      <c r="E2" s="106"/>
      <c r="F2" s="106"/>
      <c r="G2" s="106"/>
      <c r="H2" s="106"/>
    </row>
    <row r="3" spans="1:11" ht="15.6" x14ac:dyDescent="0.2">
      <c r="A3" s="104" t="s">
        <v>28</v>
      </c>
      <c r="B3" s="104"/>
      <c r="C3" s="104"/>
      <c r="D3" s="104"/>
      <c r="E3" s="104"/>
      <c r="F3" s="104"/>
      <c r="G3" s="104"/>
      <c r="H3" s="104"/>
    </row>
    <row r="4" spans="1:11" ht="15" customHeight="1" x14ac:dyDescent="0.3">
      <c r="A4" s="19"/>
      <c r="B4" s="20"/>
      <c r="C4" s="19"/>
      <c r="D4" s="21"/>
      <c r="E4" s="21"/>
      <c r="F4" s="22"/>
      <c r="G4" s="23"/>
      <c r="H4" s="24"/>
      <c r="I4" s="2"/>
    </row>
    <row r="5" spans="1:11" ht="28.8" x14ac:dyDescent="0.2">
      <c r="A5" s="5" t="s">
        <v>9</v>
      </c>
      <c r="B5" s="4" t="s">
        <v>0</v>
      </c>
      <c r="C5" s="5" t="s">
        <v>1</v>
      </c>
      <c r="D5" s="5" t="s">
        <v>29</v>
      </c>
      <c r="E5" s="4" t="s">
        <v>30</v>
      </c>
      <c r="F5" s="6" t="s">
        <v>31</v>
      </c>
      <c r="G5" s="4" t="s">
        <v>14</v>
      </c>
      <c r="H5" s="6" t="s">
        <v>15</v>
      </c>
      <c r="J5" s="25">
        <f>3.15*3*2+3.5*4</f>
        <v>32.9</v>
      </c>
      <c r="K5" s="18">
        <f>9.65*3.7</f>
        <v>35.705000000000005</v>
      </c>
    </row>
    <row r="6" spans="1:11" ht="14.4" x14ac:dyDescent="0.2">
      <c r="A6" s="26" t="s">
        <v>32</v>
      </c>
      <c r="B6" s="14" t="s">
        <v>33</v>
      </c>
      <c r="C6" s="27"/>
      <c r="D6" s="3"/>
      <c r="E6" s="3"/>
      <c r="F6" s="28"/>
      <c r="G6" s="10"/>
      <c r="H6" s="29"/>
    </row>
    <row r="7" spans="1:11" ht="14.4" x14ac:dyDescent="0.2">
      <c r="A7" s="7" t="s">
        <v>34</v>
      </c>
      <c r="B7" s="8" t="s">
        <v>35</v>
      </c>
      <c r="C7" s="30" t="s">
        <v>2</v>
      </c>
      <c r="D7" s="9">
        <v>1</v>
      </c>
      <c r="E7" s="31"/>
      <c r="F7" s="11">
        <f t="shared" ref="F7:F10" si="0">E7*D7</f>
        <v>0</v>
      </c>
      <c r="G7" s="10">
        <f t="shared" ref="G7:H10" si="1">E7/655.957</f>
        <v>0</v>
      </c>
      <c r="H7" s="29">
        <f t="shared" si="1"/>
        <v>0</v>
      </c>
    </row>
    <row r="8" spans="1:11" ht="33" customHeight="1" x14ac:dyDescent="0.2">
      <c r="A8" s="7" t="s">
        <v>36</v>
      </c>
      <c r="B8" s="8" t="s">
        <v>37</v>
      </c>
      <c r="C8" s="30" t="s">
        <v>3</v>
      </c>
      <c r="D8" s="9">
        <f>J5*0.5*0.8+(7.1+3.5)*2*0.5</f>
        <v>23.759999999999998</v>
      </c>
      <c r="E8" s="31"/>
      <c r="F8" s="11">
        <f t="shared" si="0"/>
        <v>0</v>
      </c>
      <c r="G8" s="10">
        <f t="shared" si="1"/>
        <v>0</v>
      </c>
      <c r="H8" s="29">
        <f t="shared" si="1"/>
        <v>0</v>
      </c>
    </row>
    <row r="9" spans="1:11" ht="15.75" customHeight="1" x14ac:dyDescent="0.2">
      <c r="A9" s="7" t="s">
        <v>38</v>
      </c>
      <c r="B9" s="8" t="s">
        <v>39</v>
      </c>
      <c r="C9" s="30" t="s">
        <v>3</v>
      </c>
      <c r="D9" s="32">
        <f>J5*0.3*0.55</f>
        <v>5.4284999999999997</v>
      </c>
      <c r="E9" s="31"/>
      <c r="F9" s="11">
        <f t="shared" si="0"/>
        <v>0</v>
      </c>
      <c r="G9" s="10">
        <f t="shared" si="1"/>
        <v>0</v>
      </c>
      <c r="H9" s="29">
        <f t="shared" si="1"/>
        <v>0</v>
      </c>
    </row>
    <row r="10" spans="1:11" ht="18" customHeight="1" x14ac:dyDescent="0.2">
      <c r="A10" s="7" t="s">
        <v>40</v>
      </c>
      <c r="B10" s="8" t="s">
        <v>41</v>
      </c>
      <c r="C10" s="30" t="s">
        <v>3</v>
      </c>
      <c r="D10" s="32">
        <f>(3.35*3)*3*0.2</f>
        <v>6.0300000000000011</v>
      </c>
      <c r="E10" s="31"/>
      <c r="F10" s="11">
        <f t="shared" si="0"/>
        <v>0</v>
      </c>
      <c r="G10" s="10">
        <f t="shared" si="1"/>
        <v>0</v>
      </c>
      <c r="H10" s="29">
        <f t="shared" si="1"/>
        <v>0</v>
      </c>
    </row>
    <row r="11" spans="1:11" ht="14.4" x14ac:dyDescent="0.2">
      <c r="A11" s="13"/>
      <c r="B11" s="33" t="s">
        <v>42</v>
      </c>
      <c r="C11" s="34"/>
      <c r="D11" s="3"/>
      <c r="E11" s="35"/>
      <c r="F11" s="16">
        <f>SUM(F7:F10)</f>
        <v>0</v>
      </c>
      <c r="G11" s="16"/>
      <c r="H11" s="36">
        <f>SUM(H7:H10)</f>
        <v>0</v>
      </c>
    </row>
    <row r="12" spans="1:11" ht="14.4" x14ac:dyDescent="0.2">
      <c r="A12" s="26" t="s">
        <v>43</v>
      </c>
      <c r="B12" s="14" t="s">
        <v>44</v>
      </c>
      <c r="C12" s="27"/>
      <c r="D12" s="3"/>
      <c r="E12" s="35"/>
      <c r="F12" s="28"/>
      <c r="G12" s="10"/>
      <c r="H12" s="37"/>
    </row>
    <row r="13" spans="1:11" ht="17.25" customHeight="1" x14ac:dyDescent="0.2">
      <c r="A13" s="7" t="s">
        <v>45</v>
      </c>
      <c r="B13" s="8" t="s">
        <v>46</v>
      </c>
      <c r="C13" s="30" t="s">
        <v>3</v>
      </c>
      <c r="D13" s="32">
        <f>J5*0.5*0.05</f>
        <v>0.82250000000000001</v>
      </c>
      <c r="E13" s="31"/>
      <c r="F13" s="11">
        <f>E13*D13</f>
        <v>0</v>
      </c>
      <c r="G13" s="10">
        <f t="shared" ref="G13:H18" si="2">E13/655.957</f>
        <v>0</v>
      </c>
      <c r="H13" s="29">
        <f t="shared" si="2"/>
        <v>0</v>
      </c>
    </row>
    <row r="14" spans="1:11" ht="19.5" customHeight="1" x14ac:dyDescent="0.2">
      <c r="A14" s="7" t="s">
        <v>47</v>
      </c>
      <c r="B14" s="8" t="s">
        <v>48</v>
      </c>
      <c r="C14" s="30" t="s">
        <v>3</v>
      </c>
      <c r="D14" s="32">
        <f>J5*0.5*0.2</f>
        <v>3.29</v>
      </c>
      <c r="E14" s="31"/>
      <c r="F14" s="11">
        <f t="shared" ref="F14:F18" si="3">E14*D14</f>
        <v>0</v>
      </c>
      <c r="G14" s="10">
        <f t="shared" si="2"/>
        <v>0</v>
      </c>
      <c r="H14" s="29">
        <f t="shared" si="2"/>
        <v>0</v>
      </c>
    </row>
    <row r="15" spans="1:11" ht="34.5" customHeight="1" x14ac:dyDescent="0.2">
      <c r="A15" s="7" t="s">
        <v>49</v>
      </c>
      <c r="B15" s="8" t="s">
        <v>50</v>
      </c>
      <c r="C15" s="30" t="s">
        <v>51</v>
      </c>
      <c r="D15" s="38">
        <f>J5*0.6+(7.1+3.5)*2*0.45</f>
        <v>29.279999999999998</v>
      </c>
      <c r="E15" s="31"/>
      <c r="F15" s="11">
        <f t="shared" si="3"/>
        <v>0</v>
      </c>
      <c r="G15" s="10">
        <f t="shared" si="2"/>
        <v>0</v>
      </c>
      <c r="H15" s="29">
        <f t="shared" si="2"/>
        <v>0</v>
      </c>
    </row>
    <row r="16" spans="1:11" ht="36.75" customHeight="1" x14ac:dyDescent="0.2">
      <c r="A16" s="7" t="s">
        <v>52</v>
      </c>
      <c r="B16" s="8" t="s">
        <v>53</v>
      </c>
      <c r="C16" s="30" t="s">
        <v>3</v>
      </c>
      <c r="D16" s="32">
        <f>8*(0.2*0.2)*0.75</f>
        <v>0.24000000000000005</v>
      </c>
      <c r="E16" s="31"/>
      <c r="F16" s="11">
        <f t="shared" si="3"/>
        <v>0</v>
      </c>
      <c r="G16" s="10">
        <f t="shared" si="2"/>
        <v>0</v>
      </c>
      <c r="H16" s="29">
        <f t="shared" si="2"/>
        <v>0</v>
      </c>
    </row>
    <row r="17" spans="1:10" ht="36" customHeight="1" x14ac:dyDescent="0.2">
      <c r="A17" s="7" t="s">
        <v>54</v>
      </c>
      <c r="B17" s="8" t="s">
        <v>55</v>
      </c>
      <c r="C17" s="30" t="s">
        <v>3</v>
      </c>
      <c r="D17" s="32">
        <f>J5*0.2*0.2</f>
        <v>1.3160000000000001</v>
      </c>
      <c r="E17" s="31"/>
      <c r="F17" s="11">
        <f t="shared" si="3"/>
        <v>0</v>
      </c>
      <c r="G17" s="10">
        <f t="shared" si="2"/>
        <v>0</v>
      </c>
      <c r="H17" s="29">
        <f t="shared" si="2"/>
        <v>0</v>
      </c>
    </row>
    <row r="18" spans="1:10" ht="34.5" customHeight="1" x14ac:dyDescent="0.2">
      <c r="A18" s="7" t="s">
        <v>56</v>
      </c>
      <c r="B18" s="8" t="s">
        <v>57</v>
      </c>
      <c r="C18" s="30" t="s">
        <v>3</v>
      </c>
      <c r="D18" s="32">
        <f>(9.65*2+4.3*2)*0.3*0.1</f>
        <v>0.83699999999999997</v>
      </c>
      <c r="E18" s="31"/>
      <c r="F18" s="11">
        <f t="shared" si="3"/>
        <v>0</v>
      </c>
      <c r="G18" s="10">
        <f t="shared" si="2"/>
        <v>0</v>
      </c>
      <c r="H18" s="29">
        <f t="shared" si="2"/>
        <v>0</v>
      </c>
    </row>
    <row r="19" spans="1:10" ht="34.5" customHeight="1" x14ac:dyDescent="0.2">
      <c r="A19" s="7" t="s">
        <v>58</v>
      </c>
      <c r="B19" s="8" t="s">
        <v>59</v>
      </c>
      <c r="C19" s="30" t="s">
        <v>3</v>
      </c>
      <c r="D19" s="9">
        <f>3*(3.35*3)*0.1</f>
        <v>3.0150000000000006</v>
      </c>
      <c r="E19" s="31"/>
      <c r="F19" s="11">
        <f>E19*D19</f>
        <v>0</v>
      </c>
      <c r="G19" s="10">
        <f>E19/655.957</f>
        <v>0</v>
      </c>
      <c r="H19" s="29">
        <f>F19/655.957</f>
        <v>0</v>
      </c>
    </row>
    <row r="20" spans="1:10" ht="33" customHeight="1" x14ac:dyDescent="0.2">
      <c r="A20" s="7" t="s">
        <v>60</v>
      </c>
      <c r="B20" s="8" t="s">
        <v>61</v>
      </c>
      <c r="C20" s="30" t="s">
        <v>3</v>
      </c>
      <c r="D20" s="9">
        <f>1.2*0.3*0.1*3</f>
        <v>0.10799999999999998</v>
      </c>
      <c r="E20" s="31"/>
      <c r="F20" s="11">
        <f t="shared" ref="F20" si="4">E20*D20</f>
        <v>0</v>
      </c>
      <c r="G20" s="10">
        <f t="shared" ref="G20:H20" si="5">E20/655.957</f>
        <v>0</v>
      </c>
      <c r="H20" s="29">
        <f t="shared" si="5"/>
        <v>0</v>
      </c>
    </row>
    <row r="21" spans="1:10" ht="14.4" x14ac:dyDescent="0.2">
      <c r="A21" s="39"/>
      <c r="B21" s="33" t="s">
        <v>62</v>
      </c>
      <c r="C21" s="34"/>
      <c r="D21" s="3"/>
      <c r="E21" s="35"/>
      <c r="F21" s="16">
        <f>SUM(F13:F20)</f>
        <v>0</v>
      </c>
      <c r="G21" s="16"/>
      <c r="H21" s="36">
        <f>SUM(H13:H20)</f>
        <v>0</v>
      </c>
      <c r="J21" s="18" t="e">
        <f>F21/I4</f>
        <v>#DIV/0!</v>
      </c>
    </row>
    <row r="22" spans="1:10" ht="14.4" x14ac:dyDescent="0.2">
      <c r="A22" s="26" t="s">
        <v>63</v>
      </c>
      <c r="B22" s="14" t="s">
        <v>64</v>
      </c>
      <c r="C22" s="27"/>
      <c r="D22" s="3"/>
      <c r="E22" s="35"/>
      <c r="F22" s="28"/>
      <c r="G22" s="10"/>
      <c r="H22" s="37"/>
    </row>
    <row r="23" spans="1:10" ht="33" customHeight="1" x14ac:dyDescent="0.2">
      <c r="A23" s="7" t="s">
        <v>65</v>
      </c>
      <c r="B23" s="8" t="s">
        <v>66</v>
      </c>
      <c r="C23" s="30" t="s">
        <v>51</v>
      </c>
      <c r="D23" s="38">
        <f>(9.6*1.3)*2+3.35*(2.4+0.25/2)*2+(3.35*(2.4+0.25/2)*2-3.35*0.8*2)</f>
        <v>53.435000000000002</v>
      </c>
      <c r="E23" s="31"/>
      <c r="F23" s="11">
        <f t="shared" ref="F23:F26" si="6">E23*D23</f>
        <v>0</v>
      </c>
      <c r="G23" s="10">
        <f t="shared" ref="G23:H26" si="7">E23/655.957</f>
        <v>0</v>
      </c>
      <c r="H23" s="29">
        <f t="shared" si="7"/>
        <v>0</v>
      </c>
    </row>
    <row r="24" spans="1:10" ht="21" customHeight="1" x14ac:dyDescent="0.2">
      <c r="A24" s="7" t="s">
        <v>67</v>
      </c>
      <c r="B24" s="8" t="s">
        <v>68</v>
      </c>
      <c r="C24" s="30" t="s">
        <v>3</v>
      </c>
      <c r="D24" s="9">
        <f>2*3.35*0.15*0.2</f>
        <v>0.20099999999999998</v>
      </c>
      <c r="E24" s="31"/>
      <c r="F24" s="11">
        <f t="shared" si="6"/>
        <v>0</v>
      </c>
      <c r="G24" s="10">
        <f t="shared" si="7"/>
        <v>0</v>
      </c>
      <c r="H24" s="29">
        <f t="shared" si="7"/>
        <v>0</v>
      </c>
    </row>
    <row r="25" spans="1:10" ht="14.4" x14ac:dyDescent="0.2">
      <c r="A25" s="7" t="s">
        <v>69</v>
      </c>
      <c r="B25" s="8" t="s">
        <v>70</v>
      </c>
      <c r="C25" s="30" t="s">
        <v>3</v>
      </c>
      <c r="D25" s="32">
        <f>8*(0.15*0.15)*2.4</f>
        <v>0.432</v>
      </c>
      <c r="E25" s="31"/>
      <c r="F25" s="11">
        <f t="shared" si="6"/>
        <v>0</v>
      </c>
      <c r="G25" s="10">
        <f t="shared" si="7"/>
        <v>0</v>
      </c>
      <c r="H25" s="29">
        <f t="shared" si="7"/>
        <v>0</v>
      </c>
    </row>
    <row r="26" spans="1:10" ht="34.5" customHeight="1" x14ac:dyDescent="0.2">
      <c r="A26" s="7" t="s">
        <v>71</v>
      </c>
      <c r="B26" s="8" t="s">
        <v>72</v>
      </c>
      <c r="C26" s="30" t="s">
        <v>3</v>
      </c>
      <c r="D26" s="32">
        <f>(2*3.65*0.15*0.3)+(2*3.65*0.15*0.15)</f>
        <v>0.49274999999999991</v>
      </c>
      <c r="E26" s="31"/>
      <c r="F26" s="11">
        <f t="shared" si="6"/>
        <v>0</v>
      </c>
      <c r="G26" s="10">
        <f t="shared" si="7"/>
        <v>0</v>
      </c>
      <c r="H26" s="29">
        <f t="shared" si="7"/>
        <v>0</v>
      </c>
    </row>
    <row r="27" spans="1:10" ht="14.4" x14ac:dyDescent="0.2">
      <c r="A27" s="39"/>
      <c r="B27" s="33" t="s">
        <v>73</v>
      </c>
      <c r="C27" s="34"/>
      <c r="D27" s="3"/>
      <c r="E27" s="35"/>
      <c r="F27" s="16">
        <f>SUM(F23:F26)</f>
        <v>0</v>
      </c>
      <c r="G27" s="16"/>
      <c r="H27" s="36">
        <f>SUM(H23:H26)</f>
        <v>0</v>
      </c>
    </row>
    <row r="28" spans="1:10" ht="14.4" x14ac:dyDescent="0.2">
      <c r="A28" s="26" t="s">
        <v>74</v>
      </c>
      <c r="B28" s="14" t="s">
        <v>75</v>
      </c>
      <c r="C28" s="27"/>
      <c r="D28" s="3"/>
      <c r="E28" s="35"/>
      <c r="F28" s="28"/>
      <c r="G28" s="10"/>
      <c r="H28" s="37"/>
    </row>
    <row r="29" spans="1:10" ht="20.25" customHeight="1" x14ac:dyDescent="0.2">
      <c r="A29" s="7" t="s">
        <v>76</v>
      </c>
      <c r="B29" s="8" t="s">
        <v>77</v>
      </c>
      <c r="C29" s="30" t="s">
        <v>51</v>
      </c>
      <c r="D29" s="9">
        <v>0</v>
      </c>
      <c r="E29" s="31"/>
      <c r="F29" s="11">
        <f>E29*D29</f>
        <v>0</v>
      </c>
      <c r="G29" s="10">
        <f>E29/655.957</f>
        <v>0</v>
      </c>
      <c r="H29" s="29">
        <f>F29/655.957</f>
        <v>0</v>
      </c>
    </row>
    <row r="30" spans="1:10" ht="18" customHeight="1" x14ac:dyDescent="0.2">
      <c r="A30" s="7" t="s">
        <v>78</v>
      </c>
      <c r="B30" s="8" t="s">
        <v>79</v>
      </c>
      <c r="C30" s="30" t="s">
        <v>51</v>
      </c>
      <c r="D30" s="9">
        <v>0</v>
      </c>
      <c r="E30" s="31"/>
      <c r="F30" s="11">
        <f>E30*D30</f>
        <v>0</v>
      </c>
      <c r="G30" s="10">
        <f>E30/655.957</f>
        <v>0</v>
      </c>
      <c r="H30" s="29">
        <f>F30/655.957</f>
        <v>0</v>
      </c>
    </row>
    <row r="31" spans="1:10" ht="14.4" x14ac:dyDescent="0.2">
      <c r="A31" s="39"/>
      <c r="B31" s="33" t="s">
        <v>80</v>
      </c>
      <c r="C31" s="27"/>
      <c r="D31" s="3"/>
      <c r="E31" s="35"/>
      <c r="F31" s="40">
        <f>SUM(F29:F30)</f>
        <v>0</v>
      </c>
      <c r="G31" s="6"/>
      <c r="H31" s="41">
        <f>SUM(H29:H30)</f>
        <v>0</v>
      </c>
    </row>
    <row r="32" spans="1:10" ht="14.4" x14ac:dyDescent="0.2">
      <c r="A32" s="26" t="s">
        <v>81</v>
      </c>
      <c r="B32" s="14" t="s">
        <v>82</v>
      </c>
      <c r="C32" s="27"/>
      <c r="D32" s="3"/>
      <c r="E32" s="35"/>
      <c r="F32" s="28"/>
      <c r="G32" s="10"/>
      <c r="H32" s="37"/>
    </row>
    <row r="33" spans="1:10" ht="33" customHeight="1" x14ac:dyDescent="0.2">
      <c r="A33" s="42" t="s">
        <v>83</v>
      </c>
      <c r="B33" s="8" t="s">
        <v>84</v>
      </c>
      <c r="C33" s="30" t="s">
        <v>85</v>
      </c>
      <c r="D33" s="9">
        <f>9.6*6</f>
        <v>57.599999999999994</v>
      </c>
      <c r="E33" s="31"/>
      <c r="F33" s="11">
        <f t="shared" ref="F33:F36" si="8">E33*D33</f>
        <v>0</v>
      </c>
      <c r="G33" s="10">
        <f t="shared" ref="G33:H36" si="9">E33/655.957</f>
        <v>0</v>
      </c>
      <c r="H33" s="29">
        <f t="shared" si="9"/>
        <v>0</v>
      </c>
    </row>
    <row r="34" spans="1:10" ht="36.75" customHeight="1" x14ac:dyDescent="0.2">
      <c r="A34" s="42" t="s">
        <v>86</v>
      </c>
      <c r="B34" s="8" t="s">
        <v>87</v>
      </c>
      <c r="C34" s="30" t="s">
        <v>51</v>
      </c>
      <c r="D34" s="9">
        <f>9.6*4.05</f>
        <v>38.879999999999995</v>
      </c>
      <c r="E34" s="31"/>
      <c r="F34" s="11">
        <f t="shared" si="8"/>
        <v>0</v>
      </c>
      <c r="G34" s="10">
        <f t="shared" si="9"/>
        <v>0</v>
      </c>
      <c r="H34" s="29">
        <f t="shared" si="9"/>
        <v>0</v>
      </c>
    </row>
    <row r="35" spans="1:10" ht="19.5" customHeight="1" x14ac:dyDescent="0.2">
      <c r="A35" s="42" t="s">
        <v>88</v>
      </c>
      <c r="B35" s="8" t="s">
        <v>89</v>
      </c>
      <c r="C35" s="30" t="s">
        <v>85</v>
      </c>
      <c r="D35" s="9">
        <f>D33</f>
        <v>57.599999999999994</v>
      </c>
      <c r="E35" s="31"/>
      <c r="F35" s="11">
        <f t="shared" si="8"/>
        <v>0</v>
      </c>
      <c r="G35" s="10">
        <f t="shared" si="9"/>
        <v>0</v>
      </c>
      <c r="H35" s="29">
        <f t="shared" si="9"/>
        <v>0</v>
      </c>
    </row>
    <row r="36" spans="1:10" ht="18" customHeight="1" x14ac:dyDescent="0.2">
      <c r="A36" s="42" t="s">
        <v>90</v>
      </c>
      <c r="B36" s="8" t="s">
        <v>91</v>
      </c>
      <c r="C36" s="30" t="s">
        <v>85</v>
      </c>
      <c r="D36" s="9">
        <v>9.6</v>
      </c>
      <c r="E36" s="31"/>
      <c r="F36" s="11">
        <f t="shared" si="8"/>
        <v>0</v>
      </c>
      <c r="G36" s="10">
        <f t="shared" si="9"/>
        <v>0</v>
      </c>
      <c r="H36" s="29">
        <f t="shared" si="9"/>
        <v>0</v>
      </c>
    </row>
    <row r="37" spans="1:10" ht="14.4" x14ac:dyDescent="0.2">
      <c r="A37" s="39"/>
      <c r="B37" s="33" t="s">
        <v>92</v>
      </c>
      <c r="C37" s="34"/>
      <c r="D37" s="3"/>
      <c r="E37" s="35"/>
      <c r="F37" s="16">
        <f>SUM(F33:F36)</f>
        <v>0</v>
      </c>
      <c r="G37" s="16"/>
      <c r="H37" s="36">
        <f>SUM(H33:H36)</f>
        <v>0</v>
      </c>
    </row>
    <row r="38" spans="1:10" ht="14.4" x14ac:dyDescent="0.2">
      <c r="A38" s="26" t="s">
        <v>93</v>
      </c>
      <c r="B38" s="14" t="s">
        <v>94</v>
      </c>
      <c r="C38" s="27"/>
      <c r="D38" s="3"/>
      <c r="E38" s="35"/>
      <c r="F38" s="28"/>
      <c r="G38" s="10"/>
      <c r="H38" s="37"/>
    </row>
    <row r="39" spans="1:10" ht="16.5" customHeight="1" x14ac:dyDescent="0.2">
      <c r="A39" s="42" t="s">
        <v>95</v>
      </c>
      <c r="B39" s="8" t="s">
        <v>96</v>
      </c>
      <c r="C39" s="30" t="s">
        <v>97</v>
      </c>
      <c r="D39" s="9">
        <v>2</v>
      </c>
      <c r="E39" s="31"/>
      <c r="F39" s="11">
        <f>E39*D39</f>
        <v>0</v>
      </c>
      <c r="G39" s="10">
        <f t="shared" ref="G39:H41" si="10">E39/655.957</f>
        <v>0</v>
      </c>
      <c r="H39" s="29">
        <f t="shared" si="10"/>
        <v>0</v>
      </c>
      <c r="J39" s="18">
        <f>45000*0.8*2.1</f>
        <v>75600</v>
      </c>
    </row>
    <row r="40" spans="1:10" ht="28.8" x14ac:dyDescent="0.2">
      <c r="A40" s="42" t="s">
        <v>98</v>
      </c>
      <c r="B40" s="8" t="s">
        <v>99</v>
      </c>
      <c r="C40" s="30" t="s">
        <v>97</v>
      </c>
      <c r="D40" s="9">
        <v>2</v>
      </c>
      <c r="E40" s="31"/>
      <c r="F40" s="11">
        <f>E40*D40</f>
        <v>0</v>
      </c>
      <c r="G40" s="10">
        <f t="shared" si="10"/>
        <v>0</v>
      </c>
      <c r="H40" s="29">
        <f t="shared" si="10"/>
        <v>0</v>
      </c>
      <c r="J40" s="18">
        <f>15000*0.8*3.35</f>
        <v>40200</v>
      </c>
    </row>
    <row r="41" spans="1:10" ht="28.8" x14ac:dyDescent="0.2">
      <c r="A41" s="42" t="s">
        <v>100</v>
      </c>
      <c r="B41" s="8" t="s">
        <v>101</v>
      </c>
      <c r="C41" s="30" t="s">
        <v>97</v>
      </c>
      <c r="D41" s="9">
        <v>6</v>
      </c>
      <c r="E41" s="31"/>
      <c r="F41" s="11">
        <f>E41*D41</f>
        <v>0</v>
      </c>
      <c r="G41" s="10">
        <f t="shared" si="10"/>
        <v>0</v>
      </c>
      <c r="H41" s="29">
        <f t="shared" si="10"/>
        <v>0</v>
      </c>
      <c r="J41" s="18">
        <f>15000*1*3</f>
        <v>45000</v>
      </c>
    </row>
    <row r="42" spans="1:10" ht="14.4" x14ac:dyDescent="0.2">
      <c r="A42" s="42"/>
      <c r="B42" s="8"/>
      <c r="C42" s="30"/>
      <c r="D42" s="9"/>
      <c r="E42" s="31"/>
      <c r="F42" s="11"/>
      <c r="G42" s="10"/>
      <c r="H42" s="29"/>
    </row>
    <row r="43" spans="1:10" ht="14.4" x14ac:dyDescent="0.2">
      <c r="A43" s="39"/>
      <c r="B43" s="33" t="s">
        <v>4</v>
      </c>
      <c r="C43" s="27"/>
      <c r="D43" s="3"/>
      <c r="E43" s="35"/>
      <c r="F43" s="40">
        <f>SUM(F39:F41)</f>
        <v>0</v>
      </c>
      <c r="G43" s="6"/>
      <c r="H43" s="41">
        <f>SUM(H39:H41)</f>
        <v>0</v>
      </c>
    </row>
    <row r="44" spans="1:10" ht="14.4" x14ac:dyDescent="0.2">
      <c r="A44" s="26" t="s">
        <v>102</v>
      </c>
      <c r="B44" s="14" t="s">
        <v>103</v>
      </c>
      <c r="C44" s="27"/>
      <c r="D44" s="3"/>
      <c r="E44" s="35"/>
      <c r="F44" s="28"/>
      <c r="G44" s="10"/>
      <c r="H44" s="37"/>
    </row>
    <row r="45" spans="1:10" ht="14.4" x14ac:dyDescent="0.2">
      <c r="A45" s="42" t="s">
        <v>104</v>
      </c>
      <c r="B45" s="8" t="s">
        <v>105</v>
      </c>
      <c r="C45" s="30" t="s">
        <v>51</v>
      </c>
      <c r="D45" s="9">
        <f>0.8*2.1*2*3</f>
        <v>10.080000000000002</v>
      </c>
      <c r="E45" s="31"/>
      <c r="F45" s="11">
        <f>E45*D45</f>
        <v>0</v>
      </c>
      <c r="G45" s="10">
        <f>E45/655.957</f>
        <v>0</v>
      </c>
      <c r="H45" s="29">
        <f>F45/655.957</f>
        <v>0</v>
      </c>
    </row>
    <row r="46" spans="1:10" ht="14.4" x14ac:dyDescent="0.2">
      <c r="A46" s="42" t="s">
        <v>106</v>
      </c>
      <c r="B46" s="8" t="s">
        <v>107</v>
      </c>
      <c r="C46" s="30" t="s">
        <v>2</v>
      </c>
      <c r="D46" s="9">
        <v>1</v>
      </c>
      <c r="E46" s="31"/>
      <c r="F46" s="11">
        <f>E46*D46</f>
        <v>0</v>
      </c>
      <c r="G46" s="10">
        <f>E46/655.957</f>
        <v>0</v>
      </c>
      <c r="H46" s="29">
        <f>F46/655.957</f>
        <v>0</v>
      </c>
    </row>
    <row r="47" spans="1:10" ht="14.4" x14ac:dyDescent="0.2">
      <c r="A47" s="39"/>
      <c r="B47" s="33" t="s">
        <v>108</v>
      </c>
      <c r="C47" s="34"/>
      <c r="D47" s="3"/>
      <c r="E47" s="35"/>
      <c r="F47" s="16">
        <f>SUM(F45:F46)</f>
        <v>0</v>
      </c>
      <c r="G47" s="16"/>
      <c r="H47" s="36">
        <f>SUM(H45:H46)</f>
        <v>0</v>
      </c>
    </row>
    <row r="48" spans="1:10" ht="14.4" x14ac:dyDescent="0.2">
      <c r="A48" s="26" t="s">
        <v>109</v>
      </c>
      <c r="B48" s="14" t="s">
        <v>110</v>
      </c>
      <c r="C48" s="43"/>
      <c r="D48" s="3"/>
      <c r="E48" s="35"/>
      <c r="F48" s="28"/>
      <c r="G48" s="10"/>
      <c r="H48" s="37"/>
    </row>
    <row r="49" spans="1:12" ht="14.4" x14ac:dyDescent="0.2">
      <c r="A49" s="42" t="s">
        <v>111</v>
      </c>
      <c r="B49" s="8" t="s">
        <v>112</v>
      </c>
      <c r="C49" s="30" t="s">
        <v>97</v>
      </c>
      <c r="D49" s="9">
        <v>3</v>
      </c>
      <c r="E49" s="31"/>
      <c r="F49" s="11">
        <f>E49*D49</f>
        <v>0</v>
      </c>
      <c r="G49" s="10">
        <f t="shared" ref="G49:H49" si="11">E49/655.957</f>
        <v>0</v>
      </c>
      <c r="H49" s="29">
        <f t="shared" si="11"/>
        <v>0</v>
      </c>
      <c r="J49" s="44">
        <f>F49</f>
        <v>0</v>
      </c>
      <c r="L49" s="29">
        <f t="shared" ref="L49" si="12">J49/655.957</f>
        <v>0</v>
      </c>
    </row>
    <row r="50" spans="1:12" ht="14.4" x14ac:dyDescent="0.2">
      <c r="A50" s="39"/>
      <c r="B50" s="33" t="s">
        <v>113</v>
      </c>
      <c r="C50" s="34"/>
      <c r="D50" s="3"/>
      <c r="E50" s="35"/>
      <c r="F50" s="40">
        <f>SUM(F49:F49)</f>
        <v>0</v>
      </c>
      <c r="G50" s="16"/>
      <c r="H50" s="45">
        <f>SUM(H49:H49)</f>
        <v>0</v>
      </c>
    </row>
    <row r="51" spans="1:12" ht="14.4" x14ac:dyDescent="0.25">
      <c r="A51" s="46"/>
      <c r="B51" s="4" t="s">
        <v>114</v>
      </c>
      <c r="C51" s="34"/>
      <c r="D51" s="5"/>
      <c r="E51" s="3"/>
      <c r="F51" s="40">
        <f>SUM(F7:F50)/2</f>
        <v>0</v>
      </c>
      <c r="G51" s="40"/>
      <c r="H51" s="40">
        <f>SUM(H50,H47,H43,H37,H31,H27,H21,H11)</f>
        <v>0</v>
      </c>
      <c r="J51" s="44">
        <f>F51</f>
        <v>0</v>
      </c>
      <c r="L51" s="29">
        <f t="shared" ref="L51" si="13">J51/655.957</f>
        <v>0</v>
      </c>
    </row>
    <row r="52" spans="1:12" ht="13.2" x14ac:dyDescent="0.25">
      <c r="A52" s="19"/>
      <c r="B52" s="20"/>
      <c r="C52" s="19"/>
      <c r="D52" s="21"/>
      <c r="E52" s="21"/>
      <c r="F52" s="22"/>
      <c r="G52" s="23"/>
      <c r="H52" s="47"/>
    </row>
    <row r="53" spans="1:12" ht="13.5" customHeight="1" x14ac:dyDescent="0.25">
      <c r="A53" s="19"/>
      <c r="B53" s="20"/>
      <c r="C53" s="19"/>
      <c r="D53" s="21"/>
      <c r="E53" s="21"/>
      <c r="F53" s="22"/>
      <c r="G53" s="23"/>
      <c r="H53" s="47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257F-3616-4F69-B562-D0F42B169BBA}">
  <sheetPr>
    <pageSetUpPr fitToPage="1"/>
  </sheetPr>
  <dimension ref="A2:L71"/>
  <sheetViews>
    <sheetView showZeros="0" topLeftCell="A43" zoomScale="150" zoomScaleNormal="150" workbookViewId="0">
      <selection activeCell="B58" sqref="B58"/>
    </sheetView>
  </sheetViews>
  <sheetFormatPr baseColWidth="10" defaultColWidth="11.5546875" defaultRowHeight="11.4" x14ac:dyDescent="0.2"/>
  <cols>
    <col min="1" max="1" width="5.6640625" style="18" customWidth="1"/>
    <col min="2" max="2" width="48.6640625" style="102" customWidth="1"/>
    <col min="3" max="3" width="6.33203125" style="18" bestFit="1" customWidth="1"/>
    <col min="4" max="4" width="8.6640625" style="49" bestFit="1" customWidth="1"/>
    <col min="5" max="5" width="12.6640625" style="49" customWidth="1"/>
    <col min="6" max="6" width="12.6640625" style="50" customWidth="1"/>
    <col min="7" max="7" width="12.6640625" style="51" customWidth="1"/>
    <col min="8" max="8" width="12.6640625" style="52" customWidth="1"/>
    <col min="9" max="9" width="10" style="18" hidden="1" customWidth="1"/>
    <col min="10" max="12" width="0" style="18" hidden="1" customWidth="1"/>
    <col min="13" max="16384" width="11.5546875" style="18"/>
  </cols>
  <sheetData>
    <row r="2" spans="1:11" ht="15.6" x14ac:dyDescent="0.2">
      <c r="A2" s="103" t="s">
        <v>26</v>
      </c>
      <c r="B2" s="103"/>
      <c r="C2" s="103"/>
      <c r="D2" s="103"/>
      <c r="E2" s="103"/>
      <c r="F2" s="103"/>
      <c r="G2" s="103"/>
      <c r="H2" s="103"/>
    </row>
    <row r="3" spans="1:11" ht="17.399999999999999" x14ac:dyDescent="0.2">
      <c r="A3" s="106" t="s">
        <v>27</v>
      </c>
      <c r="B3" s="106"/>
      <c r="C3" s="106"/>
      <c r="D3" s="106"/>
      <c r="E3" s="106"/>
      <c r="F3" s="106"/>
      <c r="G3" s="106"/>
      <c r="H3" s="106"/>
    </row>
    <row r="4" spans="1:11" ht="15.6" x14ac:dyDescent="0.2">
      <c r="A4" s="104" t="s">
        <v>115</v>
      </c>
      <c r="B4" s="104"/>
      <c r="C4" s="104"/>
      <c r="D4" s="104"/>
      <c r="E4" s="104"/>
      <c r="F4" s="104"/>
      <c r="G4" s="104"/>
      <c r="H4" s="104"/>
    </row>
    <row r="5" spans="1:11" ht="15" customHeight="1" x14ac:dyDescent="0.3">
      <c r="A5" s="19"/>
      <c r="B5" s="98"/>
      <c r="C5" s="19"/>
      <c r="D5" s="21"/>
      <c r="E5" s="21"/>
      <c r="F5" s="22"/>
      <c r="G5" s="23"/>
      <c r="H5" s="24"/>
      <c r="I5" s="2"/>
    </row>
    <row r="6" spans="1:11" ht="28.8" x14ac:dyDescent="0.2">
      <c r="A6" s="5" t="s">
        <v>9</v>
      </c>
      <c r="B6" s="99" t="s">
        <v>0</v>
      </c>
      <c r="C6" s="5" t="s">
        <v>1</v>
      </c>
      <c r="D6" s="5" t="s">
        <v>29</v>
      </c>
      <c r="E6" s="4" t="s">
        <v>30</v>
      </c>
      <c r="F6" s="6" t="s">
        <v>31</v>
      </c>
      <c r="G6" s="4" t="s">
        <v>14</v>
      </c>
      <c r="H6" s="6" t="s">
        <v>15</v>
      </c>
      <c r="J6" s="25">
        <f>3.15*2*2+3.5*3</f>
        <v>23.1</v>
      </c>
      <c r="K6" s="18">
        <f>9.65*3.7</f>
        <v>35.705000000000005</v>
      </c>
    </row>
    <row r="7" spans="1:11" ht="14.4" x14ac:dyDescent="0.2">
      <c r="A7" s="26" t="s">
        <v>32</v>
      </c>
      <c r="B7" s="100" t="s">
        <v>33</v>
      </c>
      <c r="C7" s="27"/>
      <c r="D7" s="3"/>
      <c r="E7" s="3"/>
      <c r="F7" s="28"/>
      <c r="G7" s="10"/>
      <c r="H7" s="29"/>
    </row>
    <row r="8" spans="1:11" ht="14.4" x14ac:dyDescent="0.2">
      <c r="A8" s="7" t="s">
        <v>38</v>
      </c>
      <c r="B8" s="101" t="s">
        <v>35</v>
      </c>
      <c r="C8" s="30" t="s">
        <v>2</v>
      </c>
      <c r="D8" s="9">
        <v>1</v>
      </c>
      <c r="E8" s="31"/>
      <c r="F8" s="11">
        <f t="shared" ref="F8:F11" si="0">E8*D8</f>
        <v>0</v>
      </c>
      <c r="G8" s="10">
        <f t="shared" ref="G8:H11" si="1">E8/655.957</f>
        <v>0</v>
      </c>
      <c r="H8" s="29">
        <f t="shared" si="1"/>
        <v>0</v>
      </c>
    </row>
    <row r="9" spans="1:11" ht="28.8" x14ac:dyDescent="0.2">
      <c r="A9" s="7" t="s">
        <v>40</v>
      </c>
      <c r="B9" s="101" t="s">
        <v>37</v>
      </c>
      <c r="C9" s="30" t="s">
        <v>3</v>
      </c>
      <c r="D9" s="9">
        <f>J6*0.5*0.8+(7.1+3.5)*2*0.45</f>
        <v>18.78</v>
      </c>
      <c r="E9" s="31"/>
      <c r="F9" s="11">
        <f t="shared" si="0"/>
        <v>0</v>
      </c>
      <c r="G9" s="10">
        <f t="shared" si="1"/>
        <v>0</v>
      </c>
      <c r="H9" s="29">
        <f t="shared" si="1"/>
        <v>0</v>
      </c>
    </row>
    <row r="10" spans="1:11" ht="14.4" x14ac:dyDescent="0.2">
      <c r="A10" s="7" t="s">
        <v>116</v>
      </c>
      <c r="B10" s="101" t="s">
        <v>39</v>
      </c>
      <c r="C10" s="30" t="s">
        <v>3</v>
      </c>
      <c r="D10" s="32">
        <f>J6*0.3*0.55</f>
        <v>3.8115000000000006</v>
      </c>
      <c r="E10" s="31"/>
      <c r="F10" s="11">
        <f t="shared" si="0"/>
        <v>0</v>
      </c>
      <c r="G10" s="10">
        <f t="shared" si="1"/>
        <v>0</v>
      </c>
      <c r="H10" s="29">
        <f t="shared" si="1"/>
        <v>0</v>
      </c>
    </row>
    <row r="11" spans="1:11" ht="14.4" x14ac:dyDescent="0.2">
      <c r="A11" s="7" t="s">
        <v>117</v>
      </c>
      <c r="B11" s="101" t="s">
        <v>41</v>
      </c>
      <c r="C11" s="30" t="s">
        <v>3</v>
      </c>
      <c r="D11" s="32">
        <f>(3.35*3)*2*0.2</f>
        <v>4.0200000000000005</v>
      </c>
      <c r="E11" s="31"/>
      <c r="F11" s="11">
        <f t="shared" si="0"/>
        <v>0</v>
      </c>
      <c r="G11" s="10">
        <f t="shared" si="1"/>
        <v>0</v>
      </c>
      <c r="H11" s="29">
        <f t="shared" si="1"/>
        <v>0</v>
      </c>
    </row>
    <row r="12" spans="1:11" ht="14.4" x14ac:dyDescent="0.2">
      <c r="A12" s="13"/>
      <c r="B12" s="100" t="s">
        <v>42</v>
      </c>
      <c r="C12" s="34"/>
      <c r="D12" s="3"/>
      <c r="E12" s="35"/>
      <c r="F12" s="16">
        <f>SUM(F8:F11)</f>
        <v>0</v>
      </c>
      <c r="G12" s="16"/>
      <c r="H12" s="36">
        <f>SUM(H8:H11)</f>
        <v>0</v>
      </c>
    </row>
    <row r="13" spans="1:11" ht="14.4" x14ac:dyDescent="0.2">
      <c r="A13" s="26" t="s">
        <v>43</v>
      </c>
      <c r="B13" s="100" t="s">
        <v>44</v>
      </c>
      <c r="C13" s="27"/>
      <c r="D13" s="3"/>
      <c r="E13" s="35"/>
      <c r="F13" s="28"/>
      <c r="G13" s="10"/>
      <c r="H13" s="37"/>
    </row>
    <row r="14" spans="1:11" ht="14.4" x14ac:dyDescent="0.2">
      <c r="A14" s="7" t="s">
        <v>45</v>
      </c>
      <c r="B14" s="101" t="s">
        <v>46</v>
      </c>
      <c r="C14" s="30" t="s">
        <v>3</v>
      </c>
      <c r="D14" s="9">
        <f>J6*0.5*0.05</f>
        <v>0.57750000000000001</v>
      </c>
      <c r="E14" s="31"/>
      <c r="F14" s="11">
        <f>E14*D14</f>
        <v>0</v>
      </c>
      <c r="G14" s="10">
        <f t="shared" ref="G14:H19" si="2">E14/655.957</f>
        <v>0</v>
      </c>
      <c r="H14" s="29">
        <f t="shared" si="2"/>
        <v>0</v>
      </c>
    </row>
    <row r="15" spans="1:11" ht="14.4" x14ac:dyDescent="0.2">
      <c r="A15" s="7" t="s">
        <v>47</v>
      </c>
      <c r="B15" s="101" t="s">
        <v>48</v>
      </c>
      <c r="C15" s="30" t="s">
        <v>3</v>
      </c>
      <c r="D15" s="32">
        <f>J6*0.5*0.2</f>
        <v>2.31</v>
      </c>
      <c r="E15" s="31"/>
      <c r="F15" s="11">
        <f t="shared" ref="F15:F19" si="3">E15*D15</f>
        <v>0</v>
      </c>
      <c r="G15" s="10">
        <f t="shared" si="2"/>
        <v>0</v>
      </c>
      <c r="H15" s="29">
        <f t="shared" si="2"/>
        <v>0</v>
      </c>
    </row>
    <row r="16" spans="1:11" ht="28.8" x14ac:dyDescent="0.2">
      <c r="A16" s="7" t="s">
        <v>49</v>
      </c>
      <c r="B16" s="101" t="s">
        <v>50</v>
      </c>
      <c r="C16" s="30" t="s">
        <v>51</v>
      </c>
      <c r="D16" s="38">
        <f>J6*0.6+(7.1+3.5)*2*0.45</f>
        <v>23.4</v>
      </c>
      <c r="E16" s="31"/>
      <c r="F16" s="11">
        <f t="shared" si="3"/>
        <v>0</v>
      </c>
      <c r="G16" s="10">
        <f t="shared" si="2"/>
        <v>0</v>
      </c>
      <c r="H16" s="29">
        <f t="shared" si="2"/>
        <v>0</v>
      </c>
    </row>
    <row r="17" spans="1:10" ht="28.8" x14ac:dyDescent="0.2">
      <c r="A17" s="7" t="s">
        <v>52</v>
      </c>
      <c r="B17" s="101" t="s">
        <v>53</v>
      </c>
      <c r="C17" s="30" t="s">
        <v>3</v>
      </c>
      <c r="D17" s="32">
        <f>6*(0.2*0.2)*0.75</f>
        <v>0.18000000000000005</v>
      </c>
      <c r="E17" s="31"/>
      <c r="F17" s="11">
        <f t="shared" si="3"/>
        <v>0</v>
      </c>
      <c r="G17" s="10">
        <f t="shared" si="2"/>
        <v>0</v>
      </c>
      <c r="H17" s="29">
        <f t="shared" si="2"/>
        <v>0</v>
      </c>
    </row>
    <row r="18" spans="1:10" ht="14.4" x14ac:dyDescent="0.2">
      <c r="A18" s="7" t="s">
        <v>54</v>
      </c>
      <c r="B18" s="101" t="s">
        <v>55</v>
      </c>
      <c r="C18" s="30" t="s">
        <v>3</v>
      </c>
      <c r="D18" s="32">
        <f>J6*0.2*0.2</f>
        <v>0.92400000000000004</v>
      </c>
      <c r="E18" s="31"/>
      <c r="F18" s="11">
        <f t="shared" si="3"/>
        <v>0</v>
      </c>
      <c r="G18" s="10">
        <f t="shared" si="2"/>
        <v>0</v>
      </c>
      <c r="H18" s="29">
        <f t="shared" si="2"/>
        <v>0</v>
      </c>
    </row>
    <row r="19" spans="1:10" ht="28.8" x14ac:dyDescent="0.2">
      <c r="A19" s="7" t="s">
        <v>56</v>
      </c>
      <c r="B19" s="101" t="s">
        <v>57</v>
      </c>
      <c r="C19" s="30" t="s">
        <v>3</v>
      </c>
      <c r="D19" s="32">
        <f>(7.1*2+3.7*2)*0.3*0.1</f>
        <v>0.64800000000000013</v>
      </c>
      <c r="E19" s="31"/>
      <c r="F19" s="11">
        <f t="shared" si="3"/>
        <v>0</v>
      </c>
      <c r="G19" s="10">
        <f t="shared" si="2"/>
        <v>0</v>
      </c>
      <c r="H19" s="29">
        <f t="shared" si="2"/>
        <v>0</v>
      </c>
    </row>
    <row r="20" spans="1:10" ht="28.8" x14ac:dyDescent="0.2">
      <c r="A20" s="7" t="s">
        <v>58</v>
      </c>
      <c r="B20" s="101" t="s">
        <v>59</v>
      </c>
      <c r="C20" s="30" t="s">
        <v>3</v>
      </c>
      <c r="D20" s="32">
        <f>2*(3.35*3)*0.1</f>
        <v>2.0100000000000002</v>
      </c>
      <c r="E20" s="31"/>
      <c r="F20" s="11">
        <f>E20*D20</f>
        <v>0</v>
      </c>
      <c r="G20" s="10">
        <f>E20/655.957</f>
        <v>0</v>
      </c>
      <c r="H20" s="29">
        <f>F20/655.957</f>
        <v>0</v>
      </c>
    </row>
    <row r="21" spans="1:10" ht="28.8" x14ac:dyDescent="0.2">
      <c r="A21" s="7" t="s">
        <v>60</v>
      </c>
      <c r="B21" s="101" t="s">
        <v>61</v>
      </c>
      <c r="C21" s="30" t="s">
        <v>3</v>
      </c>
      <c r="D21" s="9">
        <f>1.2*0.3*0.1*2</f>
        <v>7.1999999999999995E-2</v>
      </c>
      <c r="E21" s="31"/>
      <c r="F21" s="11">
        <f t="shared" ref="F21" si="4">E21*D21</f>
        <v>0</v>
      </c>
      <c r="G21" s="10">
        <f t="shared" ref="G21:H21" si="5">E21/655.957</f>
        <v>0</v>
      </c>
      <c r="H21" s="29">
        <f t="shared" si="5"/>
        <v>0</v>
      </c>
    </row>
    <row r="22" spans="1:10" ht="14.4" x14ac:dyDescent="0.2">
      <c r="A22" s="39"/>
      <c r="B22" s="100" t="s">
        <v>62</v>
      </c>
      <c r="C22" s="34"/>
      <c r="D22" s="3"/>
      <c r="E22" s="35"/>
      <c r="F22" s="16">
        <f>SUM(F14:F21)</f>
        <v>0</v>
      </c>
      <c r="G22" s="16"/>
      <c r="H22" s="36">
        <f>SUM(H14:H21)</f>
        <v>0</v>
      </c>
      <c r="J22" s="18" t="e">
        <f>F22/I5</f>
        <v>#DIV/0!</v>
      </c>
    </row>
    <row r="23" spans="1:10" ht="14.4" x14ac:dyDescent="0.2">
      <c r="A23" s="26" t="s">
        <v>63</v>
      </c>
      <c r="B23" s="100" t="s">
        <v>64</v>
      </c>
      <c r="C23" s="27"/>
      <c r="D23" s="3"/>
      <c r="E23" s="35"/>
      <c r="F23" s="28"/>
      <c r="G23" s="10"/>
      <c r="H23" s="37"/>
    </row>
    <row r="24" spans="1:10" ht="28.8" x14ac:dyDescent="0.2">
      <c r="A24" s="7" t="s">
        <v>65</v>
      </c>
      <c r="B24" s="101" t="s">
        <v>66</v>
      </c>
      <c r="C24" s="30" t="s">
        <v>51</v>
      </c>
      <c r="D24" s="38">
        <f>(6.45*1.3)*2+3.35*(2.4+0.25/2)*2+(3.35*(2.4+0.25/2)-3.35*0.8)</f>
        <v>39.466250000000002</v>
      </c>
      <c r="E24" s="31"/>
      <c r="F24" s="11">
        <f t="shared" ref="F24:F27" si="6">E24*D24</f>
        <v>0</v>
      </c>
      <c r="G24" s="10">
        <f t="shared" ref="G24:H27" si="7">E24/655.957</f>
        <v>0</v>
      </c>
      <c r="H24" s="29">
        <f t="shared" si="7"/>
        <v>0</v>
      </c>
    </row>
    <row r="25" spans="1:10" ht="14.4" x14ac:dyDescent="0.2">
      <c r="A25" s="7" t="s">
        <v>67</v>
      </c>
      <c r="B25" s="101" t="s">
        <v>68</v>
      </c>
      <c r="C25" s="30" t="s">
        <v>3</v>
      </c>
      <c r="D25" s="32">
        <f>1*3.35*0.15*0.2</f>
        <v>0.10049999999999999</v>
      </c>
      <c r="E25" s="31"/>
      <c r="F25" s="11">
        <f t="shared" si="6"/>
        <v>0</v>
      </c>
      <c r="G25" s="10">
        <f t="shared" si="7"/>
        <v>0</v>
      </c>
      <c r="H25" s="29">
        <f t="shared" si="7"/>
        <v>0</v>
      </c>
    </row>
    <row r="26" spans="1:10" ht="14.4" x14ac:dyDescent="0.2">
      <c r="A26" s="7" t="s">
        <v>69</v>
      </c>
      <c r="B26" s="101" t="s">
        <v>70</v>
      </c>
      <c r="C26" s="30" t="s">
        <v>3</v>
      </c>
      <c r="D26" s="32">
        <f>8*(0.15*0.15)*2.4</f>
        <v>0.432</v>
      </c>
      <c r="E26" s="31"/>
      <c r="F26" s="11">
        <f t="shared" si="6"/>
        <v>0</v>
      </c>
      <c r="G26" s="10">
        <f t="shared" si="7"/>
        <v>0</v>
      </c>
      <c r="H26" s="29">
        <f t="shared" si="7"/>
        <v>0</v>
      </c>
    </row>
    <row r="27" spans="1:10" ht="28.8" x14ac:dyDescent="0.2">
      <c r="A27" s="7" t="s">
        <v>71</v>
      </c>
      <c r="B27" s="101" t="s">
        <v>72</v>
      </c>
      <c r="C27" s="30" t="s">
        <v>3</v>
      </c>
      <c r="D27" s="32">
        <f>(2*3.65*0.15*0.3)+(1*3.65*0.15*0.15)</f>
        <v>0.41062499999999996</v>
      </c>
      <c r="E27" s="31"/>
      <c r="F27" s="11">
        <f t="shared" si="6"/>
        <v>0</v>
      </c>
      <c r="G27" s="10">
        <f t="shared" si="7"/>
        <v>0</v>
      </c>
      <c r="H27" s="29">
        <f t="shared" si="7"/>
        <v>0</v>
      </c>
    </row>
    <row r="28" spans="1:10" ht="14.4" x14ac:dyDescent="0.2">
      <c r="A28" s="39"/>
      <c r="B28" s="100" t="s">
        <v>73</v>
      </c>
      <c r="C28" s="34"/>
      <c r="D28" s="3"/>
      <c r="E28" s="35"/>
      <c r="F28" s="16">
        <f>SUM(F24:F27)</f>
        <v>0</v>
      </c>
      <c r="G28" s="16"/>
      <c r="H28" s="36">
        <f>SUM(H24:H27)</f>
        <v>0</v>
      </c>
    </row>
    <row r="29" spans="1:10" ht="14.4" x14ac:dyDescent="0.2">
      <c r="A29" s="26" t="s">
        <v>74</v>
      </c>
      <c r="B29" s="100" t="s">
        <v>75</v>
      </c>
      <c r="C29" s="27"/>
      <c r="D29" s="3"/>
      <c r="E29" s="35"/>
      <c r="F29" s="28"/>
      <c r="G29" s="10"/>
      <c r="H29" s="37"/>
    </row>
    <row r="30" spans="1:10" ht="14.4" x14ac:dyDescent="0.2">
      <c r="A30" s="7" t="s">
        <v>76</v>
      </c>
      <c r="B30" s="101" t="s">
        <v>77</v>
      </c>
      <c r="C30" s="30" t="s">
        <v>51</v>
      </c>
      <c r="D30" s="9">
        <v>0</v>
      </c>
      <c r="E30" s="31"/>
      <c r="F30" s="11">
        <f>E30*D30</f>
        <v>0</v>
      </c>
      <c r="G30" s="10">
        <f>E30/655.957</f>
        <v>0</v>
      </c>
      <c r="H30" s="29">
        <f>F30/655.957</f>
        <v>0</v>
      </c>
    </row>
    <row r="31" spans="1:10" ht="14.4" x14ac:dyDescent="0.2">
      <c r="A31" s="7" t="s">
        <v>78</v>
      </c>
      <c r="B31" s="101" t="s">
        <v>79</v>
      </c>
      <c r="C31" s="30" t="s">
        <v>51</v>
      </c>
      <c r="D31" s="9">
        <v>0</v>
      </c>
      <c r="E31" s="31"/>
      <c r="F31" s="11">
        <f>E31*D31</f>
        <v>0</v>
      </c>
      <c r="G31" s="10">
        <f>E31/655.957</f>
        <v>0</v>
      </c>
      <c r="H31" s="29">
        <f>F31/655.957</f>
        <v>0</v>
      </c>
    </row>
    <row r="32" spans="1:10" ht="14.4" x14ac:dyDescent="0.2">
      <c r="A32" s="39"/>
      <c r="B32" s="100" t="s">
        <v>80</v>
      </c>
      <c r="C32" s="27"/>
      <c r="D32" s="3"/>
      <c r="E32" s="35"/>
      <c r="F32" s="40">
        <f>SUM(F30:F31)</f>
        <v>0</v>
      </c>
      <c r="G32" s="6"/>
      <c r="H32" s="41">
        <f>SUM(H30:H31)</f>
        <v>0</v>
      </c>
    </row>
    <row r="33" spans="1:10" ht="14.4" x14ac:dyDescent="0.2">
      <c r="A33" s="26" t="s">
        <v>81</v>
      </c>
      <c r="B33" s="100" t="s">
        <v>82</v>
      </c>
      <c r="C33" s="27"/>
      <c r="D33" s="3"/>
      <c r="E33" s="35"/>
      <c r="F33" s="28"/>
      <c r="G33" s="10"/>
      <c r="H33" s="37"/>
    </row>
    <row r="34" spans="1:10" ht="28.8" x14ac:dyDescent="0.2">
      <c r="A34" s="42" t="s">
        <v>83</v>
      </c>
      <c r="B34" s="101" t="s">
        <v>84</v>
      </c>
      <c r="C34" s="30" t="s">
        <v>85</v>
      </c>
      <c r="D34" s="9">
        <f>6.45*6</f>
        <v>38.700000000000003</v>
      </c>
      <c r="E34" s="31"/>
      <c r="F34" s="11">
        <f t="shared" ref="F34:F37" si="8">E34*D34</f>
        <v>0</v>
      </c>
      <c r="G34" s="10">
        <f t="shared" ref="G34:H37" si="9">E34/655.957</f>
        <v>0</v>
      </c>
      <c r="H34" s="29">
        <f t="shared" si="9"/>
        <v>0</v>
      </c>
    </row>
    <row r="35" spans="1:10" ht="28.8" x14ac:dyDescent="0.2">
      <c r="A35" s="42" t="s">
        <v>86</v>
      </c>
      <c r="B35" s="101" t="s">
        <v>87</v>
      </c>
      <c r="C35" s="30" t="s">
        <v>51</v>
      </c>
      <c r="D35" s="9">
        <f>6.45*4.05</f>
        <v>26.122499999999999</v>
      </c>
      <c r="E35" s="31"/>
      <c r="F35" s="11">
        <f t="shared" si="8"/>
        <v>0</v>
      </c>
      <c r="G35" s="10">
        <f t="shared" si="9"/>
        <v>0</v>
      </c>
      <c r="H35" s="29">
        <f t="shared" si="9"/>
        <v>0</v>
      </c>
    </row>
    <row r="36" spans="1:10" ht="14.4" x14ac:dyDescent="0.2">
      <c r="A36" s="42" t="s">
        <v>88</v>
      </c>
      <c r="B36" s="101" t="s">
        <v>89</v>
      </c>
      <c r="C36" s="30" t="s">
        <v>85</v>
      </c>
      <c r="D36" s="9">
        <f>D34</f>
        <v>38.700000000000003</v>
      </c>
      <c r="E36" s="31"/>
      <c r="F36" s="11">
        <f t="shared" si="8"/>
        <v>0</v>
      </c>
      <c r="G36" s="10">
        <f t="shared" si="9"/>
        <v>0</v>
      </c>
      <c r="H36" s="29">
        <f t="shared" si="9"/>
        <v>0</v>
      </c>
    </row>
    <row r="37" spans="1:10" ht="14.4" x14ac:dyDescent="0.2">
      <c r="A37" s="42" t="s">
        <v>90</v>
      </c>
      <c r="B37" s="101" t="s">
        <v>91</v>
      </c>
      <c r="C37" s="30" t="s">
        <v>85</v>
      </c>
      <c r="D37" s="9">
        <v>6.45</v>
      </c>
      <c r="E37" s="31"/>
      <c r="F37" s="11">
        <f t="shared" si="8"/>
        <v>0</v>
      </c>
      <c r="G37" s="10">
        <f t="shared" si="9"/>
        <v>0</v>
      </c>
      <c r="H37" s="29">
        <f t="shared" si="9"/>
        <v>0</v>
      </c>
    </row>
    <row r="38" spans="1:10" ht="14.4" x14ac:dyDescent="0.2">
      <c r="A38" s="39"/>
      <c r="B38" s="100" t="s">
        <v>92</v>
      </c>
      <c r="C38" s="34"/>
      <c r="D38" s="3"/>
      <c r="E38" s="35"/>
      <c r="F38" s="16">
        <f>SUM(F34:F37)</f>
        <v>0</v>
      </c>
      <c r="G38" s="16"/>
      <c r="H38" s="36">
        <f>SUM(H34:H37)</f>
        <v>0</v>
      </c>
    </row>
    <row r="39" spans="1:10" ht="14.4" x14ac:dyDescent="0.2">
      <c r="A39" s="26" t="s">
        <v>93</v>
      </c>
      <c r="B39" s="100" t="s">
        <v>94</v>
      </c>
      <c r="C39" s="27"/>
      <c r="D39" s="3"/>
      <c r="E39" s="35"/>
      <c r="F39" s="28"/>
      <c r="G39" s="10"/>
      <c r="H39" s="37"/>
    </row>
    <row r="40" spans="1:10" ht="14.4" x14ac:dyDescent="0.2">
      <c r="A40" s="42" t="s">
        <v>95</v>
      </c>
      <c r="B40" s="101" t="s">
        <v>96</v>
      </c>
      <c r="C40" s="30" t="s">
        <v>97</v>
      </c>
      <c r="D40" s="9">
        <v>2</v>
      </c>
      <c r="E40" s="31"/>
      <c r="F40" s="11">
        <f>E40*D40</f>
        <v>0</v>
      </c>
      <c r="G40" s="10">
        <f t="shared" ref="G40:H42" si="10">E40/655.957</f>
        <v>0</v>
      </c>
      <c r="H40" s="29">
        <f t="shared" si="10"/>
        <v>0</v>
      </c>
      <c r="J40" s="18">
        <f>45000*0.8*2.1</f>
        <v>75600</v>
      </c>
    </row>
    <row r="41" spans="1:10" ht="28.8" x14ac:dyDescent="0.2">
      <c r="A41" s="42" t="s">
        <v>98</v>
      </c>
      <c r="B41" s="101" t="s">
        <v>99</v>
      </c>
      <c r="C41" s="30" t="s">
        <v>97</v>
      </c>
      <c r="D41" s="9">
        <v>1</v>
      </c>
      <c r="E41" s="31"/>
      <c r="F41" s="11">
        <f>E41*D41</f>
        <v>0</v>
      </c>
      <c r="G41" s="10">
        <f t="shared" si="10"/>
        <v>0</v>
      </c>
      <c r="H41" s="29">
        <f t="shared" si="10"/>
        <v>0</v>
      </c>
      <c r="J41" s="18">
        <f>15000*0.8*3.35</f>
        <v>40200</v>
      </c>
    </row>
    <row r="42" spans="1:10" ht="28.8" x14ac:dyDescent="0.2">
      <c r="A42" s="42" t="s">
        <v>100</v>
      </c>
      <c r="B42" s="101" t="s">
        <v>101</v>
      </c>
      <c r="C42" s="30" t="s">
        <v>97</v>
      </c>
      <c r="D42" s="9">
        <v>4</v>
      </c>
      <c r="E42" s="31"/>
      <c r="F42" s="11">
        <f>E42*D42</f>
        <v>0</v>
      </c>
      <c r="G42" s="10">
        <f t="shared" si="10"/>
        <v>0</v>
      </c>
      <c r="H42" s="29">
        <f t="shared" si="10"/>
        <v>0</v>
      </c>
      <c r="J42" s="18">
        <f>15000*1*3</f>
        <v>45000</v>
      </c>
    </row>
    <row r="43" spans="1:10" ht="14.4" x14ac:dyDescent="0.2">
      <c r="A43" s="42"/>
      <c r="B43" s="101"/>
      <c r="C43" s="30"/>
      <c r="D43" s="9"/>
      <c r="E43" s="31"/>
      <c r="F43" s="11"/>
      <c r="G43" s="10"/>
      <c r="H43" s="29"/>
    </row>
    <row r="44" spans="1:10" ht="14.4" x14ac:dyDescent="0.2">
      <c r="A44" s="39"/>
      <c r="B44" s="100" t="s">
        <v>4</v>
      </c>
      <c r="C44" s="27"/>
      <c r="D44" s="3"/>
      <c r="E44" s="35"/>
      <c r="F44" s="40">
        <f>SUM(F40:F42)</f>
        <v>0</v>
      </c>
      <c r="G44" s="6"/>
      <c r="H44" s="41">
        <f>SUM(H40:H42)</f>
        <v>0</v>
      </c>
    </row>
    <row r="45" spans="1:10" ht="14.4" x14ac:dyDescent="0.2">
      <c r="A45" s="26" t="s">
        <v>102</v>
      </c>
      <c r="B45" s="100" t="s">
        <v>103</v>
      </c>
      <c r="C45" s="27"/>
      <c r="D45" s="3"/>
      <c r="E45" s="35"/>
      <c r="F45" s="28"/>
      <c r="G45" s="10"/>
      <c r="H45" s="37"/>
    </row>
    <row r="46" spans="1:10" ht="14.4" x14ac:dyDescent="0.2">
      <c r="A46" s="42" t="s">
        <v>104</v>
      </c>
      <c r="B46" s="101" t="s">
        <v>105</v>
      </c>
      <c r="C46" s="30" t="s">
        <v>51</v>
      </c>
      <c r="D46" s="9">
        <f>0.8*2.1*2*3</f>
        <v>10.080000000000002</v>
      </c>
      <c r="E46" s="31"/>
      <c r="F46" s="11">
        <f>E46*D46</f>
        <v>0</v>
      </c>
      <c r="G46" s="10">
        <f>E46/655.957</f>
        <v>0</v>
      </c>
      <c r="H46" s="29">
        <f>F46/655.957</f>
        <v>0</v>
      </c>
    </row>
    <row r="47" spans="1:10" ht="14.4" x14ac:dyDescent="0.2">
      <c r="A47" s="42" t="s">
        <v>106</v>
      </c>
      <c r="B47" s="101" t="s">
        <v>107</v>
      </c>
      <c r="C47" s="30" t="s">
        <v>2</v>
      </c>
      <c r="D47" s="9">
        <v>1</v>
      </c>
      <c r="E47" s="31"/>
      <c r="F47" s="11">
        <f>E47*D47</f>
        <v>0</v>
      </c>
      <c r="G47" s="10">
        <f>E47/655.957</f>
        <v>0</v>
      </c>
      <c r="H47" s="29">
        <f>F47/655.957</f>
        <v>0</v>
      </c>
    </row>
    <row r="48" spans="1:10" ht="14.4" x14ac:dyDescent="0.2">
      <c r="A48" s="39"/>
      <c r="B48" s="100" t="s">
        <v>108</v>
      </c>
      <c r="C48" s="34"/>
      <c r="D48" s="3"/>
      <c r="E48" s="35"/>
      <c r="F48" s="16">
        <f>SUM(F46:F47)</f>
        <v>0</v>
      </c>
      <c r="G48" s="16"/>
      <c r="H48" s="36">
        <f>SUM(H46:H47)</f>
        <v>0</v>
      </c>
    </row>
    <row r="49" spans="1:12" ht="14.4" x14ac:dyDescent="0.2">
      <c r="A49" s="26" t="s">
        <v>109</v>
      </c>
      <c r="B49" s="100" t="s">
        <v>110</v>
      </c>
      <c r="C49" s="43"/>
      <c r="D49" s="3"/>
      <c r="E49" s="35"/>
      <c r="F49" s="28"/>
      <c r="G49" s="10"/>
      <c r="H49" s="37"/>
    </row>
    <row r="50" spans="1:12" ht="28.8" x14ac:dyDescent="0.2">
      <c r="A50" s="42" t="s">
        <v>111</v>
      </c>
      <c r="B50" s="101" t="s">
        <v>118</v>
      </c>
      <c r="C50" s="30" t="s">
        <v>97</v>
      </c>
      <c r="D50" s="9">
        <v>1</v>
      </c>
      <c r="E50" s="31"/>
      <c r="F50" s="11">
        <f>E50*D50</f>
        <v>0</v>
      </c>
      <c r="G50" s="10">
        <f t="shared" ref="G50:H50" si="11">E50/655.957</f>
        <v>0</v>
      </c>
      <c r="H50" s="29">
        <f t="shared" si="11"/>
        <v>0</v>
      </c>
      <c r="J50" s="44">
        <f>F50</f>
        <v>0</v>
      </c>
      <c r="L50" s="29">
        <f t="shared" ref="L50" si="12">J50/655.957</f>
        <v>0</v>
      </c>
    </row>
    <row r="51" spans="1:12" ht="14.4" x14ac:dyDescent="0.2">
      <c r="A51" s="39"/>
      <c r="B51" s="100" t="s">
        <v>113</v>
      </c>
      <c r="C51" s="34"/>
      <c r="D51" s="3"/>
      <c r="E51" s="35"/>
      <c r="F51" s="40">
        <f>SUM(F50:F50)</f>
        <v>0</v>
      </c>
      <c r="G51" s="16"/>
      <c r="H51" s="45">
        <f>SUM(H50:H50)</f>
        <v>0</v>
      </c>
    </row>
    <row r="52" spans="1:12" ht="14.4" x14ac:dyDescent="0.2">
      <c r="A52" s="26" t="s">
        <v>257</v>
      </c>
      <c r="B52" s="100" t="s">
        <v>259</v>
      </c>
      <c r="C52" s="43"/>
      <c r="D52" s="3"/>
      <c r="E52" s="35"/>
      <c r="F52" s="28"/>
      <c r="G52" s="10"/>
      <c r="H52" s="37"/>
    </row>
    <row r="53" spans="1:12" ht="14.4" x14ac:dyDescent="0.2">
      <c r="A53" s="42" t="s">
        <v>258</v>
      </c>
      <c r="B53" s="101" t="s">
        <v>260</v>
      </c>
      <c r="C53" s="30" t="s">
        <v>2</v>
      </c>
      <c r="D53" s="9">
        <v>1</v>
      </c>
      <c r="E53" s="31"/>
      <c r="F53" s="11">
        <f>E53*D53</f>
        <v>0</v>
      </c>
      <c r="G53" s="10">
        <f t="shared" ref="G53" si="13">E53/655.957</f>
        <v>0</v>
      </c>
      <c r="H53" s="29">
        <f t="shared" ref="H53" si="14">F53/655.957</f>
        <v>0</v>
      </c>
      <c r="J53" s="44">
        <f>F53</f>
        <v>0</v>
      </c>
      <c r="L53" s="29">
        <f t="shared" ref="L53" si="15">J53/655.957</f>
        <v>0</v>
      </c>
    </row>
    <row r="54" spans="1:12" ht="14.4" x14ac:dyDescent="0.2">
      <c r="A54" s="39"/>
      <c r="B54" s="100" t="s">
        <v>113</v>
      </c>
      <c r="C54" s="34"/>
      <c r="D54" s="3"/>
      <c r="E54" s="35"/>
      <c r="F54" s="40">
        <f>SUM(F53:F53)</f>
        <v>0</v>
      </c>
      <c r="G54" s="16"/>
      <c r="H54" s="45">
        <f>SUM(H53:H53)</f>
        <v>0</v>
      </c>
    </row>
    <row r="55" spans="1:12" ht="14.4" x14ac:dyDescent="0.2">
      <c r="A55" s="39"/>
      <c r="B55" s="100"/>
      <c r="C55" s="34"/>
      <c r="D55" s="3"/>
      <c r="E55" s="35"/>
      <c r="F55" s="40"/>
      <c r="G55" s="16"/>
      <c r="H55" s="45"/>
    </row>
    <row r="56" spans="1:12" ht="14.4" x14ac:dyDescent="0.25">
      <c r="A56" s="46"/>
      <c r="B56" s="99" t="s">
        <v>119</v>
      </c>
      <c r="C56" s="34"/>
      <c r="D56" s="5"/>
      <c r="E56" s="3"/>
      <c r="F56" s="40">
        <f>SUM(F8:F54)/2</f>
        <v>0</v>
      </c>
      <c r="G56" s="40"/>
      <c r="H56" s="40">
        <f>H54+H51+H48+H44+H38+H28+H22+H12</f>
        <v>0</v>
      </c>
      <c r="J56" s="44">
        <f>F56</f>
        <v>0</v>
      </c>
      <c r="L56" s="29">
        <f t="shared" ref="L56" si="16">J56/655.957</f>
        <v>0</v>
      </c>
    </row>
    <row r="57" spans="1:12" ht="13.2" x14ac:dyDescent="0.25">
      <c r="A57" s="19"/>
      <c r="B57" s="98"/>
      <c r="C57" s="19"/>
      <c r="D57" s="21"/>
      <c r="E57" s="21"/>
      <c r="F57" s="22"/>
      <c r="G57" s="23"/>
      <c r="H57" s="47"/>
    </row>
    <row r="58" spans="1:12" ht="13.5" customHeight="1" x14ac:dyDescent="0.25">
      <c r="A58" s="19"/>
      <c r="B58" s="98"/>
      <c r="C58" s="19"/>
      <c r="D58" s="21"/>
      <c r="E58" s="21"/>
      <c r="F58" s="22"/>
      <c r="G58" s="23"/>
      <c r="H58" s="47"/>
    </row>
    <row r="71" spans="4:4" x14ac:dyDescent="0.2">
      <c r="D71" s="49">
        <f>2*3.14*1.5*0.1</f>
        <v>0.94200000000000006</v>
      </c>
    </row>
  </sheetData>
  <mergeCells count="3"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9164-358E-4D98-937A-9EC0DC3F4FB0}">
  <sheetPr>
    <pageSetUpPr fitToPage="1"/>
  </sheetPr>
  <dimension ref="A1:L50"/>
  <sheetViews>
    <sheetView showZeros="0" zoomScale="160" zoomScaleNormal="160" workbookViewId="0">
      <selection activeCell="F11" sqref="F11"/>
    </sheetView>
  </sheetViews>
  <sheetFormatPr baseColWidth="10" defaultColWidth="11.5546875" defaultRowHeight="11.4" x14ac:dyDescent="0.2"/>
  <cols>
    <col min="1" max="1" width="5.6640625" style="18" customWidth="1"/>
    <col min="2" max="2" width="48.6640625" style="48" customWidth="1"/>
    <col min="3" max="3" width="6.33203125" style="18" bestFit="1" customWidth="1"/>
    <col min="4" max="4" width="8.6640625" style="49" bestFit="1" customWidth="1"/>
    <col min="5" max="5" width="12.6640625" style="49" customWidth="1"/>
    <col min="6" max="6" width="12.6640625" style="50" customWidth="1"/>
    <col min="7" max="7" width="12.6640625" style="51" customWidth="1"/>
    <col min="8" max="8" width="12.6640625" style="52" customWidth="1"/>
    <col min="9" max="9" width="10" style="18" hidden="1" customWidth="1"/>
    <col min="10" max="12" width="0" style="18" hidden="1" customWidth="1"/>
    <col min="13" max="16384" width="11.5546875" style="18"/>
  </cols>
  <sheetData>
    <row r="1" spans="1:11" ht="15.6" x14ac:dyDescent="0.2">
      <c r="A1" s="103" t="s">
        <v>26</v>
      </c>
      <c r="B1" s="103"/>
      <c r="C1" s="103"/>
      <c r="D1" s="103"/>
      <c r="E1" s="103"/>
      <c r="F1" s="103"/>
      <c r="G1" s="103"/>
      <c r="H1" s="103"/>
    </row>
    <row r="2" spans="1:11" ht="17.399999999999999" x14ac:dyDescent="0.2">
      <c r="A2" s="106" t="s">
        <v>27</v>
      </c>
      <c r="B2" s="106"/>
      <c r="C2" s="106"/>
      <c r="D2" s="106"/>
      <c r="E2" s="106"/>
      <c r="F2" s="106"/>
      <c r="G2" s="106"/>
      <c r="H2" s="106"/>
    </row>
    <row r="3" spans="1:11" ht="15.6" x14ac:dyDescent="0.2">
      <c r="A3" s="104" t="s">
        <v>120</v>
      </c>
      <c r="B3" s="104"/>
      <c r="C3" s="104"/>
      <c r="D3" s="104"/>
      <c r="E3" s="104"/>
      <c r="F3" s="104"/>
      <c r="G3" s="104"/>
      <c r="H3" s="104"/>
    </row>
    <row r="4" spans="1:11" ht="15" customHeight="1" x14ac:dyDescent="0.3">
      <c r="A4" s="19"/>
      <c r="B4" s="20"/>
      <c r="C4" s="19"/>
      <c r="D4" s="21"/>
      <c r="E4" s="21"/>
      <c r="F4" s="22"/>
      <c r="G4" s="23"/>
      <c r="H4" s="24"/>
      <c r="I4" s="2"/>
    </row>
    <row r="5" spans="1:11" ht="28.8" x14ac:dyDescent="0.2">
      <c r="A5" s="5" t="s">
        <v>9</v>
      </c>
      <c r="B5" s="4" t="s">
        <v>0</v>
      </c>
      <c r="C5" s="5" t="s">
        <v>1</v>
      </c>
      <c r="D5" s="5" t="s">
        <v>29</v>
      </c>
      <c r="E5" s="4" t="s">
        <v>30</v>
      </c>
      <c r="F5" s="6" t="s">
        <v>31</v>
      </c>
      <c r="G5" s="4" t="s">
        <v>14</v>
      </c>
      <c r="H5" s="6" t="s">
        <v>15</v>
      </c>
      <c r="J5" s="25">
        <f>3.15*3*2+3.15*4</f>
        <v>31.5</v>
      </c>
      <c r="K5" s="18">
        <f>9.65*3.7</f>
        <v>35.705000000000005</v>
      </c>
    </row>
    <row r="6" spans="1:11" ht="14.4" x14ac:dyDescent="0.2">
      <c r="A6" s="26" t="s">
        <v>32</v>
      </c>
      <c r="B6" s="14" t="s">
        <v>33</v>
      </c>
      <c r="C6" s="27"/>
      <c r="D6" s="3"/>
      <c r="E6" s="3"/>
      <c r="F6" s="28"/>
      <c r="G6" s="10"/>
      <c r="H6" s="29"/>
    </row>
    <row r="7" spans="1:11" ht="14.4" x14ac:dyDescent="0.2">
      <c r="A7" s="7" t="s">
        <v>34</v>
      </c>
      <c r="B7" s="8" t="s">
        <v>35</v>
      </c>
      <c r="C7" s="30" t="s">
        <v>2</v>
      </c>
      <c r="D7" s="9">
        <v>1</v>
      </c>
      <c r="E7" s="31"/>
      <c r="F7" s="11">
        <f t="shared" ref="F7:F10" si="0">E7*D7</f>
        <v>0</v>
      </c>
      <c r="G7" s="10">
        <f t="shared" ref="G7:H10" si="1">E7/655.957</f>
        <v>0</v>
      </c>
      <c r="H7" s="29">
        <f t="shared" si="1"/>
        <v>0</v>
      </c>
    </row>
    <row r="8" spans="1:11" ht="28.8" x14ac:dyDescent="0.2">
      <c r="A8" s="7" t="s">
        <v>36</v>
      </c>
      <c r="B8" s="8" t="s">
        <v>37</v>
      </c>
      <c r="C8" s="30" t="s">
        <v>3</v>
      </c>
      <c r="D8" s="9">
        <f>J5*0.5*0.8</f>
        <v>12.600000000000001</v>
      </c>
      <c r="E8" s="31"/>
      <c r="F8" s="11">
        <f t="shared" si="0"/>
        <v>0</v>
      </c>
      <c r="G8" s="10">
        <f t="shared" si="1"/>
        <v>0</v>
      </c>
      <c r="H8" s="29">
        <f t="shared" si="1"/>
        <v>0</v>
      </c>
    </row>
    <row r="9" spans="1:11" ht="14.4" x14ac:dyDescent="0.2">
      <c r="A9" s="7" t="s">
        <v>38</v>
      </c>
      <c r="B9" s="8" t="s">
        <v>39</v>
      </c>
      <c r="C9" s="30" t="s">
        <v>3</v>
      </c>
      <c r="D9" s="32">
        <f>J5*0.3*0.5</f>
        <v>4.7249999999999996</v>
      </c>
      <c r="E9" s="31"/>
      <c r="F9" s="11">
        <f t="shared" si="0"/>
        <v>0</v>
      </c>
      <c r="G9" s="10">
        <f t="shared" si="1"/>
        <v>0</v>
      </c>
      <c r="H9" s="29">
        <f t="shared" si="1"/>
        <v>0</v>
      </c>
    </row>
    <row r="10" spans="1:11" ht="14.4" x14ac:dyDescent="0.2">
      <c r="A10" s="7" t="s">
        <v>40</v>
      </c>
      <c r="B10" s="8" t="s">
        <v>41</v>
      </c>
      <c r="C10" s="30" t="s">
        <v>3</v>
      </c>
      <c r="D10" s="32">
        <f>(3*3)*3*0.25</f>
        <v>6.75</v>
      </c>
      <c r="E10" s="31"/>
      <c r="F10" s="11">
        <f t="shared" si="0"/>
        <v>0</v>
      </c>
      <c r="G10" s="10">
        <f t="shared" si="1"/>
        <v>0</v>
      </c>
      <c r="H10" s="29">
        <f t="shared" si="1"/>
        <v>0</v>
      </c>
    </row>
    <row r="11" spans="1:11" ht="14.4" x14ac:dyDescent="0.2">
      <c r="A11" s="13"/>
      <c r="B11" s="33" t="s">
        <v>42</v>
      </c>
      <c r="C11" s="34"/>
      <c r="D11" s="3"/>
      <c r="E11" s="35"/>
      <c r="F11" s="16">
        <f>SUM(F7:F10)</f>
        <v>0</v>
      </c>
      <c r="G11" s="16"/>
      <c r="H11" s="36">
        <f>SUM(H7:H10)</f>
        <v>0</v>
      </c>
    </row>
    <row r="12" spans="1:11" ht="14.4" x14ac:dyDescent="0.2">
      <c r="A12" s="26" t="s">
        <v>43</v>
      </c>
      <c r="B12" s="14" t="s">
        <v>121</v>
      </c>
      <c r="C12" s="27"/>
      <c r="D12" s="3"/>
      <c r="E12" s="35"/>
      <c r="F12" s="28"/>
      <c r="G12" s="10"/>
      <c r="H12" s="37"/>
    </row>
    <row r="13" spans="1:11" ht="14.4" x14ac:dyDescent="0.2">
      <c r="A13" s="7" t="s">
        <v>45</v>
      </c>
      <c r="B13" s="8" t="s">
        <v>46</v>
      </c>
      <c r="C13" s="30" t="s">
        <v>3</v>
      </c>
      <c r="D13" s="32">
        <f>J5*0.5*0.05</f>
        <v>0.78750000000000009</v>
      </c>
      <c r="E13" s="31"/>
      <c r="F13" s="11">
        <f>E13*D13</f>
        <v>0</v>
      </c>
      <c r="G13" s="10">
        <f t="shared" ref="G13:H20" si="2">E13/655.957</f>
        <v>0</v>
      </c>
      <c r="H13" s="29">
        <f t="shared" si="2"/>
        <v>0</v>
      </c>
    </row>
    <row r="14" spans="1:11" ht="14.4" x14ac:dyDescent="0.2">
      <c r="A14" s="7" t="s">
        <v>47</v>
      </c>
      <c r="B14" s="8" t="s">
        <v>48</v>
      </c>
      <c r="C14" s="30" t="s">
        <v>3</v>
      </c>
      <c r="D14" s="32">
        <f>J5*0.5*0.25</f>
        <v>3.9375</v>
      </c>
      <c r="E14" s="31"/>
      <c r="F14" s="11">
        <f t="shared" ref="F14:F20" si="3">E14*D14</f>
        <v>0</v>
      </c>
      <c r="G14" s="10">
        <f t="shared" si="2"/>
        <v>0</v>
      </c>
      <c r="H14" s="29">
        <f t="shared" si="2"/>
        <v>0</v>
      </c>
    </row>
    <row r="15" spans="1:11" ht="28.8" x14ac:dyDescent="0.2">
      <c r="A15" s="7" t="s">
        <v>49</v>
      </c>
      <c r="B15" s="8" t="s">
        <v>122</v>
      </c>
      <c r="C15" s="30" t="s">
        <v>51</v>
      </c>
      <c r="D15" s="38">
        <f>J5*(0.7+0.25*2)</f>
        <v>37.799999999999997</v>
      </c>
      <c r="E15" s="31"/>
      <c r="F15" s="11">
        <f t="shared" si="3"/>
        <v>0</v>
      </c>
      <c r="G15" s="10">
        <f t="shared" si="2"/>
        <v>0</v>
      </c>
      <c r="H15" s="29">
        <f t="shared" si="2"/>
        <v>0</v>
      </c>
    </row>
    <row r="16" spans="1:11" ht="14.4" x14ac:dyDescent="0.2">
      <c r="A16" s="7" t="s">
        <v>52</v>
      </c>
      <c r="B16" s="8" t="s">
        <v>123</v>
      </c>
      <c r="C16" s="30" t="s">
        <v>3</v>
      </c>
      <c r="D16" s="32">
        <f>18*(0.15*0.15)*1.95</f>
        <v>0.78974999999999995</v>
      </c>
      <c r="E16" s="31"/>
      <c r="F16" s="11">
        <f t="shared" si="3"/>
        <v>0</v>
      </c>
      <c r="G16" s="10">
        <f t="shared" si="2"/>
        <v>0</v>
      </c>
      <c r="H16" s="29">
        <f t="shared" si="2"/>
        <v>0</v>
      </c>
    </row>
    <row r="17" spans="1:12" ht="14.4" x14ac:dyDescent="0.2">
      <c r="A17" s="7" t="s">
        <v>54</v>
      </c>
      <c r="B17" s="8" t="s">
        <v>124</v>
      </c>
      <c r="C17" s="30" t="s">
        <v>3</v>
      </c>
      <c r="D17" s="32">
        <f>J5*0.15*0.5</f>
        <v>2.3624999999999998</v>
      </c>
      <c r="E17" s="31"/>
      <c r="F17" s="11">
        <f t="shared" si="3"/>
        <v>0</v>
      </c>
      <c r="G17" s="10">
        <f t="shared" si="2"/>
        <v>0</v>
      </c>
      <c r="H17" s="29">
        <f t="shared" si="2"/>
        <v>0</v>
      </c>
    </row>
    <row r="18" spans="1:12" ht="28.8" x14ac:dyDescent="0.2">
      <c r="A18" s="7" t="s">
        <v>56</v>
      </c>
      <c r="B18" s="8" t="s">
        <v>125</v>
      </c>
      <c r="C18" s="30" t="s">
        <v>3</v>
      </c>
      <c r="D18" s="32">
        <f>2*J5*0.15*0.2</f>
        <v>1.89</v>
      </c>
      <c r="E18" s="31"/>
      <c r="F18" s="11">
        <f t="shared" si="3"/>
        <v>0</v>
      </c>
      <c r="G18" s="10">
        <f t="shared" si="2"/>
        <v>0</v>
      </c>
      <c r="H18" s="29">
        <f t="shared" si="2"/>
        <v>0</v>
      </c>
    </row>
    <row r="19" spans="1:12" ht="28.8" x14ac:dyDescent="0.2">
      <c r="A19" s="7" t="s">
        <v>58</v>
      </c>
      <c r="B19" s="8" t="s">
        <v>126</v>
      </c>
      <c r="C19" s="30" t="s">
        <v>3</v>
      </c>
      <c r="D19" s="9">
        <f>3*(3*3)*0.15</f>
        <v>4.05</v>
      </c>
      <c r="E19" s="31"/>
      <c r="F19" s="11">
        <f t="shared" si="3"/>
        <v>0</v>
      </c>
      <c r="G19" s="10">
        <f t="shared" si="2"/>
        <v>0</v>
      </c>
      <c r="H19" s="29">
        <f t="shared" si="2"/>
        <v>0</v>
      </c>
    </row>
    <row r="20" spans="1:12" ht="28.8" x14ac:dyDescent="0.2">
      <c r="A20" s="7" t="s">
        <v>60</v>
      </c>
      <c r="B20" s="8" t="s">
        <v>61</v>
      </c>
      <c r="C20" s="30" t="s">
        <v>3</v>
      </c>
      <c r="D20" s="9">
        <f>(1.3*0.3*3*0.15)*3</f>
        <v>0.52649999999999997</v>
      </c>
      <c r="E20" s="31"/>
      <c r="F20" s="11">
        <f t="shared" si="3"/>
        <v>0</v>
      </c>
      <c r="G20" s="10">
        <f t="shared" si="2"/>
        <v>0</v>
      </c>
      <c r="H20" s="29">
        <f t="shared" si="2"/>
        <v>0</v>
      </c>
    </row>
    <row r="21" spans="1:12" ht="14.4" x14ac:dyDescent="0.2">
      <c r="A21" s="39"/>
      <c r="B21" s="33" t="s">
        <v>62</v>
      </c>
      <c r="C21" s="34"/>
      <c r="D21" s="3"/>
      <c r="E21" s="35"/>
      <c r="F21" s="16">
        <f>SUM(F13:F20)</f>
        <v>0</v>
      </c>
      <c r="G21" s="16"/>
      <c r="H21" s="36">
        <f>SUM(H13:H20)</f>
        <v>0</v>
      </c>
    </row>
    <row r="22" spans="1:12" ht="14.4" x14ac:dyDescent="0.2">
      <c r="A22" s="26" t="s">
        <v>63</v>
      </c>
      <c r="B22" s="14" t="s">
        <v>75</v>
      </c>
      <c r="C22" s="27"/>
      <c r="D22" s="3"/>
      <c r="E22" s="35"/>
      <c r="F22" s="28"/>
      <c r="G22" s="10"/>
      <c r="H22" s="37"/>
    </row>
    <row r="23" spans="1:12" ht="14.4" x14ac:dyDescent="0.2">
      <c r="A23" s="7" t="s">
        <v>65</v>
      </c>
      <c r="B23" s="8" t="s">
        <v>127</v>
      </c>
      <c r="C23" s="30" t="s">
        <v>51</v>
      </c>
      <c r="D23" s="9">
        <f>(3*4*3)*1.2</f>
        <v>43.199999999999996</v>
      </c>
      <c r="E23" s="31"/>
      <c r="F23" s="11">
        <f>E23*D23</f>
        <v>0</v>
      </c>
      <c r="G23" s="10">
        <f>E23/655.957</f>
        <v>0</v>
      </c>
      <c r="H23" s="29">
        <f>F23/655.957</f>
        <v>0</v>
      </c>
    </row>
    <row r="24" spans="1:12" ht="14.4" x14ac:dyDescent="0.2">
      <c r="A24" s="7" t="s">
        <v>67</v>
      </c>
      <c r="B24" s="8" t="s">
        <v>128</v>
      </c>
      <c r="C24" s="30" t="s">
        <v>51</v>
      </c>
      <c r="D24" s="9">
        <f>(9.6+3.3)*2*1.5</f>
        <v>38.699999999999996</v>
      </c>
      <c r="E24" s="31"/>
      <c r="F24" s="11">
        <f>E24*D24</f>
        <v>0</v>
      </c>
      <c r="G24" s="10">
        <f>E24/655.957</f>
        <v>0</v>
      </c>
      <c r="H24" s="29">
        <f>F24/655.957</f>
        <v>0</v>
      </c>
    </row>
    <row r="25" spans="1:12" ht="14.4" x14ac:dyDescent="0.2">
      <c r="A25" s="39"/>
      <c r="B25" s="33" t="s">
        <v>73</v>
      </c>
      <c r="C25" s="27"/>
      <c r="D25" s="3"/>
      <c r="E25" s="35"/>
      <c r="F25" s="40">
        <f>SUM(F23:F24)</f>
        <v>0</v>
      </c>
      <c r="G25" s="6"/>
      <c r="H25" s="41">
        <f>SUM(H23:H24)</f>
        <v>0</v>
      </c>
    </row>
    <row r="26" spans="1:12" ht="14.4" x14ac:dyDescent="0.2">
      <c r="A26" s="26" t="s">
        <v>74</v>
      </c>
      <c r="B26" s="14" t="s">
        <v>110</v>
      </c>
      <c r="C26" s="43"/>
      <c r="D26" s="3"/>
      <c r="E26" s="35"/>
      <c r="F26" s="28"/>
      <c r="G26" s="10"/>
      <c r="H26" s="37"/>
      <c r="J26" s="44">
        <f>F27</f>
        <v>0</v>
      </c>
      <c r="L26" s="29">
        <f t="shared" ref="L26" si="4">J26/655.957</f>
        <v>0</v>
      </c>
    </row>
    <row r="27" spans="1:12" ht="28.8" x14ac:dyDescent="0.2">
      <c r="A27" s="42" t="s">
        <v>76</v>
      </c>
      <c r="B27" s="8" t="s">
        <v>129</v>
      </c>
      <c r="C27" s="30" t="s">
        <v>97</v>
      </c>
      <c r="D27" s="9">
        <v>1</v>
      </c>
      <c r="E27" s="31"/>
      <c r="F27" s="11">
        <f>E27*D27</f>
        <v>0</v>
      </c>
      <c r="G27" s="10">
        <f t="shared" ref="G27:H29" si="5">E27/655.957</f>
        <v>0</v>
      </c>
      <c r="H27" s="29">
        <f t="shared" si="5"/>
        <v>0</v>
      </c>
    </row>
    <row r="28" spans="1:12" ht="14.4" x14ac:dyDescent="0.2">
      <c r="A28" s="42" t="s">
        <v>78</v>
      </c>
      <c r="B28" s="8" t="s">
        <v>130</v>
      </c>
      <c r="C28" s="30" t="s">
        <v>97</v>
      </c>
      <c r="D28" s="9">
        <v>1</v>
      </c>
      <c r="E28" s="31"/>
      <c r="F28" s="11">
        <f>E28*D28</f>
        <v>0</v>
      </c>
      <c r="G28" s="10">
        <f t="shared" si="5"/>
        <v>0</v>
      </c>
      <c r="H28" s="29">
        <f t="shared" si="5"/>
        <v>0</v>
      </c>
    </row>
    <row r="29" spans="1:12" ht="43.2" x14ac:dyDescent="0.2">
      <c r="A29" s="42" t="s">
        <v>131</v>
      </c>
      <c r="B29" s="8" t="s">
        <v>132</v>
      </c>
      <c r="C29" s="30" t="s">
        <v>97</v>
      </c>
      <c r="D29" s="9">
        <v>4</v>
      </c>
      <c r="E29" s="31"/>
      <c r="F29" s="11">
        <f>E29*D29</f>
        <v>0</v>
      </c>
      <c r="G29" s="10">
        <f t="shared" si="5"/>
        <v>0</v>
      </c>
      <c r="H29" s="29">
        <f t="shared" si="5"/>
        <v>0</v>
      </c>
    </row>
    <row r="30" spans="1:12" ht="14.4" x14ac:dyDescent="0.2">
      <c r="A30" s="39"/>
      <c r="B30" s="33" t="s">
        <v>80</v>
      </c>
      <c r="C30" s="34"/>
      <c r="D30" s="3"/>
      <c r="E30" s="35"/>
      <c r="F30" s="40">
        <f>SUM(F27:F28)</f>
        <v>0</v>
      </c>
      <c r="G30" s="16"/>
      <c r="H30" s="45">
        <f>SUM(H27:H28)</f>
        <v>0</v>
      </c>
    </row>
    <row r="31" spans="1:12" ht="14.4" x14ac:dyDescent="0.2">
      <c r="A31" s="26" t="s">
        <v>81</v>
      </c>
      <c r="B31" s="14" t="s">
        <v>133</v>
      </c>
      <c r="C31" s="43"/>
      <c r="D31" s="3"/>
      <c r="E31" s="35"/>
      <c r="F31" s="28"/>
      <c r="G31" s="10"/>
      <c r="H31" s="37"/>
    </row>
    <row r="32" spans="1:12" ht="14.4" x14ac:dyDescent="0.2">
      <c r="A32" s="7" t="s">
        <v>83</v>
      </c>
      <c r="B32" s="8" t="s">
        <v>134</v>
      </c>
      <c r="C32" s="30" t="s">
        <v>3</v>
      </c>
      <c r="D32" s="9">
        <f>8*0.4*0.4*0.55</f>
        <v>0.70400000000000018</v>
      </c>
      <c r="E32" s="31"/>
      <c r="F32" s="11">
        <f t="shared" ref="F32" si="6">E32*D32</f>
        <v>0</v>
      </c>
      <c r="G32" s="10">
        <f t="shared" ref="G32:H33" si="7">E32/655.957</f>
        <v>0</v>
      </c>
      <c r="H32" s="29">
        <f t="shared" si="7"/>
        <v>0</v>
      </c>
    </row>
    <row r="33" spans="1:12" ht="14.4" x14ac:dyDescent="0.2">
      <c r="A33" s="7" t="s">
        <v>86</v>
      </c>
      <c r="B33" s="8" t="s">
        <v>135</v>
      </c>
      <c r="C33" s="30" t="s">
        <v>3</v>
      </c>
      <c r="D33" s="9">
        <f>8*0.4*0.4*0.55</f>
        <v>0.70400000000000018</v>
      </c>
      <c r="E33" s="31"/>
      <c r="F33" s="11">
        <f>E33*D33</f>
        <v>0</v>
      </c>
      <c r="G33" s="10">
        <f t="shared" si="7"/>
        <v>0</v>
      </c>
      <c r="H33" s="29">
        <f t="shared" si="7"/>
        <v>0</v>
      </c>
    </row>
    <row r="34" spans="1:12" ht="28.8" x14ac:dyDescent="0.2">
      <c r="A34" s="7" t="s">
        <v>88</v>
      </c>
      <c r="B34" s="8" t="s">
        <v>136</v>
      </c>
      <c r="C34" s="30" t="s">
        <v>5</v>
      </c>
      <c r="D34" s="9">
        <f>3.3*8</f>
        <v>26.4</v>
      </c>
      <c r="E34" s="31"/>
      <c r="F34" s="11">
        <f>E34*D34</f>
        <v>0</v>
      </c>
      <c r="G34" s="10">
        <f>E34/655.957</f>
        <v>0</v>
      </c>
      <c r="H34" s="29">
        <f>F34/655.957</f>
        <v>0</v>
      </c>
    </row>
    <row r="35" spans="1:12" ht="43.2" x14ac:dyDescent="0.2">
      <c r="A35" s="7" t="s">
        <v>90</v>
      </c>
      <c r="B35" s="8" t="s">
        <v>137</v>
      </c>
      <c r="C35" s="30" t="s">
        <v>97</v>
      </c>
      <c r="D35" s="9">
        <v>4</v>
      </c>
      <c r="E35" s="31"/>
      <c r="F35" s="11">
        <f t="shared" ref="F35:F40" si="8">E35*D35</f>
        <v>0</v>
      </c>
      <c r="G35" s="10">
        <f t="shared" ref="G35:H40" si="9">E35/655.957</f>
        <v>0</v>
      </c>
      <c r="H35" s="29">
        <f t="shared" si="9"/>
        <v>0</v>
      </c>
      <c r="J35" s="18">
        <f>50000*5.2</f>
        <v>260000</v>
      </c>
    </row>
    <row r="36" spans="1:12" ht="28.8" x14ac:dyDescent="0.2">
      <c r="A36" s="7" t="s">
        <v>138</v>
      </c>
      <c r="B36" s="8" t="s">
        <v>139</v>
      </c>
      <c r="C36" s="30" t="s">
        <v>85</v>
      </c>
      <c r="D36" s="9">
        <f>9.8*8</f>
        <v>78.400000000000006</v>
      </c>
      <c r="E36" s="31"/>
      <c r="F36" s="11">
        <f t="shared" si="8"/>
        <v>0</v>
      </c>
      <c r="G36" s="10">
        <f t="shared" si="9"/>
        <v>0</v>
      </c>
      <c r="H36" s="29">
        <f t="shared" si="9"/>
        <v>0</v>
      </c>
    </row>
    <row r="37" spans="1:12" ht="28.8" x14ac:dyDescent="0.2">
      <c r="A37" s="7" t="s">
        <v>140</v>
      </c>
      <c r="B37" s="8" t="s">
        <v>141</v>
      </c>
      <c r="C37" s="30" t="s">
        <v>85</v>
      </c>
      <c r="D37" s="9">
        <f>30</f>
        <v>30</v>
      </c>
      <c r="E37" s="31"/>
      <c r="F37" s="11">
        <f t="shared" si="8"/>
        <v>0</v>
      </c>
      <c r="G37" s="10">
        <f t="shared" si="9"/>
        <v>0</v>
      </c>
      <c r="H37" s="29">
        <f t="shared" si="9"/>
        <v>0</v>
      </c>
    </row>
    <row r="38" spans="1:12" ht="28.8" x14ac:dyDescent="0.2">
      <c r="A38" s="7" t="s">
        <v>142</v>
      </c>
      <c r="B38" s="8" t="s">
        <v>87</v>
      </c>
      <c r="C38" s="30" t="s">
        <v>51</v>
      </c>
      <c r="D38" s="9">
        <f>9.8*5.65</f>
        <v>55.370000000000005</v>
      </c>
      <c r="E38" s="31"/>
      <c r="F38" s="11">
        <f t="shared" si="8"/>
        <v>0</v>
      </c>
      <c r="G38" s="10">
        <f t="shared" si="9"/>
        <v>0</v>
      </c>
      <c r="H38" s="29">
        <f t="shared" si="9"/>
        <v>0</v>
      </c>
    </row>
    <row r="39" spans="1:12" ht="14.4" x14ac:dyDescent="0.2">
      <c r="A39" s="7" t="s">
        <v>143</v>
      </c>
      <c r="B39" s="8" t="s">
        <v>89</v>
      </c>
      <c r="C39" s="30" t="s">
        <v>85</v>
      </c>
      <c r="D39" s="9">
        <f>D37</f>
        <v>30</v>
      </c>
      <c r="E39" s="31"/>
      <c r="F39" s="11">
        <f t="shared" si="8"/>
        <v>0</v>
      </c>
      <c r="G39" s="10">
        <f t="shared" si="9"/>
        <v>0</v>
      </c>
      <c r="H39" s="29">
        <f t="shared" si="9"/>
        <v>0</v>
      </c>
    </row>
    <row r="40" spans="1:12" ht="14.4" x14ac:dyDescent="0.2">
      <c r="A40" s="7" t="s">
        <v>144</v>
      </c>
      <c r="B40" s="8" t="s">
        <v>91</v>
      </c>
      <c r="C40" s="30" t="s">
        <v>85</v>
      </c>
      <c r="D40" s="9">
        <f>9.8</f>
        <v>9.8000000000000007</v>
      </c>
      <c r="E40" s="31"/>
      <c r="F40" s="11">
        <f t="shared" si="8"/>
        <v>0</v>
      </c>
      <c r="G40" s="10">
        <f t="shared" si="9"/>
        <v>0</v>
      </c>
      <c r="H40" s="29">
        <f t="shared" si="9"/>
        <v>0</v>
      </c>
    </row>
    <row r="41" spans="1:12" ht="14.4" x14ac:dyDescent="0.2">
      <c r="A41" s="7" t="s">
        <v>145</v>
      </c>
      <c r="B41" s="8" t="s">
        <v>107</v>
      </c>
      <c r="C41" s="30" t="s">
        <v>2</v>
      </c>
      <c r="D41" s="9">
        <v>1</v>
      </c>
      <c r="E41" s="31"/>
      <c r="F41" s="11">
        <f>E41*D41</f>
        <v>0</v>
      </c>
      <c r="G41" s="10">
        <f>E41/655.957</f>
        <v>0</v>
      </c>
      <c r="H41" s="29">
        <f>F41/655.957</f>
        <v>0</v>
      </c>
    </row>
    <row r="42" spans="1:12" ht="14.4" x14ac:dyDescent="0.2">
      <c r="A42" s="39"/>
      <c r="B42" s="33" t="s">
        <v>92</v>
      </c>
      <c r="C42" s="34"/>
      <c r="D42" s="3"/>
      <c r="E42" s="35"/>
      <c r="F42" s="40">
        <f>SUM(F32:F41)</f>
        <v>0</v>
      </c>
      <c r="G42" s="16"/>
      <c r="H42" s="45">
        <f>SUM(H32:H41)</f>
        <v>0</v>
      </c>
    </row>
    <row r="43" spans="1:12" ht="14.4" x14ac:dyDescent="0.25">
      <c r="A43" s="46"/>
      <c r="B43" s="4" t="s">
        <v>146</v>
      </c>
      <c r="C43" s="34"/>
      <c r="D43" s="5"/>
      <c r="E43" s="3"/>
      <c r="F43" s="40">
        <f>SUM(F7:F42)/2</f>
        <v>0</v>
      </c>
      <c r="G43" s="40"/>
      <c r="H43" s="40">
        <f>SUM(H42,H30,H25,H21,H11)</f>
        <v>0</v>
      </c>
      <c r="J43" s="44">
        <f>F43</f>
        <v>0</v>
      </c>
      <c r="L43" s="29">
        <f t="shared" ref="L43" si="10">J43/655.957</f>
        <v>0</v>
      </c>
    </row>
    <row r="44" spans="1:12" ht="13.5" customHeight="1" x14ac:dyDescent="0.25">
      <c r="A44" s="19"/>
      <c r="B44" s="20"/>
      <c r="C44" s="19"/>
      <c r="D44" s="21"/>
      <c r="E44" s="21"/>
      <c r="F44" s="22"/>
      <c r="G44" s="23"/>
      <c r="H44" s="47"/>
    </row>
    <row r="45" spans="1:12" ht="13.2" x14ac:dyDescent="0.25">
      <c r="A45" s="19"/>
      <c r="B45" s="20"/>
      <c r="C45" s="19"/>
      <c r="D45" s="21"/>
      <c r="E45" s="21"/>
      <c r="F45" s="22"/>
      <c r="G45" s="23"/>
      <c r="H45" s="47"/>
    </row>
    <row r="50" spans="5:5" x14ac:dyDescent="0.2">
      <c r="E50" s="53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9B82-5260-4999-8C33-017E1B2CB734}">
  <sheetPr>
    <pageSetUpPr fitToPage="1"/>
  </sheetPr>
  <dimension ref="A2:L59"/>
  <sheetViews>
    <sheetView showZeros="0" zoomScale="120" zoomScaleNormal="120" workbookViewId="0">
      <selection activeCell="H11" sqref="H11"/>
    </sheetView>
  </sheetViews>
  <sheetFormatPr baseColWidth="10" defaultColWidth="11.5546875" defaultRowHeight="11.4" x14ac:dyDescent="0.2"/>
  <cols>
    <col min="1" max="1" width="5.6640625" style="18" customWidth="1"/>
    <col min="2" max="2" width="50.109375" style="48" customWidth="1"/>
    <col min="3" max="3" width="6.33203125" style="18" bestFit="1" customWidth="1"/>
    <col min="4" max="4" width="8.6640625" style="49" bestFit="1" customWidth="1"/>
    <col min="5" max="5" width="12.6640625" style="49" customWidth="1"/>
    <col min="6" max="6" width="12.6640625" style="50" customWidth="1"/>
    <col min="7" max="7" width="12.6640625" style="51" customWidth="1"/>
    <col min="8" max="8" width="12.6640625" style="52" customWidth="1"/>
    <col min="9" max="9" width="10" style="18" hidden="1" customWidth="1"/>
    <col min="10" max="12" width="0" style="18" hidden="1" customWidth="1"/>
    <col min="13" max="16384" width="11.5546875" style="18"/>
  </cols>
  <sheetData>
    <row r="2" spans="1:11" ht="15.6" x14ac:dyDescent="0.2">
      <c r="A2" s="103" t="s">
        <v>26</v>
      </c>
      <c r="B2" s="103"/>
      <c r="C2" s="103"/>
      <c r="D2" s="103"/>
      <c r="E2" s="103"/>
      <c r="F2" s="103"/>
      <c r="G2" s="103"/>
      <c r="H2" s="103"/>
    </row>
    <row r="3" spans="1:11" ht="17.399999999999999" x14ac:dyDescent="0.2">
      <c r="A3" s="106" t="s">
        <v>27</v>
      </c>
      <c r="B3" s="106"/>
      <c r="C3" s="106"/>
      <c r="D3" s="106"/>
      <c r="E3" s="106"/>
      <c r="F3" s="106"/>
      <c r="G3" s="106"/>
      <c r="H3" s="106"/>
    </row>
    <row r="4" spans="1:11" ht="15.6" x14ac:dyDescent="0.2">
      <c r="A4" s="104" t="s">
        <v>147</v>
      </c>
      <c r="B4" s="104"/>
      <c r="C4" s="104"/>
      <c r="D4" s="104"/>
      <c r="E4" s="104"/>
      <c r="F4" s="104"/>
      <c r="G4" s="104"/>
      <c r="H4" s="104"/>
    </row>
    <row r="5" spans="1:11" ht="15" customHeight="1" x14ac:dyDescent="0.25">
      <c r="A5" s="19"/>
      <c r="B5" s="20"/>
      <c r="C5" s="19"/>
      <c r="D5" s="21"/>
      <c r="E5" s="21"/>
      <c r="F5" s="22"/>
      <c r="G5" s="23"/>
      <c r="H5" s="24"/>
    </row>
    <row r="6" spans="1:11" ht="28.8" x14ac:dyDescent="0.3">
      <c r="A6" s="5" t="s">
        <v>9</v>
      </c>
      <c r="B6" s="4" t="s">
        <v>0</v>
      </c>
      <c r="C6" s="5" t="s">
        <v>1</v>
      </c>
      <c r="D6" s="5" t="s">
        <v>29</v>
      </c>
      <c r="E6" s="4" t="s">
        <v>30</v>
      </c>
      <c r="F6" s="6" t="s">
        <v>31</v>
      </c>
      <c r="G6" s="4" t="s">
        <v>14</v>
      </c>
      <c r="H6" s="6" t="s">
        <v>15</v>
      </c>
      <c r="I6" s="2"/>
      <c r="J6" s="25">
        <f>11.8*2+2.95+5.9*3</f>
        <v>44.25</v>
      </c>
    </row>
    <row r="7" spans="1:11" ht="14.4" x14ac:dyDescent="0.2">
      <c r="A7" s="26" t="s">
        <v>32</v>
      </c>
      <c r="B7" s="14" t="s">
        <v>33</v>
      </c>
      <c r="C7" s="27"/>
      <c r="D7" s="3"/>
      <c r="E7" s="3"/>
      <c r="F7" s="28"/>
      <c r="G7" s="10"/>
      <c r="H7" s="29"/>
      <c r="J7" s="91">
        <f>(2.8*2.8*2+8.9*5.75)</f>
        <v>66.855000000000004</v>
      </c>
      <c r="K7" s="18">
        <f>11.95*2+6.05*2</f>
        <v>36</v>
      </c>
    </row>
    <row r="8" spans="1:11" ht="14.4" x14ac:dyDescent="0.2">
      <c r="A8" s="7" t="s">
        <v>34</v>
      </c>
      <c r="B8" s="8" t="s">
        <v>35</v>
      </c>
      <c r="C8" s="30" t="s">
        <v>2</v>
      </c>
      <c r="D8" s="9">
        <v>1</v>
      </c>
      <c r="E8" s="31"/>
      <c r="F8" s="11">
        <f t="shared" ref="F8:F11" si="0">E8*D8</f>
        <v>0</v>
      </c>
      <c r="G8" s="10">
        <f t="shared" ref="G8:H11" si="1">E8/655.957</f>
        <v>0</v>
      </c>
      <c r="H8" s="29">
        <f t="shared" si="1"/>
        <v>0</v>
      </c>
    </row>
    <row r="9" spans="1:11" ht="36" customHeight="1" x14ac:dyDescent="0.2">
      <c r="A9" s="7" t="s">
        <v>36</v>
      </c>
      <c r="B9" s="8" t="s">
        <v>37</v>
      </c>
      <c r="C9" s="30" t="s">
        <v>3</v>
      </c>
      <c r="D9" s="9">
        <f>J6*0.5*0.8+J19*0.4*0.4</f>
        <v>23.844000000000001</v>
      </c>
      <c r="E9" s="31"/>
      <c r="F9" s="11">
        <f t="shared" si="0"/>
        <v>0</v>
      </c>
      <c r="G9" s="10">
        <f t="shared" si="1"/>
        <v>0</v>
      </c>
      <c r="H9" s="29">
        <f t="shared" si="1"/>
        <v>0</v>
      </c>
    </row>
    <row r="10" spans="1:11" ht="18" customHeight="1" x14ac:dyDescent="0.2">
      <c r="A10" s="7" t="s">
        <v>38</v>
      </c>
      <c r="B10" s="8" t="s">
        <v>39</v>
      </c>
      <c r="C10" s="30" t="s">
        <v>3</v>
      </c>
      <c r="D10" s="32">
        <f>J6*0.3*0.55</f>
        <v>7.3012500000000005</v>
      </c>
      <c r="E10" s="31"/>
      <c r="F10" s="11">
        <f t="shared" si="0"/>
        <v>0</v>
      </c>
      <c r="G10" s="10">
        <f t="shared" si="1"/>
        <v>0</v>
      </c>
      <c r="H10" s="29">
        <f t="shared" si="1"/>
        <v>0</v>
      </c>
    </row>
    <row r="11" spans="1:11" ht="21" customHeight="1" x14ac:dyDescent="0.2">
      <c r="A11" s="7" t="s">
        <v>40</v>
      </c>
      <c r="B11" s="8" t="s">
        <v>41</v>
      </c>
      <c r="C11" s="30" t="s">
        <v>3</v>
      </c>
      <c r="D11" s="32">
        <f>J7*0.35</f>
        <v>23.399249999999999</v>
      </c>
      <c r="E11" s="31"/>
      <c r="F11" s="11">
        <f t="shared" si="0"/>
        <v>0</v>
      </c>
      <c r="G11" s="10">
        <f t="shared" si="1"/>
        <v>0</v>
      </c>
      <c r="H11" s="29">
        <f t="shared" si="1"/>
        <v>0</v>
      </c>
    </row>
    <row r="12" spans="1:11" ht="14.4" x14ac:dyDescent="0.2">
      <c r="A12" s="13"/>
      <c r="B12" s="33" t="s">
        <v>42</v>
      </c>
      <c r="C12" s="34"/>
      <c r="D12" s="3"/>
      <c r="E12" s="35"/>
      <c r="F12" s="16">
        <f>SUM(F8:F11)</f>
        <v>0</v>
      </c>
      <c r="G12" s="16"/>
      <c r="H12" s="36">
        <f>SUM(H8:H11)</f>
        <v>0</v>
      </c>
    </row>
    <row r="13" spans="1:11" ht="14.4" x14ac:dyDescent="0.2">
      <c r="A13" s="26" t="s">
        <v>43</v>
      </c>
      <c r="B13" s="14" t="s">
        <v>44</v>
      </c>
      <c r="C13" s="27"/>
      <c r="D13" s="3"/>
      <c r="E13" s="35"/>
      <c r="F13" s="28"/>
      <c r="G13" s="10"/>
      <c r="H13" s="37"/>
    </row>
    <row r="14" spans="1:11" ht="18.75" customHeight="1" x14ac:dyDescent="0.2">
      <c r="A14" s="7" t="s">
        <v>45</v>
      </c>
      <c r="B14" s="8" t="s">
        <v>46</v>
      </c>
      <c r="C14" s="30" t="s">
        <v>3</v>
      </c>
      <c r="D14" s="32">
        <f>J6*0.5*0.05+J19*0.4*0.05</f>
        <v>1.8742500000000002</v>
      </c>
      <c r="E14" s="31"/>
      <c r="F14" s="11">
        <f>E14*D14</f>
        <v>0</v>
      </c>
      <c r="G14" s="10">
        <f t="shared" ref="G14:H19" si="2">E14/655.957</f>
        <v>0</v>
      </c>
      <c r="H14" s="29">
        <f t="shared" si="2"/>
        <v>0</v>
      </c>
    </row>
    <row r="15" spans="1:11" ht="36" customHeight="1" x14ac:dyDescent="0.2">
      <c r="A15" s="7" t="s">
        <v>47</v>
      </c>
      <c r="B15" s="8" t="s">
        <v>48</v>
      </c>
      <c r="C15" s="30" t="s">
        <v>3</v>
      </c>
      <c r="D15" s="32">
        <f>J6*0.5*0.2</f>
        <v>4.4249999999999998</v>
      </c>
      <c r="E15" s="31"/>
      <c r="F15" s="11">
        <f t="shared" ref="F15:F19" si="3">E15*D15</f>
        <v>0</v>
      </c>
      <c r="G15" s="10">
        <f t="shared" si="2"/>
        <v>0</v>
      </c>
      <c r="H15" s="29">
        <f t="shared" si="2"/>
        <v>0</v>
      </c>
    </row>
    <row r="16" spans="1:11" ht="34.5" customHeight="1" x14ac:dyDescent="0.2">
      <c r="A16" s="7" t="s">
        <v>49</v>
      </c>
      <c r="B16" s="8" t="s">
        <v>50</v>
      </c>
      <c r="C16" s="30" t="s">
        <v>51</v>
      </c>
      <c r="D16" s="38">
        <f>J6*0.85+J19*0.6</f>
        <v>60.652500000000003</v>
      </c>
      <c r="E16" s="31"/>
      <c r="F16" s="11">
        <f t="shared" si="3"/>
        <v>0</v>
      </c>
      <c r="G16" s="10">
        <f t="shared" si="2"/>
        <v>0</v>
      </c>
      <c r="H16" s="29">
        <f t="shared" si="2"/>
        <v>0</v>
      </c>
    </row>
    <row r="17" spans="1:10" ht="36" customHeight="1" x14ac:dyDescent="0.2">
      <c r="A17" s="7" t="s">
        <v>52</v>
      </c>
      <c r="B17" s="8" t="s">
        <v>53</v>
      </c>
      <c r="C17" s="30" t="s">
        <v>3</v>
      </c>
      <c r="D17" s="32">
        <f>13*(0.2*0.2)*1</f>
        <v>0.52000000000000013</v>
      </c>
      <c r="E17" s="31"/>
      <c r="F17" s="11">
        <f t="shared" si="3"/>
        <v>0</v>
      </c>
      <c r="G17" s="10">
        <f t="shared" si="2"/>
        <v>0</v>
      </c>
      <c r="H17" s="29">
        <f t="shared" si="2"/>
        <v>0</v>
      </c>
    </row>
    <row r="18" spans="1:10" ht="34.5" customHeight="1" x14ac:dyDescent="0.2">
      <c r="A18" s="7" t="s">
        <v>54</v>
      </c>
      <c r="B18" s="8" t="s">
        <v>55</v>
      </c>
      <c r="C18" s="30" t="s">
        <v>3</v>
      </c>
      <c r="D18" s="32">
        <f>J6*0.2*0.2</f>
        <v>1.77</v>
      </c>
      <c r="E18" s="31"/>
      <c r="F18" s="11">
        <f t="shared" si="3"/>
        <v>0</v>
      </c>
      <c r="G18" s="10">
        <f t="shared" si="2"/>
        <v>0</v>
      </c>
      <c r="H18" s="29">
        <f t="shared" si="2"/>
        <v>0</v>
      </c>
    </row>
    <row r="19" spans="1:10" ht="36" customHeight="1" x14ac:dyDescent="0.2">
      <c r="A19" s="7" t="s">
        <v>56</v>
      </c>
      <c r="B19" s="8" t="s">
        <v>57</v>
      </c>
      <c r="C19" s="30" t="s">
        <v>3</v>
      </c>
      <c r="D19" s="32">
        <f>J19*0.3*0.1</f>
        <v>1.1520000000000001</v>
      </c>
      <c r="E19" s="31"/>
      <c r="F19" s="11">
        <f t="shared" si="3"/>
        <v>0</v>
      </c>
      <c r="G19" s="10">
        <f t="shared" si="2"/>
        <v>0</v>
      </c>
      <c r="H19" s="29">
        <f t="shared" si="2"/>
        <v>0</v>
      </c>
      <c r="J19" s="18">
        <f>12.55*2+6.65*2</f>
        <v>38.400000000000006</v>
      </c>
    </row>
    <row r="20" spans="1:10" ht="36" customHeight="1" x14ac:dyDescent="0.2">
      <c r="A20" s="7" t="s">
        <v>58</v>
      </c>
      <c r="B20" s="8" t="s">
        <v>148</v>
      </c>
      <c r="C20" s="30" t="s">
        <v>3</v>
      </c>
      <c r="D20" s="32">
        <f>J7*0.1</f>
        <v>6.6855000000000011</v>
      </c>
      <c r="E20" s="31"/>
      <c r="F20" s="11">
        <f>E20*D20</f>
        <v>0</v>
      </c>
      <c r="G20" s="10">
        <f>E20/655.957</f>
        <v>0</v>
      </c>
      <c r="H20" s="29">
        <f>F20/655.957</f>
        <v>0</v>
      </c>
    </row>
    <row r="21" spans="1:10" ht="39.75" customHeight="1" x14ac:dyDescent="0.2">
      <c r="A21" s="7" t="s">
        <v>60</v>
      </c>
      <c r="B21" s="8" t="s">
        <v>61</v>
      </c>
      <c r="C21" s="30" t="s">
        <v>3</v>
      </c>
      <c r="D21" s="9">
        <f>1.2*0.3*0.1*3+3*1*0.1</f>
        <v>0.40800000000000003</v>
      </c>
      <c r="E21" s="31"/>
      <c r="F21" s="11">
        <f t="shared" ref="F21" si="4">E21*D21</f>
        <v>0</v>
      </c>
      <c r="G21" s="10">
        <f t="shared" ref="G21:H21" si="5">E21/655.957</f>
        <v>0</v>
      </c>
      <c r="H21" s="29">
        <f t="shared" si="5"/>
        <v>0</v>
      </c>
    </row>
    <row r="22" spans="1:10" ht="14.4" x14ac:dyDescent="0.2">
      <c r="A22" s="39"/>
      <c r="B22" s="33" t="s">
        <v>62</v>
      </c>
      <c r="C22" s="34"/>
      <c r="D22" s="3"/>
      <c r="E22" s="35"/>
      <c r="F22" s="16">
        <f>SUM(F14:F21)</f>
        <v>0</v>
      </c>
      <c r="G22" s="16"/>
      <c r="H22" s="36">
        <f>SUM(H14:H21)</f>
        <v>0</v>
      </c>
      <c r="J22" s="18" t="e">
        <f>F22/I6</f>
        <v>#DIV/0!</v>
      </c>
    </row>
    <row r="23" spans="1:10" ht="14.4" x14ac:dyDescent="0.2">
      <c r="A23" s="26" t="s">
        <v>63</v>
      </c>
      <c r="B23" s="14" t="s">
        <v>64</v>
      </c>
      <c r="C23" s="27"/>
      <c r="D23" s="3"/>
      <c r="E23" s="35"/>
      <c r="F23" s="28"/>
      <c r="G23" s="10"/>
      <c r="H23" s="37"/>
    </row>
    <row r="24" spans="1:10" ht="36" customHeight="1" x14ac:dyDescent="0.2">
      <c r="A24" s="7" t="s">
        <v>65</v>
      </c>
      <c r="B24" s="8" t="s">
        <v>66</v>
      </c>
      <c r="C24" s="30" t="s">
        <v>51</v>
      </c>
      <c r="D24" s="38">
        <f>J6*3.6-(2.8*1.2*4+1.4*2.2*2+0.8*2.2*2)</f>
        <v>136.18</v>
      </c>
      <c r="E24" s="31"/>
      <c r="F24" s="11">
        <f t="shared" ref="F24:F28" si="6">E24*D24</f>
        <v>0</v>
      </c>
      <c r="G24" s="10">
        <f t="shared" ref="G24:H28" si="7">E24/655.957</f>
        <v>0</v>
      </c>
      <c r="H24" s="29">
        <f t="shared" si="7"/>
        <v>0</v>
      </c>
    </row>
    <row r="25" spans="1:10" ht="36.75" customHeight="1" x14ac:dyDescent="0.2">
      <c r="A25" s="7" t="s">
        <v>67</v>
      </c>
      <c r="B25" s="8" t="s">
        <v>149</v>
      </c>
      <c r="C25" s="30" t="s">
        <v>3</v>
      </c>
      <c r="D25" s="38">
        <f>(11.8*2+5.9*2)*0.15*0.1</f>
        <v>0.53100000000000003</v>
      </c>
      <c r="E25" s="31"/>
      <c r="F25" s="11">
        <f t="shared" si="6"/>
        <v>0</v>
      </c>
      <c r="G25" s="10">
        <f t="shared" si="7"/>
        <v>0</v>
      </c>
      <c r="H25" s="29">
        <f t="shared" si="7"/>
        <v>0</v>
      </c>
    </row>
    <row r="26" spans="1:10" ht="22.5" customHeight="1" x14ac:dyDescent="0.2">
      <c r="A26" s="7" t="s">
        <v>69</v>
      </c>
      <c r="B26" s="8" t="s">
        <v>68</v>
      </c>
      <c r="C26" s="30" t="s">
        <v>3</v>
      </c>
      <c r="D26" s="9">
        <f>J6*0.15*0.2</f>
        <v>1.3275000000000001</v>
      </c>
      <c r="E26" s="31"/>
      <c r="F26" s="11">
        <f t="shared" si="6"/>
        <v>0</v>
      </c>
      <c r="G26" s="10">
        <f t="shared" si="7"/>
        <v>0</v>
      </c>
      <c r="H26" s="29">
        <f t="shared" si="7"/>
        <v>0</v>
      </c>
    </row>
    <row r="27" spans="1:10" ht="45" customHeight="1" x14ac:dyDescent="0.2">
      <c r="A27" s="7" t="s">
        <v>71</v>
      </c>
      <c r="B27" s="8" t="s">
        <v>150</v>
      </c>
      <c r="C27" s="30" t="s">
        <v>3</v>
      </c>
      <c r="D27" s="32">
        <f>(11.95+5.75)*0.15*0.15+(11.95+6.05*2)*0.15*0.35</f>
        <v>1.6608749999999997</v>
      </c>
      <c r="E27" s="31"/>
      <c r="F27" s="11">
        <f>E27*D27</f>
        <v>0</v>
      </c>
      <c r="G27" s="10">
        <f>E27/655.957</f>
        <v>0</v>
      </c>
      <c r="H27" s="29">
        <f>F27/655.957</f>
        <v>0</v>
      </c>
    </row>
    <row r="28" spans="1:10" ht="33.75" customHeight="1" x14ac:dyDescent="0.2">
      <c r="A28" s="7" t="s">
        <v>151</v>
      </c>
      <c r="B28" s="8" t="s">
        <v>70</v>
      </c>
      <c r="C28" s="30" t="s">
        <v>3</v>
      </c>
      <c r="D28" s="32">
        <f>13*(0.15*0.15)*3.8</f>
        <v>1.1114999999999999</v>
      </c>
      <c r="E28" s="31"/>
      <c r="F28" s="11">
        <f t="shared" si="6"/>
        <v>0</v>
      </c>
      <c r="G28" s="10">
        <f t="shared" si="7"/>
        <v>0</v>
      </c>
      <c r="H28" s="29">
        <f t="shared" si="7"/>
        <v>0</v>
      </c>
    </row>
    <row r="29" spans="1:10" ht="14.4" x14ac:dyDescent="0.2">
      <c r="A29" s="39"/>
      <c r="B29" s="33" t="s">
        <v>73</v>
      </c>
      <c r="C29" s="34"/>
      <c r="D29" s="3"/>
      <c r="E29" s="35"/>
      <c r="F29" s="16">
        <f>SUM(F24:F28)</f>
        <v>0</v>
      </c>
      <c r="G29" s="16"/>
      <c r="H29" s="36">
        <f>SUM(H24:H28)</f>
        <v>0</v>
      </c>
    </row>
    <row r="30" spans="1:10" ht="14.4" x14ac:dyDescent="0.2">
      <c r="A30" s="26" t="s">
        <v>74</v>
      </c>
      <c r="B30" s="14" t="s">
        <v>75</v>
      </c>
      <c r="C30" s="27"/>
      <c r="D30" s="3"/>
      <c r="E30" s="35"/>
      <c r="F30" s="28"/>
      <c r="G30" s="10"/>
      <c r="H30" s="37"/>
    </row>
    <row r="31" spans="1:10" ht="17.25" customHeight="1" x14ac:dyDescent="0.2">
      <c r="A31" s="7" t="s">
        <v>76</v>
      </c>
      <c r="B31" s="8" t="s">
        <v>77</v>
      </c>
      <c r="C31" s="30" t="s">
        <v>51</v>
      </c>
      <c r="D31" s="9">
        <f>D24*2-K7*3.6</f>
        <v>142.76000000000002</v>
      </c>
      <c r="E31" s="31"/>
      <c r="F31" s="11">
        <f>E31*D31</f>
        <v>0</v>
      </c>
      <c r="G31" s="10">
        <f>E31/655.957</f>
        <v>0</v>
      </c>
      <c r="H31" s="29">
        <f>F31/655.957</f>
        <v>0</v>
      </c>
    </row>
    <row r="32" spans="1:10" ht="21" customHeight="1" x14ac:dyDescent="0.2">
      <c r="A32" s="7" t="s">
        <v>78</v>
      </c>
      <c r="B32" s="8" t="s">
        <v>79</v>
      </c>
      <c r="C32" s="30" t="s">
        <v>51</v>
      </c>
      <c r="D32" s="38">
        <f>K7*4.5</f>
        <v>162</v>
      </c>
      <c r="E32" s="31"/>
      <c r="F32" s="11">
        <f>E32*D32</f>
        <v>0</v>
      </c>
      <c r="G32" s="10">
        <f>E32/655.957</f>
        <v>0</v>
      </c>
      <c r="H32" s="29">
        <f>F32/655.957</f>
        <v>0</v>
      </c>
    </row>
    <row r="33" spans="1:10" ht="14.4" x14ac:dyDescent="0.2">
      <c r="A33" s="39"/>
      <c r="B33" s="33" t="s">
        <v>80</v>
      </c>
      <c r="C33" s="27"/>
      <c r="D33" s="3"/>
      <c r="E33" s="35"/>
      <c r="F33" s="40">
        <f>SUM(F31:F32)</f>
        <v>0</v>
      </c>
      <c r="G33" s="6"/>
      <c r="H33" s="41">
        <f>SUM(H31:H32)</f>
        <v>0</v>
      </c>
    </row>
    <row r="34" spans="1:10" ht="14.4" x14ac:dyDescent="0.2">
      <c r="A34" s="26" t="s">
        <v>81</v>
      </c>
      <c r="B34" s="14" t="s">
        <v>152</v>
      </c>
      <c r="C34" s="27"/>
      <c r="D34" s="3"/>
      <c r="E34" s="35"/>
      <c r="F34" s="28"/>
      <c r="G34" s="10"/>
      <c r="H34" s="37"/>
    </row>
    <row r="35" spans="1:10" ht="34.5" customHeight="1" x14ac:dyDescent="0.2">
      <c r="A35" s="42" t="s">
        <v>83</v>
      </c>
      <c r="B35" s="8" t="s">
        <v>84</v>
      </c>
      <c r="C35" s="30" t="s">
        <v>85</v>
      </c>
      <c r="D35" s="9">
        <f>11.95*8</f>
        <v>95.6</v>
      </c>
      <c r="E35" s="31"/>
      <c r="F35" s="11">
        <f t="shared" ref="F35:F39" si="8">E35*D35</f>
        <v>0</v>
      </c>
      <c r="G35" s="10">
        <f t="shared" ref="G35:H39" si="9">E35/655.957</f>
        <v>0</v>
      </c>
      <c r="H35" s="29">
        <f t="shared" si="9"/>
        <v>0</v>
      </c>
    </row>
    <row r="36" spans="1:10" ht="22.5" customHeight="1" x14ac:dyDescent="0.2">
      <c r="A36" s="42" t="s">
        <v>86</v>
      </c>
      <c r="B36" s="8" t="s">
        <v>153</v>
      </c>
      <c r="C36" s="30" t="s">
        <v>85</v>
      </c>
      <c r="D36" s="9">
        <f>6.05*2</f>
        <v>12.1</v>
      </c>
      <c r="E36" s="31"/>
      <c r="F36" s="11">
        <f t="shared" si="8"/>
        <v>0</v>
      </c>
      <c r="G36" s="10">
        <f t="shared" si="9"/>
        <v>0</v>
      </c>
      <c r="H36" s="29">
        <f t="shared" si="9"/>
        <v>0</v>
      </c>
    </row>
    <row r="37" spans="1:10" ht="37.5" customHeight="1" x14ac:dyDescent="0.2">
      <c r="A37" s="42" t="s">
        <v>88</v>
      </c>
      <c r="B37" s="8" t="s">
        <v>87</v>
      </c>
      <c r="C37" s="30" t="s">
        <v>51</v>
      </c>
      <c r="D37" s="9">
        <f>11.95*6.25</f>
        <v>74.6875</v>
      </c>
      <c r="E37" s="31"/>
      <c r="F37" s="11">
        <f t="shared" si="8"/>
        <v>0</v>
      </c>
      <c r="G37" s="10">
        <f t="shared" si="9"/>
        <v>0</v>
      </c>
      <c r="H37" s="29">
        <f t="shared" si="9"/>
        <v>0</v>
      </c>
    </row>
    <row r="38" spans="1:10" ht="23.25" customHeight="1" x14ac:dyDescent="0.2">
      <c r="A38" s="42" t="s">
        <v>90</v>
      </c>
      <c r="B38" s="8" t="s">
        <v>89</v>
      </c>
      <c r="C38" s="30" t="s">
        <v>85</v>
      </c>
      <c r="D38" s="9">
        <f>D35</f>
        <v>95.6</v>
      </c>
      <c r="E38" s="31"/>
      <c r="F38" s="11">
        <f t="shared" si="8"/>
        <v>0</v>
      </c>
      <c r="G38" s="10">
        <f t="shared" si="9"/>
        <v>0</v>
      </c>
      <c r="H38" s="29">
        <f t="shared" si="9"/>
        <v>0</v>
      </c>
    </row>
    <row r="39" spans="1:10" ht="22.5" customHeight="1" x14ac:dyDescent="0.2">
      <c r="A39" s="42" t="s">
        <v>138</v>
      </c>
      <c r="B39" s="8" t="s">
        <v>154</v>
      </c>
      <c r="C39" s="30" t="s">
        <v>51</v>
      </c>
      <c r="D39" s="32">
        <f>J7</f>
        <v>66.855000000000004</v>
      </c>
      <c r="E39" s="31"/>
      <c r="F39" s="11">
        <f t="shared" si="8"/>
        <v>0</v>
      </c>
      <c r="G39" s="10">
        <f t="shared" si="9"/>
        <v>0</v>
      </c>
      <c r="H39" s="29">
        <f t="shared" si="9"/>
        <v>0</v>
      </c>
    </row>
    <row r="40" spans="1:10" ht="14.4" x14ac:dyDescent="0.2">
      <c r="A40" s="39"/>
      <c r="B40" s="33" t="s">
        <v>92</v>
      </c>
      <c r="C40" s="34"/>
      <c r="D40" s="3"/>
      <c r="E40" s="35"/>
      <c r="F40" s="16">
        <f>SUM(F35:F39)</f>
        <v>0</v>
      </c>
      <c r="G40" s="16"/>
      <c r="H40" s="36">
        <f>SUM(H35:H39)</f>
        <v>0</v>
      </c>
    </row>
    <row r="41" spans="1:10" ht="14.4" x14ac:dyDescent="0.2">
      <c r="A41" s="26" t="s">
        <v>93</v>
      </c>
      <c r="B41" s="14" t="s">
        <v>94</v>
      </c>
      <c r="C41" s="27"/>
      <c r="D41" s="3"/>
      <c r="E41" s="35"/>
      <c r="F41" s="28"/>
      <c r="G41" s="10"/>
      <c r="H41" s="37"/>
      <c r="J41" s="18" t="s">
        <v>251</v>
      </c>
    </row>
    <row r="42" spans="1:10" ht="33" customHeight="1" x14ac:dyDescent="0.2">
      <c r="A42" s="42" t="s">
        <v>95</v>
      </c>
      <c r="B42" s="8" t="s">
        <v>155</v>
      </c>
      <c r="C42" s="30" t="s">
        <v>97</v>
      </c>
      <c r="D42" s="9">
        <v>2</v>
      </c>
      <c r="E42" s="31"/>
      <c r="F42" s="11">
        <f t="shared" ref="F42:F50" si="10">E42*D42</f>
        <v>0</v>
      </c>
      <c r="G42" s="10">
        <f t="shared" ref="G42:H50" si="11">E42/655.957</f>
        <v>0</v>
      </c>
      <c r="H42" s="29">
        <f t="shared" si="11"/>
        <v>0</v>
      </c>
      <c r="J42" s="18">
        <f>45000*1.2*2.2</f>
        <v>118800.00000000001</v>
      </c>
    </row>
    <row r="43" spans="1:10" ht="34.5" customHeight="1" x14ac:dyDescent="0.2">
      <c r="A43" s="42" t="s">
        <v>98</v>
      </c>
      <c r="B43" s="8" t="s">
        <v>156</v>
      </c>
      <c r="C43" s="30" t="s">
        <v>97</v>
      </c>
      <c r="D43" s="9">
        <v>2</v>
      </c>
      <c r="E43" s="31"/>
      <c r="F43" s="11">
        <f t="shared" si="10"/>
        <v>0</v>
      </c>
      <c r="G43" s="10">
        <f t="shared" si="11"/>
        <v>0</v>
      </c>
      <c r="H43" s="29">
        <f t="shared" si="11"/>
        <v>0</v>
      </c>
      <c r="J43" s="18">
        <f>45000*0.8*2.2</f>
        <v>79200</v>
      </c>
    </row>
    <row r="44" spans="1:10" ht="34.5" customHeight="1" x14ac:dyDescent="0.2">
      <c r="A44" s="42" t="s">
        <v>100</v>
      </c>
      <c r="B44" s="8" t="s">
        <v>157</v>
      </c>
      <c r="C44" s="30" t="s">
        <v>97</v>
      </c>
      <c r="D44" s="9">
        <v>2</v>
      </c>
      <c r="E44" s="31"/>
      <c r="F44" s="11">
        <f t="shared" si="10"/>
        <v>0</v>
      </c>
      <c r="G44" s="10">
        <f t="shared" si="11"/>
        <v>0</v>
      </c>
      <c r="H44" s="29">
        <f t="shared" si="11"/>
        <v>0</v>
      </c>
      <c r="J44" s="18">
        <f>45000*0.8*1.2</f>
        <v>43200</v>
      </c>
    </row>
    <row r="45" spans="1:10" ht="19.5" customHeight="1" x14ac:dyDescent="0.2">
      <c r="A45" s="42" t="s">
        <v>158</v>
      </c>
      <c r="B45" s="8" t="s">
        <v>159</v>
      </c>
      <c r="C45" s="30" t="s">
        <v>97</v>
      </c>
      <c r="D45" s="9">
        <v>4</v>
      </c>
      <c r="E45" s="31"/>
      <c r="F45" s="11">
        <f t="shared" si="10"/>
        <v>0</v>
      </c>
      <c r="G45" s="10">
        <f t="shared" si="11"/>
        <v>0</v>
      </c>
      <c r="H45" s="29">
        <f t="shared" si="11"/>
        <v>0</v>
      </c>
      <c r="J45" s="18">
        <f>40000*2.8*1.2</f>
        <v>134400</v>
      </c>
    </row>
    <row r="46" spans="1:10" ht="19.5" customHeight="1" x14ac:dyDescent="0.2">
      <c r="A46" s="42" t="s">
        <v>160</v>
      </c>
      <c r="B46" s="8" t="s">
        <v>161</v>
      </c>
      <c r="C46" s="30" t="s">
        <v>97</v>
      </c>
      <c r="D46" s="9">
        <v>1</v>
      </c>
      <c r="E46" s="31"/>
      <c r="F46" s="11">
        <f t="shared" si="10"/>
        <v>0</v>
      </c>
      <c r="G46" s="10">
        <f t="shared" si="11"/>
        <v>0</v>
      </c>
      <c r="H46" s="29">
        <f t="shared" si="11"/>
        <v>0</v>
      </c>
      <c r="J46" s="18">
        <f>40000*0.6*0.6</f>
        <v>14400</v>
      </c>
    </row>
    <row r="47" spans="1:10" ht="21.75" customHeight="1" x14ac:dyDescent="0.2">
      <c r="A47" s="42" t="s">
        <v>162</v>
      </c>
      <c r="B47" s="8" t="s">
        <v>163</v>
      </c>
      <c r="C47" s="30" t="s">
        <v>97</v>
      </c>
      <c r="D47" s="9">
        <v>4</v>
      </c>
      <c r="E47" s="31"/>
      <c r="F47" s="11">
        <f t="shared" si="10"/>
        <v>0</v>
      </c>
      <c r="G47" s="10">
        <f t="shared" si="11"/>
        <v>0</v>
      </c>
      <c r="H47" s="29">
        <f t="shared" si="11"/>
        <v>0</v>
      </c>
      <c r="J47" s="18">
        <f>50000*2.8*1.2</f>
        <v>168000</v>
      </c>
    </row>
    <row r="48" spans="1:10" ht="18" customHeight="1" x14ac:dyDescent="0.2">
      <c r="A48" s="42" t="s">
        <v>164</v>
      </c>
      <c r="B48" s="8" t="s">
        <v>165</v>
      </c>
      <c r="C48" s="30" t="s">
        <v>97</v>
      </c>
      <c r="D48" s="9">
        <v>4</v>
      </c>
      <c r="E48" s="31"/>
      <c r="F48" s="11">
        <f t="shared" si="10"/>
        <v>0</v>
      </c>
      <c r="G48" s="10">
        <f t="shared" si="11"/>
        <v>0</v>
      </c>
      <c r="H48" s="29">
        <f t="shared" si="11"/>
        <v>0</v>
      </c>
      <c r="J48" s="18">
        <f>50000*0.6*0.6</f>
        <v>18000</v>
      </c>
    </row>
    <row r="49" spans="1:12" ht="18.75" customHeight="1" x14ac:dyDescent="0.2">
      <c r="A49" s="42" t="s">
        <v>166</v>
      </c>
      <c r="B49" s="8" t="s">
        <v>167</v>
      </c>
      <c r="C49" s="30" t="s">
        <v>97</v>
      </c>
      <c r="D49" s="9">
        <v>8</v>
      </c>
      <c r="E49" s="31"/>
      <c r="F49" s="11">
        <f t="shared" si="10"/>
        <v>0</v>
      </c>
      <c r="G49" s="10">
        <f t="shared" si="11"/>
        <v>0</v>
      </c>
      <c r="H49" s="29">
        <f t="shared" si="11"/>
        <v>0</v>
      </c>
    </row>
    <row r="50" spans="1:12" ht="21" customHeight="1" x14ac:dyDescent="0.2">
      <c r="A50" s="42" t="s">
        <v>168</v>
      </c>
      <c r="B50" s="8" t="s">
        <v>169</v>
      </c>
      <c r="C50" s="30" t="s">
        <v>85</v>
      </c>
      <c r="D50" s="9">
        <v>4</v>
      </c>
      <c r="E50" s="31"/>
      <c r="F50" s="11">
        <f t="shared" si="10"/>
        <v>0</v>
      </c>
      <c r="G50" s="10">
        <f t="shared" si="11"/>
        <v>0</v>
      </c>
      <c r="H50" s="29">
        <f t="shared" si="11"/>
        <v>0</v>
      </c>
      <c r="J50" s="18">
        <f>15000*1*3</f>
        <v>45000</v>
      </c>
    </row>
    <row r="51" spans="1:12" ht="14.4" x14ac:dyDescent="0.2">
      <c r="A51" s="39"/>
      <c r="B51" s="33" t="s">
        <v>4</v>
      </c>
      <c r="C51" s="27"/>
      <c r="D51" s="3"/>
      <c r="E51" s="35"/>
      <c r="F51" s="40">
        <f>SUM(F42:F50)</f>
        <v>0</v>
      </c>
      <c r="G51" s="6"/>
      <c r="H51" s="41">
        <f>SUM(H42:H50)</f>
        <v>0</v>
      </c>
    </row>
    <row r="52" spans="1:12" ht="14.4" x14ac:dyDescent="0.2">
      <c r="A52" s="26" t="s">
        <v>102</v>
      </c>
      <c r="B52" s="14" t="s">
        <v>103</v>
      </c>
      <c r="C52" s="27"/>
      <c r="D52" s="3"/>
      <c r="E52" s="35"/>
      <c r="F52" s="28"/>
      <c r="G52" s="10"/>
      <c r="H52" s="37"/>
    </row>
    <row r="53" spans="1:12" ht="18.75" customHeight="1" x14ac:dyDescent="0.2">
      <c r="A53" s="42" t="s">
        <v>104</v>
      </c>
      <c r="B53" s="8" t="s">
        <v>170</v>
      </c>
      <c r="C53" s="30" t="s">
        <v>51</v>
      </c>
      <c r="D53" s="9">
        <f>(2.8*4*2+8.7*2+5.75*2)*3-2.8*1.2*4</f>
        <v>140.45999999999998</v>
      </c>
      <c r="E53" s="31"/>
      <c r="F53" s="11">
        <f>E53*D53</f>
        <v>0</v>
      </c>
      <c r="G53" s="10">
        <f t="shared" ref="G53:H55" si="12">E53/655.957</f>
        <v>0</v>
      </c>
      <c r="H53" s="29">
        <f t="shared" si="12"/>
        <v>0</v>
      </c>
    </row>
    <row r="54" spans="1:12" ht="33.75" customHeight="1" x14ac:dyDescent="0.2">
      <c r="A54" s="42" t="s">
        <v>106</v>
      </c>
      <c r="B54" s="8" t="s">
        <v>105</v>
      </c>
      <c r="C54" s="30" t="s">
        <v>51</v>
      </c>
      <c r="D54" s="9">
        <f>(1.2*2.2*2+0.8*2.2*2+0.8*1.2*2+2.8*1.2*4+0.6*0.6)*2</f>
        <v>49.04</v>
      </c>
      <c r="E54" s="31"/>
      <c r="F54" s="11">
        <f>E54*D54</f>
        <v>0</v>
      </c>
      <c r="G54" s="10">
        <f t="shared" si="12"/>
        <v>0</v>
      </c>
      <c r="H54" s="29">
        <f t="shared" si="12"/>
        <v>0</v>
      </c>
    </row>
    <row r="55" spans="1:12" ht="19.5" customHeight="1" x14ac:dyDescent="0.2">
      <c r="A55" s="42" t="s">
        <v>171</v>
      </c>
      <c r="B55" s="8" t="s">
        <v>172</v>
      </c>
      <c r="C55" s="30" t="s">
        <v>51</v>
      </c>
      <c r="D55" s="32">
        <f>D39</f>
        <v>66.855000000000004</v>
      </c>
      <c r="E55" s="31"/>
      <c r="F55" s="11">
        <f>E55*D55</f>
        <v>0</v>
      </c>
      <c r="G55" s="10">
        <f t="shared" si="12"/>
        <v>0</v>
      </c>
      <c r="H55" s="29">
        <f t="shared" si="12"/>
        <v>0</v>
      </c>
    </row>
    <row r="56" spans="1:12" ht="14.4" x14ac:dyDescent="0.2">
      <c r="A56" s="39"/>
      <c r="B56" s="33" t="s">
        <v>108</v>
      </c>
      <c r="C56" s="34"/>
      <c r="D56" s="3"/>
      <c r="E56" s="35"/>
      <c r="F56" s="16">
        <f>SUM(F53:F55)</f>
        <v>0</v>
      </c>
      <c r="G56" s="16"/>
      <c r="H56" s="36">
        <f>SUM(H53:H55)</f>
        <v>0</v>
      </c>
    </row>
    <row r="57" spans="1:12" ht="14.4" x14ac:dyDescent="0.25">
      <c r="A57" s="46"/>
      <c r="B57" s="92" t="s">
        <v>252</v>
      </c>
      <c r="C57" s="34"/>
      <c r="D57" s="5"/>
      <c r="E57" s="3"/>
      <c r="F57" s="40">
        <f>SUM(F8:F56)/2</f>
        <v>0</v>
      </c>
      <c r="G57" s="40"/>
      <c r="H57" s="40">
        <f>SUM(H56,H51,H40,H33,H29,H22,H12)</f>
        <v>0</v>
      </c>
      <c r="J57" s="44">
        <f>F57</f>
        <v>0</v>
      </c>
      <c r="L57" s="29">
        <f t="shared" ref="L57" si="13">J57/655.957</f>
        <v>0</v>
      </c>
    </row>
    <row r="58" spans="1:12" ht="13.2" x14ac:dyDescent="0.25">
      <c r="A58" s="19"/>
      <c r="B58" s="20"/>
      <c r="C58" s="19"/>
      <c r="D58" s="21"/>
      <c r="E58" s="21"/>
      <c r="F58" s="22"/>
      <c r="G58" s="23"/>
      <c r="H58" s="47"/>
    </row>
    <row r="59" spans="1:12" ht="13.5" customHeight="1" x14ac:dyDescent="0.25">
      <c r="A59" s="19"/>
      <c r="B59" s="20"/>
      <c r="C59" s="19"/>
      <c r="D59" s="21"/>
      <c r="E59" s="21"/>
      <c r="F59" s="22"/>
      <c r="G59" s="23"/>
      <c r="H59" s="47"/>
    </row>
  </sheetData>
  <mergeCells count="3"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366C-3FA3-4131-9608-DD0F55E62B79}">
  <sheetPr>
    <pageSetUpPr fitToPage="1"/>
  </sheetPr>
  <dimension ref="A2:L56"/>
  <sheetViews>
    <sheetView showZeros="0" zoomScale="140" zoomScaleNormal="140" workbookViewId="0">
      <selection activeCell="G54" sqref="G54"/>
    </sheetView>
  </sheetViews>
  <sheetFormatPr baseColWidth="10" defaultColWidth="11.5546875" defaultRowHeight="11.4" x14ac:dyDescent="0.2"/>
  <cols>
    <col min="1" max="1" width="5.6640625" style="18" customWidth="1"/>
    <col min="2" max="2" width="48.6640625" style="48" customWidth="1"/>
    <col min="3" max="3" width="6.33203125" style="18" bestFit="1" customWidth="1"/>
    <col min="4" max="4" width="8.6640625" style="49" bestFit="1" customWidth="1"/>
    <col min="5" max="5" width="12.6640625" style="49" customWidth="1"/>
    <col min="6" max="6" width="12.6640625" style="50" customWidth="1"/>
    <col min="7" max="7" width="12.6640625" style="51" customWidth="1"/>
    <col min="8" max="8" width="12.6640625" style="52" customWidth="1"/>
    <col min="9" max="9" width="10" style="18" hidden="1" customWidth="1"/>
    <col min="10" max="10" width="4.109375" style="18" hidden="1" customWidth="1"/>
    <col min="11" max="11" width="14" style="18" hidden="1" customWidth="1"/>
    <col min="12" max="12" width="0" style="18" hidden="1" customWidth="1"/>
    <col min="13" max="16384" width="11.5546875" style="18"/>
  </cols>
  <sheetData>
    <row r="2" spans="1:11" ht="15.6" x14ac:dyDescent="0.2">
      <c r="A2" s="103" t="s">
        <v>26</v>
      </c>
      <c r="B2" s="103"/>
      <c r="C2" s="103"/>
      <c r="D2" s="103"/>
      <c r="E2" s="103"/>
      <c r="F2" s="103"/>
      <c r="G2" s="103"/>
      <c r="H2" s="103"/>
    </row>
    <row r="3" spans="1:11" ht="17.399999999999999" x14ac:dyDescent="0.2">
      <c r="A3" s="106" t="s">
        <v>27</v>
      </c>
      <c r="B3" s="106"/>
      <c r="C3" s="106"/>
      <c r="D3" s="106"/>
      <c r="E3" s="106"/>
      <c r="F3" s="106"/>
      <c r="G3" s="106"/>
      <c r="H3" s="106"/>
    </row>
    <row r="4" spans="1:11" ht="15.6" x14ac:dyDescent="0.2">
      <c r="A4" s="104" t="s">
        <v>173</v>
      </c>
      <c r="B4" s="104"/>
      <c r="C4" s="104"/>
      <c r="D4" s="104"/>
      <c r="E4" s="104"/>
      <c r="F4" s="104"/>
      <c r="G4" s="104"/>
      <c r="H4" s="104"/>
    </row>
    <row r="5" spans="1:11" ht="15" customHeight="1" x14ac:dyDescent="0.25">
      <c r="A5" s="19"/>
      <c r="B5" s="20"/>
      <c r="C5" s="19"/>
      <c r="D5" s="21"/>
      <c r="E5" s="21"/>
      <c r="F5" s="22"/>
      <c r="G5" s="23"/>
      <c r="H5" s="24"/>
    </row>
    <row r="6" spans="1:11" ht="28.8" x14ac:dyDescent="0.3">
      <c r="A6" s="5" t="s">
        <v>9</v>
      </c>
      <c r="B6" s="4" t="s">
        <v>0</v>
      </c>
      <c r="C6" s="5" t="s">
        <v>1</v>
      </c>
      <c r="D6" s="5" t="s">
        <v>29</v>
      </c>
      <c r="E6" s="4" t="s">
        <v>30</v>
      </c>
      <c r="F6" s="6" t="s">
        <v>31</v>
      </c>
      <c r="G6" s="4" t="s">
        <v>14</v>
      </c>
      <c r="H6" s="6" t="s">
        <v>15</v>
      </c>
      <c r="I6" s="2"/>
      <c r="J6" s="93">
        <f>11.25*2+4.3*3</f>
        <v>35.4</v>
      </c>
      <c r="K6" s="94"/>
    </row>
    <row r="7" spans="1:11" ht="15.6" x14ac:dyDescent="0.3">
      <c r="A7" s="26" t="s">
        <v>32</v>
      </c>
      <c r="B7" s="14" t="s">
        <v>33</v>
      </c>
      <c r="C7" s="27"/>
      <c r="D7" s="3"/>
      <c r="E7" s="3"/>
      <c r="F7" s="28"/>
      <c r="G7" s="10"/>
      <c r="H7" s="29"/>
      <c r="J7" s="95">
        <f>4.15*(6.25+4.7)</f>
        <v>45.442500000000003</v>
      </c>
      <c r="K7" s="94">
        <f>11.4*2+4.15*2</f>
        <v>31.1</v>
      </c>
    </row>
    <row r="8" spans="1:11" ht="14.4" x14ac:dyDescent="0.2">
      <c r="A8" s="7" t="s">
        <v>34</v>
      </c>
      <c r="B8" s="8" t="s">
        <v>35</v>
      </c>
      <c r="C8" s="30" t="s">
        <v>2</v>
      </c>
      <c r="D8" s="9">
        <v>1</v>
      </c>
      <c r="E8" s="31"/>
      <c r="F8" s="11">
        <f t="shared" ref="F8:F11" si="0">E8*D8</f>
        <v>0</v>
      </c>
      <c r="G8" s="10">
        <f t="shared" ref="G8:H11" si="1">E8/655.957</f>
        <v>0</v>
      </c>
      <c r="H8" s="29">
        <f t="shared" si="1"/>
        <v>0</v>
      </c>
    </row>
    <row r="9" spans="1:11" ht="36" customHeight="1" x14ac:dyDescent="0.2">
      <c r="A9" s="7" t="s">
        <v>36</v>
      </c>
      <c r="B9" s="8" t="s">
        <v>37</v>
      </c>
      <c r="C9" s="30" t="s">
        <v>3</v>
      </c>
      <c r="D9" s="9">
        <f>J6*0.5*0.8+J19*0.4*0.4</f>
        <v>19.616</v>
      </c>
      <c r="E9" s="31"/>
      <c r="F9" s="11">
        <f t="shared" si="0"/>
        <v>0</v>
      </c>
      <c r="G9" s="10">
        <f t="shared" si="1"/>
        <v>0</v>
      </c>
      <c r="H9" s="29">
        <f t="shared" si="1"/>
        <v>0</v>
      </c>
    </row>
    <row r="10" spans="1:11" ht="18.75" customHeight="1" x14ac:dyDescent="0.2">
      <c r="A10" s="7" t="s">
        <v>38</v>
      </c>
      <c r="B10" s="8" t="s">
        <v>39</v>
      </c>
      <c r="C10" s="30" t="s">
        <v>3</v>
      </c>
      <c r="D10" s="32">
        <f>J6*0.3*0.55</f>
        <v>5.8410000000000002</v>
      </c>
      <c r="E10" s="31"/>
      <c r="F10" s="11">
        <f t="shared" si="0"/>
        <v>0</v>
      </c>
      <c r="G10" s="10">
        <f t="shared" si="1"/>
        <v>0</v>
      </c>
      <c r="H10" s="29">
        <f t="shared" si="1"/>
        <v>0</v>
      </c>
    </row>
    <row r="11" spans="1:11" ht="20.25" customHeight="1" x14ac:dyDescent="0.2">
      <c r="A11" s="7" t="s">
        <v>40</v>
      </c>
      <c r="B11" s="8" t="s">
        <v>41</v>
      </c>
      <c r="C11" s="30" t="s">
        <v>3</v>
      </c>
      <c r="D11" s="32">
        <f>J7*0.35</f>
        <v>15.904875000000001</v>
      </c>
      <c r="E11" s="31"/>
      <c r="F11" s="11">
        <f t="shared" si="0"/>
        <v>0</v>
      </c>
      <c r="G11" s="10">
        <f t="shared" si="1"/>
        <v>0</v>
      </c>
      <c r="H11" s="29">
        <f t="shared" si="1"/>
        <v>0</v>
      </c>
    </row>
    <row r="12" spans="1:11" ht="14.4" x14ac:dyDescent="0.2">
      <c r="A12" s="13"/>
      <c r="B12" s="33" t="s">
        <v>42</v>
      </c>
      <c r="C12" s="34"/>
      <c r="D12" s="3"/>
      <c r="E12" s="35"/>
      <c r="F12" s="16">
        <f>SUM(F8:F11)</f>
        <v>0</v>
      </c>
      <c r="G12" s="16"/>
      <c r="H12" s="36">
        <f>SUM(H8:H11)</f>
        <v>0</v>
      </c>
    </row>
    <row r="13" spans="1:11" ht="14.4" x14ac:dyDescent="0.2">
      <c r="A13" s="26" t="s">
        <v>43</v>
      </c>
      <c r="B13" s="14" t="s">
        <v>44</v>
      </c>
      <c r="C13" s="27"/>
      <c r="D13" s="3"/>
      <c r="E13" s="35"/>
      <c r="F13" s="28"/>
      <c r="G13" s="10"/>
      <c r="H13" s="37"/>
    </row>
    <row r="14" spans="1:11" ht="18.75" customHeight="1" x14ac:dyDescent="0.2">
      <c r="A14" s="7" t="s">
        <v>45</v>
      </c>
      <c r="B14" s="8" t="s">
        <v>46</v>
      </c>
      <c r="C14" s="30" t="s">
        <v>3</v>
      </c>
      <c r="D14" s="32">
        <f>J6*0.5*0.05+J19*0.4*0.05</f>
        <v>1.5670000000000002</v>
      </c>
      <c r="E14" s="31"/>
      <c r="F14" s="11">
        <f>E14*D14</f>
        <v>0</v>
      </c>
      <c r="G14" s="10">
        <f t="shared" ref="G14:H19" si="2">E14/655.957</f>
        <v>0</v>
      </c>
      <c r="H14" s="29">
        <f t="shared" si="2"/>
        <v>0</v>
      </c>
    </row>
    <row r="15" spans="1:11" ht="36.75" customHeight="1" x14ac:dyDescent="0.2">
      <c r="A15" s="7" t="s">
        <v>47</v>
      </c>
      <c r="B15" s="8" t="s">
        <v>48</v>
      </c>
      <c r="C15" s="30" t="s">
        <v>3</v>
      </c>
      <c r="D15" s="32">
        <f>J6*0.5*0.2</f>
        <v>3.54</v>
      </c>
      <c r="E15" s="31"/>
      <c r="F15" s="11">
        <f t="shared" ref="F15:F19" si="3">E15*D15</f>
        <v>0</v>
      </c>
      <c r="G15" s="10">
        <f t="shared" si="2"/>
        <v>0</v>
      </c>
      <c r="H15" s="29">
        <f t="shared" si="2"/>
        <v>0</v>
      </c>
    </row>
    <row r="16" spans="1:11" ht="33.75" customHeight="1" x14ac:dyDescent="0.2">
      <c r="A16" s="7" t="s">
        <v>49</v>
      </c>
      <c r="B16" s="8" t="s">
        <v>50</v>
      </c>
      <c r="C16" s="30" t="s">
        <v>51</v>
      </c>
      <c r="D16" s="38">
        <f>J6*0.85+J19*0.6</f>
        <v>50.55</v>
      </c>
      <c r="E16" s="31"/>
      <c r="F16" s="11">
        <f t="shared" si="3"/>
        <v>0</v>
      </c>
      <c r="G16" s="10">
        <f t="shared" si="2"/>
        <v>0</v>
      </c>
      <c r="H16" s="29">
        <f t="shared" si="2"/>
        <v>0</v>
      </c>
    </row>
    <row r="17" spans="1:10" ht="38.25" customHeight="1" x14ac:dyDescent="0.2">
      <c r="A17" s="7" t="s">
        <v>52</v>
      </c>
      <c r="B17" s="8" t="s">
        <v>53</v>
      </c>
      <c r="C17" s="30" t="s">
        <v>3</v>
      </c>
      <c r="D17" s="32">
        <f>13*(0.2*0.2)*1</f>
        <v>0.52000000000000013</v>
      </c>
      <c r="E17" s="31"/>
      <c r="F17" s="11">
        <f t="shared" si="3"/>
        <v>0</v>
      </c>
      <c r="G17" s="10">
        <f t="shared" si="2"/>
        <v>0</v>
      </c>
      <c r="H17" s="29">
        <f t="shared" si="2"/>
        <v>0</v>
      </c>
    </row>
    <row r="18" spans="1:10" ht="36" customHeight="1" x14ac:dyDescent="0.2">
      <c r="A18" s="7" t="s">
        <v>54</v>
      </c>
      <c r="B18" s="8" t="s">
        <v>55</v>
      </c>
      <c r="C18" s="30" t="s">
        <v>3</v>
      </c>
      <c r="D18" s="32">
        <f>J6*0.2*0.2</f>
        <v>1.4160000000000001</v>
      </c>
      <c r="E18" s="31"/>
      <c r="F18" s="11">
        <f t="shared" si="3"/>
        <v>0</v>
      </c>
      <c r="G18" s="10">
        <f t="shared" si="2"/>
        <v>0</v>
      </c>
      <c r="H18" s="29">
        <f t="shared" si="2"/>
        <v>0</v>
      </c>
    </row>
    <row r="19" spans="1:10" ht="34.5" customHeight="1" x14ac:dyDescent="0.2">
      <c r="A19" s="7" t="s">
        <v>56</v>
      </c>
      <c r="B19" s="8" t="s">
        <v>57</v>
      </c>
      <c r="C19" s="30" t="s">
        <v>3</v>
      </c>
      <c r="D19" s="32">
        <f>J19*0.3*0.1</f>
        <v>1.0230000000000001</v>
      </c>
      <c r="E19" s="31"/>
      <c r="F19" s="11">
        <f t="shared" si="3"/>
        <v>0</v>
      </c>
      <c r="G19" s="10">
        <f t="shared" si="2"/>
        <v>0</v>
      </c>
      <c r="H19" s="29">
        <f t="shared" si="2"/>
        <v>0</v>
      </c>
      <c r="J19" s="18">
        <f>12*2+5.05*2</f>
        <v>34.1</v>
      </c>
    </row>
    <row r="20" spans="1:10" ht="38.25" customHeight="1" x14ac:dyDescent="0.2">
      <c r="A20" s="7" t="s">
        <v>58</v>
      </c>
      <c r="B20" s="8" t="s">
        <v>148</v>
      </c>
      <c r="C20" s="30" t="s">
        <v>3</v>
      </c>
      <c r="D20" s="32">
        <f>J7*0.1</f>
        <v>4.5442500000000008</v>
      </c>
      <c r="E20" s="31"/>
      <c r="F20" s="11">
        <f>E20*D20</f>
        <v>0</v>
      </c>
      <c r="G20" s="10">
        <f>E20/655.957</f>
        <v>0</v>
      </c>
      <c r="H20" s="29">
        <f>F20/655.957</f>
        <v>0</v>
      </c>
    </row>
    <row r="21" spans="1:10" ht="36.75" customHeight="1" x14ac:dyDescent="0.2">
      <c r="A21" s="7" t="s">
        <v>60</v>
      </c>
      <c r="B21" s="8" t="s">
        <v>61</v>
      </c>
      <c r="C21" s="30" t="s">
        <v>3</v>
      </c>
      <c r="D21" s="9">
        <f>3.2*0.3*0.1*3+3.5*2*0.1</f>
        <v>0.9880000000000001</v>
      </c>
      <c r="E21" s="31"/>
      <c r="F21" s="11">
        <f t="shared" ref="F21" si="4">E21*D21</f>
        <v>0</v>
      </c>
      <c r="G21" s="10">
        <f t="shared" ref="G21:H21" si="5">E21/655.957</f>
        <v>0</v>
      </c>
      <c r="H21" s="29">
        <f t="shared" si="5"/>
        <v>0</v>
      </c>
    </row>
    <row r="22" spans="1:10" ht="14.4" x14ac:dyDescent="0.2">
      <c r="A22" s="39"/>
      <c r="B22" s="33" t="s">
        <v>62</v>
      </c>
      <c r="C22" s="34"/>
      <c r="D22" s="3"/>
      <c r="E22" s="35"/>
      <c r="F22" s="16">
        <f>SUM(F14:F21)</f>
        <v>0</v>
      </c>
      <c r="G22" s="16"/>
      <c r="H22" s="36">
        <f>SUM(H14:H21)</f>
        <v>0</v>
      </c>
      <c r="J22" s="18" t="e">
        <f>F22/I6</f>
        <v>#DIV/0!</v>
      </c>
    </row>
    <row r="23" spans="1:10" ht="14.4" x14ac:dyDescent="0.2">
      <c r="A23" s="26" t="s">
        <v>63</v>
      </c>
      <c r="B23" s="14" t="s">
        <v>64</v>
      </c>
      <c r="C23" s="27"/>
      <c r="D23" s="3"/>
      <c r="E23" s="35"/>
      <c r="F23" s="28"/>
      <c r="G23" s="10"/>
      <c r="H23" s="37"/>
    </row>
    <row r="24" spans="1:10" ht="34.5" customHeight="1" x14ac:dyDescent="0.2">
      <c r="A24" s="7" t="s">
        <v>65</v>
      </c>
      <c r="B24" s="8" t="s">
        <v>66</v>
      </c>
      <c r="C24" s="30" t="s">
        <v>51</v>
      </c>
      <c r="D24" s="38">
        <f>J6*3.65-(3.05*2.4*2+3.05*1.2*2+1.4*2.2*1)</f>
        <v>104.16999999999999</v>
      </c>
      <c r="E24" s="31"/>
      <c r="F24" s="11">
        <f t="shared" ref="F24:F30" si="6">E24*D24</f>
        <v>0</v>
      </c>
      <c r="G24" s="10">
        <f t="shared" ref="G24:H30" si="7">E24/655.957</f>
        <v>0</v>
      </c>
      <c r="H24" s="29">
        <f t="shared" si="7"/>
        <v>0</v>
      </c>
    </row>
    <row r="25" spans="1:10" ht="18.75" customHeight="1" x14ac:dyDescent="0.2">
      <c r="A25" s="7" t="s">
        <v>67</v>
      </c>
      <c r="B25" s="8" t="s">
        <v>174</v>
      </c>
      <c r="C25" s="30" t="s">
        <v>51</v>
      </c>
      <c r="D25" s="38">
        <f>3.05*1.2*2</f>
        <v>7.3199999999999994</v>
      </c>
      <c r="E25" s="31"/>
      <c r="F25" s="11">
        <f t="shared" si="6"/>
        <v>0</v>
      </c>
      <c r="G25" s="10">
        <f t="shared" si="7"/>
        <v>0</v>
      </c>
      <c r="H25" s="29">
        <f t="shared" si="7"/>
        <v>0</v>
      </c>
    </row>
    <row r="26" spans="1:10" ht="36" customHeight="1" x14ac:dyDescent="0.2">
      <c r="A26" s="7" t="s">
        <v>69</v>
      </c>
      <c r="B26" s="8" t="s">
        <v>149</v>
      </c>
      <c r="C26" s="30" t="s">
        <v>3</v>
      </c>
      <c r="D26" s="38">
        <f>(11.4+5)*0.15*0.1</f>
        <v>0.24599999999999997</v>
      </c>
      <c r="E26" s="31"/>
      <c r="F26" s="11">
        <f t="shared" si="6"/>
        <v>0</v>
      </c>
      <c r="G26" s="10">
        <f t="shared" si="7"/>
        <v>0</v>
      </c>
      <c r="H26" s="29">
        <f t="shared" si="7"/>
        <v>0</v>
      </c>
    </row>
    <row r="27" spans="1:10" ht="21" customHeight="1" x14ac:dyDescent="0.2">
      <c r="A27" s="7" t="s">
        <v>71</v>
      </c>
      <c r="B27" s="8" t="s">
        <v>68</v>
      </c>
      <c r="C27" s="30" t="s">
        <v>3</v>
      </c>
      <c r="D27" s="9">
        <f>J6*0.15*0.2</f>
        <v>1.0620000000000001</v>
      </c>
      <c r="E27" s="31"/>
      <c r="F27" s="11">
        <f t="shared" si="6"/>
        <v>0</v>
      </c>
      <c r="G27" s="10">
        <f t="shared" si="7"/>
        <v>0</v>
      </c>
      <c r="H27" s="29">
        <f t="shared" si="7"/>
        <v>0</v>
      </c>
    </row>
    <row r="28" spans="1:10" ht="36.75" customHeight="1" x14ac:dyDescent="0.2">
      <c r="A28" s="7" t="s">
        <v>151</v>
      </c>
      <c r="B28" s="8" t="s">
        <v>175</v>
      </c>
      <c r="C28" s="30" t="s">
        <v>3</v>
      </c>
      <c r="D28" s="32">
        <f>K7*0.15*0.15</f>
        <v>0.69974999999999998</v>
      </c>
      <c r="E28" s="31"/>
      <c r="F28" s="11">
        <f>E28*D28</f>
        <v>0</v>
      </c>
      <c r="G28" s="10">
        <f>E28/655.957</f>
        <v>0</v>
      </c>
      <c r="H28" s="29">
        <f>F28/655.957</f>
        <v>0</v>
      </c>
    </row>
    <row r="29" spans="1:10" ht="36.75" customHeight="1" x14ac:dyDescent="0.2">
      <c r="A29" s="7" t="s">
        <v>176</v>
      </c>
      <c r="B29" s="8" t="s">
        <v>177</v>
      </c>
      <c r="C29" s="30" t="s">
        <v>3</v>
      </c>
      <c r="D29" s="32">
        <f>J6*0.15*0.15+(4.45*2+11.4)*0.15*0.2</f>
        <v>1.4055</v>
      </c>
      <c r="E29" s="31"/>
      <c r="F29" s="11">
        <f>E29*D29</f>
        <v>0</v>
      </c>
      <c r="G29" s="10">
        <f>E29/655.957</f>
        <v>0</v>
      </c>
      <c r="H29" s="29">
        <f>F29/655.957</f>
        <v>0</v>
      </c>
    </row>
    <row r="30" spans="1:10" ht="33.75" customHeight="1" x14ac:dyDescent="0.2">
      <c r="A30" s="7" t="s">
        <v>178</v>
      </c>
      <c r="B30" s="8" t="s">
        <v>70</v>
      </c>
      <c r="C30" s="30" t="s">
        <v>3</v>
      </c>
      <c r="D30" s="32">
        <f>13*(0.15*0.15)*3.85</f>
        <v>1.126125</v>
      </c>
      <c r="E30" s="31"/>
      <c r="F30" s="11">
        <f t="shared" si="6"/>
        <v>0</v>
      </c>
      <c r="G30" s="10">
        <f t="shared" si="7"/>
        <v>0</v>
      </c>
      <c r="H30" s="29">
        <f t="shared" si="7"/>
        <v>0</v>
      </c>
    </row>
    <row r="31" spans="1:10" ht="14.4" x14ac:dyDescent="0.2">
      <c r="A31" s="39"/>
      <c r="B31" s="33" t="s">
        <v>73</v>
      </c>
      <c r="C31" s="34"/>
      <c r="D31" s="3"/>
      <c r="E31" s="35"/>
      <c r="F31" s="16">
        <f>SUM(F24:F30)</f>
        <v>0</v>
      </c>
      <c r="G31" s="16"/>
      <c r="H31" s="36">
        <f>SUM(H24:H30)</f>
        <v>0</v>
      </c>
    </row>
    <row r="32" spans="1:10" ht="14.4" x14ac:dyDescent="0.2">
      <c r="A32" s="26" t="s">
        <v>74</v>
      </c>
      <c r="B32" s="14" t="s">
        <v>75</v>
      </c>
      <c r="C32" s="27"/>
      <c r="D32" s="3"/>
      <c r="E32" s="35"/>
      <c r="F32" s="28"/>
      <c r="G32" s="10"/>
      <c r="H32" s="37"/>
    </row>
    <row r="33" spans="1:10" ht="18" customHeight="1" x14ac:dyDescent="0.2">
      <c r="A33" s="7" t="s">
        <v>76</v>
      </c>
      <c r="B33" s="8" t="s">
        <v>77</v>
      </c>
      <c r="C33" s="30" t="s">
        <v>51</v>
      </c>
      <c r="D33" s="9">
        <f>D24*2-K7*3.65</f>
        <v>94.824999999999974</v>
      </c>
      <c r="E33" s="31"/>
      <c r="F33" s="11">
        <f>E33*D33</f>
        <v>0</v>
      </c>
      <c r="G33" s="10">
        <f>E33/655.957</f>
        <v>0</v>
      </c>
      <c r="H33" s="29">
        <f>F33/655.957</f>
        <v>0</v>
      </c>
    </row>
    <row r="34" spans="1:10" ht="19.5" customHeight="1" x14ac:dyDescent="0.2">
      <c r="A34" s="7" t="s">
        <v>78</v>
      </c>
      <c r="B34" s="8" t="s">
        <v>79</v>
      </c>
      <c r="C34" s="30" t="s">
        <v>51</v>
      </c>
      <c r="D34" s="38">
        <f>K7*4.65</f>
        <v>144.61500000000001</v>
      </c>
      <c r="E34" s="31"/>
      <c r="F34" s="11">
        <f>E34*D34</f>
        <v>0</v>
      </c>
      <c r="G34" s="10">
        <f>E34/655.957</f>
        <v>0</v>
      </c>
      <c r="H34" s="29">
        <f>F34/655.957</f>
        <v>0</v>
      </c>
    </row>
    <row r="35" spans="1:10" ht="14.4" x14ac:dyDescent="0.2">
      <c r="A35" s="39"/>
      <c r="B35" s="33" t="s">
        <v>80</v>
      </c>
      <c r="C35" s="27"/>
      <c r="D35" s="3"/>
      <c r="E35" s="35"/>
      <c r="F35" s="40">
        <f>SUM(F33:F34)</f>
        <v>0</v>
      </c>
      <c r="G35" s="6"/>
      <c r="H35" s="41">
        <f>SUM(H33:H34)</f>
        <v>0</v>
      </c>
    </row>
    <row r="36" spans="1:10" ht="14.4" x14ac:dyDescent="0.2">
      <c r="A36" s="26" t="s">
        <v>81</v>
      </c>
      <c r="B36" s="14" t="s">
        <v>152</v>
      </c>
      <c r="C36" s="27"/>
      <c r="D36" s="3"/>
      <c r="E36" s="35"/>
      <c r="F36" s="28"/>
      <c r="G36" s="10"/>
      <c r="H36" s="37"/>
    </row>
    <row r="37" spans="1:10" ht="34.5" customHeight="1" x14ac:dyDescent="0.2">
      <c r="A37" s="42" t="s">
        <v>83</v>
      </c>
      <c r="B37" s="8" t="s">
        <v>84</v>
      </c>
      <c r="C37" s="30" t="s">
        <v>85</v>
      </c>
      <c r="D37" s="9">
        <f>11.4*6</f>
        <v>68.400000000000006</v>
      </c>
      <c r="E37" s="31"/>
      <c r="F37" s="11">
        <f t="shared" ref="F37:F41" si="8">E37*D37</f>
        <v>0</v>
      </c>
      <c r="G37" s="10">
        <f t="shared" ref="G37:H41" si="9">E37/655.957</f>
        <v>0</v>
      </c>
      <c r="H37" s="29">
        <f t="shared" si="9"/>
        <v>0</v>
      </c>
    </row>
    <row r="38" spans="1:10" ht="21" customHeight="1" x14ac:dyDescent="0.2">
      <c r="A38" s="42" t="s">
        <v>86</v>
      </c>
      <c r="B38" s="8" t="s">
        <v>153</v>
      </c>
      <c r="C38" s="30" t="s">
        <v>85</v>
      </c>
      <c r="D38" s="9">
        <f>4.45*2</f>
        <v>8.9</v>
      </c>
      <c r="E38" s="31"/>
      <c r="F38" s="11">
        <f t="shared" si="8"/>
        <v>0</v>
      </c>
      <c r="G38" s="10">
        <f t="shared" si="9"/>
        <v>0</v>
      </c>
      <c r="H38" s="29">
        <f t="shared" si="9"/>
        <v>0</v>
      </c>
    </row>
    <row r="39" spans="1:10" ht="36" customHeight="1" x14ac:dyDescent="0.2">
      <c r="A39" s="42" t="s">
        <v>88</v>
      </c>
      <c r="B39" s="8" t="s">
        <v>87</v>
      </c>
      <c r="C39" s="30" t="s">
        <v>51</v>
      </c>
      <c r="D39" s="9">
        <f>11.4*4.65</f>
        <v>53.010000000000005</v>
      </c>
      <c r="E39" s="31"/>
      <c r="F39" s="11">
        <f t="shared" si="8"/>
        <v>0</v>
      </c>
      <c r="G39" s="10">
        <f t="shared" si="9"/>
        <v>0</v>
      </c>
      <c r="H39" s="29">
        <f t="shared" si="9"/>
        <v>0</v>
      </c>
    </row>
    <row r="40" spans="1:10" ht="19.5" customHeight="1" x14ac:dyDescent="0.2">
      <c r="A40" s="42" t="s">
        <v>90</v>
      </c>
      <c r="B40" s="8" t="s">
        <v>89</v>
      </c>
      <c r="C40" s="30" t="s">
        <v>85</v>
      </c>
      <c r="D40" s="9">
        <f>D37</f>
        <v>68.400000000000006</v>
      </c>
      <c r="E40" s="31"/>
      <c r="F40" s="11">
        <f t="shared" si="8"/>
        <v>0</v>
      </c>
      <c r="G40" s="10">
        <f t="shared" si="9"/>
        <v>0</v>
      </c>
      <c r="H40" s="29">
        <f t="shared" si="9"/>
        <v>0</v>
      </c>
    </row>
    <row r="41" spans="1:10" ht="18.75" customHeight="1" x14ac:dyDescent="0.2">
      <c r="A41" s="42" t="s">
        <v>138</v>
      </c>
      <c r="B41" s="8" t="s">
        <v>154</v>
      </c>
      <c r="C41" s="30" t="s">
        <v>51</v>
      </c>
      <c r="D41" s="32">
        <f>J7</f>
        <v>45.442500000000003</v>
      </c>
      <c r="E41" s="31"/>
      <c r="F41" s="11">
        <f t="shared" si="8"/>
        <v>0</v>
      </c>
      <c r="G41" s="10">
        <f t="shared" si="9"/>
        <v>0</v>
      </c>
      <c r="H41" s="29">
        <f t="shared" si="9"/>
        <v>0</v>
      </c>
    </row>
    <row r="42" spans="1:10" ht="14.4" x14ac:dyDescent="0.2">
      <c r="A42" s="39"/>
      <c r="B42" s="33" t="s">
        <v>92</v>
      </c>
      <c r="C42" s="34"/>
      <c r="D42" s="3"/>
      <c r="E42" s="35"/>
      <c r="F42" s="16">
        <f>SUM(F37:F41)</f>
        <v>0</v>
      </c>
      <c r="G42" s="16"/>
      <c r="H42" s="36">
        <f>SUM(H37:H41)</f>
        <v>0</v>
      </c>
    </row>
    <row r="43" spans="1:10" ht="14.4" x14ac:dyDescent="0.2">
      <c r="A43" s="26" t="s">
        <v>93</v>
      </c>
      <c r="B43" s="14" t="s">
        <v>94</v>
      </c>
      <c r="C43" s="27"/>
      <c r="D43" s="3"/>
      <c r="E43" s="35"/>
      <c r="F43" s="28"/>
      <c r="G43" s="10"/>
      <c r="H43" s="37"/>
      <c r="J43" s="18" t="s">
        <v>251</v>
      </c>
    </row>
    <row r="44" spans="1:10" ht="34.5" customHeight="1" x14ac:dyDescent="0.2">
      <c r="A44" s="42" t="s">
        <v>95</v>
      </c>
      <c r="B44" s="8" t="s">
        <v>179</v>
      </c>
      <c r="C44" s="30" t="s">
        <v>97</v>
      </c>
      <c r="D44" s="9">
        <v>1</v>
      </c>
      <c r="E44" s="31"/>
      <c r="F44" s="11">
        <f>E44*D44</f>
        <v>0</v>
      </c>
      <c r="G44" s="10">
        <f t="shared" ref="G44:H47" si="10">E44/655.957</f>
        <v>0</v>
      </c>
      <c r="H44" s="29">
        <f t="shared" si="10"/>
        <v>0</v>
      </c>
      <c r="J44" s="18">
        <f>45000*1.4*2.2</f>
        <v>138600</v>
      </c>
    </row>
    <row r="45" spans="1:10" ht="36" customHeight="1" x14ac:dyDescent="0.2">
      <c r="A45" s="42" t="s">
        <v>98</v>
      </c>
      <c r="B45" s="8" t="s">
        <v>180</v>
      </c>
      <c r="C45" s="30" t="s">
        <v>97</v>
      </c>
      <c r="D45" s="9">
        <v>8</v>
      </c>
      <c r="E45" s="31"/>
      <c r="F45" s="11">
        <f>E45*D45</f>
        <v>0</v>
      </c>
      <c r="G45" s="10">
        <f t="shared" si="10"/>
        <v>0</v>
      </c>
      <c r="H45" s="29">
        <f t="shared" si="10"/>
        <v>0</v>
      </c>
      <c r="J45" s="18">
        <f>45000*0.45*1.2</f>
        <v>24300</v>
      </c>
    </row>
    <row r="46" spans="1:10" ht="21" customHeight="1" x14ac:dyDescent="0.2">
      <c r="A46" s="42" t="s">
        <v>100</v>
      </c>
      <c r="B46" s="8" t="s">
        <v>167</v>
      </c>
      <c r="C46" s="30" t="s">
        <v>97</v>
      </c>
      <c r="D46" s="9">
        <v>8</v>
      </c>
      <c r="E46" s="31"/>
      <c r="F46" s="11">
        <f>E46*D46</f>
        <v>0</v>
      </c>
      <c r="G46" s="10">
        <f t="shared" si="10"/>
        <v>0</v>
      </c>
      <c r="H46" s="29">
        <f t="shared" si="10"/>
        <v>0</v>
      </c>
    </row>
    <row r="47" spans="1:10" ht="18.75" customHeight="1" x14ac:dyDescent="0.2">
      <c r="A47" s="42" t="s">
        <v>158</v>
      </c>
      <c r="B47" s="8" t="s">
        <v>169</v>
      </c>
      <c r="C47" s="30" t="s">
        <v>85</v>
      </c>
      <c r="D47" s="9">
        <v>5</v>
      </c>
      <c r="E47" s="31"/>
      <c r="F47" s="11">
        <f>E47*D47</f>
        <v>0</v>
      </c>
      <c r="G47" s="10">
        <f t="shared" si="10"/>
        <v>0</v>
      </c>
      <c r="H47" s="29">
        <f t="shared" si="10"/>
        <v>0</v>
      </c>
      <c r="J47" s="18">
        <f>15000*1*3</f>
        <v>45000</v>
      </c>
    </row>
    <row r="48" spans="1:10" ht="14.4" x14ac:dyDescent="0.2">
      <c r="A48" s="39"/>
      <c r="B48" s="33" t="s">
        <v>4</v>
      </c>
      <c r="C48" s="27"/>
      <c r="D48" s="3"/>
      <c r="E48" s="35"/>
      <c r="F48" s="40">
        <f>SUM(F44:F47)</f>
        <v>0</v>
      </c>
      <c r="G48" s="6"/>
      <c r="H48" s="41">
        <f>SUM(H44:H47)</f>
        <v>0</v>
      </c>
    </row>
    <row r="49" spans="1:12" ht="14.4" x14ac:dyDescent="0.2">
      <c r="A49" s="26" t="s">
        <v>102</v>
      </c>
      <c r="B49" s="14" t="s">
        <v>103</v>
      </c>
      <c r="C49" s="27"/>
      <c r="D49" s="3"/>
      <c r="E49" s="35"/>
      <c r="F49" s="28"/>
      <c r="G49" s="10"/>
      <c r="H49" s="37"/>
    </row>
    <row r="50" spans="1:12" ht="21" customHeight="1" x14ac:dyDescent="0.2">
      <c r="A50" s="42" t="s">
        <v>104</v>
      </c>
      <c r="B50" s="8" t="s">
        <v>170</v>
      </c>
      <c r="C50" s="30" t="s">
        <v>51</v>
      </c>
      <c r="D50" s="9">
        <f>(4.15*4+4.7*2+6.25*2)*3-(3.05*2.2+1.4*2.2)</f>
        <v>105.71000000000001</v>
      </c>
      <c r="E50" s="31"/>
      <c r="F50" s="11">
        <f>E50*D50</f>
        <v>0</v>
      </c>
      <c r="G50" s="10">
        <f t="shared" ref="G50:H52" si="11">E50/655.957</f>
        <v>0</v>
      </c>
      <c r="H50" s="29">
        <f t="shared" si="11"/>
        <v>0</v>
      </c>
    </row>
    <row r="51" spans="1:12" ht="33.75" customHeight="1" x14ac:dyDescent="0.2">
      <c r="A51" s="42" t="s">
        <v>106</v>
      </c>
      <c r="B51" s="8" t="s">
        <v>105</v>
      </c>
      <c r="C51" s="30" t="s">
        <v>51</v>
      </c>
      <c r="D51" s="9">
        <f>(1.4*2.2*1+1.2*0.45*8)*2</f>
        <v>14.8</v>
      </c>
      <c r="E51" s="31"/>
      <c r="F51" s="11">
        <f>E51*D51</f>
        <v>0</v>
      </c>
      <c r="G51" s="10">
        <f t="shared" si="11"/>
        <v>0</v>
      </c>
      <c r="H51" s="29">
        <f t="shared" si="11"/>
        <v>0</v>
      </c>
    </row>
    <row r="52" spans="1:12" ht="19.5" customHeight="1" x14ac:dyDescent="0.2">
      <c r="A52" s="42" t="s">
        <v>171</v>
      </c>
      <c r="B52" s="8" t="s">
        <v>172</v>
      </c>
      <c r="C52" s="30" t="s">
        <v>51</v>
      </c>
      <c r="D52" s="32">
        <f>D41</f>
        <v>45.442500000000003</v>
      </c>
      <c r="E52" s="31"/>
      <c r="F52" s="11">
        <f>E52*D52</f>
        <v>0</v>
      </c>
      <c r="G52" s="10">
        <f t="shared" si="11"/>
        <v>0</v>
      </c>
      <c r="H52" s="29">
        <f t="shared" si="11"/>
        <v>0</v>
      </c>
    </row>
    <row r="53" spans="1:12" ht="14.4" x14ac:dyDescent="0.2">
      <c r="A53" s="39"/>
      <c r="B53" s="33" t="s">
        <v>108</v>
      </c>
      <c r="C53" s="34"/>
      <c r="D53" s="3"/>
      <c r="E53" s="35"/>
      <c r="F53" s="16">
        <f>SUM(F50:F52)</f>
        <v>0</v>
      </c>
      <c r="G53" s="16"/>
      <c r="H53" s="36">
        <f>SUM(H50:H52)</f>
        <v>0</v>
      </c>
    </row>
    <row r="54" spans="1:12" ht="14.4" x14ac:dyDescent="0.25">
      <c r="A54" s="46"/>
      <c r="B54" s="4" t="s">
        <v>253</v>
      </c>
      <c r="C54" s="34"/>
      <c r="D54" s="5"/>
      <c r="E54" s="3"/>
      <c r="F54" s="40">
        <f>SUM(F8:F53)/2</f>
        <v>0</v>
      </c>
      <c r="G54" s="40"/>
      <c r="H54" s="40">
        <f>SUM(H53,H48,H42,H35,H31,H22,H12)</f>
        <v>0</v>
      </c>
      <c r="J54" s="44"/>
      <c r="L54" s="29"/>
    </row>
    <row r="55" spans="1:12" ht="13.2" x14ac:dyDescent="0.25">
      <c r="A55" s="19"/>
      <c r="B55" s="20"/>
      <c r="C55" s="19"/>
      <c r="D55" s="21"/>
      <c r="E55" s="21"/>
      <c r="F55" s="22"/>
      <c r="G55" s="23"/>
      <c r="H55" s="47"/>
    </row>
    <row r="56" spans="1:12" ht="13.5" customHeight="1" x14ac:dyDescent="0.25">
      <c r="A56" s="19"/>
      <c r="B56" s="20"/>
      <c r="C56" s="19"/>
      <c r="D56" s="21"/>
      <c r="E56" s="21"/>
      <c r="F56" s="22"/>
      <c r="G56" s="23"/>
      <c r="H56" s="47"/>
    </row>
  </sheetData>
  <mergeCells count="3"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941F-D91F-4802-A98B-542FBDB75F1E}">
  <dimension ref="A1:P56"/>
  <sheetViews>
    <sheetView showZeros="0" view="pageBreakPreview" topLeftCell="A49" zoomScale="160" zoomScaleNormal="80" zoomScaleSheetLayoutView="160" workbookViewId="0">
      <selection activeCell="C66" sqref="C66"/>
    </sheetView>
  </sheetViews>
  <sheetFormatPr baseColWidth="10" defaultColWidth="11.44140625" defaultRowHeight="15" x14ac:dyDescent="0.25"/>
  <cols>
    <col min="1" max="1" width="5.6640625" style="60" customWidth="1"/>
    <col min="2" max="2" width="48.6640625" style="80" customWidth="1"/>
    <col min="3" max="3" width="6.33203125" style="60" bestFit="1" customWidth="1"/>
    <col min="4" max="4" width="8.6640625" style="60" bestFit="1" customWidth="1"/>
    <col min="5" max="6" width="12.6640625" style="61" customWidth="1"/>
    <col min="7" max="7" width="12.33203125" style="19" bestFit="1" customWidth="1"/>
    <col min="8" max="8" width="12.6640625" style="96" customWidth="1"/>
    <col min="9" max="9" width="11.44140625" style="19" customWidth="1"/>
    <col min="10" max="11" width="11.44140625" style="19" hidden="1" customWidth="1"/>
    <col min="12" max="12" width="0" style="19" hidden="1" customWidth="1"/>
    <col min="13" max="13" width="9.44140625" style="57" hidden="1" customWidth="1"/>
    <col min="14" max="14" width="11.44140625" style="57" hidden="1" customWidth="1"/>
    <col min="15" max="16" width="11.44140625" style="19" hidden="1" customWidth="1"/>
    <col min="17" max="20" width="0" style="19" hidden="1" customWidth="1"/>
    <col min="21" max="16384" width="11.44140625" style="19"/>
  </cols>
  <sheetData>
    <row r="1" spans="1:14" s="55" customFormat="1" ht="15.6" x14ac:dyDescent="0.25">
      <c r="A1" s="103" t="s">
        <v>26</v>
      </c>
      <c r="B1" s="103"/>
      <c r="C1" s="103"/>
      <c r="D1" s="103"/>
      <c r="E1" s="103"/>
      <c r="F1" s="103"/>
      <c r="G1" s="103"/>
      <c r="H1" s="103"/>
      <c r="I1" s="54"/>
      <c r="M1" s="56"/>
      <c r="N1" s="56"/>
    </row>
    <row r="2" spans="1:14" ht="17.399999999999999" x14ac:dyDescent="0.25">
      <c r="A2" s="106" t="s">
        <v>27</v>
      </c>
      <c r="B2" s="106"/>
      <c r="C2" s="106"/>
      <c r="D2" s="106"/>
      <c r="E2" s="106"/>
      <c r="F2" s="106"/>
      <c r="G2" s="106"/>
      <c r="H2" s="106"/>
    </row>
    <row r="3" spans="1:14" ht="15.6" x14ac:dyDescent="0.25">
      <c r="A3" s="104" t="s">
        <v>181</v>
      </c>
      <c r="B3" s="104"/>
      <c r="C3" s="104"/>
      <c r="D3" s="104"/>
      <c r="E3" s="104"/>
      <c r="F3" s="104"/>
      <c r="G3" s="104"/>
      <c r="H3" s="104"/>
    </row>
    <row r="4" spans="1:14" x14ac:dyDescent="0.25">
      <c r="A4" s="58"/>
      <c r="B4" s="59"/>
      <c r="F4" s="62"/>
    </row>
    <row r="5" spans="1:14" s="63" customFormat="1" ht="28.8" x14ac:dyDescent="0.25">
      <c r="A5" s="5" t="s">
        <v>9</v>
      </c>
      <c r="B5" s="4" t="s">
        <v>0</v>
      </c>
      <c r="C5" s="5" t="s">
        <v>1</v>
      </c>
      <c r="D5" s="5" t="s">
        <v>29</v>
      </c>
      <c r="E5" s="4" t="s">
        <v>30</v>
      </c>
      <c r="F5" s="6" t="s">
        <v>31</v>
      </c>
      <c r="G5" s="4" t="s">
        <v>14</v>
      </c>
      <c r="H5" s="6" t="s">
        <v>15</v>
      </c>
      <c r="M5" s="64">
        <f>4.9*3+3.15*2+5.4*3</f>
        <v>37.200000000000003</v>
      </c>
      <c r="N5" s="64">
        <f>1.2*3*4+2.55*1.6*2</f>
        <v>22.56</v>
      </c>
    </row>
    <row r="6" spans="1:14" x14ac:dyDescent="0.3">
      <c r="A6" s="65" t="s">
        <v>32</v>
      </c>
      <c r="B6" s="14" t="s">
        <v>33</v>
      </c>
      <c r="C6" s="66"/>
      <c r="D6" s="66"/>
      <c r="E6" s="67"/>
      <c r="F6" s="67"/>
      <c r="G6" s="1"/>
      <c r="H6" s="97"/>
    </row>
    <row r="7" spans="1:14" x14ac:dyDescent="0.25">
      <c r="A7" s="66" t="s">
        <v>34</v>
      </c>
      <c r="B7" s="68" t="s">
        <v>35</v>
      </c>
      <c r="C7" s="66" t="s">
        <v>2</v>
      </c>
      <c r="D7" s="66">
        <v>1</v>
      </c>
      <c r="E7" s="67"/>
      <c r="F7" s="69">
        <f>D7*E7</f>
        <v>0</v>
      </c>
      <c r="G7" s="10">
        <f t="shared" ref="G7:H10" si="0">E7/655.957</f>
        <v>0</v>
      </c>
      <c r="H7" s="10">
        <f t="shared" si="0"/>
        <v>0</v>
      </c>
    </row>
    <row r="8" spans="1:14" ht="18.75" customHeight="1" x14ac:dyDescent="0.25">
      <c r="A8" s="66" t="s">
        <v>36</v>
      </c>
      <c r="B8" s="68" t="s">
        <v>182</v>
      </c>
      <c r="C8" s="66" t="s">
        <v>3</v>
      </c>
      <c r="D8" s="66">
        <f>M5*0.5*0.8</f>
        <v>14.880000000000003</v>
      </c>
      <c r="E8" s="67"/>
      <c r="F8" s="69">
        <f>D8*E8</f>
        <v>0</v>
      </c>
      <c r="G8" s="10">
        <f t="shared" si="0"/>
        <v>0</v>
      </c>
      <c r="H8" s="10">
        <f t="shared" si="0"/>
        <v>0</v>
      </c>
      <c r="M8" s="70"/>
    </row>
    <row r="9" spans="1:14" ht="18.75" customHeight="1" x14ac:dyDescent="0.25">
      <c r="A9" s="66" t="s">
        <v>38</v>
      </c>
      <c r="B9" s="68" t="s">
        <v>183</v>
      </c>
      <c r="C9" s="66" t="s">
        <v>3</v>
      </c>
      <c r="D9" s="66">
        <f>M5*0.3*0.55</f>
        <v>6.1380000000000008</v>
      </c>
      <c r="E9" s="67"/>
      <c r="F9" s="69">
        <f>D9*E9</f>
        <v>0</v>
      </c>
      <c r="G9" s="10">
        <f t="shared" si="0"/>
        <v>0</v>
      </c>
      <c r="H9" s="10">
        <f t="shared" si="0"/>
        <v>0</v>
      </c>
    </row>
    <row r="10" spans="1:14" ht="36.75" customHeight="1" x14ac:dyDescent="0.25">
      <c r="A10" s="66" t="s">
        <v>40</v>
      </c>
      <c r="B10" s="68" t="s">
        <v>184</v>
      </c>
      <c r="C10" s="66" t="s">
        <v>3</v>
      </c>
      <c r="D10" s="66">
        <f>N5*0.35</f>
        <v>7.895999999999999</v>
      </c>
      <c r="E10" s="67"/>
      <c r="F10" s="69">
        <f>D10*E10</f>
        <v>0</v>
      </c>
      <c r="G10" s="10">
        <f t="shared" si="0"/>
        <v>0</v>
      </c>
      <c r="H10" s="10">
        <f t="shared" si="0"/>
        <v>0</v>
      </c>
    </row>
    <row r="11" spans="1:14" x14ac:dyDescent="0.3">
      <c r="A11" s="66"/>
      <c r="B11" s="71" t="s">
        <v>185</v>
      </c>
      <c r="C11" s="66"/>
      <c r="D11" s="66"/>
      <c r="E11" s="67"/>
      <c r="F11" s="72">
        <f>SUM(F7:F10)</f>
        <v>0</v>
      </c>
      <c r="G11" s="73"/>
      <c r="H11" s="72">
        <f>SUM(H7:H10)</f>
        <v>0</v>
      </c>
    </row>
    <row r="12" spans="1:14" x14ac:dyDescent="0.3">
      <c r="A12" s="65" t="s">
        <v>43</v>
      </c>
      <c r="B12" s="14" t="s">
        <v>186</v>
      </c>
      <c r="C12" s="66"/>
      <c r="D12" s="66"/>
      <c r="E12" s="67"/>
      <c r="F12" s="67"/>
      <c r="G12" s="1"/>
      <c r="H12" s="97"/>
    </row>
    <row r="13" spans="1:14" ht="19.5" customHeight="1" x14ac:dyDescent="0.25">
      <c r="A13" s="66" t="s">
        <v>45</v>
      </c>
      <c r="B13" s="68" t="s">
        <v>187</v>
      </c>
      <c r="C13" s="66" t="s">
        <v>3</v>
      </c>
      <c r="D13" s="66">
        <f>M5*0.5*0.05</f>
        <v>0.93000000000000016</v>
      </c>
      <c r="E13" s="67"/>
      <c r="F13" s="69">
        <f t="shared" ref="F13:F30" si="1">D13*E13</f>
        <v>0</v>
      </c>
      <c r="G13" s="10">
        <f t="shared" ref="G13:H30" si="2">E13/655.957</f>
        <v>0</v>
      </c>
      <c r="H13" s="10">
        <f t="shared" si="2"/>
        <v>0</v>
      </c>
    </row>
    <row r="14" spans="1:14" ht="34.5" customHeight="1" x14ac:dyDescent="0.25">
      <c r="A14" s="66" t="s">
        <v>47</v>
      </c>
      <c r="B14" s="68" t="s">
        <v>188</v>
      </c>
      <c r="C14" s="66" t="s">
        <v>3</v>
      </c>
      <c r="D14" s="66">
        <f>M5*0.5*0.2</f>
        <v>3.7200000000000006</v>
      </c>
      <c r="E14" s="67"/>
      <c r="F14" s="69">
        <f t="shared" si="1"/>
        <v>0</v>
      </c>
      <c r="G14" s="10">
        <f t="shared" si="2"/>
        <v>0</v>
      </c>
      <c r="H14" s="10">
        <f t="shared" si="2"/>
        <v>0</v>
      </c>
    </row>
    <row r="15" spans="1:14" ht="19.5" customHeight="1" x14ac:dyDescent="0.25">
      <c r="A15" s="66" t="s">
        <v>49</v>
      </c>
      <c r="B15" s="68" t="s">
        <v>189</v>
      </c>
      <c r="C15" s="66" t="s">
        <v>51</v>
      </c>
      <c r="D15" s="66">
        <f>M5*0.85</f>
        <v>31.62</v>
      </c>
      <c r="E15" s="67"/>
      <c r="F15" s="69">
        <f t="shared" si="1"/>
        <v>0</v>
      </c>
      <c r="G15" s="10">
        <f t="shared" si="2"/>
        <v>0</v>
      </c>
      <c r="H15" s="10">
        <f t="shared" si="2"/>
        <v>0</v>
      </c>
    </row>
    <row r="16" spans="1:14" ht="22.5" customHeight="1" x14ac:dyDescent="0.25">
      <c r="A16" s="66" t="s">
        <v>52</v>
      </c>
      <c r="B16" s="68" t="s">
        <v>190</v>
      </c>
      <c r="C16" s="66" t="s">
        <v>3</v>
      </c>
      <c r="D16" s="66">
        <f>13*0.2*0.2*1</f>
        <v>0.52</v>
      </c>
      <c r="E16" s="67"/>
      <c r="F16" s="69">
        <f t="shared" si="1"/>
        <v>0</v>
      </c>
      <c r="G16" s="10">
        <f t="shared" si="2"/>
        <v>0</v>
      </c>
      <c r="H16" s="10">
        <f t="shared" si="2"/>
        <v>0</v>
      </c>
    </row>
    <row r="17" spans="1:13" ht="36" customHeight="1" x14ac:dyDescent="0.25">
      <c r="A17" s="66" t="s">
        <v>54</v>
      </c>
      <c r="B17" s="68" t="s">
        <v>191</v>
      </c>
      <c r="C17" s="66" t="s">
        <v>3</v>
      </c>
      <c r="D17" s="66">
        <f>M5*0.2*0.2</f>
        <v>1.4880000000000004</v>
      </c>
      <c r="E17" s="67"/>
      <c r="F17" s="69">
        <f t="shared" si="1"/>
        <v>0</v>
      </c>
      <c r="G17" s="10">
        <f t="shared" si="2"/>
        <v>0</v>
      </c>
      <c r="H17" s="10">
        <f t="shared" si="2"/>
        <v>0</v>
      </c>
    </row>
    <row r="18" spans="1:13" ht="22.5" customHeight="1" x14ac:dyDescent="0.25">
      <c r="A18" s="66" t="s">
        <v>56</v>
      </c>
      <c r="B18" s="68" t="s">
        <v>192</v>
      </c>
      <c r="C18" s="66" t="s">
        <v>51</v>
      </c>
      <c r="D18" s="66">
        <f>M5*3.2-(3*0.6*2+1.2*0.6*8+(1+0.7*4)*2.2)</f>
        <v>101.32000000000002</v>
      </c>
      <c r="E18" s="67"/>
      <c r="F18" s="69">
        <f t="shared" si="1"/>
        <v>0</v>
      </c>
      <c r="G18" s="10">
        <f t="shared" si="2"/>
        <v>0</v>
      </c>
      <c r="H18" s="10">
        <f t="shared" si="2"/>
        <v>0</v>
      </c>
    </row>
    <row r="19" spans="1:13" ht="21" customHeight="1" x14ac:dyDescent="0.25">
      <c r="A19" s="66" t="s">
        <v>58</v>
      </c>
      <c r="B19" s="68" t="s">
        <v>193</v>
      </c>
      <c r="C19" s="66" t="s">
        <v>3</v>
      </c>
      <c r="D19" s="66">
        <f>13*0.15*0.15*3</f>
        <v>0.87749999999999995</v>
      </c>
      <c r="E19" s="67"/>
      <c r="F19" s="69">
        <f t="shared" si="1"/>
        <v>0</v>
      </c>
      <c r="G19" s="10">
        <f t="shared" si="2"/>
        <v>0</v>
      </c>
      <c r="H19" s="10">
        <f t="shared" si="2"/>
        <v>0</v>
      </c>
    </row>
    <row r="20" spans="1:13" ht="21" customHeight="1" x14ac:dyDescent="0.25">
      <c r="A20" s="66" t="s">
        <v>60</v>
      </c>
      <c r="B20" s="74" t="s">
        <v>194</v>
      </c>
      <c r="C20" s="66" t="s">
        <v>3</v>
      </c>
      <c r="D20" s="75">
        <f>M5*0.15*0.2</f>
        <v>1.1160000000000001</v>
      </c>
      <c r="E20" s="67"/>
      <c r="F20" s="76">
        <f>D20*E20</f>
        <v>0</v>
      </c>
      <c r="G20" s="10">
        <f t="shared" si="2"/>
        <v>0</v>
      </c>
      <c r="H20" s="10">
        <f t="shared" si="2"/>
        <v>0</v>
      </c>
    </row>
    <row r="21" spans="1:13" ht="21.75" customHeight="1" x14ac:dyDescent="0.25">
      <c r="A21" s="66" t="s">
        <v>195</v>
      </c>
      <c r="B21" s="74" t="s">
        <v>196</v>
      </c>
      <c r="C21" s="66" t="s">
        <v>3</v>
      </c>
      <c r="D21" s="75">
        <f>M21*0.15*0.15</f>
        <v>0.69525000000000003</v>
      </c>
      <c r="E21" s="67"/>
      <c r="F21" s="76">
        <f>D21*E21</f>
        <v>0</v>
      </c>
      <c r="G21" s="10">
        <f t="shared" si="2"/>
        <v>0</v>
      </c>
      <c r="H21" s="10">
        <f t="shared" si="2"/>
        <v>0</v>
      </c>
      <c r="M21" s="64">
        <f>4.9*3+5.4*3</f>
        <v>30.900000000000006</v>
      </c>
    </row>
    <row r="22" spans="1:13" ht="21.75" customHeight="1" x14ac:dyDescent="0.25">
      <c r="A22" s="66" t="s">
        <v>197</v>
      </c>
      <c r="B22" s="74" t="s">
        <v>198</v>
      </c>
      <c r="C22" s="66" t="s">
        <v>3</v>
      </c>
      <c r="D22" s="75">
        <f>M22*0.2*0.2</f>
        <v>0.62800000000000011</v>
      </c>
      <c r="E22" s="67"/>
      <c r="F22" s="76">
        <f>D22*E22</f>
        <v>0</v>
      </c>
      <c r="G22" s="10">
        <f t="shared" si="2"/>
        <v>0</v>
      </c>
      <c r="H22" s="10">
        <f t="shared" si="2"/>
        <v>0</v>
      </c>
      <c r="M22" s="64">
        <f>4.9*1+5.4*2</f>
        <v>15.700000000000001</v>
      </c>
    </row>
    <row r="23" spans="1:13" ht="19.5" customHeight="1" x14ac:dyDescent="0.25">
      <c r="A23" s="66" t="s">
        <v>199</v>
      </c>
      <c r="B23" s="74" t="s">
        <v>200</v>
      </c>
      <c r="C23" s="66" t="s">
        <v>3</v>
      </c>
      <c r="D23" s="66">
        <f>1.5*0.6*0.1*2</f>
        <v>0.18</v>
      </c>
      <c r="E23" s="67"/>
      <c r="F23" s="67">
        <f>D23*E23</f>
        <v>0</v>
      </c>
      <c r="G23" s="10">
        <f t="shared" si="2"/>
        <v>0</v>
      </c>
      <c r="H23" s="10">
        <f t="shared" si="2"/>
        <v>0</v>
      </c>
    </row>
    <row r="24" spans="1:13" ht="21" customHeight="1" x14ac:dyDescent="0.25">
      <c r="A24" s="66" t="s">
        <v>201</v>
      </c>
      <c r="B24" s="68" t="s">
        <v>202</v>
      </c>
      <c r="C24" s="66" t="s">
        <v>3</v>
      </c>
      <c r="D24" s="66">
        <f>N5*0.1</f>
        <v>2.2559999999999998</v>
      </c>
      <c r="E24" s="67"/>
      <c r="F24" s="69">
        <f t="shared" ref="F24" si="3">D24*E24</f>
        <v>0</v>
      </c>
      <c r="G24" s="10">
        <f t="shared" si="2"/>
        <v>0</v>
      </c>
      <c r="H24" s="10">
        <f t="shared" si="2"/>
        <v>0</v>
      </c>
    </row>
    <row r="25" spans="1:13" x14ac:dyDescent="0.25">
      <c r="A25" s="66"/>
      <c r="B25" s="71" t="s">
        <v>203</v>
      </c>
      <c r="C25" s="66"/>
      <c r="D25" s="66"/>
      <c r="E25" s="67"/>
      <c r="F25" s="72">
        <f>SUM(F13:F24)</f>
        <v>0</v>
      </c>
      <c r="G25" s="10"/>
      <c r="H25" s="72">
        <f>SUM(H13:H24)</f>
        <v>0</v>
      </c>
    </row>
    <row r="26" spans="1:13" x14ac:dyDescent="0.25">
      <c r="A26" s="65" t="s">
        <v>63</v>
      </c>
      <c r="B26" s="14" t="s">
        <v>75</v>
      </c>
      <c r="C26" s="66"/>
      <c r="D26" s="66"/>
      <c r="E26" s="67"/>
      <c r="F26" s="69"/>
      <c r="G26" s="10"/>
      <c r="H26" s="10"/>
    </row>
    <row r="27" spans="1:13" ht="21.75" customHeight="1" x14ac:dyDescent="0.25">
      <c r="A27" s="66" t="s">
        <v>65</v>
      </c>
      <c r="B27" s="68" t="s">
        <v>204</v>
      </c>
      <c r="C27" s="66" t="s">
        <v>51</v>
      </c>
      <c r="D27" s="66">
        <f>N5</f>
        <v>22.56</v>
      </c>
      <c r="E27" s="67"/>
      <c r="F27" s="69">
        <f t="shared" ref="F27:F28" si="4">D27*E27</f>
        <v>0</v>
      </c>
      <c r="G27" s="10">
        <f t="shared" ref="G27:H28" si="5">E27/655.957</f>
        <v>0</v>
      </c>
      <c r="H27" s="10">
        <f t="shared" si="5"/>
        <v>0</v>
      </c>
    </row>
    <row r="28" spans="1:13" ht="19.5" customHeight="1" x14ac:dyDescent="0.25">
      <c r="A28" s="66" t="s">
        <v>67</v>
      </c>
      <c r="B28" s="68" t="s">
        <v>205</v>
      </c>
      <c r="C28" s="66" t="s">
        <v>51</v>
      </c>
      <c r="D28" s="66">
        <f>(3*8+1.2*8)+(2.55-1.4+2.7+1.6+1)*2</f>
        <v>46.5</v>
      </c>
      <c r="E28" s="67"/>
      <c r="F28" s="69">
        <f t="shared" si="4"/>
        <v>0</v>
      </c>
      <c r="G28" s="10">
        <f t="shared" si="5"/>
        <v>0</v>
      </c>
      <c r="H28" s="10">
        <f t="shared" si="5"/>
        <v>0</v>
      </c>
    </row>
    <row r="29" spans="1:13" ht="19.5" customHeight="1" x14ac:dyDescent="0.25">
      <c r="A29" s="66" t="s">
        <v>69</v>
      </c>
      <c r="B29" s="68" t="s">
        <v>206</v>
      </c>
      <c r="C29" s="66" t="s">
        <v>51</v>
      </c>
      <c r="D29" s="77">
        <f>(4.9*2+5.4*2)*3.5</f>
        <v>72.100000000000009</v>
      </c>
      <c r="E29" s="67"/>
      <c r="F29" s="69">
        <f t="shared" si="1"/>
        <v>0</v>
      </c>
      <c r="G29" s="10">
        <f t="shared" si="2"/>
        <v>0</v>
      </c>
      <c r="H29" s="10">
        <f t="shared" si="2"/>
        <v>0</v>
      </c>
      <c r="M29" s="66">
        <f>(4.9*2+5.4*2)*3.5</f>
        <v>72.100000000000009</v>
      </c>
    </row>
    <row r="30" spans="1:13" ht="20.25" customHeight="1" x14ac:dyDescent="0.25">
      <c r="A30" s="66" t="s">
        <v>71</v>
      </c>
      <c r="B30" s="68" t="s">
        <v>207</v>
      </c>
      <c r="C30" s="66" t="s">
        <v>51</v>
      </c>
      <c r="D30" s="66">
        <f>D18*2-M30</f>
        <v>142.90000000000003</v>
      </c>
      <c r="E30" s="67"/>
      <c r="F30" s="69">
        <f t="shared" si="1"/>
        <v>0</v>
      </c>
      <c r="G30" s="10">
        <f t="shared" si="2"/>
        <v>0</v>
      </c>
      <c r="H30" s="10">
        <f t="shared" si="2"/>
        <v>0</v>
      </c>
      <c r="M30" s="64">
        <f>(4.9*2+5.4*2)*2.9</f>
        <v>59.74</v>
      </c>
    </row>
    <row r="31" spans="1:13" x14ac:dyDescent="0.3">
      <c r="A31" s="66"/>
      <c r="B31" s="71" t="s">
        <v>208</v>
      </c>
      <c r="C31" s="66"/>
      <c r="D31" s="66"/>
      <c r="E31" s="67"/>
      <c r="F31" s="72">
        <f>SUM(F27:F30)</f>
        <v>0</v>
      </c>
      <c r="G31" s="73"/>
      <c r="H31" s="72">
        <f>SUM(H27:H30)</f>
        <v>0</v>
      </c>
    </row>
    <row r="32" spans="1:13" x14ac:dyDescent="0.3">
      <c r="A32" s="65" t="s">
        <v>74</v>
      </c>
      <c r="B32" s="14" t="s">
        <v>152</v>
      </c>
      <c r="C32" s="66"/>
      <c r="D32" s="66"/>
      <c r="E32" s="67"/>
      <c r="F32" s="78"/>
      <c r="G32" s="1"/>
      <c r="H32" s="97"/>
    </row>
    <row r="33" spans="1:14" ht="33" customHeight="1" x14ac:dyDescent="0.25">
      <c r="A33" s="79" t="s">
        <v>76</v>
      </c>
      <c r="B33" s="8" t="s">
        <v>84</v>
      </c>
      <c r="C33" s="30" t="s">
        <v>85</v>
      </c>
      <c r="D33" s="9">
        <f>5.55*7</f>
        <v>38.85</v>
      </c>
      <c r="E33" s="31"/>
      <c r="F33" s="11">
        <f t="shared" ref="F33:F35" si="6">E33*D33</f>
        <v>0</v>
      </c>
      <c r="G33" s="10">
        <f t="shared" ref="G33:H35" si="7">E33/655.957</f>
        <v>0</v>
      </c>
      <c r="H33" s="10">
        <f t="shared" si="7"/>
        <v>0</v>
      </c>
    </row>
    <row r="34" spans="1:14" ht="33" customHeight="1" x14ac:dyDescent="0.25">
      <c r="A34" s="79" t="s">
        <v>131</v>
      </c>
      <c r="B34" s="8" t="s">
        <v>87</v>
      </c>
      <c r="C34" s="30" t="s">
        <v>51</v>
      </c>
      <c r="D34" s="38">
        <f>5.55*5.25</f>
        <v>29.137499999999999</v>
      </c>
      <c r="E34" s="31"/>
      <c r="F34" s="11">
        <f t="shared" si="6"/>
        <v>0</v>
      </c>
      <c r="G34" s="10">
        <f t="shared" si="7"/>
        <v>0</v>
      </c>
      <c r="H34" s="10">
        <f t="shared" si="7"/>
        <v>0</v>
      </c>
    </row>
    <row r="35" spans="1:14" ht="18" customHeight="1" x14ac:dyDescent="0.25">
      <c r="A35" s="79" t="s">
        <v>209</v>
      </c>
      <c r="B35" s="8" t="s">
        <v>89</v>
      </c>
      <c r="C35" s="30" t="s">
        <v>85</v>
      </c>
      <c r="D35" s="9">
        <f>D33</f>
        <v>38.85</v>
      </c>
      <c r="E35" s="31"/>
      <c r="F35" s="11">
        <f t="shared" si="6"/>
        <v>0</v>
      </c>
      <c r="G35" s="10">
        <f t="shared" si="7"/>
        <v>0</v>
      </c>
      <c r="H35" s="10">
        <f t="shared" si="7"/>
        <v>0</v>
      </c>
    </row>
    <row r="36" spans="1:14" x14ac:dyDescent="0.3">
      <c r="A36" s="66"/>
      <c r="B36" s="71" t="s">
        <v>210</v>
      </c>
      <c r="C36" s="66"/>
      <c r="D36" s="66"/>
      <c r="E36" s="67"/>
      <c r="F36" s="72">
        <f>SUM(F33:F35)</f>
        <v>0</v>
      </c>
      <c r="G36" s="73"/>
      <c r="H36" s="72">
        <f>SUM(H33:H35)</f>
        <v>0</v>
      </c>
    </row>
    <row r="37" spans="1:14" x14ac:dyDescent="0.3">
      <c r="A37" s="65" t="s">
        <v>81</v>
      </c>
      <c r="B37" s="14" t="s">
        <v>94</v>
      </c>
      <c r="C37" s="66"/>
      <c r="D37" s="66"/>
      <c r="E37" s="67"/>
      <c r="F37" s="67"/>
      <c r="G37" s="1"/>
      <c r="H37" s="97"/>
    </row>
    <row r="38" spans="1:14" ht="39.75" customHeight="1" x14ac:dyDescent="0.25">
      <c r="A38" s="66" t="s">
        <v>83</v>
      </c>
      <c r="B38" s="68" t="s">
        <v>211</v>
      </c>
      <c r="C38" s="66" t="s">
        <v>6</v>
      </c>
      <c r="D38" s="66">
        <v>4</v>
      </c>
      <c r="E38" s="67"/>
      <c r="F38" s="76">
        <f>D38*E38</f>
        <v>0</v>
      </c>
      <c r="G38" s="10">
        <f t="shared" ref="G38:H39" si="8">E38/655.957</f>
        <v>0</v>
      </c>
      <c r="H38" s="10">
        <f t="shared" si="8"/>
        <v>0</v>
      </c>
      <c r="N38" s="57">
        <f>45000*0.7*2.2</f>
        <v>69300</v>
      </c>
    </row>
    <row r="39" spans="1:14" ht="18.75" customHeight="1" x14ac:dyDescent="0.25">
      <c r="A39" s="66" t="s">
        <v>86</v>
      </c>
      <c r="B39" s="8" t="s">
        <v>212</v>
      </c>
      <c r="C39" s="30" t="s">
        <v>97</v>
      </c>
      <c r="D39" s="9">
        <v>6</v>
      </c>
      <c r="E39" s="67"/>
      <c r="F39" s="76">
        <f>D39*E39</f>
        <v>0</v>
      </c>
      <c r="G39" s="10">
        <f t="shared" si="8"/>
        <v>0</v>
      </c>
      <c r="H39" s="10">
        <f t="shared" si="8"/>
        <v>0</v>
      </c>
      <c r="N39" s="57">
        <f>45000*0.6*1.2</f>
        <v>32400</v>
      </c>
    </row>
    <row r="40" spans="1:14" x14ac:dyDescent="0.3">
      <c r="A40" s="66"/>
      <c r="B40" s="71" t="s">
        <v>213</v>
      </c>
      <c r="C40" s="66"/>
      <c r="D40" s="66"/>
      <c r="E40" s="67"/>
      <c r="F40" s="72">
        <f>SUM(F38:F39)</f>
        <v>0</v>
      </c>
      <c r="G40" s="73"/>
      <c r="H40" s="72">
        <f>SUM(H38:H39)</f>
        <v>0</v>
      </c>
    </row>
    <row r="41" spans="1:14" x14ac:dyDescent="0.3">
      <c r="A41" s="65" t="s">
        <v>93</v>
      </c>
      <c r="B41" s="14" t="s">
        <v>103</v>
      </c>
      <c r="C41" s="66"/>
      <c r="D41" s="66"/>
      <c r="E41" s="67"/>
      <c r="F41" s="67"/>
      <c r="G41" s="1"/>
      <c r="H41" s="97"/>
    </row>
    <row r="42" spans="1:14" ht="18.75" customHeight="1" x14ac:dyDescent="0.25">
      <c r="A42" s="66" t="s">
        <v>95</v>
      </c>
      <c r="B42" s="68" t="s">
        <v>214</v>
      </c>
      <c r="C42" s="66" t="s">
        <v>51</v>
      </c>
      <c r="D42" s="66">
        <f>D30</f>
        <v>142.90000000000003</v>
      </c>
      <c r="E42" s="67"/>
      <c r="F42" s="76">
        <f>D42*E42</f>
        <v>0</v>
      </c>
      <c r="G42" s="10">
        <f t="shared" ref="G42:H43" si="9">E42/655.957</f>
        <v>0</v>
      </c>
      <c r="H42" s="10">
        <f t="shared" si="9"/>
        <v>0</v>
      </c>
    </row>
    <row r="43" spans="1:14" ht="19.5" customHeight="1" x14ac:dyDescent="0.25">
      <c r="A43" s="66" t="s">
        <v>98</v>
      </c>
      <c r="B43" s="68" t="s">
        <v>215</v>
      </c>
      <c r="C43" s="66" t="s">
        <v>51</v>
      </c>
      <c r="D43" s="77">
        <f>(0.7*2.2*4+1.2*0.6*6)*2</f>
        <v>20.96</v>
      </c>
      <c r="E43" s="67"/>
      <c r="F43" s="76">
        <f>D43*E43</f>
        <v>0</v>
      </c>
      <c r="G43" s="10">
        <f t="shared" si="9"/>
        <v>0</v>
      </c>
      <c r="H43" s="10">
        <f t="shared" si="9"/>
        <v>0</v>
      </c>
    </row>
    <row r="44" spans="1:14" x14ac:dyDescent="0.3">
      <c r="A44" s="66"/>
      <c r="B44" s="71" t="s">
        <v>216</v>
      </c>
      <c r="C44" s="66"/>
      <c r="D44" s="66"/>
      <c r="E44" s="67"/>
      <c r="F44" s="72">
        <f>SUM(F42:F43)</f>
        <v>0</v>
      </c>
      <c r="G44" s="73"/>
      <c r="H44" s="72">
        <f>SUM(H42:H43)</f>
        <v>0</v>
      </c>
    </row>
    <row r="45" spans="1:14" x14ac:dyDescent="0.3">
      <c r="A45" s="65" t="s">
        <v>102</v>
      </c>
      <c r="B45" s="14" t="s">
        <v>110</v>
      </c>
      <c r="C45" s="66"/>
      <c r="D45" s="66"/>
      <c r="E45" s="67"/>
      <c r="F45" s="67"/>
      <c r="G45" s="1"/>
      <c r="H45" s="97"/>
    </row>
    <row r="46" spans="1:14" ht="19.5" customHeight="1" x14ac:dyDescent="0.25">
      <c r="A46" s="66" t="s">
        <v>217</v>
      </c>
      <c r="B46" s="68" t="s">
        <v>218</v>
      </c>
      <c r="C46" s="66" t="s">
        <v>6</v>
      </c>
      <c r="D46" s="66">
        <v>1</v>
      </c>
      <c r="E46" s="67"/>
      <c r="F46" s="76">
        <f>D46*E46</f>
        <v>0</v>
      </c>
      <c r="G46" s="10">
        <f t="shared" ref="G46:H54" si="10">E46/655.957</f>
        <v>0</v>
      </c>
      <c r="H46" s="10">
        <f t="shared" si="10"/>
        <v>0</v>
      </c>
    </row>
    <row r="47" spans="1:14" ht="21.75" customHeight="1" x14ac:dyDescent="0.25">
      <c r="A47" s="66" t="s">
        <v>219</v>
      </c>
      <c r="B47" s="68" t="s">
        <v>220</v>
      </c>
      <c r="C47" s="66" t="s">
        <v>6</v>
      </c>
      <c r="D47" s="66">
        <v>1</v>
      </c>
      <c r="E47" s="67"/>
      <c r="F47" s="76">
        <f t="shared" ref="F47:F53" si="11">D47*E47</f>
        <v>0</v>
      </c>
      <c r="G47" s="10">
        <f t="shared" si="10"/>
        <v>0</v>
      </c>
      <c r="H47" s="10">
        <f t="shared" si="10"/>
        <v>0</v>
      </c>
    </row>
    <row r="48" spans="1:14" ht="18" customHeight="1" x14ac:dyDescent="0.25">
      <c r="A48" s="66" t="s">
        <v>221</v>
      </c>
      <c r="B48" s="68" t="s">
        <v>222</v>
      </c>
      <c r="C48" s="66" t="s">
        <v>6</v>
      </c>
      <c r="D48" s="66">
        <v>2</v>
      </c>
      <c r="E48" s="67"/>
      <c r="F48" s="76">
        <f t="shared" si="11"/>
        <v>0</v>
      </c>
      <c r="G48" s="10">
        <f t="shared" si="10"/>
        <v>0</v>
      </c>
      <c r="H48" s="10">
        <f t="shared" si="10"/>
        <v>0</v>
      </c>
    </row>
    <row r="49" spans="1:16" ht="19.5" customHeight="1" x14ac:dyDescent="0.25">
      <c r="A49" s="66" t="s">
        <v>223</v>
      </c>
      <c r="B49" s="68" t="s">
        <v>224</v>
      </c>
      <c r="C49" s="66" t="s">
        <v>2</v>
      </c>
      <c r="D49" s="66">
        <v>1</v>
      </c>
      <c r="E49" s="67"/>
      <c r="F49" s="76">
        <f t="shared" si="11"/>
        <v>0</v>
      </c>
      <c r="G49" s="10">
        <f t="shared" si="10"/>
        <v>0</v>
      </c>
      <c r="H49" s="10">
        <f t="shared" si="10"/>
        <v>0</v>
      </c>
    </row>
    <row r="50" spans="1:16" ht="21" customHeight="1" x14ac:dyDescent="0.25">
      <c r="A50" s="66" t="s">
        <v>225</v>
      </c>
      <c r="B50" s="68" t="s">
        <v>226</v>
      </c>
      <c r="C50" s="66" t="s">
        <v>2</v>
      </c>
      <c r="D50" s="66">
        <v>1</v>
      </c>
      <c r="E50" s="67"/>
      <c r="F50" s="76">
        <f t="shared" si="11"/>
        <v>0</v>
      </c>
      <c r="G50" s="10">
        <f t="shared" si="10"/>
        <v>0</v>
      </c>
      <c r="H50" s="10">
        <f t="shared" si="10"/>
        <v>0</v>
      </c>
    </row>
    <row r="51" spans="1:16" ht="28.5" customHeight="1" x14ac:dyDescent="0.25">
      <c r="A51" s="66" t="s">
        <v>227</v>
      </c>
      <c r="B51" s="68" t="s">
        <v>228</v>
      </c>
      <c r="C51" s="66" t="s">
        <v>6</v>
      </c>
      <c r="D51" s="66">
        <v>2</v>
      </c>
      <c r="E51" s="67"/>
      <c r="F51" s="76">
        <f t="shared" si="11"/>
        <v>0</v>
      </c>
      <c r="G51" s="10">
        <f t="shared" si="10"/>
        <v>0</v>
      </c>
      <c r="H51" s="10">
        <f t="shared" si="10"/>
        <v>0</v>
      </c>
    </row>
    <row r="52" spans="1:16" ht="19.5" customHeight="1" x14ac:dyDescent="0.25">
      <c r="A52" s="66" t="s">
        <v>229</v>
      </c>
      <c r="B52" s="68" t="s">
        <v>230</v>
      </c>
      <c r="C52" s="66" t="s">
        <v>6</v>
      </c>
      <c r="D52" s="66">
        <v>4</v>
      </c>
      <c r="E52" s="67"/>
      <c r="F52" s="76">
        <f t="shared" si="11"/>
        <v>0</v>
      </c>
      <c r="G52" s="10">
        <f t="shared" si="10"/>
        <v>0</v>
      </c>
      <c r="H52" s="10">
        <f t="shared" si="10"/>
        <v>0</v>
      </c>
    </row>
    <row r="53" spans="1:16" ht="21" customHeight="1" x14ac:dyDescent="0.25">
      <c r="A53" s="66" t="s">
        <v>231</v>
      </c>
      <c r="B53" s="68" t="s">
        <v>232</v>
      </c>
      <c r="C53" s="66" t="s">
        <v>6</v>
      </c>
      <c r="D53" s="66">
        <v>2</v>
      </c>
      <c r="E53" s="67"/>
      <c r="F53" s="76">
        <f t="shared" si="11"/>
        <v>0</v>
      </c>
      <c r="G53" s="10">
        <f t="shared" si="10"/>
        <v>0</v>
      </c>
      <c r="H53" s="10">
        <f t="shared" si="10"/>
        <v>0</v>
      </c>
    </row>
    <row r="54" spans="1:16" ht="36" customHeight="1" x14ac:dyDescent="0.25">
      <c r="A54" s="66" t="s">
        <v>217</v>
      </c>
      <c r="B54" s="68" t="s">
        <v>233</v>
      </c>
      <c r="C54" s="66" t="s">
        <v>2</v>
      </c>
      <c r="D54" s="66">
        <v>1</v>
      </c>
      <c r="E54" s="67"/>
      <c r="F54" s="76">
        <f>D54*E54</f>
        <v>0</v>
      </c>
      <c r="G54" s="10">
        <f t="shared" si="10"/>
        <v>0</v>
      </c>
      <c r="H54" s="10">
        <f t="shared" si="10"/>
        <v>0</v>
      </c>
    </row>
    <row r="55" spans="1:16" x14ac:dyDescent="0.3">
      <c r="A55" s="66"/>
      <c r="B55" s="71" t="s">
        <v>234</v>
      </c>
      <c r="C55" s="66"/>
      <c r="D55" s="66"/>
      <c r="E55" s="67"/>
      <c r="F55" s="72">
        <f>SUM(F46:F54)</f>
        <v>0</v>
      </c>
      <c r="G55" s="73"/>
      <c r="H55" s="72">
        <f>SUM(H46:H54)</f>
        <v>0</v>
      </c>
    </row>
    <row r="56" spans="1:16" x14ac:dyDescent="0.3">
      <c r="A56" s="66"/>
      <c r="B56" s="4" t="s">
        <v>261</v>
      </c>
      <c r="C56" s="66"/>
      <c r="D56" s="66"/>
      <c r="E56" s="67"/>
      <c r="F56" s="72">
        <f>SUM(F7:F55)/2</f>
        <v>0</v>
      </c>
      <c r="G56" s="73"/>
      <c r="H56" s="72">
        <f>SUM(H55,H44,H40,H36,H31,H25,H11)</f>
        <v>0</v>
      </c>
      <c r="P56" s="10">
        <f>F56/655.957</f>
        <v>0</v>
      </c>
    </row>
  </sheetData>
  <mergeCells count="3">
    <mergeCell ref="A1:H1"/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&amp;C&amp;P</oddFoot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56A3-1D76-4B6F-8B8B-231E04DE8CE9}">
  <dimension ref="A1:N20"/>
  <sheetViews>
    <sheetView topLeftCell="A76" zoomScale="150" zoomScaleNormal="150" workbookViewId="0">
      <selection activeCell="F6" sqref="F6"/>
    </sheetView>
  </sheetViews>
  <sheetFormatPr baseColWidth="10" defaultRowHeight="14.4" x14ac:dyDescent="0.3"/>
  <cols>
    <col min="1" max="1" width="5.6640625" customWidth="1"/>
    <col min="2" max="2" width="53.88671875" bestFit="1" customWidth="1"/>
    <col min="3" max="3" width="6.33203125" bestFit="1" customWidth="1"/>
    <col min="4" max="4" width="8.6640625" bestFit="1" customWidth="1"/>
    <col min="5" max="6" width="12.6640625" customWidth="1"/>
    <col min="7" max="7" width="12.33203125" bestFit="1" customWidth="1"/>
    <col min="8" max="8" width="12.6640625" customWidth="1"/>
    <col min="9" max="12" width="11.44140625" customWidth="1"/>
    <col min="13" max="13" width="9.44140625" customWidth="1"/>
    <col min="14" max="14" width="11.44140625" customWidth="1"/>
  </cols>
  <sheetData>
    <row r="1" spans="1:14" ht="15.6" x14ac:dyDescent="0.3">
      <c r="A1" s="103" t="s">
        <v>26</v>
      </c>
      <c r="B1" s="103"/>
      <c r="C1" s="103"/>
      <c r="D1" s="103"/>
      <c r="E1" s="103"/>
      <c r="F1" s="103"/>
      <c r="G1" s="103"/>
      <c r="H1" s="103"/>
    </row>
    <row r="2" spans="1:14" ht="17.399999999999999" x14ac:dyDescent="0.3">
      <c r="A2" s="106" t="s">
        <v>27</v>
      </c>
      <c r="B2" s="106"/>
      <c r="C2" s="106"/>
      <c r="D2" s="106"/>
      <c r="E2" s="106"/>
      <c r="F2" s="106"/>
      <c r="G2" s="106"/>
      <c r="H2" s="106"/>
    </row>
    <row r="3" spans="1:14" ht="15.6" x14ac:dyDescent="0.3">
      <c r="A3" s="104" t="s">
        <v>254</v>
      </c>
      <c r="B3" s="104"/>
      <c r="C3" s="104"/>
      <c r="D3" s="104"/>
      <c r="E3" s="104"/>
      <c r="F3" s="104"/>
      <c r="G3" s="104"/>
      <c r="H3" s="104"/>
    </row>
    <row r="5" spans="1:14" ht="28.8" x14ac:dyDescent="0.3">
      <c r="A5" s="5" t="s">
        <v>9</v>
      </c>
      <c r="B5" s="4" t="s">
        <v>0</v>
      </c>
      <c r="C5" s="5" t="s">
        <v>1</v>
      </c>
      <c r="D5" s="5" t="s">
        <v>29</v>
      </c>
      <c r="E5" s="4" t="s">
        <v>30</v>
      </c>
      <c r="F5" s="6" t="s">
        <v>31</v>
      </c>
      <c r="G5" s="4" t="s">
        <v>14</v>
      </c>
      <c r="H5" s="6" t="s">
        <v>15</v>
      </c>
      <c r="I5" s="63"/>
      <c r="J5" s="63"/>
      <c r="K5" s="63"/>
      <c r="L5" s="63"/>
      <c r="M5" s="25">
        <v>1100</v>
      </c>
      <c r="N5" s="25">
        <f>M5/3</f>
        <v>366.66666666666669</v>
      </c>
    </row>
    <row r="6" spans="1:14" x14ac:dyDescent="0.3">
      <c r="A6" s="66">
        <v>1</v>
      </c>
      <c r="B6" s="81" t="s">
        <v>235</v>
      </c>
      <c r="C6" s="66" t="s">
        <v>2</v>
      </c>
      <c r="D6" s="67">
        <v>1</v>
      </c>
      <c r="E6" s="82"/>
      <c r="F6" s="83">
        <f t="shared" ref="F6:F19" si="0">D6*E6</f>
        <v>0</v>
      </c>
      <c r="G6" s="10">
        <f t="shared" ref="G6:H19" si="1">E6/655.957</f>
        <v>0</v>
      </c>
      <c r="H6" s="12">
        <f t="shared" si="1"/>
        <v>0</v>
      </c>
      <c r="M6">
        <f>M5/15</f>
        <v>73.333333333333329</v>
      </c>
      <c r="N6">
        <v>79</v>
      </c>
    </row>
    <row r="7" spans="1:14" x14ac:dyDescent="0.3">
      <c r="A7" s="66">
        <v>2</v>
      </c>
      <c r="B7" s="81" t="s">
        <v>236</v>
      </c>
      <c r="C7" s="66" t="s">
        <v>3</v>
      </c>
      <c r="D7" s="84">
        <v>36.481570909090912</v>
      </c>
      <c r="E7" s="82"/>
      <c r="F7" s="83">
        <f t="shared" si="0"/>
        <v>0</v>
      </c>
      <c r="G7" s="10">
        <f t="shared" si="1"/>
        <v>0</v>
      </c>
      <c r="H7" s="12">
        <f t="shared" si="1"/>
        <v>0</v>
      </c>
    </row>
    <row r="8" spans="1:14" x14ac:dyDescent="0.3">
      <c r="A8" s="66">
        <v>3</v>
      </c>
      <c r="B8" s="81" t="s">
        <v>39</v>
      </c>
      <c r="C8" s="66" t="s">
        <v>3</v>
      </c>
      <c r="D8" s="84">
        <v>3.1501963636363639</v>
      </c>
      <c r="E8" s="82"/>
      <c r="F8" s="83">
        <f t="shared" si="0"/>
        <v>0</v>
      </c>
      <c r="G8" s="10">
        <f t="shared" si="1"/>
        <v>0</v>
      </c>
      <c r="H8" s="12">
        <f t="shared" si="1"/>
        <v>0</v>
      </c>
    </row>
    <row r="9" spans="1:14" ht="28.8" x14ac:dyDescent="0.3">
      <c r="A9" s="66">
        <v>4</v>
      </c>
      <c r="B9" s="81" t="s">
        <v>237</v>
      </c>
      <c r="C9" s="66" t="s">
        <v>3</v>
      </c>
      <c r="D9" s="84">
        <v>32.28130909090909</v>
      </c>
      <c r="E9" s="82"/>
      <c r="F9" s="83">
        <f t="shared" si="0"/>
        <v>0</v>
      </c>
      <c r="G9" s="10">
        <f t="shared" si="1"/>
        <v>0</v>
      </c>
      <c r="H9" s="12">
        <f t="shared" si="1"/>
        <v>0</v>
      </c>
    </row>
    <row r="10" spans="1:14" x14ac:dyDescent="0.3">
      <c r="A10" s="66">
        <v>5</v>
      </c>
      <c r="B10" s="68" t="s">
        <v>187</v>
      </c>
      <c r="C10" s="66" t="s">
        <v>3</v>
      </c>
      <c r="D10" s="84">
        <v>0.26251636363636371</v>
      </c>
      <c r="E10" s="67"/>
      <c r="F10" s="69">
        <f t="shared" si="0"/>
        <v>0</v>
      </c>
      <c r="G10" s="10">
        <f t="shared" si="1"/>
        <v>0</v>
      </c>
      <c r="H10" s="12">
        <f t="shared" si="1"/>
        <v>0</v>
      </c>
    </row>
    <row r="11" spans="1:14" ht="28.8" x14ac:dyDescent="0.3">
      <c r="A11" s="66">
        <v>6</v>
      </c>
      <c r="B11" s="81" t="s">
        <v>238</v>
      </c>
      <c r="C11" s="66" t="s">
        <v>3</v>
      </c>
      <c r="D11" s="84">
        <v>1.3125818181818185</v>
      </c>
      <c r="E11" s="82"/>
      <c r="F11" s="83">
        <f t="shared" si="0"/>
        <v>0</v>
      </c>
      <c r="G11" s="10">
        <f t="shared" si="1"/>
        <v>0</v>
      </c>
      <c r="H11" s="12">
        <f t="shared" si="1"/>
        <v>0</v>
      </c>
    </row>
    <row r="12" spans="1:14" ht="28.8" x14ac:dyDescent="0.3">
      <c r="A12" s="66">
        <v>7</v>
      </c>
      <c r="B12" s="81" t="s">
        <v>239</v>
      </c>
      <c r="C12" s="66" t="s">
        <v>3</v>
      </c>
      <c r="D12" s="84">
        <v>2.2149818181818177</v>
      </c>
      <c r="E12" s="82"/>
      <c r="F12" s="83">
        <f t="shared" si="0"/>
        <v>0</v>
      </c>
      <c r="G12" s="10">
        <f t="shared" si="1"/>
        <v>0</v>
      </c>
      <c r="H12" s="12">
        <f t="shared" si="1"/>
        <v>0</v>
      </c>
    </row>
    <row r="13" spans="1:14" ht="52.5" customHeight="1" x14ac:dyDescent="0.3">
      <c r="A13" s="66">
        <v>8</v>
      </c>
      <c r="B13" s="81" t="s">
        <v>240</v>
      </c>
      <c r="C13" s="66" t="s">
        <v>6</v>
      </c>
      <c r="D13" s="84">
        <v>108.01454545454546</v>
      </c>
      <c r="E13" s="82"/>
      <c r="F13" s="83">
        <f t="shared" si="0"/>
        <v>0</v>
      </c>
      <c r="G13" s="10">
        <f t="shared" si="1"/>
        <v>0</v>
      </c>
      <c r="H13" s="12">
        <f t="shared" si="1"/>
        <v>0</v>
      </c>
      <c r="N13">
        <f>4500*2.5*2</f>
        <v>22500</v>
      </c>
    </row>
    <row r="14" spans="1:14" ht="33.75" customHeight="1" x14ac:dyDescent="0.3">
      <c r="A14" s="66">
        <v>9</v>
      </c>
      <c r="B14" s="81" t="s">
        <v>241</v>
      </c>
      <c r="C14" s="66" t="s">
        <v>6</v>
      </c>
      <c r="D14" s="84">
        <v>393.77454545454543</v>
      </c>
      <c r="E14" s="82"/>
      <c r="F14" s="83">
        <f t="shared" si="0"/>
        <v>0</v>
      </c>
      <c r="G14" s="10">
        <f t="shared" si="1"/>
        <v>0</v>
      </c>
      <c r="H14" s="12">
        <f t="shared" si="1"/>
        <v>0</v>
      </c>
      <c r="N14">
        <f>4500*2.5</f>
        <v>11250</v>
      </c>
    </row>
    <row r="15" spans="1:14" ht="36" customHeight="1" x14ac:dyDescent="0.3">
      <c r="A15" s="66">
        <v>10</v>
      </c>
      <c r="B15" s="81" t="s">
        <v>242</v>
      </c>
      <c r="C15" s="66" t="s">
        <v>5</v>
      </c>
      <c r="D15" s="84">
        <v>1504</v>
      </c>
      <c r="E15" s="82"/>
      <c r="F15" s="83">
        <f t="shared" si="0"/>
        <v>0</v>
      </c>
      <c r="G15" s="10">
        <f t="shared" si="1"/>
        <v>0</v>
      </c>
      <c r="H15" s="12">
        <f t="shared" si="1"/>
        <v>0</v>
      </c>
    </row>
    <row r="16" spans="1:14" ht="36" customHeight="1" x14ac:dyDescent="0.3">
      <c r="A16" s="66">
        <v>11</v>
      </c>
      <c r="B16" s="81" t="s">
        <v>243</v>
      </c>
      <c r="C16" s="66" t="s">
        <v>5</v>
      </c>
      <c r="D16" s="84">
        <v>6016</v>
      </c>
      <c r="E16" s="82"/>
      <c r="F16" s="83">
        <f t="shared" si="0"/>
        <v>0</v>
      </c>
      <c r="G16" s="10">
        <f t="shared" si="1"/>
        <v>0</v>
      </c>
      <c r="H16" s="12">
        <f t="shared" si="1"/>
        <v>0</v>
      </c>
    </row>
    <row r="17" spans="1:14" ht="36.75" customHeight="1" x14ac:dyDescent="0.3">
      <c r="A17" s="66">
        <v>12</v>
      </c>
      <c r="B17" s="81" t="s">
        <v>244</v>
      </c>
      <c r="C17" s="66" t="s">
        <v>2</v>
      </c>
      <c r="D17" s="67">
        <v>1</v>
      </c>
      <c r="E17" s="82"/>
      <c r="F17" s="83">
        <f t="shared" si="0"/>
        <v>0</v>
      </c>
      <c r="G17" s="10">
        <f t="shared" si="1"/>
        <v>0</v>
      </c>
      <c r="H17" s="12">
        <f t="shared" si="1"/>
        <v>0</v>
      </c>
      <c r="N17">
        <f>45000*2*3</f>
        <v>270000</v>
      </c>
    </row>
    <row r="18" spans="1:14" ht="18.75" customHeight="1" x14ac:dyDescent="0.3">
      <c r="A18" s="66">
        <v>13</v>
      </c>
      <c r="B18" s="81" t="s">
        <v>245</v>
      </c>
      <c r="C18" s="66" t="s">
        <v>2</v>
      </c>
      <c r="D18" s="67">
        <v>1</v>
      </c>
      <c r="E18" s="82"/>
      <c r="F18" s="83">
        <f t="shared" si="0"/>
        <v>0</v>
      </c>
      <c r="G18" s="10">
        <f t="shared" si="1"/>
        <v>0</v>
      </c>
      <c r="H18" s="12">
        <f t="shared" si="1"/>
        <v>0</v>
      </c>
    </row>
    <row r="19" spans="1:14" ht="38.25" customHeight="1" x14ac:dyDescent="0.3">
      <c r="A19" s="66">
        <v>14</v>
      </c>
      <c r="B19" s="85" t="s">
        <v>246</v>
      </c>
      <c r="C19" s="66" t="s">
        <v>2</v>
      </c>
      <c r="D19" s="67">
        <v>1</v>
      </c>
      <c r="E19" s="82"/>
      <c r="F19" s="83">
        <f t="shared" si="0"/>
        <v>0</v>
      </c>
      <c r="G19" s="10">
        <f t="shared" si="1"/>
        <v>0</v>
      </c>
      <c r="H19" s="12">
        <f t="shared" si="1"/>
        <v>0</v>
      </c>
    </row>
    <row r="20" spans="1:14" ht="18.75" customHeight="1" x14ac:dyDescent="0.3">
      <c r="A20" s="86"/>
      <c r="B20" s="87" t="s">
        <v>262</v>
      </c>
      <c r="C20" s="86"/>
      <c r="D20" s="86"/>
      <c r="E20" s="87"/>
      <c r="F20" s="88">
        <f>SUM(F6:F19)</f>
        <v>0</v>
      </c>
      <c r="G20" s="89"/>
      <c r="H20" s="90">
        <f>SUM(H6:H19)</f>
        <v>0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RECAP</vt:lpstr>
      <vt:lpstr>Généralités</vt:lpstr>
      <vt:lpstr>Poulailler</vt:lpstr>
      <vt:lpstr>BERGERIE</vt:lpstr>
      <vt:lpstr>Etang</vt:lpstr>
      <vt:lpstr>Salle de Transform</vt:lpstr>
      <vt:lpstr>Magasin</vt:lpstr>
      <vt:lpstr>latrines à 4 cabines</vt:lpstr>
      <vt:lpstr>Cloture Grillagée</vt:lpstr>
      <vt:lpstr>BERGERIE!Zone_d_impression</vt:lpstr>
      <vt:lpstr>Etang!Zone_d_impression</vt:lpstr>
      <vt:lpstr>Généralités!Zone_d_impression</vt:lpstr>
      <vt:lpstr>'latrines à 4 cabines'!Zone_d_impression</vt:lpstr>
      <vt:lpstr>Magasin!Zone_d_impression</vt:lpstr>
      <vt:lpstr>Poulailler!Zone_d_impression</vt:lpstr>
      <vt:lpstr>RECAP!Zone_d_impression</vt:lpstr>
      <vt:lpstr>'Salle de Transform'!Zone_d_impression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MBIYA ILUNGA, Yannick</cp:lastModifiedBy>
  <cp:lastPrinted>2025-06-04T13:33:24Z</cp:lastPrinted>
  <dcterms:created xsi:type="dcterms:W3CDTF">2025-04-24T09:54:46Z</dcterms:created>
  <dcterms:modified xsi:type="dcterms:W3CDTF">2025-06-17T15:49:25Z</dcterms:modified>
</cp:coreProperties>
</file>